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바탕 화면/"/>
    </mc:Choice>
  </mc:AlternateContent>
  <xr:revisionPtr revIDLastSave="0" documentId="8_{6E56DE35-2501-4B41-895D-4EC73DEAAC20}" xr6:coauthVersionLast="47" xr6:coauthVersionMax="47" xr10:uidLastSave="{00000000-0000-0000-0000-000000000000}"/>
  <bookViews>
    <workbookView xWindow="33720" yWindow="-120" windowWidth="51840" windowHeight="21840" tabRatio="788" activeTab="2" xr2:uid="{00000000-000D-0000-FFFF-FFFF00000000}"/>
  </bookViews>
  <sheets>
    <sheet name="7층_랙별_계통_및_부하량" sheetId="112" r:id="rId1"/>
    <sheet name="6층_랙별_계통 및_부하량" sheetId="96" r:id="rId2"/>
    <sheet name="7층~4층_매핑테이블" sheetId="148" r:id="rId3"/>
    <sheet name="5층_랙별_계통 및_부하량" sheetId="103" r:id="rId4"/>
    <sheet name="4층_랙별_계통 및_부하량" sheetId="102" r:id="rId5"/>
    <sheet name="7층~4층_고객 총사용량(삭제X)" sheetId="146" r:id="rId6"/>
    <sheet name="Power_Summary" sheetId="149" r:id="rId7"/>
    <sheet name="각층분기별_유효전력최대(전월)" sheetId="147" r:id="rId8"/>
    <sheet name="각층분기별_유효전력량(전월)" sheetId="116" r:id="rId9"/>
    <sheet name="8층 사무실 분전반" sheetId="114" state="hidden" r:id="rId10"/>
    <sheet name="7층_부하량(월간_MIN)" sheetId="130" r:id="rId11"/>
    <sheet name="7층_부하량(월간_MAX)" sheetId="138" r:id="rId12"/>
    <sheet name="7층_부하량(월간_AVG)" sheetId="139" r:id="rId13"/>
    <sheet name="7F_current" sheetId="120" state="hidden" r:id="rId14"/>
    <sheet name="6층_부하량(월간_MIN)" sheetId="131" r:id="rId15"/>
    <sheet name="6F_current" sheetId="124" state="hidden" r:id="rId16"/>
    <sheet name="6층_부하량(월간_MAX)" sheetId="140" r:id="rId17"/>
    <sheet name="6층_부하량(월간_AVG)" sheetId="141" r:id="rId18"/>
    <sheet name="5층_부하량(월간_MIN)" sheetId="132" r:id="rId19"/>
    <sheet name="5F_current" sheetId="123" state="hidden" r:id="rId20"/>
    <sheet name="5층_부하량(월간_MAX)" sheetId="142" r:id="rId21"/>
    <sheet name="5층_부하량(월간_AVG)" sheetId="143" r:id="rId22"/>
    <sheet name="4층_부하량(월간_MIN)" sheetId="133" r:id="rId23"/>
    <sheet name="4층_부하량(월간_MAX)" sheetId="145" r:id="rId24"/>
    <sheet name="4층_부하량(월간_AVG)" sheetId="144" r:id="rId25"/>
    <sheet name="7층_부하량" sheetId="134" r:id="rId26"/>
    <sheet name="6층_부하량" sheetId="135" r:id="rId27"/>
    <sheet name="5층_부하량" sheetId="136" r:id="rId28"/>
    <sheet name="4층_부하량" sheetId="137" r:id="rId29"/>
    <sheet name="4F_current" sheetId="125" state="hidden" r:id="rId30"/>
    <sheet name="각_층_분전반_부하량" sheetId="95" state="hidden" r:id="rId31"/>
    <sheet name="세분화" sheetId="113" state="hidden" r:id="rId32"/>
    <sheet name="SJT설비_7층_IPD" sheetId="110" state="hidden" r:id="rId33"/>
  </sheets>
  <definedNames>
    <definedName name="_xlnm._FilterDatabase" localSheetId="1" hidden="1">'6층_랙별_계통 및_부하량'!$AH$3:$AN$4</definedName>
    <definedName name="_xlnm._FilterDatabase" localSheetId="0" hidden="1">'7층_랙별_계통_및_부하량'!$AR$3:$AX$282</definedName>
    <definedName name="_xlnm.Print_Area" localSheetId="24">'4층_부하량(월간_AVG)'!$A$1:$U$223</definedName>
    <definedName name="_xlnm.Print_Area" localSheetId="23">'4층_부하량(월간_MAX)'!$A$1:$U$223</definedName>
    <definedName name="_xlnm.Print_Area" localSheetId="22">'4층_부하량(월간_MIN)'!$A$1:$U$223</definedName>
    <definedName name="_xlnm.Print_Area" localSheetId="21">'5층_부하량(월간_AVG)'!$A$1:$T$554</definedName>
    <definedName name="_xlnm.Print_Area" localSheetId="20">'5층_부하량(월간_MAX)'!$A$1:$T$554</definedName>
    <definedName name="_xlnm.Print_Area" localSheetId="18">'5층_부하량(월간_MIN)'!$A$1:$T$554</definedName>
    <definedName name="_xlnm.Print_Area" localSheetId="1">'6층_랙별_계통 및_부하량'!#REF!</definedName>
    <definedName name="_xlnm.Print_Area" localSheetId="17">'6층_부하량(월간_AVG)'!$A$1:$R$445</definedName>
    <definedName name="_xlnm.Print_Area" localSheetId="16">'6층_부하량(월간_MAX)'!$A$1:$R$445</definedName>
    <definedName name="_xlnm.Print_Area" localSheetId="14">'6층_부하량(월간_MIN)'!$A$1:$R$445</definedName>
    <definedName name="_xlnm.Print_Area" localSheetId="12">'7층_부하량(월간_AVG)'!$A$1:$T$170</definedName>
    <definedName name="_xlnm.Print_Area" localSheetId="11">'7층_부하량(월간_MAX)'!$A$1:$T$170</definedName>
    <definedName name="_xlnm.Print_Area" localSheetId="10">'7층_부하량(월간_MIN)'!$A$1:$T$170</definedName>
    <definedName name="_xlnm.Print_Area" localSheetId="32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4" i="112" l="1"/>
  <c r="AM251" i="112"/>
  <c r="AM252" i="112"/>
  <c r="AM253" i="112"/>
  <c r="AM254" i="112"/>
  <c r="AM255" i="112"/>
  <c r="AM256" i="112"/>
  <c r="AM257" i="112"/>
  <c r="AM258" i="112"/>
  <c r="AM259" i="112"/>
  <c r="AM260" i="112"/>
  <c r="AM261" i="112"/>
  <c r="AM262" i="112"/>
  <c r="AM263" i="112"/>
  <c r="AM264" i="112"/>
  <c r="AM265" i="112"/>
  <c r="AM266" i="112"/>
  <c r="AM267" i="112"/>
  <c r="AM268" i="112"/>
  <c r="AM269" i="112"/>
  <c r="AM270" i="112"/>
  <c r="AM271" i="112"/>
  <c r="AM272" i="112"/>
  <c r="AM273" i="112"/>
  <c r="AM274" i="112"/>
  <c r="AM275" i="112"/>
  <c r="AM276" i="112"/>
  <c r="AM277" i="112"/>
  <c r="AM278" i="112"/>
  <c r="AM279" i="112"/>
  <c r="AM280" i="112"/>
  <c r="AM281" i="112"/>
  <c r="AM282" i="112"/>
  <c r="AM239" i="112"/>
  <c r="AM240" i="112"/>
  <c r="AM241" i="112"/>
  <c r="AM242" i="112"/>
  <c r="AM243" i="112"/>
  <c r="AM244" i="112"/>
  <c r="AM245" i="112"/>
  <c r="AM246" i="112"/>
  <c r="AM247" i="112"/>
  <c r="AM248" i="112"/>
  <c r="AM230" i="112"/>
  <c r="AM231" i="112"/>
  <c r="AM232" i="112"/>
  <c r="AM233" i="112"/>
  <c r="AM226" i="112"/>
  <c r="AM227" i="112"/>
  <c r="AM228" i="112"/>
  <c r="AM220" i="112"/>
  <c r="AM221" i="112"/>
  <c r="AM222" i="112"/>
  <c r="AM223" i="112"/>
  <c r="AM208" i="112"/>
  <c r="AM209" i="112"/>
  <c r="AM210" i="112"/>
  <c r="AM211" i="112"/>
  <c r="AM212" i="112"/>
  <c r="AM213" i="112"/>
  <c r="AM214" i="112"/>
  <c r="AM215" i="112"/>
  <c r="AM216" i="112"/>
  <c r="AM198" i="112"/>
  <c r="AM199" i="112"/>
  <c r="AM200" i="112"/>
  <c r="AM201" i="112"/>
  <c r="AM202" i="112"/>
  <c r="AM203" i="112"/>
  <c r="AM204" i="112"/>
  <c r="AM205" i="112"/>
  <c r="AM196" i="112"/>
  <c r="AM187" i="112"/>
  <c r="AM188" i="112"/>
  <c r="AM189" i="112"/>
  <c r="AM190" i="112"/>
  <c r="AM191" i="112"/>
  <c r="AM192" i="112"/>
  <c r="AM193" i="112"/>
  <c r="AM183" i="112"/>
  <c r="AM156" i="112"/>
  <c r="AM157" i="112"/>
  <c r="AM158" i="112"/>
  <c r="AM159" i="112"/>
  <c r="AM160" i="112"/>
  <c r="AM161" i="112"/>
  <c r="AM162" i="112"/>
  <c r="AM163" i="112"/>
  <c r="AM164" i="112"/>
  <c r="AM165" i="112"/>
  <c r="AM166" i="112"/>
  <c r="AM167" i="112"/>
  <c r="AM168" i="112"/>
  <c r="AM169" i="112"/>
  <c r="AM170" i="112"/>
  <c r="AM171" i="112"/>
  <c r="AM172" i="112"/>
  <c r="AM173" i="112"/>
  <c r="AM174" i="112"/>
  <c r="AM175" i="112"/>
  <c r="AM176" i="112"/>
  <c r="AM177" i="112"/>
  <c r="AM178" i="112"/>
  <c r="AM179" i="112"/>
  <c r="AM180" i="112"/>
  <c r="AM181" i="112"/>
  <c r="AM182" i="112"/>
  <c r="AM154" i="112"/>
  <c r="AM155" i="112"/>
  <c r="AM96" i="112"/>
  <c r="AM98" i="112"/>
  <c r="AM99" i="112"/>
  <c r="AM100" i="112"/>
  <c r="AM101" i="112"/>
  <c r="AM102" i="112"/>
  <c r="AM103" i="112"/>
  <c r="AM104" i="112"/>
  <c r="AM105" i="112"/>
  <c r="AM106" i="112"/>
  <c r="AM107" i="112"/>
  <c r="AM108" i="112"/>
  <c r="AM109" i="112"/>
  <c r="AM110" i="112"/>
  <c r="AM111" i="112"/>
  <c r="AM112" i="112"/>
  <c r="AM113" i="112"/>
  <c r="AM114" i="112"/>
  <c r="AM115" i="112"/>
  <c r="AM116" i="112"/>
  <c r="AM117" i="112"/>
  <c r="AM118" i="112"/>
  <c r="AM119" i="112"/>
  <c r="AM124" i="112"/>
  <c r="AM125" i="112"/>
  <c r="AM126" i="112"/>
  <c r="AM127" i="112"/>
  <c r="AM128" i="112"/>
  <c r="AM129" i="112"/>
  <c r="AM130" i="112"/>
  <c r="AM131" i="112"/>
  <c r="AM132" i="112"/>
  <c r="AM133" i="112"/>
  <c r="AM134" i="112"/>
  <c r="AM135" i="112"/>
  <c r="AM137" i="112"/>
  <c r="AM138" i="112"/>
  <c r="AM139" i="112"/>
  <c r="AM140" i="112"/>
  <c r="AM142" i="112"/>
  <c r="AM143" i="112"/>
  <c r="AM144" i="112"/>
  <c r="AM145" i="112"/>
  <c r="AM146" i="112"/>
  <c r="AM147" i="112"/>
  <c r="AM148" i="112"/>
  <c r="AM149" i="112"/>
  <c r="AM150" i="112"/>
  <c r="AM151" i="112"/>
  <c r="AM152" i="112"/>
  <c r="AM153" i="112"/>
  <c r="AM87" i="112"/>
  <c r="AM88" i="112"/>
  <c r="AM89" i="112"/>
  <c r="AM90" i="112"/>
  <c r="AM91" i="112"/>
  <c r="AM92" i="112"/>
  <c r="AM93" i="112"/>
  <c r="AM86" i="112"/>
  <c r="AM85" i="112"/>
  <c r="AM82" i="112"/>
  <c r="AM68" i="112"/>
  <c r="AM69" i="112"/>
  <c r="AM70" i="112"/>
  <c r="AM71" i="112"/>
  <c r="AM72" i="112"/>
  <c r="AM73" i="112"/>
  <c r="AM74" i="112"/>
  <c r="AM75" i="112"/>
  <c r="AM76" i="112"/>
  <c r="AM77" i="112"/>
  <c r="AM78" i="112"/>
  <c r="AM79" i="112"/>
  <c r="AM80" i="112"/>
  <c r="AM63" i="112"/>
  <c r="AM65" i="112"/>
  <c r="AM66" i="112"/>
  <c r="AM62" i="112"/>
  <c r="AM60" i="112"/>
  <c r="AM61" i="112"/>
  <c r="AM59" i="112"/>
  <c r="AM48" i="112"/>
  <c r="AM49" i="112"/>
  <c r="AM50" i="112"/>
  <c r="AM51" i="112"/>
  <c r="AM52" i="112"/>
  <c r="AM53" i="112"/>
  <c r="AM54" i="112"/>
  <c r="AM55" i="112"/>
  <c r="AM56" i="112"/>
  <c r="AM57" i="112"/>
  <c r="AM58" i="112"/>
  <c r="AM29" i="112"/>
  <c r="AM30" i="112"/>
  <c r="AM31" i="112"/>
  <c r="AM32" i="112"/>
  <c r="AM33" i="112"/>
  <c r="AM34" i="112"/>
  <c r="AM35" i="112"/>
  <c r="AM36" i="112"/>
  <c r="AM37" i="112"/>
  <c r="AM38" i="112"/>
  <c r="AM39" i="112"/>
  <c r="AM40" i="112"/>
  <c r="AM41" i="112"/>
  <c r="AM42" i="112"/>
  <c r="AM43" i="112"/>
  <c r="AM44" i="112"/>
  <c r="AM45" i="112"/>
  <c r="AM23" i="112"/>
  <c r="AM24" i="112"/>
  <c r="AM25" i="112"/>
  <c r="AM26" i="112"/>
  <c r="AM27" i="112"/>
  <c r="AM16" i="112"/>
  <c r="AM17" i="112"/>
  <c r="AM18" i="112"/>
  <c r="AM19" i="112"/>
  <c r="AM20" i="112"/>
  <c r="AM21" i="112"/>
  <c r="AM13" i="112"/>
  <c r="AM14" i="112"/>
  <c r="AM15" i="112"/>
  <c r="AM6" i="112"/>
  <c r="AM7" i="112"/>
  <c r="AM8" i="112"/>
  <c r="AM9" i="112"/>
  <c r="AM10" i="112"/>
  <c r="AM11" i="112"/>
  <c r="AM12" i="112"/>
  <c r="AM5" i="112"/>
  <c r="AD213" i="96"/>
  <c r="AD214" i="96"/>
  <c r="AD215" i="96"/>
  <c r="AD216" i="96"/>
  <c r="AD217" i="96"/>
  <c r="AD218" i="96"/>
  <c r="AD219" i="96"/>
  <c r="AD220" i="96"/>
  <c r="AD221" i="96"/>
  <c r="AD222" i="96"/>
  <c r="AD223" i="96"/>
  <c r="AD224" i="96"/>
  <c r="AD225" i="96"/>
  <c r="AD226" i="96"/>
  <c r="AD227" i="96"/>
  <c r="AD228" i="96"/>
  <c r="AD229" i="96"/>
  <c r="AD230" i="96"/>
  <c r="AD231" i="96"/>
  <c r="AD232" i="96"/>
  <c r="AD233" i="96"/>
  <c r="AD234" i="96"/>
  <c r="AD235" i="96"/>
  <c r="AD236" i="96"/>
  <c r="AD237" i="96"/>
  <c r="AD238" i="96"/>
  <c r="AD239" i="96"/>
  <c r="AD240" i="96"/>
  <c r="AD241" i="96"/>
  <c r="AD242" i="96"/>
  <c r="AD243" i="96"/>
  <c r="AD244" i="96"/>
  <c r="AD245" i="96"/>
  <c r="AD246" i="96"/>
  <c r="AD247" i="96"/>
  <c r="AD248" i="96"/>
  <c r="AD249" i="96"/>
  <c r="AD250" i="96"/>
  <c r="AD203" i="96"/>
  <c r="AD204" i="96"/>
  <c r="AD205" i="96"/>
  <c r="AD206" i="96"/>
  <c r="AD207" i="96"/>
  <c r="AD208" i="96"/>
  <c r="AD209" i="96"/>
  <c r="AD210" i="96"/>
  <c r="AD211" i="96"/>
  <c r="AD189" i="96"/>
  <c r="AD190" i="96"/>
  <c r="AD191" i="96"/>
  <c r="AD192" i="96"/>
  <c r="AD193" i="96"/>
  <c r="AD194" i="96"/>
  <c r="AD195" i="96"/>
  <c r="AD196" i="96"/>
  <c r="AD197" i="96"/>
  <c r="AD198" i="96"/>
  <c r="AD199" i="96"/>
  <c r="AD200" i="96"/>
  <c r="AD201" i="96"/>
  <c r="AD179" i="96"/>
  <c r="AD180" i="96"/>
  <c r="AD181" i="96"/>
  <c r="AD182" i="96"/>
  <c r="AD183" i="96"/>
  <c r="AD184" i="96"/>
  <c r="AD185" i="96"/>
  <c r="AD186" i="96"/>
  <c r="AD187" i="96"/>
  <c r="AD169" i="96"/>
  <c r="AD170" i="96"/>
  <c r="AD171" i="96"/>
  <c r="AD172" i="96"/>
  <c r="AD173" i="96"/>
  <c r="AD174" i="96"/>
  <c r="AD175" i="96"/>
  <c r="AD176" i="96"/>
  <c r="AD177" i="96"/>
  <c r="AD167" i="96"/>
  <c r="AD158" i="96"/>
  <c r="AD159" i="96"/>
  <c r="AD160" i="96"/>
  <c r="AD161" i="96"/>
  <c r="AD162" i="96"/>
  <c r="AD163" i="96"/>
  <c r="AD164" i="96"/>
  <c r="AD165" i="96"/>
  <c r="AD166" i="96"/>
  <c r="AD146" i="96"/>
  <c r="AD147" i="96"/>
  <c r="AD148" i="96"/>
  <c r="AD149" i="96"/>
  <c r="AD150" i="96"/>
  <c r="AD151" i="96"/>
  <c r="AD152" i="96"/>
  <c r="AD153" i="96"/>
  <c r="AD154" i="96"/>
  <c r="AD155" i="96"/>
  <c r="AD156" i="96"/>
  <c r="AD136" i="96"/>
  <c r="AD137" i="96"/>
  <c r="AD138" i="96"/>
  <c r="AD139" i="96"/>
  <c r="AD140" i="96"/>
  <c r="AD141" i="96"/>
  <c r="AD142" i="96"/>
  <c r="AD143" i="96"/>
  <c r="AD144" i="96"/>
  <c r="AD117" i="96"/>
  <c r="AD118" i="96"/>
  <c r="AD119" i="96"/>
  <c r="AD120" i="96"/>
  <c r="AD121" i="96"/>
  <c r="AD122" i="96"/>
  <c r="AD123" i="96"/>
  <c r="AD124" i="96"/>
  <c r="AD125" i="96"/>
  <c r="AD126" i="96"/>
  <c r="AD127" i="96"/>
  <c r="AD128" i="96"/>
  <c r="AD129" i="96"/>
  <c r="AD130" i="96"/>
  <c r="AD131" i="96"/>
  <c r="AD132" i="96"/>
  <c r="AD133" i="96"/>
  <c r="AD134" i="96"/>
  <c r="AD107" i="96"/>
  <c r="AD108" i="96"/>
  <c r="AD109" i="96"/>
  <c r="AD110" i="96"/>
  <c r="AD111" i="96"/>
  <c r="AD112" i="96"/>
  <c r="AD113" i="96"/>
  <c r="AD114" i="96"/>
  <c r="AD115" i="96"/>
  <c r="AD105" i="96"/>
  <c r="AD96" i="96"/>
  <c r="AD97" i="96"/>
  <c r="AD98" i="96"/>
  <c r="AD99" i="96"/>
  <c r="AD100" i="96"/>
  <c r="AD101" i="96"/>
  <c r="AD102" i="96"/>
  <c r="AD103" i="96"/>
  <c r="AD104" i="96"/>
  <c r="AD95" i="96"/>
  <c r="AD83" i="96"/>
  <c r="AD84" i="96"/>
  <c r="AD85" i="96"/>
  <c r="AD86" i="96"/>
  <c r="AD87" i="96"/>
  <c r="AD88" i="96"/>
  <c r="AD89" i="96"/>
  <c r="AD90" i="96"/>
  <c r="AD75" i="96"/>
  <c r="AD76" i="96"/>
  <c r="AD77" i="96"/>
  <c r="AD78" i="96"/>
  <c r="AD79" i="96"/>
  <c r="AD80" i="96"/>
  <c r="AD81" i="96"/>
  <c r="AD65" i="96"/>
  <c r="AD66" i="96"/>
  <c r="AD67" i="96"/>
  <c r="AD68" i="96"/>
  <c r="AD69" i="96"/>
  <c r="AD70" i="96"/>
  <c r="AD71" i="96"/>
  <c r="AD53" i="96"/>
  <c r="AD54" i="96"/>
  <c r="AD55" i="96"/>
  <c r="AD56" i="96"/>
  <c r="AD57" i="96"/>
  <c r="AD58" i="96"/>
  <c r="AD59" i="96"/>
  <c r="AD60" i="96"/>
  <c r="AD61" i="96"/>
  <c r="AD62" i="96"/>
  <c r="AD42" i="96"/>
  <c r="AD43" i="96"/>
  <c r="AD44" i="96"/>
  <c r="AD45" i="96"/>
  <c r="AD46" i="96"/>
  <c r="AD47" i="96"/>
  <c r="AD48" i="96"/>
  <c r="AD49" i="96"/>
  <c r="AD50" i="96"/>
  <c r="AD35" i="96"/>
  <c r="AD36" i="96"/>
  <c r="AD37" i="96"/>
  <c r="AD38" i="96"/>
  <c r="AD39" i="96"/>
  <c r="AD40" i="96"/>
  <c r="AD27" i="96"/>
  <c r="AD28" i="96"/>
  <c r="AD29" i="96"/>
  <c r="AD30" i="96"/>
  <c r="AD31" i="96"/>
  <c r="AD32" i="96"/>
  <c r="AD19" i="96"/>
  <c r="AD20" i="96"/>
  <c r="AD21" i="96"/>
  <c r="AD22" i="96"/>
  <c r="AD23" i="96"/>
  <c r="AD24" i="96"/>
  <c r="AD10" i="96"/>
  <c r="AD11" i="96"/>
  <c r="AD12" i="96"/>
  <c r="AD13" i="96"/>
  <c r="AD14" i="96"/>
  <c r="AD9" i="96"/>
  <c r="J53" i="103"/>
  <c r="J54" i="103"/>
  <c r="J55" i="103"/>
  <c r="J56" i="103"/>
  <c r="J57" i="103"/>
  <c r="J58" i="103"/>
  <c r="J59" i="103"/>
  <c r="J60" i="103"/>
  <c r="J61" i="103"/>
  <c r="J62" i="103"/>
  <c r="J63" i="103"/>
  <c r="J64" i="103"/>
  <c r="J65" i="103"/>
  <c r="J66" i="103"/>
  <c r="J67" i="103"/>
  <c r="J68" i="103"/>
  <c r="J69" i="103"/>
  <c r="J70" i="103"/>
  <c r="J71" i="103"/>
  <c r="J72" i="103"/>
  <c r="J73" i="103"/>
  <c r="J74" i="103"/>
  <c r="J75" i="103"/>
  <c r="J76" i="103"/>
  <c r="J77" i="103"/>
  <c r="J78" i="103"/>
  <c r="J79" i="103"/>
  <c r="J80" i="103"/>
  <c r="J81" i="103"/>
  <c r="J82" i="103"/>
  <c r="J83" i="103"/>
  <c r="J84" i="103"/>
  <c r="J85" i="103"/>
  <c r="J86" i="103"/>
  <c r="J87" i="103"/>
  <c r="J88" i="103"/>
  <c r="J89" i="103"/>
  <c r="J90" i="103"/>
  <c r="J91" i="103"/>
  <c r="J92" i="103"/>
  <c r="J93" i="103"/>
  <c r="J94" i="103"/>
  <c r="J95" i="103"/>
  <c r="J96" i="103"/>
  <c r="J97" i="103"/>
  <c r="J98" i="103"/>
  <c r="J99" i="103"/>
  <c r="J100" i="103"/>
  <c r="J101" i="103"/>
  <c r="J102" i="103"/>
  <c r="J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J35" i="103"/>
  <c r="J36" i="103"/>
  <c r="J37" i="103"/>
  <c r="J38" i="103"/>
  <c r="J39" i="103"/>
  <c r="J40" i="103"/>
  <c r="J41" i="103"/>
  <c r="J42" i="103"/>
  <c r="J43" i="103"/>
  <c r="J44" i="103"/>
  <c r="J45" i="103"/>
  <c r="J46" i="103"/>
  <c r="J47" i="103"/>
  <c r="J48" i="103"/>
  <c r="J49" i="103"/>
  <c r="J50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J34" i="103"/>
  <c r="I34" i="103"/>
  <c r="AC235" i="102"/>
  <c r="AC236" i="102"/>
  <c r="AC237" i="102"/>
  <c r="AC238" i="102"/>
  <c r="AC239" i="102"/>
  <c r="AC240" i="102"/>
  <c r="AC241" i="102"/>
  <c r="AC242" i="102"/>
  <c r="AC243" i="102"/>
  <c r="AC244" i="102"/>
  <c r="AC245" i="102"/>
  <c r="AC246" i="102"/>
  <c r="AC247" i="102"/>
  <c r="AC248" i="102"/>
  <c r="AC249" i="102"/>
  <c r="AC250" i="102"/>
  <c r="AC251" i="102"/>
  <c r="AC252" i="102"/>
  <c r="AC253" i="102"/>
  <c r="AC254" i="102"/>
  <c r="AC255" i="102"/>
  <c r="AC256" i="102"/>
  <c r="AC257" i="102"/>
  <c r="AC258" i="102"/>
  <c r="AC259" i="102"/>
  <c r="AC260" i="102"/>
  <c r="AC261" i="102"/>
  <c r="AC262" i="102"/>
  <c r="AC263" i="102"/>
  <c r="AC264" i="102"/>
  <c r="AC265" i="102"/>
  <c r="AC266" i="102"/>
  <c r="AC267" i="102"/>
  <c r="AC268" i="102"/>
  <c r="AC269" i="102"/>
  <c r="AC270" i="102"/>
  <c r="AC271" i="102"/>
  <c r="AC272" i="102"/>
  <c r="AC273" i="102"/>
  <c r="AC274" i="102"/>
  <c r="AC275" i="102"/>
  <c r="AC276" i="102"/>
  <c r="AC277" i="102"/>
  <c r="AC278" i="102"/>
  <c r="AC279" i="102"/>
  <c r="AC280" i="102"/>
  <c r="AC281" i="102"/>
  <c r="AC282" i="102"/>
  <c r="AC283" i="102"/>
  <c r="AC284" i="102"/>
  <c r="AC285" i="102"/>
  <c r="AC286" i="102"/>
  <c r="AC287" i="102"/>
  <c r="AC288" i="102"/>
  <c r="AC289" i="102"/>
  <c r="AC290" i="102"/>
  <c r="AC291" i="102"/>
  <c r="AC292" i="102"/>
  <c r="AC293" i="102"/>
  <c r="AC294" i="102"/>
  <c r="AC295" i="102"/>
  <c r="AC296" i="102"/>
  <c r="AC297" i="102"/>
  <c r="AC298" i="102"/>
  <c r="AC299" i="102"/>
  <c r="AC300" i="102"/>
  <c r="AC301" i="102"/>
  <c r="AC302" i="102"/>
  <c r="AC303" i="102"/>
  <c r="AC304" i="102"/>
  <c r="AC305" i="102"/>
  <c r="AC234" i="102"/>
  <c r="J6" i="103"/>
  <c r="J7" i="103"/>
  <c r="J8" i="103"/>
  <c r="J9" i="103"/>
  <c r="J10" i="103"/>
  <c r="J11" i="103"/>
  <c r="J12" i="103"/>
  <c r="J13" i="103"/>
  <c r="J14" i="103"/>
  <c r="J15" i="103"/>
  <c r="J16" i="103"/>
  <c r="J17" i="103"/>
  <c r="J18" i="103"/>
  <c r="J19" i="103"/>
  <c r="J20" i="103"/>
  <c r="J21" i="103"/>
  <c r="J22" i="103"/>
  <c r="J23" i="103"/>
  <c r="J24" i="103"/>
  <c r="J25" i="103"/>
  <c r="J26" i="103"/>
  <c r="J27" i="103"/>
  <c r="J28" i="103"/>
  <c r="J29" i="103"/>
  <c r="J30" i="103"/>
  <c r="J31" i="103"/>
  <c r="J32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P6" i="148" l="1" a="1"/>
  <c r="P6" i="148" s="1"/>
  <c r="AD5" i="103" s="1"/>
  <c r="I6" i="148"/>
  <c r="J5" i="103"/>
  <c r="I5" i="103"/>
  <c r="AF7" i="148" a="1"/>
  <c r="AF7" i="148" s="1"/>
  <c r="AF8" i="148" a="1"/>
  <c r="AF8" i="148" s="1"/>
  <c r="AF9" i="148" a="1"/>
  <c r="AF9" i="148" s="1"/>
  <c r="AF10" i="148" a="1"/>
  <c r="AF10" i="148"/>
  <c r="AF11" i="148" a="1"/>
  <c r="AF11" i="148" s="1"/>
  <c r="AF12" i="148" a="1"/>
  <c r="AF12" i="148" s="1"/>
  <c r="AF13" i="148" a="1"/>
  <c r="AF13" i="148" s="1"/>
  <c r="AF14" i="148" a="1"/>
  <c r="AF14" i="148" s="1"/>
  <c r="AF15" i="148" a="1"/>
  <c r="AF15" i="148" s="1"/>
  <c r="AF16" i="148" a="1"/>
  <c r="AF16" i="148" s="1"/>
  <c r="AF17" i="148" a="1"/>
  <c r="AF17" i="148" s="1"/>
  <c r="AF18" i="148" a="1"/>
  <c r="AF18" i="148" s="1"/>
  <c r="AF19" i="148" a="1"/>
  <c r="AF19" i="148" s="1"/>
  <c r="AF20" i="148" a="1"/>
  <c r="AF20" i="148" s="1"/>
  <c r="AF21" i="148" a="1"/>
  <c r="AF21" i="148" s="1"/>
  <c r="AF22" i="148" a="1"/>
  <c r="AF22" i="148" s="1"/>
  <c r="AF23" i="148" a="1"/>
  <c r="AF23" i="148" s="1"/>
  <c r="AF24" i="148" a="1"/>
  <c r="AF24" i="148" s="1"/>
  <c r="AF25" i="148" a="1"/>
  <c r="AF25" i="148" s="1"/>
  <c r="AF26" i="148" a="1"/>
  <c r="AF26" i="148" s="1"/>
  <c r="AF27" i="148" a="1"/>
  <c r="AF27" i="148" s="1"/>
  <c r="AF28" i="148" a="1"/>
  <c r="AF28" i="148" s="1"/>
  <c r="AF29" i="148" a="1"/>
  <c r="AF29" i="148" s="1"/>
  <c r="AF30" i="148" a="1"/>
  <c r="AF30" i="148" s="1"/>
  <c r="AF31" i="148" a="1"/>
  <c r="AF31" i="148" s="1"/>
  <c r="AF32" i="148" a="1"/>
  <c r="AF32" i="148" s="1"/>
  <c r="AF33" i="148" a="1"/>
  <c r="AF33" i="148" s="1"/>
  <c r="AF34" i="148" a="1"/>
  <c r="AF34" i="148" s="1"/>
  <c r="AF35" i="148" a="1"/>
  <c r="AF35" i="148" s="1"/>
  <c r="AF36" i="148" a="1"/>
  <c r="AF36" i="148" s="1"/>
  <c r="AF37" i="148" a="1"/>
  <c r="AF37" i="148" s="1"/>
  <c r="AF38" i="148" a="1"/>
  <c r="AF38" i="148" s="1"/>
  <c r="AF39" i="148" a="1"/>
  <c r="AF39" i="148" s="1"/>
  <c r="AF40" i="148" a="1"/>
  <c r="AF40" i="148" s="1"/>
  <c r="AF41" i="148" a="1"/>
  <c r="AF41" i="148" s="1"/>
  <c r="AF42" i="148" a="1"/>
  <c r="AF42" i="148" s="1"/>
  <c r="AF43" i="148" a="1"/>
  <c r="AF43" i="148" s="1"/>
  <c r="AF44" i="148" a="1"/>
  <c r="AF44" i="148" s="1"/>
  <c r="AF45" i="148" a="1"/>
  <c r="AF45" i="148" s="1"/>
  <c r="AF46" i="148" a="1"/>
  <c r="AF46" i="148" s="1"/>
  <c r="AF47" i="148" a="1"/>
  <c r="AF47" i="148" s="1"/>
  <c r="AF48" i="148" a="1"/>
  <c r="AF48" i="148" s="1"/>
  <c r="AF49" i="148" a="1"/>
  <c r="AF49" i="148" s="1"/>
  <c r="AF50" i="148" a="1"/>
  <c r="AF50" i="148" s="1"/>
  <c r="AF51" i="148" a="1"/>
  <c r="AF51" i="148" s="1"/>
  <c r="AF52" i="148" a="1"/>
  <c r="AF52" i="148" s="1"/>
  <c r="AF53" i="148" a="1"/>
  <c r="AF53" i="148" s="1"/>
  <c r="AF54" i="148" a="1"/>
  <c r="AF54" i="148" s="1"/>
  <c r="AF55" i="148" a="1"/>
  <c r="AF55" i="148" s="1"/>
  <c r="AF56" i="148" a="1"/>
  <c r="AF56" i="148" s="1"/>
  <c r="AF57" i="148" a="1"/>
  <c r="AF57" i="148" s="1"/>
  <c r="AF58" i="148" a="1"/>
  <c r="AF58" i="148" s="1"/>
  <c r="AF59" i="148" a="1"/>
  <c r="AF59" i="148" s="1"/>
  <c r="AF60" i="148" a="1"/>
  <c r="AF60" i="148" s="1"/>
  <c r="AF61" i="148" a="1"/>
  <c r="AF61" i="148" s="1"/>
  <c r="AF62" i="148" a="1"/>
  <c r="AF62" i="148" s="1"/>
  <c r="AF63" i="148" a="1"/>
  <c r="AF63" i="148" s="1"/>
  <c r="AF64" i="148" a="1"/>
  <c r="AF64" i="148" s="1"/>
  <c r="AF65" i="148" a="1"/>
  <c r="AF65" i="148" s="1"/>
  <c r="AF66" i="148" a="1"/>
  <c r="AF66" i="148" s="1"/>
  <c r="AF67" i="148" a="1"/>
  <c r="AF67" i="148" s="1"/>
  <c r="AF68" i="148" a="1"/>
  <c r="AF68" i="148" s="1"/>
  <c r="AF69" i="148" a="1"/>
  <c r="AF69" i="148" s="1"/>
  <c r="AF70" i="148" a="1"/>
  <c r="AF70" i="148" s="1"/>
  <c r="AF71" i="148" a="1"/>
  <c r="AF71" i="148" s="1"/>
  <c r="AF72" i="148" a="1"/>
  <c r="AF72" i="148" s="1"/>
  <c r="AF73" i="148" a="1"/>
  <c r="AF73" i="148" s="1"/>
  <c r="AF74" i="148" a="1"/>
  <c r="AF74" i="148" s="1"/>
  <c r="AF75" i="148" a="1"/>
  <c r="AF75" i="148" s="1"/>
  <c r="AF76" i="148" a="1"/>
  <c r="AF76" i="148" s="1"/>
  <c r="AF77" i="148" a="1"/>
  <c r="AF77" i="148" s="1"/>
  <c r="AF78" i="148" a="1"/>
  <c r="AF78" i="148" s="1"/>
  <c r="AF79" i="148" a="1"/>
  <c r="AF79" i="148" s="1"/>
  <c r="AF80" i="148" a="1"/>
  <c r="AF80" i="148" s="1"/>
  <c r="AF81" i="148" a="1"/>
  <c r="AF81" i="148" s="1"/>
  <c r="AF82" i="148" a="1"/>
  <c r="AF82" i="148" s="1"/>
  <c r="AF83" i="148" a="1"/>
  <c r="AF83" i="148" s="1"/>
  <c r="AF84" i="148" a="1"/>
  <c r="AF84" i="148" s="1"/>
  <c r="AF85" i="148" a="1"/>
  <c r="AF85" i="148" s="1"/>
  <c r="AF86" i="148" a="1"/>
  <c r="AF86" i="148" s="1"/>
  <c r="AF87" i="148" a="1"/>
  <c r="AF87" i="148" s="1"/>
  <c r="AF88" i="148" a="1"/>
  <c r="AF88" i="148" s="1"/>
  <c r="AF89" i="148" a="1"/>
  <c r="AF89" i="148" s="1"/>
  <c r="AF90" i="148" a="1"/>
  <c r="AF90" i="148" s="1"/>
  <c r="AF91" i="148" a="1"/>
  <c r="AF91" i="148" s="1"/>
  <c r="AF92" i="148" a="1"/>
  <c r="AF92" i="148" s="1"/>
  <c r="AF93" i="148" a="1"/>
  <c r="AF93" i="148" s="1"/>
  <c r="AF94" i="148" a="1"/>
  <c r="AF94" i="148" s="1"/>
  <c r="AF95" i="148" a="1"/>
  <c r="AF95" i="148" s="1"/>
  <c r="AF96" i="148" a="1"/>
  <c r="AF96" i="148" s="1"/>
  <c r="AF97" i="148" a="1"/>
  <c r="AF97" i="148" s="1"/>
  <c r="AF98" i="148" a="1"/>
  <c r="AF98" i="148"/>
  <c r="AF99" i="148" a="1"/>
  <c r="AF99" i="148" s="1"/>
  <c r="AF100" i="148" a="1"/>
  <c r="AF100" i="148" s="1"/>
  <c r="AF101" i="148" a="1"/>
  <c r="AF101" i="148" s="1"/>
  <c r="AF102" i="148" a="1"/>
  <c r="AF102" i="148" s="1"/>
  <c r="AF103" i="148" a="1"/>
  <c r="AF103" i="148" s="1"/>
  <c r="AF104" i="148" a="1"/>
  <c r="AF104" i="148" s="1"/>
  <c r="AF105" i="148" a="1"/>
  <c r="AF105" i="148" s="1"/>
  <c r="AF106" i="148" a="1"/>
  <c r="AF106" i="148" s="1"/>
  <c r="AF107" i="148" a="1"/>
  <c r="AF107" i="148" s="1"/>
  <c r="AF108" i="148" a="1"/>
  <c r="AF108" i="148" s="1"/>
  <c r="AF109" i="148" a="1"/>
  <c r="AF109" i="148" s="1"/>
  <c r="AF110" i="148" a="1"/>
  <c r="AF110" i="148" s="1"/>
  <c r="AF111" i="148" a="1"/>
  <c r="AF111" i="148" s="1"/>
  <c r="AF112" i="148" a="1"/>
  <c r="AF112" i="148" s="1"/>
  <c r="AF113" i="148" a="1"/>
  <c r="AF113" i="148" s="1"/>
  <c r="AF114" i="148" a="1"/>
  <c r="AF114" i="148"/>
  <c r="AF115" i="148" a="1"/>
  <c r="AF115" i="148" s="1"/>
  <c r="AF116" i="148" a="1"/>
  <c r="AF116" i="148" s="1"/>
  <c r="AF117" i="148" a="1"/>
  <c r="AF117" i="148" s="1"/>
  <c r="AF118" i="148" a="1"/>
  <c r="AF118" i="148" s="1"/>
  <c r="AF119" i="148" a="1"/>
  <c r="AF119" i="148" s="1"/>
  <c r="AF120" i="148" a="1"/>
  <c r="AF120" i="148" s="1"/>
  <c r="AF121" i="148" a="1"/>
  <c r="AF121" i="148" s="1"/>
  <c r="AF122" i="148" a="1"/>
  <c r="AF122" i="148" s="1"/>
  <c r="AF123" i="148" a="1"/>
  <c r="AF123" i="148" s="1"/>
  <c r="AF124" i="148" a="1"/>
  <c r="AF124" i="148" s="1"/>
  <c r="AF125" i="148" a="1"/>
  <c r="AF125" i="148" s="1"/>
  <c r="AF126" i="148" a="1"/>
  <c r="AF126" i="148" s="1"/>
  <c r="AF127" i="148" a="1"/>
  <c r="AF127" i="148" s="1"/>
  <c r="AF128" i="148" a="1"/>
  <c r="AF128" i="148" s="1"/>
  <c r="AF129" i="148" a="1"/>
  <c r="AF129" i="148" s="1"/>
  <c r="AF130" i="148" a="1"/>
  <c r="AF130" i="148" s="1"/>
  <c r="AF131" i="148" a="1"/>
  <c r="AF131" i="148" s="1"/>
  <c r="AF132" i="148" a="1"/>
  <c r="AF132" i="148" s="1"/>
  <c r="AF133" i="148" a="1"/>
  <c r="AF133" i="148" s="1"/>
  <c r="AF134" i="148" a="1"/>
  <c r="AF134" i="148" s="1"/>
  <c r="AF135" i="148" a="1"/>
  <c r="AF135" i="148" s="1"/>
  <c r="AF136" i="148" a="1"/>
  <c r="AF136" i="148" s="1"/>
  <c r="AF137" i="148" a="1"/>
  <c r="AF137" i="148" s="1"/>
  <c r="AF138" i="148" a="1"/>
  <c r="AF138" i="148" s="1"/>
  <c r="AF139" i="148" a="1"/>
  <c r="AF139" i="148" s="1"/>
  <c r="AF140" i="148" a="1"/>
  <c r="AF140" i="148" s="1"/>
  <c r="AF141" i="148" a="1"/>
  <c r="AF141" i="148" s="1"/>
  <c r="AF142" i="148" a="1"/>
  <c r="AF142" i="148" s="1"/>
  <c r="AF143" i="148" a="1"/>
  <c r="AF143" i="148" s="1"/>
  <c r="AF144" i="148" a="1"/>
  <c r="AF144" i="148" s="1"/>
  <c r="AF145" i="148" a="1"/>
  <c r="AF145" i="148" s="1"/>
  <c r="AF146" i="148" a="1"/>
  <c r="AF146" i="148" s="1"/>
  <c r="AF147" i="148" a="1"/>
  <c r="AF147" i="148" s="1"/>
  <c r="AF148" i="148" a="1"/>
  <c r="AF148" i="148" s="1"/>
  <c r="AF149" i="148" a="1"/>
  <c r="AF149" i="148" s="1"/>
  <c r="AF150" i="148" a="1"/>
  <c r="AF150" i="148" s="1"/>
  <c r="AF151" i="148" a="1"/>
  <c r="AF151" i="148" s="1"/>
  <c r="AF152" i="148" a="1"/>
  <c r="AF152" i="148" s="1"/>
  <c r="AF153" i="148" a="1"/>
  <c r="AF153" i="148" s="1"/>
  <c r="AF154" i="148" a="1"/>
  <c r="AF154" i="148" s="1"/>
  <c r="AF155" i="148" a="1"/>
  <c r="AF155" i="148" s="1"/>
  <c r="AF156" i="148" a="1"/>
  <c r="AF156" i="148" s="1"/>
  <c r="AF157" i="148" a="1"/>
  <c r="AF157" i="148" s="1"/>
  <c r="AF158" i="148" a="1"/>
  <c r="AF158" i="148" s="1"/>
  <c r="AF159" i="148" a="1"/>
  <c r="AF159" i="148" s="1"/>
  <c r="AF160" i="148" a="1"/>
  <c r="AF160" i="148" s="1"/>
  <c r="AF161" i="148" a="1"/>
  <c r="AF161" i="148" s="1"/>
  <c r="AF162" i="148" a="1"/>
  <c r="AF162" i="148"/>
  <c r="AF163" i="148" a="1"/>
  <c r="AF163" i="148" s="1"/>
  <c r="AF164" i="148" a="1"/>
  <c r="AF164" i="148" s="1"/>
  <c r="AF165" i="148" a="1"/>
  <c r="AF165" i="148" s="1"/>
  <c r="AF166" i="148" a="1"/>
  <c r="AF166" i="148" s="1"/>
  <c r="AF167" i="148" a="1"/>
  <c r="AF167" i="148" s="1"/>
  <c r="AF168" i="148" a="1"/>
  <c r="AF168" i="148" s="1"/>
  <c r="AF169" i="148" a="1"/>
  <c r="AF169" i="148" s="1"/>
  <c r="AF170" i="148" a="1"/>
  <c r="AF170" i="148"/>
  <c r="AF171" i="148" a="1"/>
  <c r="AF171" i="148" s="1"/>
  <c r="AF172" i="148" a="1"/>
  <c r="AF172" i="148" s="1"/>
  <c r="AF173" i="148" a="1"/>
  <c r="AF173" i="148" s="1"/>
  <c r="AF174" i="148" a="1"/>
  <c r="AF174" i="148" s="1"/>
  <c r="AF175" i="148" a="1"/>
  <c r="AF175" i="148" s="1"/>
  <c r="AF176" i="148" a="1"/>
  <c r="AF176" i="148" s="1"/>
  <c r="AF177" i="148" a="1"/>
  <c r="AF177" i="148" s="1"/>
  <c r="AF178" i="148" a="1"/>
  <c r="AF178" i="148" s="1"/>
  <c r="AF179" i="148" a="1"/>
  <c r="AF179" i="148" s="1"/>
  <c r="AF180" i="148" a="1"/>
  <c r="AF180" i="148" s="1"/>
  <c r="AF181" i="148" a="1"/>
  <c r="AF181" i="148" s="1"/>
  <c r="AF182" i="148" a="1"/>
  <c r="AF182" i="148" s="1"/>
  <c r="AF183" i="148" a="1"/>
  <c r="AF183" i="148" s="1"/>
  <c r="AF184" i="148" a="1"/>
  <c r="AF184" i="148" s="1"/>
  <c r="AF185" i="148" a="1"/>
  <c r="AF185" i="148" s="1"/>
  <c r="AF186" i="148" a="1"/>
  <c r="AF186" i="148" s="1"/>
  <c r="AF187" i="148" a="1"/>
  <c r="AF187" i="148" s="1"/>
  <c r="AF188" i="148" a="1"/>
  <c r="AF188" i="148" s="1"/>
  <c r="AF189" i="148" a="1"/>
  <c r="AF189" i="148" s="1"/>
  <c r="AF190" i="148" a="1"/>
  <c r="AF190" i="148" s="1"/>
  <c r="AF191" i="148" a="1"/>
  <c r="AF191" i="148" s="1"/>
  <c r="AF192" i="148" a="1"/>
  <c r="AF192" i="148" s="1"/>
  <c r="AF193" i="148" a="1"/>
  <c r="AF193" i="148" s="1"/>
  <c r="AF194" i="148" a="1"/>
  <c r="AF194" i="148"/>
  <c r="AF195" i="148" a="1"/>
  <c r="AF195" i="148" s="1"/>
  <c r="AF196" i="148" a="1"/>
  <c r="AF196" i="148" s="1"/>
  <c r="AF197" i="148" a="1"/>
  <c r="AF197" i="148" s="1"/>
  <c r="AF198" i="148" a="1"/>
  <c r="AF198" i="148" s="1"/>
  <c r="AF199" i="148" a="1"/>
  <c r="AF199" i="148" s="1"/>
  <c r="AF200" i="148" a="1"/>
  <c r="AF200" i="148" s="1"/>
  <c r="AF201" i="148" a="1"/>
  <c r="AF201" i="148" s="1"/>
  <c r="AF202" i="148" a="1"/>
  <c r="AF202" i="148" s="1"/>
  <c r="AF203" i="148" a="1"/>
  <c r="AF203" i="148" s="1"/>
  <c r="AF204" i="148" a="1"/>
  <c r="AF204" i="148" s="1"/>
  <c r="AF205" i="148" a="1"/>
  <c r="AF205" i="148" s="1"/>
  <c r="AF206" i="148" a="1"/>
  <c r="AF206" i="148" s="1"/>
  <c r="AF207" i="148" a="1"/>
  <c r="AF207" i="148" s="1"/>
  <c r="AF208" i="148" a="1"/>
  <c r="AF208" i="148" s="1"/>
  <c r="AF209" i="148" a="1"/>
  <c r="AF209" i="148" s="1"/>
  <c r="AF210" i="148" a="1"/>
  <c r="AF210" i="148" s="1"/>
  <c r="AF211" i="148" a="1"/>
  <c r="AF211" i="148" s="1"/>
  <c r="AF212" i="148" a="1"/>
  <c r="AF212" i="148" s="1"/>
  <c r="AF213" i="148" a="1"/>
  <c r="AF213" i="148" s="1"/>
  <c r="AF214" i="148" a="1"/>
  <c r="AF214" i="148" s="1"/>
  <c r="AF215" i="148" a="1"/>
  <c r="AF215" i="148" s="1"/>
  <c r="AF216" i="148" a="1"/>
  <c r="AF216" i="148" s="1"/>
  <c r="AF217" i="148" a="1"/>
  <c r="AF217" i="148" s="1"/>
  <c r="AF218" i="148" a="1"/>
  <c r="AF218" i="148" s="1"/>
  <c r="AF219" i="148" a="1"/>
  <c r="AF219" i="148" s="1"/>
  <c r="AF220" i="148" a="1"/>
  <c r="AF220" i="148" s="1"/>
  <c r="AF221" i="148" a="1"/>
  <c r="AF221" i="148" s="1"/>
  <c r="AF222" i="148" a="1"/>
  <c r="AF222" i="148" s="1"/>
  <c r="AF223" i="148" a="1"/>
  <c r="AF223" i="148" s="1"/>
  <c r="AF224" i="148" a="1"/>
  <c r="AF224" i="148" s="1"/>
  <c r="AF225" i="148" a="1"/>
  <c r="AF225" i="148" s="1"/>
  <c r="AF226" i="148" a="1"/>
  <c r="AF226" i="148"/>
  <c r="AF227" i="148" a="1"/>
  <c r="AF227" i="148" s="1"/>
  <c r="AF228" i="148" a="1"/>
  <c r="AF228" i="148" s="1"/>
  <c r="AF229" i="148" a="1"/>
  <c r="AF229" i="148" s="1"/>
  <c r="AF230" i="148" a="1"/>
  <c r="AF230" i="148" s="1"/>
  <c r="AF231" i="148" a="1"/>
  <c r="AF231" i="148" s="1"/>
  <c r="AF232" i="148" a="1"/>
  <c r="AF232" i="148" s="1"/>
  <c r="AF233" i="148" a="1"/>
  <c r="AF233" i="148" s="1"/>
  <c r="AF234" i="148" a="1"/>
  <c r="AF234" i="148" s="1"/>
  <c r="AF235" i="148" a="1"/>
  <c r="AF235" i="148" s="1"/>
  <c r="AF236" i="148" a="1"/>
  <c r="AF236" i="148" s="1"/>
  <c r="AF237" i="148" a="1"/>
  <c r="AF237" i="148" s="1"/>
  <c r="AF238" i="148" a="1"/>
  <c r="AF238" i="148" s="1"/>
  <c r="AF239" i="148" a="1"/>
  <c r="AF239" i="148" s="1"/>
  <c r="AF240" i="148" a="1"/>
  <c r="AF240" i="148" s="1"/>
  <c r="AF241" i="148" a="1"/>
  <c r="AF241" i="148" s="1"/>
  <c r="AF242" i="148" a="1"/>
  <c r="AF242" i="148"/>
  <c r="AF243" i="148" a="1"/>
  <c r="AF243" i="148" s="1"/>
  <c r="AF244" i="148" a="1"/>
  <c r="AF244" i="148" s="1"/>
  <c r="AF245" i="148" a="1"/>
  <c r="AF245" i="148" s="1"/>
  <c r="AF246" i="148" a="1"/>
  <c r="AF246" i="148" s="1"/>
  <c r="AF247" i="148" a="1"/>
  <c r="AF247" i="148" s="1"/>
  <c r="AF248" i="148" a="1"/>
  <c r="AF248" i="148" s="1"/>
  <c r="AF249" i="148" a="1"/>
  <c r="AF249" i="148" s="1"/>
  <c r="AF250" i="148" a="1"/>
  <c r="AF250" i="148" s="1"/>
  <c r="AF251" i="148" a="1"/>
  <c r="AF251" i="148" s="1"/>
  <c r="AF252" i="148" a="1"/>
  <c r="AF252" i="148" s="1"/>
  <c r="AF253" i="148" a="1"/>
  <c r="AF253" i="148" s="1"/>
  <c r="AF254" i="148" a="1"/>
  <c r="AF254" i="148" s="1"/>
  <c r="AF255" i="148" a="1"/>
  <c r="AF255" i="148" s="1"/>
  <c r="AF256" i="148" a="1"/>
  <c r="AF256" i="148" s="1"/>
  <c r="AF257" i="148" a="1"/>
  <c r="AF257" i="148" s="1"/>
  <c r="AF258" i="148" a="1"/>
  <c r="AF258" i="148" s="1"/>
  <c r="AF259" i="148" a="1"/>
  <c r="AF259" i="148" s="1"/>
  <c r="AF260" i="148" a="1"/>
  <c r="AF260" i="148" s="1"/>
  <c r="AF261" i="148" a="1"/>
  <c r="AF261" i="148" s="1"/>
  <c r="AF262" i="148" a="1"/>
  <c r="AF262" i="148"/>
  <c r="AF263" i="148" a="1"/>
  <c r="AF263" i="148" s="1"/>
  <c r="AF264" i="148" a="1"/>
  <c r="AF264" i="148" s="1"/>
  <c r="AF265" i="148" a="1"/>
  <c r="AF265" i="148" s="1"/>
  <c r="AF266" i="148" a="1"/>
  <c r="AF266" i="148" s="1"/>
  <c r="AF267" i="148" a="1"/>
  <c r="AF267" i="148" s="1"/>
  <c r="AF268" i="148" a="1"/>
  <c r="AF268" i="148" s="1"/>
  <c r="AF269" i="148" a="1"/>
  <c r="AF269" i="148" s="1"/>
  <c r="AF270" i="148" a="1"/>
  <c r="AF270" i="148" s="1"/>
  <c r="AF271" i="148" a="1"/>
  <c r="AF271" i="148" s="1"/>
  <c r="AF272" i="148" a="1"/>
  <c r="AF272" i="148" s="1"/>
  <c r="AF273" i="148" a="1"/>
  <c r="AF273" i="148" s="1"/>
  <c r="AF274" i="148" a="1"/>
  <c r="AF274" i="148"/>
  <c r="AF275" i="148" a="1"/>
  <c r="AF275" i="148" s="1"/>
  <c r="AF276" i="148" a="1"/>
  <c r="AF276" i="148" s="1"/>
  <c r="AF277" i="148" a="1"/>
  <c r="AF277" i="148" s="1"/>
  <c r="AF278" i="148" a="1"/>
  <c r="AF278" i="148" s="1"/>
  <c r="AF279" i="148" a="1"/>
  <c r="AF279" i="148" s="1"/>
  <c r="AF280" i="148" a="1"/>
  <c r="AF280" i="148" s="1"/>
  <c r="AF281" i="148" a="1"/>
  <c r="AF281" i="148" s="1"/>
  <c r="AF282" i="148" a="1"/>
  <c r="AF282" i="148" s="1"/>
  <c r="AF283" i="148" a="1"/>
  <c r="AF283" i="148" s="1"/>
  <c r="AF284" i="148" a="1"/>
  <c r="AF284" i="148" s="1"/>
  <c r="AF285" i="148" a="1"/>
  <c r="AF285" i="148" s="1"/>
  <c r="AF286" i="148" a="1"/>
  <c r="AF286" i="148" s="1"/>
  <c r="AF287" i="148" a="1"/>
  <c r="AF287" i="148" s="1"/>
  <c r="AF288" i="148" a="1"/>
  <c r="AF288" i="148" s="1"/>
  <c r="AF289" i="148" a="1"/>
  <c r="AF289" i="148" s="1"/>
  <c r="AF290" i="148" a="1"/>
  <c r="AF290" i="148"/>
  <c r="AF291" i="148" a="1"/>
  <c r="AF291" i="148" s="1"/>
  <c r="AF292" i="148" a="1"/>
  <c r="AF292" i="148" s="1"/>
  <c r="AF293" i="148" a="1"/>
  <c r="AF293" i="148" s="1"/>
  <c r="AF294" i="148" a="1"/>
  <c r="AF294" i="148" s="1"/>
  <c r="AF295" i="148" a="1"/>
  <c r="AF295" i="148" s="1"/>
  <c r="AF296" i="148" a="1"/>
  <c r="AF296" i="148" s="1"/>
  <c r="AF297" i="148" a="1"/>
  <c r="AF297" i="148" s="1"/>
  <c r="AF298" i="148" a="1"/>
  <c r="AF298" i="148" s="1"/>
  <c r="AF299" i="148" a="1"/>
  <c r="AF299" i="148" s="1"/>
  <c r="AF300" i="148" a="1"/>
  <c r="AF300" i="148" s="1"/>
  <c r="AF301" i="148" a="1"/>
  <c r="AF301" i="148" s="1"/>
  <c r="AF302" i="148" a="1"/>
  <c r="AF302" i="148" s="1"/>
  <c r="AF303" i="148" a="1"/>
  <c r="AF303" i="148" s="1"/>
  <c r="AF304" i="148" a="1"/>
  <c r="AF304" i="148" s="1"/>
  <c r="AF305" i="148" a="1"/>
  <c r="AF305" i="148" s="1"/>
  <c r="AF306" i="148" a="1"/>
  <c r="AF306" i="148" s="1"/>
  <c r="AF307" i="148" a="1"/>
  <c r="AF307" i="148" s="1"/>
  <c r="AF308" i="148" a="1"/>
  <c r="AF308" i="148" s="1"/>
  <c r="AF309" i="148" a="1"/>
  <c r="AF309" i="148" s="1"/>
  <c r="AF310" i="148" a="1"/>
  <c r="AF310" i="148" s="1"/>
  <c r="AF311" i="148" a="1"/>
  <c r="AF311" i="148" s="1"/>
  <c r="AF312" i="148" a="1"/>
  <c r="AF312" i="148" s="1"/>
  <c r="AF313" i="148" a="1"/>
  <c r="AF313" i="148" s="1"/>
  <c r="AF314" i="148" a="1"/>
  <c r="AF314" i="148" s="1"/>
  <c r="AF315" i="148" a="1"/>
  <c r="AF315" i="148" s="1"/>
  <c r="AF316" i="148" a="1"/>
  <c r="AF316" i="148" s="1"/>
  <c r="AF317" i="148" a="1"/>
  <c r="AF317" i="148" s="1"/>
  <c r="AF6" i="148" a="1"/>
  <c r="AF6" i="148" s="1"/>
  <c r="AD272" i="148"/>
  <c r="AD273" i="148"/>
  <c r="AD274" i="148"/>
  <c r="AD275" i="148"/>
  <c r="AD276" i="148"/>
  <c r="AD277" i="148"/>
  <c r="AD278" i="148"/>
  <c r="AD279" i="148"/>
  <c r="AD280" i="148"/>
  <c r="AD281" i="148"/>
  <c r="AD282" i="148"/>
  <c r="AD283" i="148"/>
  <c r="AD271" i="148"/>
  <c r="AD268" i="148"/>
  <c r="AD269" i="148"/>
  <c r="AD270" i="148"/>
  <c r="AD254" i="148"/>
  <c r="AD255" i="148"/>
  <c r="AD256" i="148"/>
  <c r="AD257" i="148"/>
  <c r="AD258" i="148"/>
  <c r="AD259" i="148"/>
  <c r="AD260" i="148"/>
  <c r="AD261" i="148"/>
  <c r="AD262" i="148"/>
  <c r="AD263" i="148"/>
  <c r="AD264" i="148"/>
  <c r="AD265" i="148"/>
  <c r="AD266" i="148"/>
  <c r="AD267" i="148"/>
  <c r="AD252" i="148"/>
  <c r="AD253" i="148"/>
  <c r="AD250" i="148"/>
  <c r="AD251" i="148"/>
  <c r="AD235" i="148"/>
  <c r="AD236" i="148"/>
  <c r="AD237" i="148"/>
  <c r="AD238" i="148"/>
  <c r="AD239" i="148"/>
  <c r="AD240" i="148"/>
  <c r="AD241" i="148"/>
  <c r="AD242" i="148"/>
  <c r="AD243" i="148"/>
  <c r="AD244" i="148"/>
  <c r="AD245" i="148"/>
  <c r="AD246" i="148"/>
  <c r="AD247" i="148"/>
  <c r="AD248" i="148"/>
  <c r="AD249" i="148"/>
  <c r="AD231" i="148"/>
  <c r="AD232" i="148"/>
  <c r="AD233" i="148"/>
  <c r="AD234" i="148"/>
  <c r="AD230" i="148"/>
  <c r="AD227" i="148"/>
  <c r="AD228" i="148"/>
  <c r="AD229" i="148"/>
  <c r="AD225" i="148"/>
  <c r="AD226" i="148"/>
  <c r="AD221" i="148"/>
  <c r="AD222" i="148"/>
  <c r="AD223" i="148"/>
  <c r="AD224" i="148"/>
  <c r="AD218" i="148"/>
  <c r="AD219" i="148"/>
  <c r="AD220" i="148"/>
  <c r="AD217" i="148"/>
  <c r="AD216" i="148"/>
  <c r="AD210" i="148"/>
  <c r="AD211" i="148"/>
  <c r="AD212" i="148"/>
  <c r="AD213" i="148"/>
  <c r="AD214" i="148"/>
  <c r="AD215" i="148"/>
  <c r="AD207" i="148"/>
  <c r="AD208" i="148"/>
  <c r="AD209" i="148"/>
  <c r="AD206" i="148"/>
  <c r="AD204" i="148"/>
  <c r="AD205" i="148"/>
  <c r="AD199" i="148"/>
  <c r="AD200" i="148"/>
  <c r="AD201" i="148"/>
  <c r="AD202" i="148"/>
  <c r="AD203" i="148"/>
  <c r="AD198" i="148"/>
  <c r="AD197" i="148"/>
  <c r="AD195" i="148"/>
  <c r="AD196" i="148"/>
  <c r="AD188" i="148"/>
  <c r="AD189" i="148"/>
  <c r="AD190" i="148"/>
  <c r="AD191" i="148"/>
  <c r="AD192" i="148"/>
  <c r="AD193" i="148"/>
  <c r="AD194" i="148"/>
  <c r="AD184" i="148"/>
  <c r="AD185" i="148"/>
  <c r="AD186" i="148"/>
  <c r="AD187" i="148"/>
  <c r="AD157" i="148"/>
  <c r="AD158" i="148"/>
  <c r="AD159" i="148"/>
  <c r="AD160" i="148"/>
  <c r="AD161" i="148"/>
  <c r="AD162" i="148"/>
  <c r="AD163" i="148"/>
  <c r="AD164" i="148"/>
  <c r="AD165" i="148"/>
  <c r="AD166" i="148"/>
  <c r="AD167" i="148"/>
  <c r="AD168" i="148"/>
  <c r="AD169" i="148"/>
  <c r="AD170" i="148"/>
  <c r="AD171" i="148"/>
  <c r="AD172" i="148"/>
  <c r="AD173" i="148"/>
  <c r="AD174" i="148"/>
  <c r="AD175" i="148"/>
  <c r="AD176" i="148"/>
  <c r="AD177" i="148"/>
  <c r="AD178" i="148"/>
  <c r="AD179" i="148"/>
  <c r="AD180" i="148"/>
  <c r="AD181" i="148"/>
  <c r="AD182" i="148"/>
  <c r="AD183" i="148"/>
  <c r="AD155" i="148"/>
  <c r="AD156" i="148"/>
  <c r="AD149" i="148"/>
  <c r="AD150" i="148"/>
  <c r="AD151" i="148"/>
  <c r="AD152" i="148"/>
  <c r="AD153" i="148"/>
  <c r="AD154" i="148"/>
  <c r="AD148" i="148"/>
  <c r="AD143" i="148"/>
  <c r="AD144" i="148"/>
  <c r="AD145" i="148"/>
  <c r="AD146" i="148"/>
  <c r="AD147" i="148"/>
  <c r="AD142" i="148"/>
  <c r="AD140" i="148"/>
  <c r="AD141" i="148"/>
  <c r="AD139" i="148"/>
  <c r="AD138" i="148"/>
  <c r="AD137" i="148"/>
  <c r="AD125" i="148"/>
  <c r="AD126" i="148"/>
  <c r="AD127" i="148"/>
  <c r="AD128" i="148"/>
  <c r="AD129" i="148"/>
  <c r="AD130" i="148"/>
  <c r="AD131" i="148"/>
  <c r="AD132" i="148"/>
  <c r="AD133" i="148"/>
  <c r="AD134" i="148"/>
  <c r="AD135" i="148"/>
  <c r="AD136" i="148"/>
  <c r="AD121" i="148"/>
  <c r="AD122" i="148"/>
  <c r="AD123" i="148"/>
  <c r="AD124" i="148"/>
  <c r="AD99" i="148"/>
  <c r="AD100" i="148"/>
  <c r="AD101" i="148"/>
  <c r="AD102" i="148"/>
  <c r="AD103" i="148"/>
  <c r="AD104" i="148"/>
  <c r="AD105" i="148"/>
  <c r="AD106" i="148"/>
  <c r="AD107" i="148"/>
  <c r="AD108" i="148"/>
  <c r="AD109" i="148"/>
  <c r="AD110" i="148"/>
  <c r="AD111" i="148"/>
  <c r="AD112" i="148"/>
  <c r="AD113" i="148"/>
  <c r="AD114" i="148"/>
  <c r="AD115" i="148"/>
  <c r="AD116" i="148"/>
  <c r="AD117" i="148"/>
  <c r="AD118" i="148"/>
  <c r="AD119" i="148"/>
  <c r="AD120" i="148"/>
  <c r="AD95" i="148"/>
  <c r="AD96" i="148"/>
  <c r="AD97" i="148"/>
  <c r="AD98" i="148"/>
  <c r="AD88" i="148"/>
  <c r="AD89" i="148"/>
  <c r="AD90" i="148"/>
  <c r="AD91" i="148"/>
  <c r="AD92" i="148"/>
  <c r="AD93" i="148"/>
  <c r="AD94" i="148"/>
  <c r="AD87" i="148"/>
  <c r="AD86" i="148"/>
  <c r="AD84" i="148"/>
  <c r="AD85" i="148"/>
  <c r="AD83" i="148"/>
  <c r="AD82" i="148"/>
  <c r="AD69" i="148"/>
  <c r="AD70" i="148"/>
  <c r="AD71" i="148"/>
  <c r="AD72" i="148"/>
  <c r="AD73" i="148"/>
  <c r="AD74" i="148"/>
  <c r="AD75" i="148"/>
  <c r="AD76" i="148"/>
  <c r="AD77" i="148"/>
  <c r="AD78" i="148"/>
  <c r="AD79" i="148"/>
  <c r="AD80" i="148"/>
  <c r="AD81" i="148"/>
  <c r="AD68" i="148"/>
  <c r="AD66" i="148"/>
  <c r="AD67" i="148"/>
  <c r="AD65" i="148"/>
  <c r="AD64" i="148"/>
  <c r="AD63" i="148"/>
  <c r="AD61" i="148"/>
  <c r="AD62" i="148"/>
  <c r="AD60" i="148"/>
  <c r="AD49" i="148"/>
  <c r="AD50" i="148"/>
  <c r="AD51" i="148"/>
  <c r="AD52" i="148"/>
  <c r="AD53" i="148"/>
  <c r="AD54" i="148"/>
  <c r="AD55" i="148"/>
  <c r="AD56" i="148"/>
  <c r="AD57" i="148"/>
  <c r="AD58" i="148"/>
  <c r="AD59" i="148"/>
  <c r="AD47" i="148"/>
  <c r="AD48" i="148"/>
  <c r="AD30" i="148"/>
  <c r="AD31" i="148"/>
  <c r="AD32" i="148"/>
  <c r="AD33" i="148"/>
  <c r="AD34" i="148"/>
  <c r="AD35" i="148"/>
  <c r="AD36" i="148"/>
  <c r="AD37" i="148"/>
  <c r="AD38" i="148"/>
  <c r="AD39" i="148"/>
  <c r="AD40" i="148"/>
  <c r="AD41" i="148"/>
  <c r="AD42" i="148"/>
  <c r="AD43" i="148"/>
  <c r="AD44" i="148"/>
  <c r="AD45" i="148"/>
  <c r="AD46" i="148"/>
  <c r="AD29" i="148"/>
  <c r="AD23" i="148"/>
  <c r="AD24" i="148"/>
  <c r="AD25" i="148"/>
  <c r="AD26" i="148"/>
  <c r="AD27" i="148"/>
  <c r="AD28" i="148"/>
  <c r="AD17" i="148"/>
  <c r="AD18" i="148"/>
  <c r="AD19" i="148"/>
  <c r="AD20" i="148"/>
  <c r="AD21" i="148"/>
  <c r="AD22" i="148"/>
  <c r="AD14" i="148"/>
  <c r="AD15" i="148"/>
  <c r="AD16" i="148"/>
  <c r="AD7" i="148"/>
  <c r="AD8" i="148"/>
  <c r="AD9" i="148"/>
  <c r="AD10" i="148"/>
  <c r="AD11" i="148"/>
  <c r="AD12" i="148"/>
  <c r="AD13" i="148"/>
  <c r="AD6" i="148"/>
  <c r="AB272" i="148"/>
  <c r="AB273" i="148"/>
  <c r="AB274" i="148"/>
  <c r="AB275" i="148"/>
  <c r="AB276" i="148"/>
  <c r="AB277" i="148"/>
  <c r="AB278" i="148"/>
  <c r="AB279" i="148"/>
  <c r="AB280" i="148"/>
  <c r="AB281" i="148"/>
  <c r="AB282" i="148"/>
  <c r="AB283" i="148"/>
  <c r="AB284" i="148"/>
  <c r="AB285" i="148"/>
  <c r="AB286" i="148"/>
  <c r="AB287" i="148"/>
  <c r="AB288" i="148"/>
  <c r="AB289" i="148"/>
  <c r="AB290" i="148"/>
  <c r="AB291" i="148"/>
  <c r="AB292" i="148"/>
  <c r="AB293" i="148"/>
  <c r="AB294" i="148"/>
  <c r="AB295" i="148"/>
  <c r="AB296" i="148"/>
  <c r="AB297" i="148"/>
  <c r="AB298" i="148"/>
  <c r="AB299" i="148"/>
  <c r="AB300" i="148"/>
  <c r="AB301" i="148"/>
  <c r="AB302" i="148"/>
  <c r="AB303" i="148"/>
  <c r="AB304" i="148"/>
  <c r="AB305" i="148"/>
  <c r="AB306" i="148"/>
  <c r="AB307" i="148"/>
  <c r="AB308" i="148"/>
  <c r="AB309" i="148"/>
  <c r="AB310" i="148"/>
  <c r="AB311" i="148"/>
  <c r="AB312" i="148"/>
  <c r="AB313" i="148"/>
  <c r="AB314" i="148"/>
  <c r="AB315" i="148"/>
  <c r="AB316" i="148"/>
  <c r="AB317" i="148"/>
  <c r="AB271" i="148"/>
  <c r="AB268" i="148"/>
  <c r="AB269" i="148"/>
  <c r="AB270" i="148"/>
  <c r="AB254" i="148"/>
  <c r="AB255" i="148"/>
  <c r="AB256" i="148"/>
  <c r="AB257" i="148"/>
  <c r="AB258" i="148"/>
  <c r="AB259" i="148"/>
  <c r="AB260" i="148"/>
  <c r="AB261" i="148"/>
  <c r="AB262" i="148"/>
  <c r="AB263" i="148"/>
  <c r="AB264" i="148"/>
  <c r="AB265" i="148"/>
  <c r="AB266" i="148"/>
  <c r="AB267" i="148"/>
  <c r="AB250" i="148"/>
  <c r="AB251" i="148"/>
  <c r="AB252" i="148"/>
  <c r="AB253" i="148"/>
  <c r="AB240" i="148"/>
  <c r="AB241" i="148"/>
  <c r="AB242" i="148"/>
  <c r="AB243" i="148"/>
  <c r="AB244" i="148"/>
  <c r="AB245" i="148"/>
  <c r="AB246" i="148"/>
  <c r="AB247" i="148"/>
  <c r="AB248" i="148"/>
  <c r="AB249" i="148"/>
  <c r="AB235" i="148"/>
  <c r="AB236" i="148"/>
  <c r="AB237" i="148"/>
  <c r="AB238" i="148"/>
  <c r="AB239" i="148"/>
  <c r="AB231" i="148"/>
  <c r="AB232" i="148"/>
  <c r="AB233" i="148"/>
  <c r="AB234" i="148"/>
  <c r="AB230" i="148"/>
  <c r="AB227" i="148"/>
  <c r="AB228" i="148"/>
  <c r="AB229" i="148"/>
  <c r="AB225" i="148"/>
  <c r="AB226" i="148"/>
  <c r="AB221" i="148"/>
  <c r="AB222" i="148"/>
  <c r="AB223" i="148"/>
  <c r="AB224" i="148"/>
  <c r="AB218" i="148"/>
  <c r="AB219" i="148"/>
  <c r="AB220" i="148"/>
  <c r="AB217" i="148"/>
  <c r="AB215" i="148"/>
  <c r="AB216" i="148"/>
  <c r="AB209" i="148"/>
  <c r="AB210" i="148"/>
  <c r="AB211" i="148"/>
  <c r="AB212" i="148"/>
  <c r="AB213" i="148"/>
  <c r="AB214" i="148"/>
  <c r="AB206" i="148"/>
  <c r="AB207" i="148"/>
  <c r="AB208" i="148"/>
  <c r="AB204" i="148"/>
  <c r="AB205" i="148"/>
  <c r="AB201" i="148"/>
  <c r="AB202" i="148"/>
  <c r="AB203" i="148"/>
  <c r="AB199" i="148"/>
  <c r="AB200" i="148"/>
  <c r="AB198" i="148"/>
  <c r="AB197" i="148"/>
  <c r="AB195" i="148"/>
  <c r="AB196" i="148"/>
  <c r="AB193" i="148"/>
  <c r="AB194" i="148"/>
  <c r="AB192" i="148"/>
  <c r="AB188" i="148"/>
  <c r="AB189" i="148"/>
  <c r="AB190" i="148"/>
  <c r="AB191" i="148"/>
  <c r="AB184" i="148"/>
  <c r="AB185" i="148"/>
  <c r="AB186" i="148"/>
  <c r="AB187" i="148"/>
  <c r="AB157" i="148"/>
  <c r="AB158" i="148"/>
  <c r="AB159" i="148"/>
  <c r="AB160" i="148"/>
  <c r="AB161" i="148"/>
  <c r="AB162" i="148"/>
  <c r="AB163" i="148"/>
  <c r="AB164" i="148"/>
  <c r="AB165" i="148"/>
  <c r="AB166" i="148"/>
  <c r="AB167" i="148"/>
  <c r="AB168" i="148"/>
  <c r="AB169" i="148"/>
  <c r="AB170" i="148"/>
  <c r="AB171" i="148"/>
  <c r="AB172" i="148"/>
  <c r="AB173" i="148"/>
  <c r="AB174" i="148"/>
  <c r="AB175" i="148"/>
  <c r="AB176" i="148"/>
  <c r="AB177" i="148"/>
  <c r="AB178" i="148"/>
  <c r="AB179" i="148"/>
  <c r="AB180" i="148"/>
  <c r="AB181" i="148"/>
  <c r="AB182" i="148"/>
  <c r="AB183" i="148"/>
  <c r="AB155" i="148"/>
  <c r="AB156" i="148"/>
  <c r="AB149" i="148"/>
  <c r="AB150" i="148"/>
  <c r="AB151" i="148"/>
  <c r="AB152" i="148"/>
  <c r="AB153" i="148"/>
  <c r="AB154" i="148"/>
  <c r="AB148" i="148"/>
  <c r="AB143" i="148"/>
  <c r="AB144" i="148"/>
  <c r="AB145" i="148"/>
  <c r="AB146" i="148"/>
  <c r="AB147" i="148"/>
  <c r="AB142" i="148"/>
  <c r="AB140" i="148"/>
  <c r="AB141" i="148"/>
  <c r="AB139" i="148"/>
  <c r="AB138" i="148"/>
  <c r="AB137" i="148"/>
  <c r="AB125" i="148"/>
  <c r="AB126" i="148"/>
  <c r="AB127" i="148"/>
  <c r="AB128" i="148"/>
  <c r="AB129" i="148"/>
  <c r="AB130" i="148"/>
  <c r="AB131" i="148"/>
  <c r="AB132" i="148"/>
  <c r="AB133" i="148"/>
  <c r="AB134" i="148"/>
  <c r="AB135" i="148"/>
  <c r="AB136" i="148"/>
  <c r="AB121" i="148"/>
  <c r="AB122" i="148"/>
  <c r="AB123" i="148"/>
  <c r="AB124" i="148"/>
  <c r="AB99" i="148"/>
  <c r="AB100" i="148"/>
  <c r="AB101" i="148"/>
  <c r="AB102" i="148"/>
  <c r="AB103" i="148"/>
  <c r="AB104" i="148"/>
  <c r="AB105" i="148"/>
  <c r="AB106" i="148"/>
  <c r="AB107" i="148"/>
  <c r="AB108" i="148"/>
  <c r="AB109" i="148"/>
  <c r="AB110" i="148"/>
  <c r="AB111" i="148"/>
  <c r="AB112" i="148"/>
  <c r="AB113" i="148"/>
  <c r="AB114" i="148"/>
  <c r="AB115" i="148"/>
  <c r="AB116" i="148"/>
  <c r="AB117" i="148"/>
  <c r="AB118" i="148"/>
  <c r="AB119" i="148"/>
  <c r="AB120" i="148"/>
  <c r="AB98" i="148"/>
  <c r="AB97" i="148"/>
  <c r="AB95" i="148"/>
  <c r="AB96" i="148"/>
  <c r="AB88" i="148"/>
  <c r="AB89" i="148"/>
  <c r="AB90" i="148"/>
  <c r="AB91" i="148"/>
  <c r="AB92" i="148"/>
  <c r="AB93" i="148"/>
  <c r="AB94" i="148"/>
  <c r="AB87" i="148"/>
  <c r="AB86" i="148"/>
  <c r="AB84" i="148"/>
  <c r="AB85" i="148"/>
  <c r="AB83" i="148"/>
  <c r="AB82" i="148"/>
  <c r="AB69" i="148"/>
  <c r="AB70" i="148"/>
  <c r="AB71" i="148"/>
  <c r="AB72" i="148"/>
  <c r="AB73" i="148"/>
  <c r="AB74" i="148"/>
  <c r="AB75" i="148"/>
  <c r="AB76" i="148"/>
  <c r="AB77" i="148"/>
  <c r="AB78" i="148"/>
  <c r="AB79" i="148"/>
  <c r="AB80" i="148"/>
  <c r="AB81" i="148"/>
  <c r="AB68" i="148"/>
  <c r="AB64" i="148"/>
  <c r="AB65" i="148"/>
  <c r="AB66" i="148"/>
  <c r="AB67" i="148"/>
  <c r="AB63" i="148"/>
  <c r="AB61" i="148"/>
  <c r="AB62" i="148"/>
  <c r="AB60" i="148"/>
  <c r="AB49" i="148"/>
  <c r="AB50" i="148"/>
  <c r="AB51" i="148"/>
  <c r="AB52" i="148"/>
  <c r="AB53" i="148"/>
  <c r="AB54" i="148"/>
  <c r="AB55" i="148"/>
  <c r="AB56" i="148"/>
  <c r="AB57" i="148"/>
  <c r="AB58" i="148"/>
  <c r="AB59" i="148"/>
  <c r="AB47" i="148"/>
  <c r="AB48" i="148"/>
  <c r="AB32" i="148"/>
  <c r="AB33" i="148"/>
  <c r="AB34" i="148"/>
  <c r="AB35" i="148"/>
  <c r="AB36" i="148"/>
  <c r="AB37" i="148"/>
  <c r="AB38" i="148"/>
  <c r="AB39" i="148"/>
  <c r="AB40" i="148"/>
  <c r="AB41" i="148"/>
  <c r="AB42" i="148"/>
  <c r="AB43" i="148"/>
  <c r="AB44" i="148"/>
  <c r="AB45" i="148"/>
  <c r="AB46" i="148"/>
  <c r="AB31" i="148"/>
  <c r="AB30" i="148"/>
  <c r="AB29" i="148"/>
  <c r="AB24" i="148"/>
  <c r="AB25" i="148"/>
  <c r="AB26" i="148"/>
  <c r="AB27" i="148"/>
  <c r="AB28" i="148"/>
  <c r="AB23" i="148"/>
  <c r="AB17" i="148"/>
  <c r="AB18" i="148"/>
  <c r="AB19" i="148"/>
  <c r="AB20" i="148"/>
  <c r="AB21" i="148"/>
  <c r="AB22" i="148"/>
  <c r="AB14" i="148"/>
  <c r="AB15" i="148"/>
  <c r="AB16" i="148"/>
  <c r="AB8" i="148"/>
  <c r="AB9" i="148"/>
  <c r="AB10" i="148"/>
  <c r="AB11" i="148"/>
  <c r="AB12" i="148"/>
  <c r="AB13" i="148"/>
  <c r="AB7" i="148"/>
  <c r="AB6" i="148"/>
  <c r="Y252" i="148"/>
  <c r="Y253" i="148"/>
  <c r="Y254" i="148"/>
  <c r="Y255" i="148"/>
  <c r="Y256" i="148"/>
  <c r="Y257" i="148"/>
  <c r="Y258" i="148"/>
  <c r="Y259" i="148"/>
  <c r="Y260" i="148"/>
  <c r="Y261" i="148"/>
  <c r="Y262" i="148"/>
  <c r="Y263" i="148"/>
  <c r="Y264" i="148"/>
  <c r="Y265" i="148"/>
  <c r="Y266" i="148"/>
  <c r="Y267" i="148"/>
  <c r="Y268" i="148"/>
  <c r="Y269" i="148"/>
  <c r="Y270" i="148"/>
  <c r="Y271" i="148"/>
  <c r="Y272" i="148"/>
  <c r="Y273" i="148"/>
  <c r="Y274" i="148"/>
  <c r="Y275" i="148"/>
  <c r="Y276" i="148"/>
  <c r="Y277" i="148"/>
  <c r="Y278" i="148"/>
  <c r="Y279" i="148"/>
  <c r="Y280" i="148"/>
  <c r="Y281" i="148"/>
  <c r="Y282" i="148"/>
  <c r="Y283" i="148"/>
  <c r="Y250" i="148"/>
  <c r="Y251" i="148"/>
  <c r="Y240" i="148"/>
  <c r="Y241" i="148"/>
  <c r="Y242" i="148"/>
  <c r="Y243" i="148"/>
  <c r="Y244" i="148"/>
  <c r="Y245" i="148"/>
  <c r="Y246" i="148"/>
  <c r="Y247" i="148"/>
  <c r="Y248" i="148"/>
  <c r="Y249" i="148"/>
  <c r="Y235" i="148"/>
  <c r="Y236" i="148"/>
  <c r="Y237" i="148"/>
  <c r="Y238" i="148"/>
  <c r="Y239" i="148"/>
  <c r="Y231" i="148"/>
  <c r="Y232" i="148"/>
  <c r="Y233" i="148"/>
  <c r="Y234" i="148"/>
  <c r="Y230" i="148"/>
  <c r="Y227" i="148"/>
  <c r="Y228" i="148"/>
  <c r="Y229" i="148"/>
  <c r="Y225" i="148"/>
  <c r="Y226" i="148"/>
  <c r="Y221" i="148"/>
  <c r="Y222" i="148"/>
  <c r="Y223" i="148"/>
  <c r="Y224" i="148"/>
  <c r="Y218" i="148"/>
  <c r="Y219" i="148"/>
  <c r="Y220" i="148"/>
  <c r="Y217" i="148"/>
  <c r="Y216" i="148"/>
  <c r="Y209" i="148"/>
  <c r="Y210" i="148"/>
  <c r="Y211" i="148"/>
  <c r="Y212" i="148"/>
  <c r="Y213" i="148"/>
  <c r="Y214" i="148"/>
  <c r="Y215" i="148"/>
  <c r="Y207" i="148"/>
  <c r="Y208" i="148"/>
  <c r="Y199" i="148"/>
  <c r="Y200" i="148"/>
  <c r="Y201" i="148"/>
  <c r="Y202" i="148"/>
  <c r="Y203" i="148"/>
  <c r="Y204" i="148"/>
  <c r="Y205" i="148"/>
  <c r="Y206" i="148"/>
  <c r="Y198" i="148"/>
  <c r="Y197" i="148"/>
  <c r="Y195" i="148"/>
  <c r="Y196" i="148"/>
  <c r="Y188" i="148"/>
  <c r="Y189" i="148"/>
  <c r="Y190" i="148"/>
  <c r="Y191" i="148"/>
  <c r="Y192" i="148"/>
  <c r="Y193" i="148"/>
  <c r="Y194" i="148"/>
  <c r="Y184" i="148"/>
  <c r="Y185" i="148"/>
  <c r="Y186" i="148"/>
  <c r="Y187" i="148"/>
  <c r="Y157" i="148"/>
  <c r="Y158" i="148"/>
  <c r="Y159" i="148"/>
  <c r="Y160" i="148"/>
  <c r="Y161" i="148"/>
  <c r="Y162" i="148"/>
  <c r="Y163" i="148"/>
  <c r="Y164" i="148"/>
  <c r="Y165" i="148"/>
  <c r="Y166" i="148"/>
  <c r="Y167" i="148"/>
  <c r="Y168" i="148"/>
  <c r="Y169" i="148"/>
  <c r="Y170" i="148"/>
  <c r="Y171" i="148"/>
  <c r="Y172" i="148"/>
  <c r="Y173" i="148"/>
  <c r="Y174" i="148"/>
  <c r="Y175" i="148"/>
  <c r="Y176" i="148"/>
  <c r="Y177" i="148"/>
  <c r="Y178" i="148"/>
  <c r="Y179" i="148"/>
  <c r="Y180" i="148"/>
  <c r="Y181" i="148"/>
  <c r="Y182" i="148"/>
  <c r="Y183" i="148"/>
  <c r="Y155" i="148"/>
  <c r="Y156" i="148"/>
  <c r="Y149" i="148"/>
  <c r="Y150" i="148"/>
  <c r="Y151" i="148"/>
  <c r="Y152" i="148"/>
  <c r="Y153" i="148"/>
  <c r="Y154" i="148"/>
  <c r="Y148" i="148"/>
  <c r="Y143" i="148"/>
  <c r="Y144" i="148"/>
  <c r="Y145" i="148"/>
  <c r="Y146" i="148"/>
  <c r="Y147" i="148"/>
  <c r="Y142" i="148"/>
  <c r="Y140" i="148"/>
  <c r="Y141" i="148"/>
  <c r="Y139" i="148"/>
  <c r="Y138" i="148"/>
  <c r="Y137" i="148"/>
  <c r="Y125" i="148"/>
  <c r="Y126" i="148"/>
  <c r="Y127" i="148"/>
  <c r="Y128" i="148"/>
  <c r="Y129" i="148"/>
  <c r="Y130" i="148"/>
  <c r="Y131" i="148"/>
  <c r="Y132" i="148"/>
  <c r="Y133" i="148"/>
  <c r="Y134" i="148"/>
  <c r="Y135" i="148"/>
  <c r="Y136" i="148"/>
  <c r="Y121" i="148"/>
  <c r="Y122" i="148"/>
  <c r="Y123" i="148"/>
  <c r="Y124" i="148"/>
  <c r="Y99" i="148"/>
  <c r="Y100" i="148"/>
  <c r="Y101" i="148"/>
  <c r="Y102" i="148"/>
  <c r="Y103" i="148"/>
  <c r="Y104" i="148"/>
  <c r="Y105" i="148"/>
  <c r="Y106" i="148"/>
  <c r="Y107" i="148"/>
  <c r="Y108" i="148"/>
  <c r="Y109" i="148"/>
  <c r="Y110" i="148"/>
  <c r="Y111" i="148"/>
  <c r="Y112" i="148"/>
  <c r="Y113" i="148"/>
  <c r="Y114" i="148"/>
  <c r="Y115" i="148"/>
  <c r="Y116" i="148"/>
  <c r="Y117" i="148"/>
  <c r="Y118" i="148"/>
  <c r="Y119" i="148"/>
  <c r="Y120" i="148"/>
  <c r="Y98" i="148"/>
  <c r="Y97" i="148"/>
  <c r="Y95" i="148"/>
  <c r="Y96" i="148"/>
  <c r="Y88" i="148"/>
  <c r="Y89" i="148"/>
  <c r="Y90" i="148"/>
  <c r="Y91" i="148"/>
  <c r="Y92" i="148"/>
  <c r="Y93" i="148"/>
  <c r="Y94" i="148"/>
  <c r="Y87" i="148"/>
  <c r="Y86" i="148"/>
  <c r="Y84" i="148"/>
  <c r="Y85" i="148"/>
  <c r="Y83" i="148"/>
  <c r="Y82" i="148"/>
  <c r="Y69" i="148"/>
  <c r="Y70" i="148"/>
  <c r="Y71" i="148"/>
  <c r="Y72" i="148"/>
  <c r="Y73" i="148"/>
  <c r="Y74" i="148"/>
  <c r="Y75" i="148"/>
  <c r="Y76" i="148"/>
  <c r="Y77" i="148"/>
  <c r="Y78" i="148"/>
  <c r="Y79" i="148"/>
  <c r="Y80" i="148"/>
  <c r="Y81" i="148"/>
  <c r="Y68" i="148"/>
  <c r="Y64" i="148"/>
  <c r="Y65" i="148"/>
  <c r="Y66" i="148"/>
  <c r="Y67" i="148"/>
  <c r="Y63" i="148"/>
  <c r="Y61" i="148"/>
  <c r="Y62" i="148"/>
  <c r="Y60" i="148"/>
  <c r="Y49" i="148"/>
  <c r="Y50" i="148"/>
  <c r="Y51" i="148"/>
  <c r="Y52" i="148"/>
  <c r="Y53" i="148"/>
  <c r="Y54" i="148"/>
  <c r="Y55" i="148"/>
  <c r="Y56" i="148"/>
  <c r="Y57" i="148"/>
  <c r="Y58" i="148"/>
  <c r="Y59" i="148"/>
  <c r="Y47" i="148"/>
  <c r="Y48" i="148"/>
  <c r="Y30" i="148"/>
  <c r="Y31" i="148"/>
  <c r="Y32" i="148"/>
  <c r="Y33" i="148"/>
  <c r="Y34" i="148"/>
  <c r="Y35" i="148"/>
  <c r="Y36" i="148"/>
  <c r="Y37" i="148"/>
  <c r="Y38" i="148"/>
  <c r="Y39" i="148"/>
  <c r="Y40" i="148"/>
  <c r="Y41" i="148"/>
  <c r="Y42" i="148"/>
  <c r="Y43" i="148"/>
  <c r="Y44" i="148"/>
  <c r="Y45" i="148"/>
  <c r="Y46" i="148"/>
  <c r="Y29" i="148"/>
  <c r="Y24" i="148"/>
  <c r="Y25" i="148"/>
  <c r="Y26" i="148"/>
  <c r="Y27" i="148"/>
  <c r="Y28" i="148"/>
  <c r="Y23" i="148"/>
  <c r="Y17" i="148"/>
  <c r="Y18" i="148"/>
  <c r="Y19" i="148"/>
  <c r="Y20" i="148"/>
  <c r="Y21" i="148"/>
  <c r="Y22" i="148"/>
  <c r="Y14" i="148"/>
  <c r="Y15" i="148"/>
  <c r="Y16" i="148"/>
  <c r="Y7" i="148"/>
  <c r="Y8" i="148"/>
  <c r="Y9" i="148"/>
  <c r="Y10" i="148"/>
  <c r="Y11" i="148"/>
  <c r="Y12" i="148"/>
  <c r="Y13" i="148"/>
  <c r="Y6" i="148"/>
  <c r="X7" i="148" a="1"/>
  <c r="X7" i="148" s="1"/>
  <c r="X8" i="148" a="1"/>
  <c r="X8" i="148" s="1"/>
  <c r="X9" i="148" a="1"/>
  <c r="X9" i="148" s="1"/>
  <c r="X10" i="148" a="1"/>
  <c r="X10" i="148"/>
  <c r="X11" i="148" a="1"/>
  <c r="X11" i="148" s="1"/>
  <c r="X12" i="148" a="1"/>
  <c r="X12" i="148" s="1"/>
  <c r="X13" i="148" a="1"/>
  <c r="X13" i="148" s="1"/>
  <c r="X14" i="148" a="1"/>
  <c r="X14" i="148" s="1"/>
  <c r="X15" i="148" a="1"/>
  <c r="X15" i="148" s="1"/>
  <c r="X16" i="148" a="1"/>
  <c r="X16" i="148" s="1"/>
  <c r="X17" i="148" a="1"/>
  <c r="X17" i="148" s="1"/>
  <c r="X18" i="148" a="1"/>
  <c r="X18" i="148" s="1"/>
  <c r="X19" i="148" a="1"/>
  <c r="X19" i="148" s="1"/>
  <c r="X20" i="148" a="1"/>
  <c r="X20" i="148" s="1"/>
  <c r="X21" i="148" a="1"/>
  <c r="X21" i="148" s="1"/>
  <c r="X22" i="148" a="1"/>
  <c r="X22" i="148" s="1"/>
  <c r="X23" i="148" a="1"/>
  <c r="X23" i="148" s="1"/>
  <c r="X24" i="148" a="1"/>
  <c r="X24" i="148" s="1"/>
  <c r="X25" i="148" a="1"/>
  <c r="X25" i="148" s="1"/>
  <c r="X26" i="148" a="1"/>
  <c r="X26" i="148" s="1"/>
  <c r="X27" i="148" a="1"/>
  <c r="X27" i="148" s="1"/>
  <c r="X28" i="148" a="1"/>
  <c r="X28" i="148" s="1"/>
  <c r="X29" i="148" a="1"/>
  <c r="X29" i="148" s="1"/>
  <c r="X30" i="148" a="1"/>
  <c r="X30" i="148" s="1"/>
  <c r="X31" i="148" a="1"/>
  <c r="X31" i="148" s="1"/>
  <c r="X32" i="148" a="1"/>
  <c r="X32" i="148" s="1"/>
  <c r="X33" i="148" a="1"/>
  <c r="X33" i="148" s="1"/>
  <c r="X34" i="148" a="1"/>
  <c r="X34" i="148" s="1"/>
  <c r="X35" i="148" a="1"/>
  <c r="X35" i="148" s="1"/>
  <c r="X36" i="148" a="1"/>
  <c r="X36" i="148" s="1"/>
  <c r="X37" i="148" a="1"/>
  <c r="X37" i="148" s="1"/>
  <c r="X38" i="148" a="1"/>
  <c r="X38" i="148" s="1"/>
  <c r="X39" i="148" a="1"/>
  <c r="X39" i="148" s="1"/>
  <c r="X40" i="148" a="1"/>
  <c r="X40" i="148" s="1"/>
  <c r="X41" i="148" a="1"/>
  <c r="X41" i="148" s="1"/>
  <c r="X42" i="148" a="1"/>
  <c r="X42" i="148"/>
  <c r="X43" i="148" a="1"/>
  <c r="X43" i="148" s="1"/>
  <c r="X44" i="148" a="1"/>
  <c r="X44" i="148" s="1"/>
  <c r="X45" i="148" a="1"/>
  <c r="X45" i="148" s="1"/>
  <c r="X46" i="148" a="1"/>
  <c r="X46" i="148" s="1"/>
  <c r="X47" i="148" a="1"/>
  <c r="X47" i="148" s="1"/>
  <c r="X48" i="148" a="1"/>
  <c r="X48" i="148" s="1"/>
  <c r="X49" i="148" a="1"/>
  <c r="X49" i="148" s="1"/>
  <c r="X50" i="148" a="1"/>
  <c r="X50" i="148" s="1"/>
  <c r="X51" i="148" a="1"/>
  <c r="X51" i="148" s="1"/>
  <c r="X52" i="148" a="1"/>
  <c r="X52" i="148" s="1"/>
  <c r="X53" i="148" a="1"/>
  <c r="X53" i="148" s="1"/>
  <c r="X54" i="148" a="1"/>
  <c r="X54" i="148" s="1"/>
  <c r="X55" i="148" a="1"/>
  <c r="X55" i="148" s="1"/>
  <c r="X56" i="148" a="1"/>
  <c r="X56" i="148" s="1"/>
  <c r="X57" i="148" a="1"/>
  <c r="X57" i="148" s="1"/>
  <c r="X58" i="148" a="1"/>
  <c r="X58" i="148" s="1"/>
  <c r="X59" i="148" a="1"/>
  <c r="X59" i="148" s="1"/>
  <c r="X60" i="148" a="1"/>
  <c r="X60" i="148" s="1"/>
  <c r="X61" i="148" a="1"/>
  <c r="X61" i="148" s="1"/>
  <c r="X62" i="148" a="1"/>
  <c r="X62" i="148" s="1"/>
  <c r="X63" i="148" a="1"/>
  <c r="X63" i="148" s="1"/>
  <c r="X64" i="148" a="1"/>
  <c r="X64" i="148" s="1"/>
  <c r="X65" i="148" a="1"/>
  <c r="X65" i="148" s="1"/>
  <c r="X66" i="148" a="1"/>
  <c r="X66" i="148" s="1"/>
  <c r="X67" i="148" a="1"/>
  <c r="X67" i="148" s="1"/>
  <c r="X68" i="148" a="1"/>
  <c r="X68" i="148" s="1"/>
  <c r="X69" i="148" a="1"/>
  <c r="X69" i="148" s="1"/>
  <c r="X70" i="148" a="1"/>
  <c r="X70" i="148" s="1"/>
  <c r="X71" i="148" a="1"/>
  <c r="X71" i="148" s="1"/>
  <c r="X72" i="148" a="1"/>
  <c r="X72" i="148" s="1"/>
  <c r="X73" i="148" a="1"/>
  <c r="X73" i="148" s="1"/>
  <c r="X74" i="148" a="1"/>
  <c r="X74" i="148" s="1"/>
  <c r="X75" i="148" a="1"/>
  <c r="X75" i="148" s="1"/>
  <c r="X76" i="148" a="1"/>
  <c r="X76" i="148" s="1"/>
  <c r="X77" i="148" a="1"/>
  <c r="X77" i="148" s="1"/>
  <c r="X78" i="148" a="1"/>
  <c r="X78" i="148" s="1"/>
  <c r="X79" i="148" a="1"/>
  <c r="X79" i="148" s="1"/>
  <c r="X80" i="148" a="1"/>
  <c r="X80" i="148" s="1"/>
  <c r="X81" i="148" a="1"/>
  <c r="X81" i="148" s="1"/>
  <c r="X82" i="148" a="1"/>
  <c r="X82" i="148" s="1"/>
  <c r="X83" i="148" a="1"/>
  <c r="X83" i="148" s="1"/>
  <c r="X84" i="148" a="1"/>
  <c r="X84" i="148" s="1"/>
  <c r="X85" i="148" a="1"/>
  <c r="X85" i="148" s="1"/>
  <c r="X86" i="148" a="1"/>
  <c r="X86" i="148" s="1"/>
  <c r="X87" i="148" a="1"/>
  <c r="X87" i="148" s="1"/>
  <c r="X88" i="148" a="1"/>
  <c r="X88" i="148" s="1"/>
  <c r="X89" i="148" a="1"/>
  <c r="X89" i="148" s="1"/>
  <c r="X90" i="148" a="1"/>
  <c r="X90" i="148"/>
  <c r="X91" i="148" a="1"/>
  <c r="X91" i="148" s="1"/>
  <c r="X92" i="148" a="1"/>
  <c r="X92" i="148" s="1"/>
  <c r="X93" i="148" a="1"/>
  <c r="X93" i="148" s="1"/>
  <c r="X94" i="148" a="1"/>
  <c r="X94" i="148" s="1"/>
  <c r="X95" i="148" a="1"/>
  <c r="X95" i="148" s="1"/>
  <c r="X96" i="148" a="1"/>
  <c r="X96" i="148" s="1"/>
  <c r="X97" i="148" a="1"/>
  <c r="X97" i="148" s="1"/>
  <c r="X98" i="148" a="1"/>
  <c r="X98" i="148" s="1"/>
  <c r="X99" i="148" a="1"/>
  <c r="X99" i="148" s="1"/>
  <c r="X100" i="148" a="1"/>
  <c r="X100" i="148" s="1"/>
  <c r="X101" i="148" a="1"/>
  <c r="X101" i="148" s="1"/>
  <c r="X102" i="148" a="1"/>
  <c r="X102" i="148" s="1"/>
  <c r="X103" i="148" a="1"/>
  <c r="X103" i="148" s="1"/>
  <c r="X104" i="148" a="1"/>
  <c r="X104" i="148" s="1"/>
  <c r="X105" i="148" a="1"/>
  <c r="X105" i="148" s="1"/>
  <c r="X106" i="148" a="1"/>
  <c r="X106" i="148" s="1"/>
  <c r="X107" i="148" a="1"/>
  <c r="X107" i="148" s="1"/>
  <c r="X108" i="148" a="1"/>
  <c r="X108" i="148" s="1"/>
  <c r="X109" i="148" a="1"/>
  <c r="X109" i="148" s="1"/>
  <c r="X110" i="148" a="1"/>
  <c r="X110" i="148" s="1"/>
  <c r="X111" i="148" a="1"/>
  <c r="X111" i="148" s="1"/>
  <c r="X112" i="148" a="1"/>
  <c r="X112" i="148" s="1"/>
  <c r="X113" i="148" a="1"/>
  <c r="X113" i="148" s="1"/>
  <c r="X114" i="148" a="1"/>
  <c r="X114" i="148" s="1"/>
  <c r="X115" i="148" a="1"/>
  <c r="X115" i="148" s="1"/>
  <c r="X116" i="148" a="1"/>
  <c r="X116" i="148" s="1"/>
  <c r="X117" i="148" a="1"/>
  <c r="X117" i="148" s="1"/>
  <c r="X118" i="148" a="1"/>
  <c r="X118" i="148" s="1"/>
  <c r="X119" i="148" a="1"/>
  <c r="X119" i="148" s="1"/>
  <c r="X120" i="148" a="1"/>
  <c r="X120" i="148" s="1"/>
  <c r="X121" i="148" a="1"/>
  <c r="X121" i="148" s="1"/>
  <c r="X122" i="148" a="1"/>
  <c r="X122" i="148" s="1"/>
  <c r="X123" i="148" a="1"/>
  <c r="X123" i="148" s="1"/>
  <c r="X124" i="148" a="1"/>
  <c r="X124" i="148" s="1"/>
  <c r="X125" i="148" a="1"/>
  <c r="X125" i="148" s="1"/>
  <c r="X126" i="148" a="1"/>
  <c r="X126" i="148" s="1"/>
  <c r="X127" i="148" a="1"/>
  <c r="X127" i="148" s="1"/>
  <c r="X128" i="148" a="1"/>
  <c r="X128" i="148" s="1"/>
  <c r="X129" i="148" a="1"/>
  <c r="X129" i="148" s="1"/>
  <c r="X130" i="148" a="1"/>
  <c r="X130" i="148" s="1"/>
  <c r="X131" i="148" a="1"/>
  <c r="X131" i="148" s="1"/>
  <c r="X132" i="148" a="1"/>
  <c r="X132" i="148" s="1"/>
  <c r="X133" i="148" a="1"/>
  <c r="X133" i="148" s="1"/>
  <c r="X134" i="148" a="1"/>
  <c r="X134" i="148"/>
  <c r="X135" i="148" a="1"/>
  <c r="X135" i="148" s="1"/>
  <c r="X136" i="148" a="1"/>
  <c r="X136" i="148" s="1"/>
  <c r="X137" i="148" a="1"/>
  <c r="X137" i="148" s="1"/>
  <c r="X138" i="148" a="1"/>
  <c r="X138" i="148"/>
  <c r="X139" i="148" a="1"/>
  <c r="X139" i="148" s="1"/>
  <c r="X140" i="148" a="1"/>
  <c r="X140" i="148" s="1"/>
  <c r="X141" i="148" a="1"/>
  <c r="X141" i="148" s="1"/>
  <c r="X142" i="148" a="1"/>
  <c r="X142" i="148" s="1"/>
  <c r="X143" i="148" a="1"/>
  <c r="X143" i="148" s="1"/>
  <c r="X144" i="148" a="1"/>
  <c r="X144" i="148" s="1"/>
  <c r="X145" i="148" a="1"/>
  <c r="X145" i="148" s="1"/>
  <c r="X146" i="148" a="1"/>
  <c r="X146" i="148" s="1"/>
  <c r="X147" i="148" a="1"/>
  <c r="X147" i="148" s="1"/>
  <c r="X148" i="148" a="1"/>
  <c r="X148" i="148" s="1"/>
  <c r="X149" i="148" a="1"/>
  <c r="X149" i="148" s="1"/>
  <c r="X150" i="148" a="1"/>
  <c r="X150" i="148" s="1"/>
  <c r="X151" i="148" a="1"/>
  <c r="X151" i="148" s="1"/>
  <c r="X152" i="148" a="1"/>
  <c r="X152" i="148" s="1"/>
  <c r="X153" i="148" a="1"/>
  <c r="X153" i="148" s="1"/>
  <c r="X154" i="148" a="1"/>
  <c r="X154" i="148" s="1"/>
  <c r="X155" i="148" a="1"/>
  <c r="X155" i="148" s="1"/>
  <c r="X156" i="148" a="1"/>
  <c r="X156" i="148" s="1"/>
  <c r="X157" i="148" a="1"/>
  <c r="X157" i="148" s="1"/>
  <c r="X158" i="148" a="1"/>
  <c r="X158" i="148" s="1"/>
  <c r="X159" i="148" a="1"/>
  <c r="X159" i="148" s="1"/>
  <c r="X160" i="148" a="1"/>
  <c r="X160" i="148" s="1"/>
  <c r="X161" i="148" a="1"/>
  <c r="X161" i="148" s="1"/>
  <c r="X162" i="148" a="1"/>
  <c r="X162" i="148" s="1"/>
  <c r="X163" i="148" a="1"/>
  <c r="X163" i="148" s="1"/>
  <c r="X164" i="148" a="1"/>
  <c r="X164" i="148" s="1"/>
  <c r="X165" i="148" a="1"/>
  <c r="X165" i="148" s="1"/>
  <c r="X166" i="148" a="1"/>
  <c r="X166" i="148"/>
  <c r="X167" i="148" a="1"/>
  <c r="X167" i="148" s="1"/>
  <c r="X168" i="148" a="1"/>
  <c r="X168" i="148" s="1"/>
  <c r="X169" i="148" a="1"/>
  <c r="X169" i="148" s="1"/>
  <c r="X170" i="148" a="1"/>
  <c r="X170" i="148" s="1"/>
  <c r="X171" i="148" a="1"/>
  <c r="X171" i="148" s="1"/>
  <c r="X172" i="148" a="1"/>
  <c r="X172" i="148" s="1"/>
  <c r="X173" i="148" a="1"/>
  <c r="X173" i="148" s="1"/>
  <c r="X174" i="148" a="1"/>
  <c r="X174" i="148" s="1"/>
  <c r="X175" i="148" a="1"/>
  <c r="X175" i="148" s="1"/>
  <c r="X176" i="148" a="1"/>
  <c r="X176" i="148" s="1"/>
  <c r="X177" i="148" a="1"/>
  <c r="X177" i="148" s="1"/>
  <c r="X178" i="148" a="1"/>
  <c r="X178" i="148" s="1"/>
  <c r="X179" i="148" a="1"/>
  <c r="X179" i="148" s="1"/>
  <c r="X180" i="148" a="1"/>
  <c r="X180" i="148" s="1"/>
  <c r="X181" i="148" a="1"/>
  <c r="X181" i="148" s="1"/>
  <c r="X182" i="148" a="1"/>
  <c r="X182" i="148" s="1"/>
  <c r="X183" i="148" a="1"/>
  <c r="X183" i="148" s="1"/>
  <c r="X184" i="148" a="1"/>
  <c r="X184" i="148" s="1"/>
  <c r="X185" i="148" a="1"/>
  <c r="X185" i="148" s="1"/>
  <c r="X186" i="148" a="1"/>
  <c r="X186" i="148" s="1"/>
  <c r="X187" i="148" a="1"/>
  <c r="X187" i="148" s="1"/>
  <c r="X188" i="148" a="1"/>
  <c r="X188" i="148" s="1"/>
  <c r="X189" i="148" a="1"/>
  <c r="X189" i="148" s="1"/>
  <c r="X190" i="148" a="1"/>
  <c r="X190" i="148" s="1"/>
  <c r="X191" i="148" a="1"/>
  <c r="X191" i="148" s="1"/>
  <c r="X192" i="148" a="1"/>
  <c r="X192" i="148" s="1"/>
  <c r="X193" i="148" a="1"/>
  <c r="X193" i="148" s="1"/>
  <c r="X194" i="148" a="1"/>
  <c r="X194" i="148" s="1"/>
  <c r="X195" i="148" a="1"/>
  <c r="X195" i="148" s="1"/>
  <c r="X196" i="148" a="1"/>
  <c r="X196" i="148" s="1"/>
  <c r="X197" i="148" a="1"/>
  <c r="X197" i="148" s="1"/>
  <c r="X198" i="148" a="1"/>
  <c r="X198" i="148" s="1"/>
  <c r="X199" i="148" a="1"/>
  <c r="X199" i="148" s="1"/>
  <c r="X200" i="148" a="1"/>
  <c r="X200" i="148" s="1"/>
  <c r="X201" i="148" a="1"/>
  <c r="X201" i="148" s="1"/>
  <c r="X202" i="148" a="1"/>
  <c r="X202" i="148"/>
  <c r="X203" i="148" a="1"/>
  <c r="X203" i="148" s="1"/>
  <c r="X204" i="148" a="1"/>
  <c r="X204" i="148" s="1"/>
  <c r="X205" i="148" a="1"/>
  <c r="X205" i="148" s="1"/>
  <c r="X206" i="148" a="1"/>
  <c r="X206" i="148" s="1"/>
  <c r="X207" i="148" a="1"/>
  <c r="X207" i="148" s="1"/>
  <c r="X208" i="148" a="1"/>
  <c r="X208" i="148" s="1"/>
  <c r="X209" i="148" a="1"/>
  <c r="X209" i="148" s="1"/>
  <c r="X210" i="148" a="1"/>
  <c r="X210" i="148" s="1"/>
  <c r="X211" i="148" a="1"/>
  <c r="X211" i="148" s="1"/>
  <c r="X212" i="148" a="1"/>
  <c r="X212" i="148" s="1"/>
  <c r="X213" i="148" a="1"/>
  <c r="X213" i="148" s="1"/>
  <c r="X214" i="148" a="1"/>
  <c r="X214" i="148" s="1"/>
  <c r="X215" i="148" a="1"/>
  <c r="X215" i="148" s="1"/>
  <c r="X216" i="148" a="1"/>
  <c r="X216" i="148" s="1"/>
  <c r="X217" i="148" a="1"/>
  <c r="X217" i="148" s="1"/>
  <c r="X218" i="148" a="1"/>
  <c r="X218" i="148" s="1"/>
  <c r="X219" i="148" a="1"/>
  <c r="X219" i="148" s="1"/>
  <c r="X220" i="148" a="1"/>
  <c r="X220" i="148" s="1"/>
  <c r="X221" i="148" a="1"/>
  <c r="X221" i="148" s="1"/>
  <c r="X222" i="148" a="1"/>
  <c r="X222" i="148" s="1"/>
  <c r="X223" i="148" a="1"/>
  <c r="X223" i="148" s="1"/>
  <c r="X224" i="148" a="1"/>
  <c r="X224" i="148" s="1"/>
  <c r="X225" i="148" a="1"/>
  <c r="X225" i="148" s="1"/>
  <c r="X226" i="148" a="1"/>
  <c r="X226" i="148" s="1"/>
  <c r="X227" i="148" a="1"/>
  <c r="X227" i="148" s="1"/>
  <c r="X228" i="148" a="1"/>
  <c r="X228" i="148" s="1"/>
  <c r="X229" i="148" a="1"/>
  <c r="X229" i="148" s="1"/>
  <c r="X230" i="148" a="1"/>
  <c r="X230" i="148" s="1"/>
  <c r="X231" i="148" a="1"/>
  <c r="X231" i="148" s="1"/>
  <c r="X232" i="148" a="1"/>
  <c r="X232" i="148" s="1"/>
  <c r="X233" i="148" a="1"/>
  <c r="X233" i="148" s="1"/>
  <c r="X234" i="148" a="1"/>
  <c r="X234" i="148" s="1"/>
  <c r="X235" i="148" a="1"/>
  <c r="X235" i="148" s="1"/>
  <c r="X236" i="148" a="1"/>
  <c r="X236" i="148" s="1"/>
  <c r="X237" i="148" a="1"/>
  <c r="X237" i="148" s="1"/>
  <c r="X238" i="148" a="1"/>
  <c r="X238" i="148" s="1"/>
  <c r="X239" i="148" a="1"/>
  <c r="X239" i="148" s="1"/>
  <c r="X240" i="148" a="1"/>
  <c r="X240" i="148" s="1"/>
  <c r="X241" i="148" a="1"/>
  <c r="X241" i="148" s="1"/>
  <c r="X242" i="148" a="1"/>
  <c r="X242" i="148" s="1"/>
  <c r="X243" i="148" a="1"/>
  <c r="X243" i="148" s="1"/>
  <c r="X244" i="148" a="1"/>
  <c r="X244" i="148" s="1"/>
  <c r="X245" i="148" a="1"/>
  <c r="X245" i="148" s="1"/>
  <c r="X246" i="148" a="1"/>
  <c r="X246" i="148" s="1"/>
  <c r="X247" i="148" a="1"/>
  <c r="X247" i="148" s="1"/>
  <c r="X248" i="148" a="1"/>
  <c r="X248" i="148" s="1"/>
  <c r="X249" i="148" a="1"/>
  <c r="X249" i="148" s="1"/>
  <c r="X250" i="148" a="1"/>
  <c r="X250" i="148" s="1"/>
  <c r="X251" i="148" a="1"/>
  <c r="X251" i="148" s="1"/>
  <c r="X252" i="148" a="1"/>
  <c r="X252" i="148" s="1"/>
  <c r="X253" i="148" a="1"/>
  <c r="X253" i="148" s="1"/>
  <c r="X254" i="148" a="1"/>
  <c r="X254" i="148" s="1"/>
  <c r="X255" i="148" a="1"/>
  <c r="X255" i="148" s="1"/>
  <c r="X256" i="148" a="1"/>
  <c r="X256" i="148" s="1"/>
  <c r="X257" i="148" a="1"/>
  <c r="X257" i="148" s="1"/>
  <c r="X258" i="148" a="1"/>
  <c r="X258" i="148" s="1"/>
  <c r="X259" i="148" a="1"/>
  <c r="X259" i="148" s="1"/>
  <c r="X260" i="148" a="1"/>
  <c r="X260" i="148" s="1"/>
  <c r="X261" i="148" a="1"/>
  <c r="X261" i="148" s="1"/>
  <c r="X262" i="148" a="1"/>
  <c r="X262" i="148"/>
  <c r="X263" i="148" a="1"/>
  <c r="X263" i="148" s="1"/>
  <c r="X264" i="148" a="1"/>
  <c r="X264" i="148" s="1"/>
  <c r="X265" i="148" a="1"/>
  <c r="X265" i="148" s="1"/>
  <c r="X266" i="148" a="1"/>
  <c r="X266" i="148" s="1"/>
  <c r="X267" i="148" a="1"/>
  <c r="X267" i="148" s="1"/>
  <c r="X268" i="148" a="1"/>
  <c r="X268" i="148" s="1"/>
  <c r="X269" i="148" a="1"/>
  <c r="X269" i="148" s="1"/>
  <c r="X270" i="148" a="1"/>
  <c r="X270" i="148"/>
  <c r="X271" i="148" a="1"/>
  <c r="X271" i="148" s="1"/>
  <c r="X272" i="148" a="1"/>
  <c r="X272" i="148" s="1"/>
  <c r="X273" i="148" a="1"/>
  <c r="X273" i="148" s="1"/>
  <c r="X274" i="148" a="1"/>
  <c r="X274" i="148" s="1"/>
  <c r="X275" i="148" a="1"/>
  <c r="X275" i="148" s="1"/>
  <c r="X276" i="148" a="1"/>
  <c r="X276" i="148" s="1"/>
  <c r="X277" i="148" a="1"/>
  <c r="X277" i="148" s="1"/>
  <c r="X278" i="148" a="1"/>
  <c r="X278" i="148" s="1"/>
  <c r="X279" i="148" a="1"/>
  <c r="X279" i="148" s="1"/>
  <c r="X280" i="148" a="1"/>
  <c r="X280" i="148" s="1"/>
  <c r="X281" i="148" a="1"/>
  <c r="X281" i="148" s="1"/>
  <c r="X282" i="148" a="1"/>
  <c r="X282" i="148" s="1"/>
  <c r="X283" i="148" a="1"/>
  <c r="X283" i="148" s="1"/>
  <c r="X6" i="148" a="1"/>
  <c r="X6" i="148" s="1"/>
  <c r="W245" i="148"/>
  <c r="W246" i="148"/>
  <c r="W247" i="148"/>
  <c r="W248" i="148"/>
  <c r="W249" i="148"/>
  <c r="W250" i="148"/>
  <c r="W251" i="148"/>
  <c r="W252" i="148"/>
  <c r="W253" i="148"/>
  <c r="W254" i="148"/>
  <c r="W255" i="148"/>
  <c r="W256" i="148"/>
  <c r="W257" i="148"/>
  <c r="W258" i="148"/>
  <c r="W259" i="148"/>
  <c r="W260" i="148"/>
  <c r="W261" i="148"/>
  <c r="W262" i="148"/>
  <c r="W263" i="148"/>
  <c r="W264" i="148"/>
  <c r="W265" i="148"/>
  <c r="W266" i="148"/>
  <c r="W267" i="148"/>
  <c r="W268" i="148"/>
  <c r="W269" i="148"/>
  <c r="W270" i="148"/>
  <c r="W271" i="148"/>
  <c r="W272" i="148"/>
  <c r="W273" i="148"/>
  <c r="W274" i="148"/>
  <c r="W275" i="148"/>
  <c r="W276" i="148"/>
  <c r="W277" i="148"/>
  <c r="W278" i="148"/>
  <c r="W279" i="148"/>
  <c r="W280" i="148"/>
  <c r="W281" i="148"/>
  <c r="W282" i="148"/>
  <c r="W283" i="148"/>
  <c r="W284" i="148"/>
  <c r="W285" i="148"/>
  <c r="W286" i="148"/>
  <c r="W287" i="148"/>
  <c r="W288" i="148"/>
  <c r="W289" i="148"/>
  <c r="W290" i="148"/>
  <c r="W291" i="148"/>
  <c r="W292" i="148"/>
  <c r="W293" i="148"/>
  <c r="W294" i="148"/>
  <c r="W295" i="148"/>
  <c r="W296" i="148"/>
  <c r="W297" i="148"/>
  <c r="W298" i="148"/>
  <c r="W299" i="148"/>
  <c r="W300" i="148"/>
  <c r="W301" i="148"/>
  <c r="W302" i="148"/>
  <c r="W303" i="148"/>
  <c r="W304" i="148"/>
  <c r="W305" i="148"/>
  <c r="W306" i="148"/>
  <c r="W307" i="148"/>
  <c r="W308" i="148"/>
  <c r="W309" i="148"/>
  <c r="W310" i="148"/>
  <c r="W311" i="148"/>
  <c r="W312" i="148"/>
  <c r="W313" i="148"/>
  <c r="W314" i="148"/>
  <c r="W315" i="148"/>
  <c r="W316" i="148"/>
  <c r="W317" i="148"/>
  <c r="W242" i="148"/>
  <c r="W243" i="148"/>
  <c r="W244" i="148"/>
  <c r="W240" i="148"/>
  <c r="W241" i="148"/>
  <c r="W228" i="148"/>
  <c r="W229" i="148"/>
  <c r="W230" i="148"/>
  <c r="W231" i="148"/>
  <c r="W232" i="148"/>
  <c r="W233" i="148"/>
  <c r="W234" i="148"/>
  <c r="W235" i="148"/>
  <c r="W236" i="148"/>
  <c r="W237" i="148"/>
  <c r="W238" i="148"/>
  <c r="W239" i="148"/>
  <c r="W225" i="148"/>
  <c r="W226" i="148"/>
  <c r="W227" i="148"/>
  <c r="W210" i="148"/>
  <c r="W211" i="148"/>
  <c r="W212" i="148"/>
  <c r="W213" i="148"/>
  <c r="W214" i="148"/>
  <c r="W215" i="148"/>
  <c r="W216" i="148"/>
  <c r="W217" i="148"/>
  <c r="W218" i="148"/>
  <c r="W219" i="148"/>
  <c r="W220" i="148"/>
  <c r="W221" i="148"/>
  <c r="W222" i="148"/>
  <c r="W223" i="148"/>
  <c r="W224" i="148"/>
  <c r="W209" i="148"/>
  <c r="W200" i="148"/>
  <c r="W201" i="148"/>
  <c r="W202" i="148"/>
  <c r="W203" i="148"/>
  <c r="W204" i="148"/>
  <c r="W205" i="148"/>
  <c r="W206" i="148"/>
  <c r="W207" i="148"/>
  <c r="W208" i="148"/>
  <c r="W199" i="148"/>
  <c r="W186" i="148"/>
  <c r="W187" i="148"/>
  <c r="W188" i="148"/>
  <c r="W189" i="148"/>
  <c r="W190" i="148"/>
  <c r="W191" i="148"/>
  <c r="W192" i="148"/>
  <c r="W193" i="148"/>
  <c r="W194" i="148"/>
  <c r="W195" i="148"/>
  <c r="W196" i="148"/>
  <c r="W197" i="148"/>
  <c r="W198" i="148"/>
  <c r="W185" i="148"/>
  <c r="W176" i="148"/>
  <c r="W177" i="148"/>
  <c r="W178" i="148"/>
  <c r="W179" i="148"/>
  <c r="W180" i="148"/>
  <c r="W181" i="148"/>
  <c r="W182" i="148"/>
  <c r="W183" i="148"/>
  <c r="W184" i="148"/>
  <c r="W175" i="148"/>
  <c r="W166" i="148"/>
  <c r="W167" i="148"/>
  <c r="W168" i="148"/>
  <c r="W169" i="148"/>
  <c r="W170" i="148"/>
  <c r="W171" i="148"/>
  <c r="W172" i="148"/>
  <c r="W173" i="148"/>
  <c r="W174" i="148"/>
  <c r="W164" i="148"/>
  <c r="W165" i="148"/>
  <c r="W155" i="148"/>
  <c r="W156" i="148"/>
  <c r="W157" i="148"/>
  <c r="W158" i="148"/>
  <c r="W159" i="148"/>
  <c r="W160" i="148"/>
  <c r="W161" i="148"/>
  <c r="W162" i="148"/>
  <c r="W163" i="148"/>
  <c r="W154" i="148"/>
  <c r="W143" i="148"/>
  <c r="W144" i="148"/>
  <c r="W145" i="148"/>
  <c r="W146" i="148"/>
  <c r="W147" i="148"/>
  <c r="W148" i="148"/>
  <c r="W149" i="148"/>
  <c r="W150" i="148"/>
  <c r="W151" i="148"/>
  <c r="W152" i="148"/>
  <c r="W153" i="148"/>
  <c r="W142" i="148"/>
  <c r="W133" i="148"/>
  <c r="W134" i="148"/>
  <c r="W135" i="148"/>
  <c r="W136" i="148"/>
  <c r="W137" i="148"/>
  <c r="W138" i="148"/>
  <c r="W139" i="148"/>
  <c r="W140" i="148"/>
  <c r="W141" i="148"/>
  <c r="W132" i="148"/>
  <c r="W114" i="148"/>
  <c r="W115" i="148"/>
  <c r="W116" i="148"/>
  <c r="W117" i="148"/>
  <c r="W118" i="148"/>
  <c r="W119" i="148"/>
  <c r="W120" i="148"/>
  <c r="W121" i="148"/>
  <c r="W122" i="148"/>
  <c r="W123" i="148"/>
  <c r="W124" i="148"/>
  <c r="W125" i="148"/>
  <c r="W126" i="148"/>
  <c r="W127" i="148"/>
  <c r="W128" i="148"/>
  <c r="W129" i="148"/>
  <c r="W130" i="148"/>
  <c r="W131" i="148"/>
  <c r="W113" i="148"/>
  <c r="W104" i="148"/>
  <c r="W105" i="148"/>
  <c r="W106" i="148"/>
  <c r="W107" i="148"/>
  <c r="W108" i="148"/>
  <c r="W109" i="148"/>
  <c r="W110" i="148"/>
  <c r="W111" i="148"/>
  <c r="W112" i="148"/>
  <c r="W102" i="148"/>
  <c r="W103" i="148"/>
  <c r="W92" i="148"/>
  <c r="W93" i="148"/>
  <c r="W94" i="148"/>
  <c r="W95" i="148"/>
  <c r="W96" i="148"/>
  <c r="W97" i="148"/>
  <c r="W98" i="148"/>
  <c r="W99" i="148"/>
  <c r="W100" i="148"/>
  <c r="W101" i="148"/>
  <c r="W88" i="148"/>
  <c r="W89" i="148"/>
  <c r="W90" i="148"/>
  <c r="W91" i="148"/>
  <c r="W80" i="148"/>
  <c r="W81" i="148"/>
  <c r="W82" i="148"/>
  <c r="W83" i="148"/>
  <c r="W84" i="148"/>
  <c r="W85" i="148"/>
  <c r="W86" i="148"/>
  <c r="W87" i="148"/>
  <c r="W79" i="148"/>
  <c r="W72" i="148"/>
  <c r="W73" i="148"/>
  <c r="W74" i="148"/>
  <c r="W75" i="148"/>
  <c r="W76" i="148"/>
  <c r="W77" i="148"/>
  <c r="W78" i="148"/>
  <c r="W69" i="148"/>
  <c r="W70" i="148"/>
  <c r="W71" i="148"/>
  <c r="W62" i="148"/>
  <c r="W63" i="148"/>
  <c r="W64" i="148"/>
  <c r="W65" i="148"/>
  <c r="W66" i="148"/>
  <c r="W67" i="148"/>
  <c r="W68" i="148"/>
  <c r="W60" i="148"/>
  <c r="W61" i="148"/>
  <c r="W50" i="148"/>
  <c r="W51" i="148"/>
  <c r="W52" i="148"/>
  <c r="W53" i="148"/>
  <c r="W54" i="148"/>
  <c r="W55" i="148"/>
  <c r="W56" i="148"/>
  <c r="W57" i="148"/>
  <c r="W58" i="148"/>
  <c r="W59" i="148"/>
  <c r="W48" i="148"/>
  <c r="W49" i="148"/>
  <c r="W39" i="148"/>
  <c r="W40" i="148"/>
  <c r="W41" i="148"/>
  <c r="W42" i="148"/>
  <c r="W43" i="148"/>
  <c r="W44" i="148"/>
  <c r="W45" i="148"/>
  <c r="W46" i="148"/>
  <c r="W47" i="148"/>
  <c r="W38" i="148"/>
  <c r="W32" i="148"/>
  <c r="W33" i="148"/>
  <c r="W34" i="148"/>
  <c r="W35" i="148"/>
  <c r="W36" i="148"/>
  <c r="W37" i="148"/>
  <c r="W30" i="148"/>
  <c r="W31" i="148"/>
  <c r="W24" i="148"/>
  <c r="W25" i="148"/>
  <c r="W26" i="148"/>
  <c r="W27" i="148"/>
  <c r="W28" i="148"/>
  <c r="W29" i="148"/>
  <c r="W22" i="148"/>
  <c r="W23" i="148"/>
  <c r="W16" i="148"/>
  <c r="W17" i="148"/>
  <c r="W18" i="148"/>
  <c r="W19" i="148"/>
  <c r="W20" i="148"/>
  <c r="W21" i="148"/>
  <c r="W12" i="148"/>
  <c r="W13" i="148"/>
  <c r="W14" i="148"/>
  <c r="W15" i="148"/>
  <c r="W7" i="148"/>
  <c r="W8" i="148"/>
  <c r="W9" i="148"/>
  <c r="W10" i="148"/>
  <c r="W11" i="148"/>
  <c r="W6" i="148"/>
  <c r="V245" i="148"/>
  <c r="V246" i="148"/>
  <c r="V247" i="148"/>
  <c r="V248" i="148"/>
  <c r="V249" i="148"/>
  <c r="V250" i="148"/>
  <c r="V251" i="148"/>
  <c r="V252" i="148"/>
  <c r="V253" i="148"/>
  <c r="V254" i="148"/>
  <c r="V255" i="148"/>
  <c r="V256" i="148"/>
  <c r="V257" i="148"/>
  <c r="V258" i="148"/>
  <c r="V259" i="148"/>
  <c r="V260" i="148"/>
  <c r="V261" i="148"/>
  <c r="V262" i="148"/>
  <c r="V263" i="148"/>
  <c r="V264" i="148"/>
  <c r="V265" i="148"/>
  <c r="V266" i="148"/>
  <c r="V267" i="148"/>
  <c r="V268" i="148"/>
  <c r="V269" i="148"/>
  <c r="V270" i="148"/>
  <c r="V271" i="148"/>
  <c r="V272" i="148"/>
  <c r="V273" i="148"/>
  <c r="V274" i="148"/>
  <c r="V275" i="148"/>
  <c r="V276" i="148"/>
  <c r="V277" i="148"/>
  <c r="V278" i="148"/>
  <c r="V279" i="148"/>
  <c r="V280" i="148"/>
  <c r="V281" i="148"/>
  <c r="V282" i="148"/>
  <c r="V283" i="148"/>
  <c r="V284" i="148"/>
  <c r="V285" i="148"/>
  <c r="V286" i="148"/>
  <c r="V287" i="148"/>
  <c r="V288" i="148"/>
  <c r="V289" i="148"/>
  <c r="V290" i="148"/>
  <c r="V291" i="148"/>
  <c r="V292" i="148"/>
  <c r="V293" i="148"/>
  <c r="V294" i="148"/>
  <c r="V295" i="148"/>
  <c r="V296" i="148"/>
  <c r="V297" i="148"/>
  <c r="V298" i="148"/>
  <c r="V299" i="148"/>
  <c r="V300" i="148"/>
  <c r="V301" i="148"/>
  <c r="V302" i="148"/>
  <c r="V303" i="148"/>
  <c r="V304" i="148"/>
  <c r="V305" i="148"/>
  <c r="V306" i="148"/>
  <c r="V307" i="148"/>
  <c r="V308" i="148"/>
  <c r="V309" i="148"/>
  <c r="V310" i="148"/>
  <c r="V311" i="148"/>
  <c r="V312" i="148"/>
  <c r="V313" i="148"/>
  <c r="V314" i="148"/>
  <c r="V315" i="148"/>
  <c r="V316" i="148"/>
  <c r="V317" i="148"/>
  <c r="V242" i="148"/>
  <c r="V243" i="148"/>
  <c r="V244" i="148"/>
  <c r="V240" i="148"/>
  <c r="V241" i="148"/>
  <c r="V210" i="148"/>
  <c r="V211" i="148"/>
  <c r="V212" i="148"/>
  <c r="V213" i="148"/>
  <c r="V214" i="148"/>
  <c r="V215" i="148"/>
  <c r="V216" i="148"/>
  <c r="V217" i="148"/>
  <c r="V218" i="148"/>
  <c r="V219" i="148"/>
  <c r="V220" i="148"/>
  <c r="V221" i="148"/>
  <c r="V222" i="148"/>
  <c r="V223" i="148"/>
  <c r="V224" i="148"/>
  <c r="V225" i="148"/>
  <c r="V226" i="148"/>
  <c r="V227" i="148"/>
  <c r="V228" i="148"/>
  <c r="V229" i="148"/>
  <c r="V230" i="148"/>
  <c r="V231" i="148"/>
  <c r="V232" i="148"/>
  <c r="V233" i="148"/>
  <c r="V234" i="148"/>
  <c r="V235" i="148"/>
  <c r="V236" i="148"/>
  <c r="V237" i="148"/>
  <c r="V238" i="148"/>
  <c r="V239" i="148"/>
  <c r="V209" i="148"/>
  <c r="V200" i="148"/>
  <c r="V201" i="148"/>
  <c r="V202" i="148"/>
  <c r="V203" i="148"/>
  <c r="V204" i="148"/>
  <c r="V205" i="148"/>
  <c r="V206" i="148"/>
  <c r="V207" i="148"/>
  <c r="V208" i="148"/>
  <c r="V199" i="148"/>
  <c r="V186" i="148"/>
  <c r="V187" i="148"/>
  <c r="V188" i="148"/>
  <c r="V189" i="148"/>
  <c r="V190" i="148"/>
  <c r="V191" i="148"/>
  <c r="V192" i="148"/>
  <c r="V193" i="148"/>
  <c r="V194" i="148"/>
  <c r="V195" i="148"/>
  <c r="V196" i="148"/>
  <c r="V197" i="148"/>
  <c r="V198" i="148"/>
  <c r="V185" i="148"/>
  <c r="V176" i="148"/>
  <c r="V177" i="148"/>
  <c r="V178" i="148"/>
  <c r="V179" i="148"/>
  <c r="V180" i="148"/>
  <c r="V181" i="148"/>
  <c r="V182" i="148"/>
  <c r="V183" i="148"/>
  <c r="V184" i="148"/>
  <c r="V175" i="148"/>
  <c r="V166" i="148"/>
  <c r="V167" i="148"/>
  <c r="V168" i="148"/>
  <c r="V169" i="148"/>
  <c r="V170" i="148"/>
  <c r="V171" i="148"/>
  <c r="V172" i="148"/>
  <c r="V173" i="148"/>
  <c r="V174" i="148"/>
  <c r="V164" i="148"/>
  <c r="V165" i="148"/>
  <c r="V155" i="148"/>
  <c r="V156" i="148"/>
  <c r="V157" i="148"/>
  <c r="V158" i="148"/>
  <c r="V159" i="148"/>
  <c r="V160" i="148"/>
  <c r="V161" i="148"/>
  <c r="V162" i="148"/>
  <c r="V163" i="148"/>
  <c r="V154" i="148"/>
  <c r="V143" i="148"/>
  <c r="V144" i="148"/>
  <c r="V145" i="148"/>
  <c r="V146" i="148"/>
  <c r="V147" i="148"/>
  <c r="V148" i="148"/>
  <c r="V149" i="148"/>
  <c r="V150" i="148"/>
  <c r="V151" i="148"/>
  <c r="V152" i="148"/>
  <c r="V153" i="148"/>
  <c r="V142" i="148"/>
  <c r="V133" i="148"/>
  <c r="V134" i="148"/>
  <c r="V135" i="148"/>
  <c r="V136" i="148"/>
  <c r="V137" i="148"/>
  <c r="V138" i="148"/>
  <c r="V139" i="148"/>
  <c r="V140" i="148"/>
  <c r="V141" i="148"/>
  <c r="V132" i="148"/>
  <c r="V114" i="148"/>
  <c r="V115" i="148"/>
  <c r="V116" i="148"/>
  <c r="V117" i="148"/>
  <c r="V118" i="148"/>
  <c r="V119" i="148"/>
  <c r="V120" i="148"/>
  <c r="V121" i="148"/>
  <c r="V122" i="148"/>
  <c r="V123" i="148"/>
  <c r="V124" i="148"/>
  <c r="V125" i="148"/>
  <c r="V126" i="148"/>
  <c r="V127" i="148"/>
  <c r="V128" i="148"/>
  <c r="V129" i="148"/>
  <c r="V130" i="148"/>
  <c r="V131" i="148"/>
  <c r="V113" i="148"/>
  <c r="V104" i="148"/>
  <c r="V105" i="148"/>
  <c r="V106" i="148"/>
  <c r="V107" i="148"/>
  <c r="V108" i="148"/>
  <c r="V109" i="148"/>
  <c r="V110" i="148"/>
  <c r="V111" i="148"/>
  <c r="V112" i="148"/>
  <c r="V102" i="148"/>
  <c r="V103" i="148"/>
  <c r="V92" i="148"/>
  <c r="V93" i="148"/>
  <c r="V94" i="148"/>
  <c r="V95" i="148"/>
  <c r="V96" i="148"/>
  <c r="V97" i="148"/>
  <c r="V98" i="148"/>
  <c r="V99" i="148"/>
  <c r="V100" i="148"/>
  <c r="V101" i="148"/>
  <c r="V88" i="148"/>
  <c r="V89" i="148"/>
  <c r="V90" i="148"/>
  <c r="V91" i="148"/>
  <c r="V80" i="148"/>
  <c r="V81" i="148"/>
  <c r="V82" i="148"/>
  <c r="V83" i="148"/>
  <c r="V84" i="148"/>
  <c r="V85" i="148"/>
  <c r="V86" i="148"/>
  <c r="V87" i="148"/>
  <c r="V79" i="148"/>
  <c r="V72" i="148"/>
  <c r="V73" i="148"/>
  <c r="V74" i="148"/>
  <c r="V75" i="148"/>
  <c r="V76" i="148"/>
  <c r="V77" i="148"/>
  <c r="V78" i="148"/>
  <c r="V69" i="148"/>
  <c r="V70" i="148"/>
  <c r="V71" i="148"/>
  <c r="V62" i="148"/>
  <c r="V63" i="148"/>
  <c r="V64" i="148"/>
  <c r="V65" i="148"/>
  <c r="V66" i="148"/>
  <c r="V67" i="148"/>
  <c r="V68" i="148"/>
  <c r="V60" i="148"/>
  <c r="V61" i="148"/>
  <c r="V50" i="148"/>
  <c r="V51" i="148"/>
  <c r="V52" i="148"/>
  <c r="V53" i="148"/>
  <c r="V54" i="148"/>
  <c r="V55" i="148"/>
  <c r="V56" i="148"/>
  <c r="V57" i="148"/>
  <c r="V58" i="148"/>
  <c r="V59" i="148"/>
  <c r="V48" i="148"/>
  <c r="V49" i="148"/>
  <c r="V39" i="148"/>
  <c r="V40" i="148"/>
  <c r="V41" i="148"/>
  <c r="V42" i="148"/>
  <c r="V43" i="148"/>
  <c r="V44" i="148"/>
  <c r="V45" i="148"/>
  <c r="V46" i="148"/>
  <c r="V47" i="148"/>
  <c r="V38" i="148"/>
  <c r="V32" i="148"/>
  <c r="V33" i="148"/>
  <c r="V34" i="148"/>
  <c r="V35" i="148"/>
  <c r="V36" i="148"/>
  <c r="V37" i="148"/>
  <c r="V30" i="148"/>
  <c r="V31" i="148"/>
  <c r="V24" i="148"/>
  <c r="V25" i="148"/>
  <c r="V26" i="148"/>
  <c r="V27" i="148"/>
  <c r="V28" i="148"/>
  <c r="V29" i="148"/>
  <c r="V22" i="148"/>
  <c r="V23" i="148"/>
  <c r="V16" i="148"/>
  <c r="V17" i="148"/>
  <c r="V18" i="148"/>
  <c r="V19" i="148"/>
  <c r="V20" i="148"/>
  <c r="V21" i="148"/>
  <c r="V12" i="148"/>
  <c r="V13" i="148"/>
  <c r="V14" i="148"/>
  <c r="V15" i="148"/>
  <c r="V7" i="148"/>
  <c r="V8" i="148"/>
  <c r="V9" i="148"/>
  <c r="V10" i="148"/>
  <c r="V11" i="148"/>
  <c r="V6" i="148"/>
  <c r="U245" i="148"/>
  <c r="U246" i="148"/>
  <c r="U247" i="148"/>
  <c r="U242" i="148"/>
  <c r="U243" i="148"/>
  <c r="U244" i="148"/>
  <c r="U228" i="148"/>
  <c r="U229" i="148"/>
  <c r="U230" i="148"/>
  <c r="U231" i="148"/>
  <c r="U232" i="148"/>
  <c r="U233" i="148"/>
  <c r="U234" i="148"/>
  <c r="U235" i="148"/>
  <c r="U236" i="148"/>
  <c r="U237" i="148"/>
  <c r="U238" i="148"/>
  <c r="U239" i="148"/>
  <c r="U240" i="148"/>
  <c r="U241" i="148"/>
  <c r="U225" i="148"/>
  <c r="U226" i="148"/>
  <c r="U227" i="148"/>
  <c r="U210" i="148"/>
  <c r="U211" i="148"/>
  <c r="U212" i="148"/>
  <c r="U213" i="148"/>
  <c r="U214" i="148"/>
  <c r="U215" i="148"/>
  <c r="U216" i="148"/>
  <c r="U217" i="148"/>
  <c r="U218" i="148"/>
  <c r="U219" i="148"/>
  <c r="U220" i="148"/>
  <c r="U221" i="148"/>
  <c r="U222" i="148"/>
  <c r="U223" i="148"/>
  <c r="U224" i="148"/>
  <c r="U209" i="148"/>
  <c r="U200" i="148"/>
  <c r="U201" i="148"/>
  <c r="U202" i="148"/>
  <c r="U203" i="148"/>
  <c r="U204" i="148"/>
  <c r="U205" i="148"/>
  <c r="U206" i="148"/>
  <c r="U207" i="148"/>
  <c r="U208" i="148"/>
  <c r="U199" i="148"/>
  <c r="U186" i="148"/>
  <c r="U187" i="148"/>
  <c r="U188" i="148"/>
  <c r="U189" i="148"/>
  <c r="U190" i="148"/>
  <c r="U191" i="148"/>
  <c r="U192" i="148"/>
  <c r="U193" i="148"/>
  <c r="U194" i="148"/>
  <c r="U195" i="148"/>
  <c r="U196" i="148"/>
  <c r="U197" i="148"/>
  <c r="U198" i="148"/>
  <c r="U185" i="148"/>
  <c r="U176" i="148"/>
  <c r="U177" i="148"/>
  <c r="U178" i="148"/>
  <c r="U179" i="148"/>
  <c r="U180" i="148"/>
  <c r="U181" i="148"/>
  <c r="U182" i="148"/>
  <c r="U183" i="148"/>
  <c r="U184" i="148"/>
  <c r="U175" i="148"/>
  <c r="U166" i="148"/>
  <c r="U167" i="148"/>
  <c r="U168" i="148"/>
  <c r="U169" i="148"/>
  <c r="U170" i="148"/>
  <c r="U171" i="148"/>
  <c r="U172" i="148"/>
  <c r="U173" i="148"/>
  <c r="U174" i="148"/>
  <c r="U164" i="148"/>
  <c r="U165" i="148"/>
  <c r="U155" i="148"/>
  <c r="U156" i="148"/>
  <c r="U157" i="148"/>
  <c r="U158" i="148"/>
  <c r="U159" i="148"/>
  <c r="U160" i="148"/>
  <c r="U161" i="148"/>
  <c r="U162" i="148"/>
  <c r="U163" i="148"/>
  <c r="U154" i="148"/>
  <c r="U143" i="148"/>
  <c r="U144" i="148"/>
  <c r="U145" i="148"/>
  <c r="U146" i="148"/>
  <c r="U147" i="148"/>
  <c r="U148" i="148"/>
  <c r="U149" i="148"/>
  <c r="U150" i="148"/>
  <c r="U151" i="148"/>
  <c r="U152" i="148"/>
  <c r="U153" i="148"/>
  <c r="U142" i="148"/>
  <c r="U133" i="148"/>
  <c r="U134" i="148"/>
  <c r="U135" i="148"/>
  <c r="U136" i="148"/>
  <c r="U137" i="148"/>
  <c r="U138" i="148"/>
  <c r="U139" i="148"/>
  <c r="U140" i="148"/>
  <c r="U141" i="148"/>
  <c r="U132" i="148"/>
  <c r="U114" i="148"/>
  <c r="U115" i="148"/>
  <c r="U116" i="148"/>
  <c r="U117" i="148"/>
  <c r="U118" i="148"/>
  <c r="U119" i="148"/>
  <c r="U120" i="148"/>
  <c r="U121" i="148"/>
  <c r="U122" i="148"/>
  <c r="U123" i="148"/>
  <c r="U124" i="148"/>
  <c r="U125" i="148"/>
  <c r="U126" i="148"/>
  <c r="U127" i="148"/>
  <c r="U128" i="148"/>
  <c r="U129" i="148"/>
  <c r="U130" i="148"/>
  <c r="U131" i="148"/>
  <c r="U113" i="148"/>
  <c r="U104" i="148"/>
  <c r="U105" i="148"/>
  <c r="U106" i="148"/>
  <c r="U107" i="148"/>
  <c r="U108" i="148"/>
  <c r="U109" i="148"/>
  <c r="U110" i="148"/>
  <c r="U111" i="148"/>
  <c r="U112" i="148"/>
  <c r="U102" i="148"/>
  <c r="U103" i="148"/>
  <c r="U92" i="148"/>
  <c r="U93" i="148"/>
  <c r="U94" i="148"/>
  <c r="U95" i="148"/>
  <c r="U96" i="148"/>
  <c r="U97" i="148"/>
  <c r="U98" i="148"/>
  <c r="U99" i="148"/>
  <c r="U100" i="148"/>
  <c r="U101" i="148"/>
  <c r="U88" i="148"/>
  <c r="U89" i="148"/>
  <c r="U90" i="148"/>
  <c r="U91" i="148"/>
  <c r="U80" i="148"/>
  <c r="U81" i="148"/>
  <c r="U82" i="148"/>
  <c r="U83" i="148"/>
  <c r="U84" i="148"/>
  <c r="U85" i="148"/>
  <c r="U86" i="148"/>
  <c r="U87" i="148"/>
  <c r="U79" i="148"/>
  <c r="U72" i="148"/>
  <c r="U73" i="148"/>
  <c r="U74" i="148"/>
  <c r="U75" i="148"/>
  <c r="U76" i="148"/>
  <c r="U77" i="148"/>
  <c r="U78" i="148"/>
  <c r="U69" i="148"/>
  <c r="U70" i="148"/>
  <c r="U71" i="148"/>
  <c r="U62" i="148"/>
  <c r="U63" i="148"/>
  <c r="U64" i="148"/>
  <c r="U65" i="148"/>
  <c r="U66" i="148"/>
  <c r="U67" i="148"/>
  <c r="U68" i="148"/>
  <c r="U60" i="148"/>
  <c r="U61" i="148"/>
  <c r="U50" i="148"/>
  <c r="U51" i="148"/>
  <c r="U52" i="148"/>
  <c r="U53" i="148"/>
  <c r="U54" i="148"/>
  <c r="U55" i="148"/>
  <c r="U56" i="148"/>
  <c r="U57" i="148"/>
  <c r="U58" i="148"/>
  <c r="U59" i="148"/>
  <c r="U48" i="148"/>
  <c r="U49" i="148"/>
  <c r="U39" i="148"/>
  <c r="U40" i="148"/>
  <c r="U41" i="148"/>
  <c r="U42" i="148"/>
  <c r="U43" i="148"/>
  <c r="U44" i="148"/>
  <c r="U45" i="148"/>
  <c r="U46" i="148"/>
  <c r="U47" i="148"/>
  <c r="U38" i="148"/>
  <c r="U32" i="148"/>
  <c r="U33" i="148"/>
  <c r="U34" i="148"/>
  <c r="U35" i="148"/>
  <c r="U36" i="148"/>
  <c r="U37" i="148"/>
  <c r="U30" i="148"/>
  <c r="U31" i="148"/>
  <c r="U24" i="148"/>
  <c r="U25" i="148"/>
  <c r="U26" i="148"/>
  <c r="U27" i="148"/>
  <c r="U28" i="148"/>
  <c r="U29" i="148"/>
  <c r="U22" i="148"/>
  <c r="U23" i="148"/>
  <c r="U7" i="148"/>
  <c r="U8" i="148"/>
  <c r="U9" i="148"/>
  <c r="U10" i="148"/>
  <c r="U11" i="148"/>
  <c r="U12" i="148"/>
  <c r="U13" i="148"/>
  <c r="U14" i="148"/>
  <c r="U15" i="148"/>
  <c r="U16" i="148"/>
  <c r="U17" i="148"/>
  <c r="U18" i="148"/>
  <c r="U19" i="148"/>
  <c r="U20" i="148"/>
  <c r="U21" i="148"/>
  <c r="U6" i="148"/>
  <c r="T245" i="148"/>
  <c r="T246" i="148"/>
  <c r="T247" i="148"/>
  <c r="T242" i="148"/>
  <c r="T243" i="148"/>
  <c r="T244" i="148"/>
  <c r="T210" i="148"/>
  <c r="T211" i="148"/>
  <c r="T212" i="148"/>
  <c r="T213" i="148"/>
  <c r="T214" i="148"/>
  <c r="T215" i="148"/>
  <c r="T216" i="148"/>
  <c r="T217" i="148"/>
  <c r="T218" i="148"/>
  <c r="T219" i="148"/>
  <c r="T220" i="148"/>
  <c r="T221" i="148"/>
  <c r="T222" i="148"/>
  <c r="T223" i="148"/>
  <c r="T224" i="148"/>
  <c r="T225" i="148"/>
  <c r="T226" i="148"/>
  <c r="T227" i="148"/>
  <c r="T228" i="148"/>
  <c r="T229" i="148"/>
  <c r="T230" i="148"/>
  <c r="T231" i="148"/>
  <c r="T232" i="148"/>
  <c r="T233" i="148"/>
  <c r="T234" i="148"/>
  <c r="T235" i="148"/>
  <c r="T236" i="148"/>
  <c r="T237" i="148"/>
  <c r="T238" i="148"/>
  <c r="T239" i="148"/>
  <c r="T240" i="148"/>
  <c r="T241" i="148"/>
  <c r="T209" i="148"/>
  <c r="T200" i="148"/>
  <c r="T201" i="148"/>
  <c r="T202" i="148"/>
  <c r="T203" i="148"/>
  <c r="T204" i="148"/>
  <c r="T205" i="148"/>
  <c r="T206" i="148"/>
  <c r="T207" i="148"/>
  <c r="T208" i="148"/>
  <c r="T199" i="148"/>
  <c r="T186" i="148"/>
  <c r="T187" i="148"/>
  <c r="T188" i="148"/>
  <c r="T189" i="148"/>
  <c r="T190" i="148"/>
  <c r="T191" i="148"/>
  <c r="T192" i="148"/>
  <c r="T193" i="148"/>
  <c r="T194" i="148"/>
  <c r="T195" i="148"/>
  <c r="T196" i="148"/>
  <c r="T197" i="148"/>
  <c r="T198" i="148"/>
  <c r="T185" i="148"/>
  <c r="T176" i="148"/>
  <c r="T177" i="148"/>
  <c r="T178" i="148"/>
  <c r="T179" i="148"/>
  <c r="T180" i="148"/>
  <c r="T181" i="148"/>
  <c r="T182" i="148"/>
  <c r="T183" i="148"/>
  <c r="T184" i="148"/>
  <c r="T175" i="148"/>
  <c r="T166" i="148"/>
  <c r="T167" i="148"/>
  <c r="T168" i="148"/>
  <c r="T169" i="148"/>
  <c r="T170" i="148"/>
  <c r="T171" i="148"/>
  <c r="T172" i="148"/>
  <c r="T173" i="148"/>
  <c r="T174" i="148"/>
  <c r="T164" i="148"/>
  <c r="T165" i="148"/>
  <c r="T155" i="148"/>
  <c r="T156" i="148"/>
  <c r="T157" i="148"/>
  <c r="T158" i="148"/>
  <c r="T159" i="148"/>
  <c r="T160" i="148"/>
  <c r="T161" i="148"/>
  <c r="T162" i="148"/>
  <c r="T163" i="148"/>
  <c r="T154" i="148"/>
  <c r="T143" i="148"/>
  <c r="T144" i="148"/>
  <c r="T145" i="148"/>
  <c r="T146" i="148"/>
  <c r="T147" i="148"/>
  <c r="T148" i="148"/>
  <c r="T149" i="148"/>
  <c r="T150" i="148"/>
  <c r="T151" i="148"/>
  <c r="T152" i="148"/>
  <c r="T153" i="148"/>
  <c r="T142" i="148"/>
  <c r="T133" i="148"/>
  <c r="T134" i="148"/>
  <c r="T135" i="148"/>
  <c r="T136" i="148"/>
  <c r="T137" i="148"/>
  <c r="T138" i="148"/>
  <c r="T139" i="148"/>
  <c r="T140" i="148"/>
  <c r="T141" i="148"/>
  <c r="T132" i="148"/>
  <c r="T114" i="148"/>
  <c r="T115" i="148"/>
  <c r="T116" i="148"/>
  <c r="T117" i="148"/>
  <c r="T118" i="148"/>
  <c r="T119" i="148"/>
  <c r="T120" i="148"/>
  <c r="T121" i="148"/>
  <c r="T122" i="148"/>
  <c r="T123" i="148"/>
  <c r="T124" i="148"/>
  <c r="T125" i="148"/>
  <c r="T126" i="148"/>
  <c r="T127" i="148"/>
  <c r="T128" i="148"/>
  <c r="T129" i="148"/>
  <c r="T130" i="148"/>
  <c r="T131" i="148"/>
  <c r="T113" i="148"/>
  <c r="T104" i="148"/>
  <c r="T105" i="148"/>
  <c r="T106" i="148"/>
  <c r="T107" i="148"/>
  <c r="T108" i="148"/>
  <c r="T109" i="148"/>
  <c r="T110" i="148"/>
  <c r="T111" i="148"/>
  <c r="T112" i="148"/>
  <c r="T102" i="148"/>
  <c r="T103" i="148"/>
  <c r="T92" i="148"/>
  <c r="T93" i="148"/>
  <c r="T94" i="148"/>
  <c r="T95" i="148"/>
  <c r="T96" i="148"/>
  <c r="T97" i="148"/>
  <c r="T98" i="148"/>
  <c r="T99" i="148"/>
  <c r="T100" i="148"/>
  <c r="T101" i="148"/>
  <c r="T88" i="148"/>
  <c r="T89" i="148"/>
  <c r="T90" i="148"/>
  <c r="T91" i="148"/>
  <c r="T80" i="148"/>
  <c r="T81" i="148"/>
  <c r="T82" i="148"/>
  <c r="T83" i="148"/>
  <c r="T84" i="148"/>
  <c r="T85" i="148"/>
  <c r="T86" i="148"/>
  <c r="T87" i="148"/>
  <c r="T79" i="148"/>
  <c r="T72" i="148"/>
  <c r="T73" i="148"/>
  <c r="T74" i="148"/>
  <c r="T75" i="148"/>
  <c r="T76" i="148"/>
  <c r="T77" i="148"/>
  <c r="T78" i="148"/>
  <c r="T69" i="148"/>
  <c r="T70" i="148"/>
  <c r="T71" i="148"/>
  <c r="T62" i="148"/>
  <c r="T63" i="148"/>
  <c r="T64" i="148"/>
  <c r="T65" i="148"/>
  <c r="T66" i="148"/>
  <c r="T67" i="148"/>
  <c r="T68" i="148"/>
  <c r="T60" i="148"/>
  <c r="T61" i="148"/>
  <c r="T50" i="148"/>
  <c r="T51" i="148"/>
  <c r="T52" i="148"/>
  <c r="T53" i="148"/>
  <c r="T54" i="148"/>
  <c r="T55" i="148"/>
  <c r="T56" i="148"/>
  <c r="T57" i="148"/>
  <c r="T58" i="148"/>
  <c r="T59" i="148"/>
  <c r="T48" i="148"/>
  <c r="T49" i="148"/>
  <c r="T39" i="148"/>
  <c r="T40" i="148"/>
  <c r="T41" i="148"/>
  <c r="T42" i="148"/>
  <c r="T43" i="148"/>
  <c r="T44" i="148"/>
  <c r="T45" i="148"/>
  <c r="T46" i="148"/>
  <c r="T47" i="148"/>
  <c r="T38" i="148"/>
  <c r="T32" i="148"/>
  <c r="T33" i="148"/>
  <c r="T34" i="148"/>
  <c r="T35" i="148"/>
  <c r="T36" i="148"/>
  <c r="T37" i="148"/>
  <c r="T30" i="148"/>
  <c r="T31" i="148"/>
  <c r="T7" i="148"/>
  <c r="T8" i="148"/>
  <c r="T9" i="148"/>
  <c r="T10" i="148"/>
  <c r="T11" i="148"/>
  <c r="T12" i="148"/>
  <c r="T13" i="148"/>
  <c r="T14" i="148"/>
  <c r="T15" i="148"/>
  <c r="T16" i="148"/>
  <c r="T17" i="148"/>
  <c r="T18" i="148"/>
  <c r="T19" i="148"/>
  <c r="T20" i="148"/>
  <c r="T21" i="148"/>
  <c r="T22" i="148"/>
  <c r="T23" i="148"/>
  <c r="T24" i="148"/>
  <c r="T25" i="148"/>
  <c r="T26" i="148"/>
  <c r="T27" i="148"/>
  <c r="T28" i="148"/>
  <c r="T29" i="148"/>
  <c r="T6" i="148"/>
  <c r="Q248" i="148"/>
  <c r="Q249" i="148"/>
  <c r="Q250" i="148"/>
  <c r="Q251" i="148"/>
  <c r="Q252" i="148"/>
  <c r="Q253" i="148"/>
  <c r="Q254" i="148"/>
  <c r="Q255" i="148"/>
  <c r="Q256" i="148"/>
  <c r="Q257" i="148"/>
  <c r="Q258" i="148"/>
  <c r="Q259" i="148"/>
  <c r="Q260" i="148"/>
  <c r="Q261" i="148"/>
  <c r="Q262" i="148"/>
  <c r="Q263" i="148"/>
  <c r="Q264" i="148"/>
  <c r="Q265" i="148"/>
  <c r="Q266" i="148"/>
  <c r="Q267" i="148"/>
  <c r="Q268" i="148"/>
  <c r="Q269" i="148"/>
  <c r="Q270" i="148"/>
  <c r="Q271" i="148"/>
  <c r="Q272" i="148"/>
  <c r="Q273" i="148"/>
  <c r="Q274" i="148"/>
  <c r="Q275" i="148"/>
  <c r="Q276" i="148"/>
  <c r="Q277" i="148"/>
  <c r="Q278" i="148"/>
  <c r="Q279" i="148"/>
  <c r="Q280" i="148"/>
  <c r="Q281" i="148"/>
  <c r="Q282" i="148"/>
  <c r="Q283" i="148"/>
  <c r="Q284" i="148"/>
  <c r="Q285" i="148"/>
  <c r="Q286" i="148"/>
  <c r="Q287" i="148"/>
  <c r="Q288" i="148"/>
  <c r="Q289" i="148"/>
  <c r="Q290" i="148"/>
  <c r="Q291" i="148"/>
  <c r="Q292" i="148"/>
  <c r="Q293" i="148"/>
  <c r="Q294" i="148"/>
  <c r="Q295" i="148"/>
  <c r="Q296" i="148"/>
  <c r="Q297" i="148"/>
  <c r="Q298" i="148"/>
  <c r="Q299" i="148"/>
  <c r="Q300" i="148"/>
  <c r="Q301" i="148"/>
  <c r="Q302" i="148"/>
  <c r="Q303" i="148"/>
  <c r="Q304" i="148"/>
  <c r="Q305" i="148"/>
  <c r="Q306" i="148"/>
  <c r="Q307" i="148"/>
  <c r="Q308" i="148"/>
  <c r="Q309" i="148"/>
  <c r="Q310" i="148"/>
  <c r="Q311" i="148"/>
  <c r="Q312" i="148"/>
  <c r="Q313" i="148"/>
  <c r="Q314" i="148"/>
  <c r="Q315" i="148"/>
  <c r="Q316" i="148"/>
  <c r="Q317" i="148"/>
  <c r="Q210" i="148"/>
  <c r="Q211" i="148"/>
  <c r="Q212" i="148"/>
  <c r="Q213" i="148"/>
  <c r="Q214" i="148"/>
  <c r="Q215" i="148"/>
  <c r="Q216" i="148"/>
  <c r="Q217" i="148"/>
  <c r="Q218" i="148"/>
  <c r="Q219" i="148"/>
  <c r="Q220" i="148"/>
  <c r="Q221" i="148"/>
  <c r="Q222" i="148"/>
  <c r="Q223" i="148"/>
  <c r="Q224" i="148"/>
  <c r="Q225" i="148"/>
  <c r="Q226" i="148"/>
  <c r="Q227" i="148"/>
  <c r="Q228" i="148"/>
  <c r="Q229" i="148"/>
  <c r="Q230" i="148"/>
  <c r="Q231" i="148"/>
  <c r="Q232" i="148"/>
  <c r="Q233" i="148"/>
  <c r="Q234" i="148"/>
  <c r="Q235" i="148"/>
  <c r="Q236" i="148"/>
  <c r="Q237" i="148"/>
  <c r="Q238" i="148"/>
  <c r="Q239" i="148"/>
  <c r="Q240" i="148"/>
  <c r="Q241" i="148"/>
  <c r="Q242" i="148"/>
  <c r="Q243" i="148"/>
  <c r="Q244" i="148"/>
  <c r="Q245" i="148"/>
  <c r="Q246" i="148"/>
  <c r="Q247" i="148"/>
  <c r="Q209" i="148"/>
  <c r="Q200" i="148"/>
  <c r="Q201" i="148"/>
  <c r="Q202" i="148"/>
  <c r="Q203" i="148"/>
  <c r="Q204" i="148"/>
  <c r="Q205" i="148"/>
  <c r="Q206" i="148"/>
  <c r="Q207" i="148"/>
  <c r="Q208" i="148"/>
  <c r="Q199" i="148"/>
  <c r="Q186" i="148"/>
  <c r="Q187" i="148"/>
  <c r="Q188" i="148"/>
  <c r="Q189" i="148"/>
  <c r="Q190" i="148"/>
  <c r="Q191" i="148"/>
  <c r="Q192" i="148"/>
  <c r="Q193" i="148"/>
  <c r="Q194" i="148"/>
  <c r="Q195" i="148"/>
  <c r="Q196" i="148"/>
  <c r="Q197" i="148"/>
  <c r="Q198" i="148"/>
  <c r="Q185" i="148"/>
  <c r="Q176" i="148"/>
  <c r="Q177" i="148"/>
  <c r="Q178" i="148"/>
  <c r="Q179" i="148"/>
  <c r="Q180" i="148"/>
  <c r="Q181" i="148"/>
  <c r="Q182" i="148"/>
  <c r="Q183" i="148"/>
  <c r="Q184" i="148"/>
  <c r="Q175" i="148"/>
  <c r="Q166" i="148"/>
  <c r="Q167" i="148"/>
  <c r="Q168" i="148"/>
  <c r="Q169" i="148"/>
  <c r="Q170" i="148"/>
  <c r="Q171" i="148"/>
  <c r="Q172" i="148"/>
  <c r="Q173" i="148"/>
  <c r="Q174" i="148"/>
  <c r="Q164" i="148"/>
  <c r="Q165" i="148"/>
  <c r="Q155" i="148"/>
  <c r="Q156" i="148"/>
  <c r="Q157" i="148"/>
  <c r="Q158" i="148"/>
  <c r="Q159" i="148"/>
  <c r="Q160" i="148"/>
  <c r="Q161" i="148"/>
  <c r="Q162" i="148"/>
  <c r="Q163" i="148"/>
  <c r="Q154" i="148"/>
  <c r="Q143" i="148"/>
  <c r="Q144" i="148"/>
  <c r="Q145" i="148"/>
  <c r="Q146" i="148"/>
  <c r="Q147" i="148"/>
  <c r="Q148" i="148"/>
  <c r="Q149" i="148"/>
  <c r="Q150" i="148"/>
  <c r="Q151" i="148"/>
  <c r="Q152" i="148"/>
  <c r="Q153" i="148"/>
  <c r="Q142" i="148"/>
  <c r="Q133" i="148"/>
  <c r="Q134" i="148"/>
  <c r="Q135" i="148"/>
  <c r="Q136" i="148"/>
  <c r="Q137" i="148"/>
  <c r="Q138" i="148"/>
  <c r="Q139" i="148"/>
  <c r="Q140" i="148"/>
  <c r="Q141" i="148"/>
  <c r="Q132" i="148"/>
  <c r="Q114" i="148"/>
  <c r="Q115" i="148"/>
  <c r="Q116" i="148"/>
  <c r="Q117" i="148"/>
  <c r="Q118" i="148"/>
  <c r="Q119" i="148"/>
  <c r="Q120" i="148"/>
  <c r="Q121" i="148"/>
  <c r="Q122" i="148"/>
  <c r="Q123" i="148"/>
  <c r="Q124" i="148"/>
  <c r="Q125" i="148"/>
  <c r="Q126" i="148"/>
  <c r="Q127" i="148"/>
  <c r="Q128" i="148"/>
  <c r="Q129" i="148"/>
  <c r="Q130" i="148"/>
  <c r="Q131" i="148"/>
  <c r="Q113" i="148"/>
  <c r="Q104" i="148"/>
  <c r="Q105" i="148"/>
  <c r="Q106" i="148"/>
  <c r="Q107" i="148"/>
  <c r="Q108" i="148"/>
  <c r="Q109" i="148"/>
  <c r="Q110" i="148"/>
  <c r="Q111" i="148"/>
  <c r="Q112" i="148"/>
  <c r="Q102" i="148"/>
  <c r="Q103" i="148"/>
  <c r="Q92" i="148"/>
  <c r="Q93" i="148"/>
  <c r="Q94" i="148"/>
  <c r="Q95" i="148"/>
  <c r="Q96" i="148"/>
  <c r="Q97" i="148"/>
  <c r="Q98" i="148"/>
  <c r="Q99" i="148"/>
  <c r="Q100" i="148"/>
  <c r="Q101" i="148"/>
  <c r="Q88" i="148"/>
  <c r="Q89" i="148"/>
  <c r="Q90" i="148"/>
  <c r="Q91" i="148"/>
  <c r="Q80" i="148"/>
  <c r="Q81" i="148"/>
  <c r="Q82" i="148"/>
  <c r="Q83" i="148"/>
  <c r="Q84" i="148"/>
  <c r="Q85" i="148"/>
  <c r="Q86" i="148"/>
  <c r="Q87" i="148"/>
  <c r="Q79" i="148"/>
  <c r="Q72" i="148"/>
  <c r="Q73" i="148"/>
  <c r="Q74" i="148"/>
  <c r="Q75" i="148"/>
  <c r="Q76" i="148"/>
  <c r="Q77" i="148"/>
  <c r="Q78" i="148"/>
  <c r="Q69" i="148"/>
  <c r="Q70" i="148"/>
  <c r="Q71" i="148"/>
  <c r="Q62" i="148"/>
  <c r="Q63" i="148"/>
  <c r="Q64" i="148"/>
  <c r="Q65" i="148"/>
  <c r="Q66" i="148"/>
  <c r="Q67" i="148"/>
  <c r="Q68" i="148"/>
  <c r="Q60" i="148"/>
  <c r="Q61" i="148"/>
  <c r="Q50" i="148"/>
  <c r="Q51" i="148"/>
  <c r="Q52" i="148"/>
  <c r="Q53" i="148"/>
  <c r="Q54" i="148"/>
  <c r="Q55" i="148"/>
  <c r="Q56" i="148"/>
  <c r="Q57" i="148"/>
  <c r="Q58" i="148"/>
  <c r="Q59" i="148"/>
  <c r="Q48" i="148"/>
  <c r="Q49" i="148"/>
  <c r="Q39" i="148"/>
  <c r="Q40" i="148"/>
  <c r="Q41" i="148"/>
  <c r="Q42" i="148"/>
  <c r="Q43" i="148"/>
  <c r="Q44" i="148"/>
  <c r="Q45" i="148"/>
  <c r="Q46" i="148"/>
  <c r="Q47" i="148"/>
  <c r="Q38" i="148"/>
  <c r="Q32" i="148"/>
  <c r="Q33" i="148"/>
  <c r="Q34" i="148"/>
  <c r="Q35" i="148"/>
  <c r="Q36" i="148"/>
  <c r="Q37" i="148"/>
  <c r="Q30" i="148"/>
  <c r="Q31" i="148"/>
  <c r="Q24" i="148"/>
  <c r="Q25" i="148"/>
  <c r="Q26" i="148"/>
  <c r="Q27" i="148"/>
  <c r="Q28" i="148"/>
  <c r="Q29" i="148"/>
  <c r="Q22" i="148"/>
  <c r="Q23" i="148"/>
  <c r="Q16" i="148"/>
  <c r="Q17" i="148"/>
  <c r="Q18" i="148"/>
  <c r="Q19" i="148"/>
  <c r="Q20" i="148"/>
  <c r="Q21" i="148"/>
  <c r="Q12" i="148"/>
  <c r="Q13" i="148"/>
  <c r="Q14" i="148"/>
  <c r="Q15" i="148"/>
  <c r="Q7" i="148"/>
  <c r="Q8" i="148"/>
  <c r="Q9" i="148"/>
  <c r="Q10" i="148"/>
  <c r="Q11" i="148"/>
  <c r="Q6" i="148"/>
  <c r="P7" i="148" a="1"/>
  <c r="P7" i="148" s="1"/>
  <c r="P8" i="148" a="1"/>
  <c r="P8" i="148" s="1"/>
  <c r="P9" i="148" a="1"/>
  <c r="P9" i="148" s="1"/>
  <c r="P10" i="148" a="1"/>
  <c r="P10" i="148" s="1"/>
  <c r="P11" i="148" a="1"/>
  <c r="P11" i="148" s="1"/>
  <c r="P12" i="148" a="1"/>
  <c r="P12" i="148" s="1"/>
  <c r="P13" i="148" a="1"/>
  <c r="P13" i="148" s="1"/>
  <c r="P14" i="148" a="1"/>
  <c r="P14" i="148" s="1"/>
  <c r="P15" i="148" a="1"/>
  <c r="P15" i="148" s="1"/>
  <c r="P16" i="148" a="1"/>
  <c r="P16" i="148" s="1"/>
  <c r="P17" i="148" a="1"/>
  <c r="P17" i="148" s="1"/>
  <c r="P18" i="148" a="1"/>
  <c r="P18" i="148"/>
  <c r="P19" i="148" a="1"/>
  <c r="P19" i="148" s="1"/>
  <c r="P20" i="148" a="1"/>
  <c r="P20" i="148" s="1"/>
  <c r="P21" i="148" a="1"/>
  <c r="P21" i="148" s="1"/>
  <c r="P22" i="148" a="1"/>
  <c r="P22" i="148" s="1"/>
  <c r="P23" i="148" a="1"/>
  <c r="P23" i="148" s="1"/>
  <c r="P24" i="148" a="1"/>
  <c r="P24" i="148" s="1"/>
  <c r="P25" i="148" a="1"/>
  <c r="P25" i="148" s="1"/>
  <c r="P26" i="148" a="1"/>
  <c r="P26" i="148" s="1"/>
  <c r="P27" i="148" a="1"/>
  <c r="P27" i="148" s="1"/>
  <c r="P28" i="148" a="1"/>
  <c r="P28" i="148" s="1"/>
  <c r="P29" i="148" a="1"/>
  <c r="P29" i="148" s="1"/>
  <c r="P30" i="148" a="1"/>
  <c r="P30" i="148" s="1"/>
  <c r="P31" i="148" a="1"/>
  <c r="P31" i="148" s="1"/>
  <c r="P32" i="148" a="1"/>
  <c r="P32" i="148" s="1"/>
  <c r="P33" i="148" a="1"/>
  <c r="P33" i="148" s="1"/>
  <c r="P34" i="148" a="1"/>
  <c r="P34" i="148" s="1"/>
  <c r="P35" i="148" a="1"/>
  <c r="P35" i="148" s="1"/>
  <c r="P36" i="148" a="1"/>
  <c r="P36" i="148" s="1"/>
  <c r="P37" i="148" a="1"/>
  <c r="P37" i="148" s="1"/>
  <c r="P38" i="148" a="1"/>
  <c r="P38" i="148" s="1"/>
  <c r="P39" i="148" a="1"/>
  <c r="P39" i="148" s="1"/>
  <c r="P40" i="148" a="1"/>
  <c r="P40" i="148" s="1"/>
  <c r="P41" i="148" a="1"/>
  <c r="P41" i="148" s="1"/>
  <c r="P42" i="148" a="1"/>
  <c r="P42" i="148" s="1"/>
  <c r="P43" i="148" a="1"/>
  <c r="P43" i="148" s="1"/>
  <c r="P44" i="148" a="1"/>
  <c r="P44" i="148" s="1"/>
  <c r="P45" i="148" a="1"/>
  <c r="P45" i="148" s="1"/>
  <c r="P46" i="148" a="1"/>
  <c r="P46" i="148" s="1"/>
  <c r="P47" i="148" a="1"/>
  <c r="P47" i="148" s="1"/>
  <c r="P48" i="148" a="1"/>
  <c r="P48" i="148" s="1"/>
  <c r="P49" i="148" a="1"/>
  <c r="P49" i="148" s="1"/>
  <c r="P50" i="148" a="1"/>
  <c r="P50" i="148" s="1"/>
  <c r="P51" i="148" a="1"/>
  <c r="P51" i="148" s="1"/>
  <c r="P52" i="148" a="1"/>
  <c r="P52" i="148" s="1"/>
  <c r="P53" i="148" a="1"/>
  <c r="P53" i="148" s="1"/>
  <c r="P54" i="148" a="1"/>
  <c r="P54" i="148" s="1"/>
  <c r="P55" i="148" a="1"/>
  <c r="P55" i="148" s="1"/>
  <c r="P56" i="148" a="1"/>
  <c r="P56" i="148" s="1"/>
  <c r="P57" i="148" a="1"/>
  <c r="P57" i="148" s="1"/>
  <c r="P58" i="148" a="1"/>
  <c r="P58" i="148" s="1"/>
  <c r="P59" i="148" a="1"/>
  <c r="P59" i="148" s="1"/>
  <c r="P60" i="148" a="1"/>
  <c r="P60" i="148" s="1"/>
  <c r="P61" i="148" a="1"/>
  <c r="P61" i="148" s="1"/>
  <c r="P62" i="148" a="1"/>
  <c r="P62" i="148" s="1"/>
  <c r="P63" i="148" a="1"/>
  <c r="P63" i="148" s="1"/>
  <c r="P64" i="148" a="1"/>
  <c r="P64" i="148" s="1"/>
  <c r="P65" i="148" a="1"/>
  <c r="P65" i="148" s="1"/>
  <c r="P66" i="148" a="1"/>
  <c r="P66" i="148" s="1"/>
  <c r="P67" i="148" a="1"/>
  <c r="P67" i="148" s="1"/>
  <c r="P68" i="148" a="1"/>
  <c r="P68" i="148" s="1"/>
  <c r="P69" i="148" a="1"/>
  <c r="P69" i="148" s="1"/>
  <c r="P70" i="148" a="1"/>
  <c r="P70" i="148" s="1"/>
  <c r="P71" i="148" a="1"/>
  <c r="P71" i="148" s="1"/>
  <c r="P72" i="148" a="1"/>
  <c r="P72" i="148" s="1"/>
  <c r="P73" i="148" a="1"/>
  <c r="P73" i="148" s="1"/>
  <c r="P74" i="148" a="1"/>
  <c r="P74" i="148" s="1"/>
  <c r="P75" i="148" a="1"/>
  <c r="P75" i="148" s="1"/>
  <c r="P76" i="148" a="1"/>
  <c r="P76" i="148" s="1"/>
  <c r="P77" i="148" a="1"/>
  <c r="P77" i="148" s="1"/>
  <c r="P78" i="148" a="1"/>
  <c r="P78" i="148" s="1"/>
  <c r="P79" i="148" a="1"/>
  <c r="P79" i="148" s="1"/>
  <c r="P80" i="148" a="1"/>
  <c r="P80" i="148" s="1"/>
  <c r="P81" i="148" a="1"/>
  <c r="P81" i="148" s="1"/>
  <c r="P82" i="148" a="1"/>
  <c r="P82" i="148" s="1"/>
  <c r="P83" i="148" a="1"/>
  <c r="P83" i="148" s="1"/>
  <c r="P84" i="148" a="1"/>
  <c r="P84" i="148" s="1"/>
  <c r="P85" i="148" a="1"/>
  <c r="P85" i="148" s="1"/>
  <c r="P86" i="148" a="1"/>
  <c r="P86" i="148" s="1"/>
  <c r="P87" i="148" a="1"/>
  <c r="P87" i="148" s="1"/>
  <c r="P88" i="148" a="1"/>
  <c r="P88" i="148" s="1"/>
  <c r="P89" i="148" a="1"/>
  <c r="P89" i="148" s="1"/>
  <c r="P90" i="148" a="1"/>
  <c r="P90" i="148" s="1"/>
  <c r="P91" i="148" a="1"/>
  <c r="P91" i="148" s="1"/>
  <c r="P92" i="148" a="1"/>
  <c r="P92" i="148" s="1"/>
  <c r="P93" i="148" a="1"/>
  <c r="P93" i="148" s="1"/>
  <c r="P94" i="148" a="1"/>
  <c r="P94" i="148" s="1"/>
  <c r="P95" i="148" a="1"/>
  <c r="P95" i="148" s="1"/>
  <c r="P96" i="148" a="1"/>
  <c r="P96" i="148" s="1"/>
  <c r="P97" i="148" a="1"/>
  <c r="P97" i="148" s="1"/>
  <c r="P98" i="148" a="1"/>
  <c r="P98" i="148" s="1"/>
  <c r="P99" i="148" a="1"/>
  <c r="P99" i="148" s="1"/>
  <c r="P100" i="148" a="1"/>
  <c r="P100" i="148" s="1"/>
  <c r="P101" i="148" a="1"/>
  <c r="P101" i="148" s="1"/>
  <c r="P102" i="148" a="1"/>
  <c r="P102" i="148" s="1"/>
  <c r="P103" i="148" a="1"/>
  <c r="P103" i="148" s="1"/>
  <c r="P104" i="148" a="1"/>
  <c r="P104" i="148" s="1"/>
  <c r="P105" i="148" a="1"/>
  <c r="P105" i="148" s="1"/>
  <c r="P106" i="148" a="1"/>
  <c r="P106" i="148" s="1"/>
  <c r="P107" i="148" a="1"/>
  <c r="P107" i="148" s="1"/>
  <c r="P108" i="148" a="1"/>
  <c r="P108" i="148" s="1"/>
  <c r="P109" i="148" a="1"/>
  <c r="P109" i="148" s="1"/>
  <c r="P110" i="148" a="1"/>
  <c r="P110" i="148" s="1"/>
  <c r="P111" i="148" a="1"/>
  <c r="P111" i="148" s="1"/>
  <c r="P112" i="148" a="1"/>
  <c r="P112" i="148" s="1"/>
  <c r="P113" i="148" a="1"/>
  <c r="P113" i="148" s="1"/>
  <c r="P114" i="148" a="1"/>
  <c r="P114" i="148" s="1"/>
  <c r="P115" i="148" a="1"/>
  <c r="P115" i="148" s="1"/>
  <c r="P116" i="148" a="1"/>
  <c r="P116" i="148" s="1"/>
  <c r="P117" i="148" a="1"/>
  <c r="P117" i="148" s="1"/>
  <c r="P118" i="148" a="1"/>
  <c r="P118" i="148" s="1"/>
  <c r="P119" i="148" a="1"/>
  <c r="P119" i="148" s="1"/>
  <c r="P120" i="148" a="1"/>
  <c r="P120" i="148" s="1"/>
  <c r="P121" i="148" a="1"/>
  <c r="P121" i="148" s="1"/>
  <c r="P122" i="148" a="1"/>
  <c r="P122" i="148" s="1"/>
  <c r="P123" i="148" a="1"/>
  <c r="P123" i="148" s="1"/>
  <c r="P124" i="148" a="1"/>
  <c r="P124" i="148" s="1"/>
  <c r="P125" i="148" a="1"/>
  <c r="P125" i="148" s="1"/>
  <c r="P126" i="148" a="1"/>
  <c r="P126" i="148" s="1"/>
  <c r="P127" i="148" a="1"/>
  <c r="P127" i="148" s="1"/>
  <c r="P128" i="148" a="1"/>
  <c r="P128" i="148" s="1"/>
  <c r="P129" i="148" a="1"/>
  <c r="P129" i="148" s="1"/>
  <c r="P130" i="148" a="1"/>
  <c r="P130" i="148" s="1"/>
  <c r="P131" i="148" a="1"/>
  <c r="P131" i="148" s="1"/>
  <c r="P132" i="148" a="1"/>
  <c r="P132" i="148" s="1"/>
  <c r="P133" i="148" a="1"/>
  <c r="P133" i="148" s="1"/>
  <c r="P134" i="148" a="1"/>
  <c r="P134" i="148" s="1"/>
  <c r="P135" i="148" a="1"/>
  <c r="P135" i="148" s="1"/>
  <c r="P136" i="148" a="1"/>
  <c r="P136" i="148" s="1"/>
  <c r="P137" i="148" a="1"/>
  <c r="P137" i="148" s="1"/>
  <c r="P138" i="148" a="1"/>
  <c r="P138" i="148" s="1"/>
  <c r="P139" i="148" a="1"/>
  <c r="P139" i="148" s="1"/>
  <c r="P140" i="148" a="1"/>
  <c r="P140" i="148" s="1"/>
  <c r="P141" i="148" a="1"/>
  <c r="P141" i="148" s="1"/>
  <c r="P142" i="148" a="1"/>
  <c r="P142" i="148" s="1"/>
  <c r="P143" i="148" a="1"/>
  <c r="P143" i="148" s="1"/>
  <c r="P144" i="148" a="1"/>
  <c r="P144" i="148" s="1"/>
  <c r="P145" i="148" a="1"/>
  <c r="P145" i="148" s="1"/>
  <c r="P146" i="148" a="1"/>
  <c r="P146" i="148" s="1"/>
  <c r="P147" i="148" a="1"/>
  <c r="P147" i="148" s="1"/>
  <c r="P148" i="148" a="1"/>
  <c r="P148" i="148" s="1"/>
  <c r="P149" i="148" a="1"/>
  <c r="P149" i="148" s="1"/>
  <c r="P150" i="148" a="1"/>
  <c r="P150" i="148" s="1"/>
  <c r="P151" i="148" a="1"/>
  <c r="P151" i="148" s="1"/>
  <c r="P152" i="148" a="1"/>
  <c r="P152" i="148" s="1"/>
  <c r="P153" i="148" a="1"/>
  <c r="P153" i="148" s="1"/>
  <c r="P154" i="148" a="1"/>
  <c r="P154" i="148" s="1"/>
  <c r="P155" i="148" a="1"/>
  <c r="P155" i="148" s="1"/>
  <c r="P156" i="148" a="1"/>
  <c r="P156" i="148" s="1"/>
  <c r="P157" i="148" a="1"/>
  <c r="P157" i="148" s="1"/>
  <c r="P158" i="148" a="1"/>
  <c r="P158" i="148" s="1"/>
  <c r="P159" i="148" a="1"/>
  <c r="P159" i="148" s="1"/>
  <c r="P160" i="148" a="1"/>
  <c r="P160" i="148" s="1"/>
  <c r="P161" i="148" a="1"/>
  <c r="P161" i="148" s="1"/>
  <c r="P162" i="148" a="1"/>
  <c r="P162" i="148" s="1"/>
  <c r="P163" i="148" a="1"/>
  <c r="P163" i="148" s="1"/>
  <c r="P164" i="148" a="1"/>
  <c r="P164" i="148" s="1"/>
  <c r="P165" i="148" a="1"/>
  <c r="P165" i="148" s="1"/>
  <c r="P166" i="148" a="1"/>
  <c r="P166" i="148" s="1"/>
  <c r="P167" i="148" a="1"/>
  <c r="P167" i="148" s="1"/>
  <c r="P168" i="148" a="1"/>
  <c r="P168" i="148" s="1"/>
  <c r="P169" i="148" a="1"/>
  <c r="P169" i="148" s="1"/>
  <c r="P170" i="148" a="1"/>
  <c r="P170" i="148" s="1"/>
  <c r="P171" i="148" a="1"/>
  <c r="P171" i="148" s="1"/>
  <c r="P172" i="148" a="1"/>
  <c r="P172" i="148" s="1"/>
  <c r="P173" i="148" a="1"/>
  <c r="P173" i="148" s="1"/>
  <c r="P174" i="148" a="1"/>
  <c r="P174" i="148" s="1"/>
  <c r="P175" i="148" a="1"/>
  <c r="P175" i="148" s="1"/>
  <c r="P176" i="148" a="1"/>
  <c r="P176" i="148" s="1"/>
  <c r="P177" i="148" a="1"/>
  <c r="P177" i="148" s="1"/>
  <c r="P178" i="148" a="1"/>
  <c r="P178" i="148" s="1"/>
  <c r="P179" i="148" a="1"/>
  <c r="P179" i="148" s="1"/>
  <c r="P180" i="148" a="1"/>
  <c r="P180" i="148" s="1"/>
  <c r="P181" i="148" a="1"/>
  <c r="P181" i="148" s="1"/>
  <c r="P182" i="148" a="1"/>
  <c r="P182" i="148" s="1"/>
  <c r="P183" i="148" a="1"/>
  <c r="P183" i="148" s="1"/>
  <c r="P184" i="148" a="1"/>
  <c r="P184" i="148" s="1"/>
  <c r="P185" i="148" a="1"/>
  <c r="P185" i="148" s="1"/>
  <c r="P186" i="148" a="1"/>
  <c r="P186" i="148" s="1"/>
  <c r="P187" i="148" a="1"/>
  <c r="P187" i="148" s="1"/>
  <c r="P188" i="148" a="1"/>
  <c r="P188" i="148" s="1"/>
  <c r="P189" i="148" a="1"/>
  <c r="P189" i="148" s="1"/>
  <c r="P190" i="148" a="1"/>
  <c r="P190" i="148" s="1"/>
  <c r="P191" i="148" a="1"/>
  <c r="P191" i="148" s="1"/>
  <c r="P192" i="148" a="1"/>
  <c r="P192" i="148" s="1"/>
  <c r="P193" i="148" a="1"/>
  <c r="P193" i="148" s="1"/>
  <c r="P194" i="148" a="1"/>
  <c r="P194" i="148" s="1"/>
  <c r="P195" i="148" a="1"/>
  <c r="P195" i="148" s="1"/>
  <c r="P196" i="148" a="1"/>
  <c r="P196" i="148" s="1"/>
  <c r="P197" i="148" a="1"/>
  <c r="P197" i="148" s="1"/>
  <c r="P198" i="148" a="1"/>
  <c r="P198" i="148" s="1"/>
  <c r="P199" i="148" a="1"/>
  <c r="P199" i="148" s="1"/>
  <c r="P200" i="148" a="1"/>
  <c r="P200" i="148" s="1"/>
  <c r="P201" i="148" a="1"/>
  <c r="P201" i="148" s="1"/>
  <c r="P202" i="148" a="1"/>
  <c r="P202" i="148" s="1"/>
  <c r="P203" i="148" a="1"/>
  <c r="P203" i="148" s="1"/>
  <c r="P204" i="148" a="1"/>
  <c r="P204" i="148" s="1"/>
  <c r="P205" i="148" a="1"/>
  <c r="P205" i="148" s="1"/>
  <c r="P206" i="148" a="1"/>
  <c r="P206" i="148" s="1"/>
  <c r="P207" i="148" a="1"/>
  <c r="P207" i="148" s="1"/>
  <c r="P208" i="148" a="1"/>
  <c r="P208" i="148" s="1"/>
  <c r="P209" i="148" a="1"/>
  <c r="P209" i="148" s="1"/>
  <c r="P210" i="148" a="1"/>
  <c r="P210" i="148" s="1"/>
  <c r="P211" i="148" a="1"/>
  <c r="P211" i="148" s="1"/>
  <c r="P212" i="148" a="1"/>
  <c r="P212" i="148" s="1"/>
  <c r="P213" i="148" a="1"/>
  <c r="P213" i="148" s="1"/>
  <c r="P214" i="148" a="1"/>
  <c r="P214" i="148" s="1"/>
  <c r="P215" i="148" a="1"/>
  <c r="P215" i="148" s="1"/>
  <c r="P216" i="148" a="1"/>
  <c r="P216" i="148" s="1"/>
  <c r="P217" i="148" a="1"/>
  <c r="P217" i="148" s="1"/>
  <c r="P218" i="148" a="1"/>
  <c r="P218" i="148" s="1"/>
  <c r="P219" i="148" a="1"/>
  <c r="P219" i="148" s="1"/>
  <c r="P220" i="148" a="1"/>
  <c r="P220" i="148" s="1"/>
  <c r="P221" i="148" a="1"/>
  <c r="P221" i="148" s="1"/>
  <c r="P222" i="148" a="1"/>
  <c r="P222" i="148" s="1"/>
  <c r="P223" i="148" a="1"/>
  <c r="P223" i="148" s="1"/>
  <c r="P224" i="148" a="1"/>
  <c r="P224" i="148" s="1"/>
  <c r="P225" i="148" a="1"/>
  <c r="P225" i="148" s="1"/>
  <c r="P226" i="148" a="1"/>
  <c r="P226" i="148" s="1"/>
  <c r="P227" i="148" a="1"/>
  <c r="P227" i="148" s="1"/>
  <c r="P228" i="148" a="1"/>
  <c r="P228" i="148" s="1"/>
  <c r="P229" i="148" a="1"/>
  <c r="P229" i="148" s="1"/>
  <c r="P230" i="148" a="1"/>
  <c r="P230" i="148" s="1"/>
  <c r="P231" i="148" a="1"/>
  <c r="P231" i="148" s="1"/>
  <c r="P232" i="148" a="1"/>
  <c r="P232" i="148" s="1"/>
  <c r="P233" i="148" a="1"/>
  <c r="P233" i="148" s="1"/>
  <c r="P234" i="148" a="1"/>
  <c r="P234" i="148" s="1"/>
  <c r="P235" i="148" a="1"/>
  <c r="P235" i="148" s="1"/>
  <c r="P236" i="148" a="1"/>
  <c r="P236" i="148" s="1"/>
  <c r="P237" i="148" a="1"/>
  <c r="P237" i="148" s="1"/>
  <c r="P238" i="148" a="1"/>
  <c r="P238" i="148" s="1"/>
  <c r="P239" i="148" a="1"/>
  <c r="P239" i="148" s="1"/>
  <c r="P240" i="148" a="1"/>
  <c r="P240" i="148" s="1"/>
  <c r="P241" i="148" a="1"/>
  <c r="P241" i="148" s="1"/>
  <c r="P242" i="148" a="1"/>
  <c r="P242" i="148" s="1"/>
  <c r="P243" i="148" a="1"/>
  <c r="P243" i="148" s="1"/>
  <c r="P244" i="148" a="1"/>
  <c r="P244" i="148" s="1"/>
  <c r="P245" i="148" a="1"/>
  <c r="P245" i="148" s="1"/>
  <c r="P246" i="148" a="1"/>
  <c r="P246" i="148" s="1"/>
  <c r="P247" i="148" a="1"/>
  <c r="P247" i="148" s="1"/>
  <c r="P248" i="148" a="1"/>
  <c r="P248" i="148" s="1"/>
  <c r="P249" i="148" a="1"/>
  <c r="P249" i="148" s="1"/>
  <c r="P250" i="148" a="1"/>
  <c r="P250" i="148" s="1"/>
  <c r="P251" i="148" a="1"/>
  <c r="P251" i="148" s="1"/>
  <c r="P252" i="148" a="1"/>
  <c r="P252" i="148" s="1"/>
  <c r="P253" i="148" a="1"/>
  <c r="P253" i="148" s="1"/>
  <c r="P254" i="148" a="1"/>
  <c r="P254" i="148" s="1"/>
  <c r="P255" i="148" a="1"/>
  <c r="P255" i="148" s="1"/>
  <c r="P256" i="148" a="1"/>
  <c r="P256" i="148" s="1"/>
  <c r="P257" i="148" a="1"/>
  <c r="P257" i="148" s="1"/>
  <c r="P258" i="148" a="1"/>
  <c r="P258" i="148" s="1"/>
  <c r="P259" i="148" a="1"/>
  <c r="P259" i="148" s="1"/>
  <c r="P260" i="148" a="1"/>
  <c r="P260" i="148" s="1"/>
  <c r="P261" i="148" a="1"/>
  <c r="P261" i="148" s="1"/>
  <c r="P262" i="148" a="1"/>
  <c r="P262" i="148" s="1"/>
  <c r="P263" i="148" a="1"/>
  <c r="P263" i="148" s="1"/>
  <c r="P264" i="148" a="1"/>
  <c r="P264" i="148" s="1"/>
  <c r="P265" i="148" a="1"/>
  <c r="P265" i="148" s="1"/>
  <c r="P266" i="148" a="1"/>
  <c r="P266" i="148" s="1"/>
  <c r="P267" i="148" a="1"/>
  <c r="P267" i="148" s="1"/>
  <c r="P268" i="148" a="1"/>
  <c r="P268" i="148" s="1"/>
  <c r="P269" i="148" a="1"/>
  <c r="P269" i="148" s="1"/>
  <c r="P270" i="148" a="1"/>
  <c r="P270" i="148" s="1"/>
  <c r="P271" i="148" a="1"/>
  <c r="P271" i="148" s="1"/>
  <c r="P272" i="148" a="1"/>
  <c r="P272" i="148" s="1"/>
  <c r="P273" i="148" a="1"/>
  <c r="P273" i="148" s="1"/>
  <c r="P274" i="148" a="1"/>
  <c r="P274" i="148" s="1"/>
  <c r="P275" i="148" a="1"/>
  <c r="P275" i="148" s="1"/>
  <c r="P276" i="148" a="1"/>
  <c r="P276" i="148" s="1"/>
  <c r="P277" i="148" a="1"/>
  <c r="P277" i="148" s="1"/>
  <c r="P278" i="148" a="1"/>
  <c r="P278" i="148" s="1"/>
  <c r="P279" i="148" a="1"/>
  <c r="P279" i="148" s="1"/>
  <c r="P280" i="148" a="1"/>
  <c r="P280" i="148" s="1"/>
  <c r="P281" i="148" a="1"/>
  <c r="P281" i="148" s="1"/>
  <c r="P282" i="148" a="1"/>
  <c r="P282" i="148" s="1"/>
  <c r="P283" i="148" a="1"/>
  <c r="P283" i="148" s="1"/>
  <c r="P284" i="148" a="1"/>
  <c r="P284" i="148" s="1"/>
  <c r="P285" i="148" a="1"/>
  <c r="P285" i="148" s="1"/>
  <c r="P286" i="148" a="1"/>
  <c r="P286" i="148" s="1"/>
  <c r="P287" i="148" a="1"/>
  <c r="P287" i="148" s="1"/>
  <c r="P288" i="148" a="1"/>
  <c r="P288" i="148" s="1"/>
  <c r="P289" i="148" a="1"/>
  <c r="P289" i="148" s="1"/>
  <c r="P290" i="148" a="1"/>
  <c r="P290" i="148" s="1"/>
  <c r="P291" i="148" a="1"/>
  <c r="P291" i="148" s="1"/>
  <c r="P292" i="148" a="1"/>
  <c r="P292" i="148" s="1"/>
  <c r="P293" i="148" a="1"/>
  <c r="P293" i="148" s="1"/>
  <c r="P294" i="148" a="1"/>
  <c r="P294" i="148" s="1"/>
  <c r="P295" i="148" a="1"/>
  <c r="P295" i="148" s="1"/>
  <c r="P296" i="148" a="1"/>
  <c r="P296" i="148" s="1"/>
  <c r="P297" i="148" a="1"/>
  <c r="P297" i="148" s="1"/>
  <c r="P298" i="148" a="1"/>
  <c r="P298" i="148" s="1"/>
  <c r="P299" i="148" a="1"/>
  <c r="P299" i="148" s="1"/>
  <c r="P300" i="148" a="1"/>
  <c r="P300" i="148" s="1"/>
  <c r="P301" i="148" a="1"/>
  <c r="P301" i="148" s="1"/>
  <c r="P302" i="148" a="1"/>
  <c r="P302" i="148" s="1"/>
  <c r="P303" i="148" a="1"/>
  <c r="P303" i="148" s="1"/>
  <c r="P304" i="148" a="1"/>
  <c r="P304" i="148" s="1"/>
  <c r="P305" i="148" a="1"/>
  <c r="P305" i="148" s="1"/>
  <c r="P306" i="148" a="1"/>
  <c r="P306" i="148" s="1"/>
  <c r="P307" i="148" a="1"/>
  <c r="P307" i="148" s="1"/>
  <c r="P308" i="148" a="1"/>
  <c r="P308" i="148" s="1"/>
  <c r="P309" i="148" a="1"/>
  <c r="P309" i="148" s="1"/>
  <c r="P310" i="148" a="1"/>
  <c r="P310" i="148" s="1"/>
  <c r="P311" i="148" a="1"/>
  <c r="P311" i="148" s="1"/>
  <c r="P312" i="148" a="1"/>
  <c r="P312" i="148" s="1"/>
  <c r="P313" i="148" a="1"/>
  <c r="P313" i="148" s="1"/>
  <c r="P314" i="148" a="1"/>
  <c r="P314" i="148" s="1"/>
  <c r="P315" i="148" a="1"/>
  <c r="P315" i="148" s="1"/>
  <c r="P316" i="148" a="1"/>
  <c r="P316" i="148" s="1"/>
  <c r="P317" i="148" a="1"/>
  <c r="P317" i="148" s="1"/>
  <c r="O313" i="148"/>
  <c r="O314" i="148"/>
  <c r="O315" i="148"/>
  <c r="O316" i="148"/>
  <c r="O317" i="148"/>
  <c r="O309" i="148"/>
  <c r="O310" i="148"/>
  <c r="O311" i="148"/>
  <c r="O312" i="148"/>
  <c r="O300" i="148"/>
  <c r="O301" i="148"/>
  <c r="O302" i="148"/>
  <c r="O303" i="148"/>
  <c r="O304" i="148"/>
  <c r="O305" i="148"/>
  <c r="O306" i="148"/>
  <c r="O307" i="148"/>
  <c r="O308" i="148"/>
  <c r="O298" i="148"/>
  <c r="O299" i="148"/>
  <c r="O297" i="148"/>
  <c r="O295" i="148"/>
  <c r="O296" i="148"/>
  <c r="O262" i="148"/>
  <c r="O263" i="148"/>
  <c r="O264" i="148"/>
  <c r="O265" i="148"/>
  <c r="O266" i="148"/>
  <c r="O267" i="148"/>
  <c r="O268" i="148"/>
  <c r="O269" i="148"/>
  <c r="O270" i="148"/>
  <c r="O271" i="148"/>
  <c r="O272" i="148"/>
  <c r="O273" i="148"/>
  <c r="O274" i="148"/>
  <c r="O275" i="148"/>
  <c r="O276" i="148"/>
  <c r="O277" i="148"/>
  <c r="O278" i="148"/>
  <c r="O279" i="148"/>
  <c r="O280" i="148"/>
  <c r="O281" i="148"/>
  <c r="O282" i="148"/>
  <c r="O283" i="148"/>
  <c r="O284" i="148"/>
  <c r="O285" i="148"/>
  <c r="O286" i="148"/>
  <c r="O287" i="148"/>
  <c r="O288" i="148"/>
  <c r="O289" i="148"/>
  <c r="O290" i="148"/>
  <c r="O291" i="148"/>
  <c r="O292" i="148"/>
  <c r="O293" i="148"/>
  <c r="O294" i="148"/>
  <c r="O261" i="148"/>
  <c r="O260" i="148"/>
  <c r="O259" i="148"/>
  <c r="O256" i="148"/>
  <c r="O257" i="148"/>
  <c r="O258" i="148"/>
  <c r="O255" i="148"/>
  <c r="O233" i="148"/>
  <c r="O234" i="148"/>
  <c r="O235" i="148"/>
  <c r="O236" i="148"/>
  <c r="O237" i="148"/>
  <c r="O238" i="148"/>
  <c r="O239" i="148"/>
  <c r="O240" i="148"/>
  <c r="O241" i="148"/>
  <c r="O242" i="148"/>
  <c r="O243" i="148"/>
  <c r="O244" i="148"/>
  <c r="O245" i="148"/>
  <c r="O246" i="148"/>
  <c r="O247" i="148"/>
  <c r="O248" i="148"/>
  <c r="O249" i="148"/>
  <c r="O250" i="148"/>
  <c r="O251" i="148"/>
  <c r="O252" i="148"/>
  <c r="O253" i="148"/>
  <c r="O254" i="148"/>
  <c r="O231" i="148"/>
  <c r="O232" i="148"/>
  <c r="O223" i="148"/>
  <c r="O224" i="148"/>
  <c r="O225" i="148"/>
  <c r="O226" i="148"/>
  <c r="O227" i="148"/>
  <c r="O228" i="148"/>
  <c r="O229" i="148"/>
  <c r="O230" i="148"/>
  <c r="O221" i="148"/>
  <c r="O222" i="148"/>
  <c r="O214" i="148"/>
  <c r="O215" i="148"/>
  <c r="O216" i="148"/>
  <c r="O217" i="148"/>
  <c r="O218" i="148"/>
  <c r="O219" i="148"/>
  <c r="O220" i="148"/>
  <c r="O213" i="148"/>
  <c r="O212" i="148"/>
  <c r="O211" i="148"/>
  <c r="O210" i="148"/>
  <c r="O209" i="148"/>
  <c r="O208" i="148"/>
  <c r="O207" i="148"/>
  <c r="O206" i="148"/>
  <c r="O205" i="148"/>
  <c r="O204" i="148"/>
  <c r="O203" i="148"/>
  <c r="O202" i="148"/>
  <c r="O201" i="148"/>
  <c r="O200" i="148"/>
  <c r="O199" i="148"/>
  <c r="O198" i="148"/>
  <c r="O197" i="148"/>
  <c r="O196" i="148"/>
  <c r="O195" i="148"/>
  <c r="O194" i="148"/>
  <c r="O193" i="148"/>
  <c r="O192" i="148"/>
  <c r="O191" i="148"/>
  <c r="O190" i="148"/>
  <c r="O189" i="148"/>
  <c r="O188" i="148"/>
  <c r="O187" i="148"/>
  <c r="O186" i="148"/>
  <c r="O185" i="148"/>
  <c r="O184" i="148"/>
  <c r="O183" i="148"/>
  <c r="O182" i="148"/>
  <c r="O181" i="148"/>
  <c r="O180" i="148"/>
  <c r="O179" i="148"/>
  <c r="O178" i="148"/>
  <c r="O177" i="148"/>
  <c r="O176" i="148"/>
  <c r="O175" i="148"/>
  <c r="O174" i="148"/>
  <c r="O173" i="148"/>
  <c r="O172" i="148"/>
  <c r="O171" i="148"/>
  <c r="O170" i="148"/>
  <c r="O169" i="148"/>
  <c r="O168" i="148"/>
  <c r="O167" i="148"/>
  <c r="O166" i="148"/>
  <c r="O165" i="148"/>
  <c r="O163" i="148"/>
  <c r="O164" i="148"/>
  <c r="O155" i="148"/>
  <c r="O156" i="148"/>
  <c r="O157" i="148"/>
  <c r="O158" i="148"/>
  <c r="O159" i="148"/>
  <c r="O160" i="148"/>
  <c r="O161" i="148"/>
  <c r="O162" i="148"/>
  <c r="O153" i="148"/>
  <c r="O154" i="148"/>
  <c r="O145" i="148"/>
  <c r="O146" i="148"/>
  <c r="O147" i="148"/>
  <c r="O148" i="148"/>
  <c r="O149" i="148"/>
  <c r="O150" i="148"/>
  <c r="O151" i="148"/>
  <c r="O152" i="148"/>
  <c r="O143" i="148"/>
  <c r="O144" i="148"/>
  <c r="O135" i="148"/>
  <c r="O136" i="148"/>
  <c r="O137" i="148"/>
  <c r="O138" i="148"/>
  <c r="O139" i="148"/>
  <c r="O140" i="148"/>
  <c r="O141" i="148"/>
  <c r="O142" i="148"/>
  <c r="O116" i="148"/>
  <c r="O117" i="148"/>
  <c r="O118" i="148"/>
  <c r="O119" i="148"/>
  <c r="O120" i="148"/>
  <c r="O121" i="148"/>
  <c r="O122" i="148"/>
  <c r="O123" i="148"/>
  <c r="O124" i="148"/>
  <c r="O125" i="148"/>
  <c r="O126" i="148"/>
  <c r="O127" i="148"/>
  <c r="O128" i="148"/>
  <c r="O129" i="148"/>
  <c r="O130" i="148"/>
  <c r="O131" i="148"/>
  <c r="O132" i="148"/>
  <c r="O133" i="148"/>
  <c r="O134" i="148"/>
  <c r="O115" i="148"/>
  <c r="O112" i="148"/>
  <c r="O113" i="148"/>
  <c r="O114" i="148"/>
  <c r="O105" i="148"/>
  <c r="O106" i="148"/>
  <c r="O107" i="148"/>
  <c r="O108" i="148"/>
  <c r="O109" i="148"/>
  <c r="O110" i="148"/>
  <c r="O111" i="148"/>
  <c r="O104" i="148"/>
  <c r="O53" i="148"/>
  <c r="O54" i="148"/>
  <c r="O55" i="148"/>
  <c r="O56" i="148"/>
  <c r="O57" i="148"/>
  <c r="O58" i="148"/>
  <c r="O59" i="148"/>
  <c r="O60" i="148"/>
  <c r="O61" i="148"/>
  <c r="O62" i="148"/>
  <c r="O63" i="148"/>
  <c r="O64" i="148"/>
  <c r="O65" i="148"/>
  <c r="O66" i="148"/>
  <c r="O67" i="148"/>
  <c r="O68" i="148"/>
  <c r="O69" i="148"/>
  <c r="O70" i="148"/>
  <c r="O71" i="148"/>
  <c r="O72" i="148"/>
  <c r="O73" i="148"/>
  <c r="O74" i="148"/>
  <c r="O75" i="148"/>
  <c r="O76" i="148"/>
  <c r="O77" i="148"/>
  <c r="O78" i="148"/>
  <c r="O79" i="148"/>
  <c r="O80" i="148"/>
  <c r="O81" i="148"/>
  <c r="O82" i="148"/>
  <c r="O83" i="148"/>
  <c r="O84" i="148"/>
  <c r="O85" i="148"/>
  <c r="O86" i="148"/>
  <c r="O87" i="148"/>
  <c r="O88" i="148"/>
  <c r="O89" i="148"/>
  <c r="O90" i="148"/>
  <c r="O91" i="148"/>
  <c r="O92" i="148"/>
  <c r="O93" i="148"/>
  <c r="O94" i="148"/>
  <c r="O95" i="148"/>
  <c r="O96" i="148"/>
  <c r="O97" i="148"/>
  <c r="O98" i="148"/>
  <c r="O99" i="148"/>
  <c r="O100" i="148"/>
  <c r="O101" i="148"/>
  <c r="O102" i="148"/>
  <c r="O103" i="148"/>
  <c r="O52" i="148"/>
  <c r="O35" i="148"/>
  <c r="O36" i="148"/>
  <c r="O37" i="148"/>
  <c r="O38" i="148"/>
  <c r="O39" i="148"/>
  <c r="O40" i="148"/>
  <c r="O41" i="148"/>
  <c r="O42" i="148"/>
  <c r="O43" i="148"/>
  <c r="O44" i="148"/>
  <c r="O45" i="148"/>
  <c r="O46" i="148"/>
  <c r="O47" i="148"/>
  <c r="O48" i="148"/>
  <c r="O49" i="148"/>
  <c r="O50" i="148"/>
  <c r="O51" i="148"/>
  <c r="O34" i="148"/>
  <c r="O7" i="148"/>
  <c r="O8" i="148"/>
  <c r="O9" i="148"/>
  <c r="O10" i="148"/>
  <c r="O11" i="148"/>
  <c r="O12" i="148"/>
  <c r="O13" i="148"/>
  <c r="O14" i="148"/>
  <c r="O15" i="148"/>
  <c r="O16" i="148"/>
  <c r="O17" i="148"/>
  <c r="O18" i="148"/>
  <c r="O19" i="148"/>
  <c r="O20" i="148"/>
  <c r="O21" i="148"/>
  <c r="O22" i="148"/>
  <c r="O23" i="148"/>
  <c r="O24" i="148"/>
  <c r="O25" i="148"/>
  <c r="O26" i="148"/>
  <c r="O27" i="148"/>
  <c r="O28" i="148"/>
  <c r="O29" i="148"/>
  <c r="O30" i="148"/>
  <c r="O31" i="148"/>
  <c r="O32" i="148"/>
  <c r="O33" i="148"/>
  <c r="O6" i="148"/>
  <c r="N313" i="148"/>
  <c r="N314" i="148"/>
  <c r="N315" i="148"/>
  <c r="N316" i="148"/>
  <c r="N317" i="148"/>
  <c r="N309" i="148"/>
  <c r="N310" i="148"/>
  <c r="N311" i="148"/>
  <c r="N312" i="148"/>
  <c r="N300" i="148"/>
  <c r="N301" i="148"/>
  <c r="N302" i="148"/>
  <c r="N303" i="148"/>
  <c r="N304" i="148"/>
  <c r="N305" i="148"/>
  <c r="N306" i="148"/>
  <c r="N307" i="148"/>
  <c r="N308" i="148"/>
  <c r="N298" i="148"/>
  <c r="N299" i="148"/>
  <c r="N297" i="148"/>
  <c r="N295" i="148"/>
  <c r="N296" i="148"/>
  <c r="N262" i="148"/>
  <c r="N263" i="148"/>
  <c r="N264" i="148"/>
  <c r="N265" i="148"/>
  <c r="N266" i="148"/>
  <c r="N267" i="148"/>
  <c r="N268" i="148"/>
  <c r="N269" i="148"/>
  <c r="N270" i="148"/>
  <c r="N271" i="148"/>
  <c r="N272" i="148"/>
  <c r="N273" i="148"/>
  <c r="N274" i="148"/>
  <c r="N275" i="148"/>
  <c r="N276" i="148"/>
  <c r="N277" i="148"/>
  <c r="N278" i="148"/>
  <c r="N279" i="148"/>
  <c r="N280" i="148"/>
  <c r="N281" i="148"/>
  <c r="N282" i="148"/>
  <c r="N283" i="148"/>
  <c r="N284" i="148"/>
  <c r="N285" i="148"/>
  <c r="N286" i="148"/>
  <c r="N287" i="148"/>
  <c r="N288" i="148"/>
  <c r="N289" i="148"/>
  <c r="N290" i="148"/>
  <c r="N291" i="148"/>
  <c r="N292" i="148"/>
  <c r="N293" i="148"/>
  <c r="N294" i="148"/>
  <c r="N261" i="148"/>
  <c r="N260" i="148"/>
  <c r="N259" i="148"/>
  <c r="N256" i="148"/>
  <c r="N257" i="148"/>
  <c r="N258" i="148"/>
  <c r="N255" i="148"/>
  <c r="N233" i="148"/>
  <c r="N234" i="148"/>
  <c r="N235" i="148"/>
  <c r="N236" i="148"/>
  <c r="N237" i="148"/>
  <c r="N238" i="148"/>
  <c r="N239" i="148"/>
  <c r="N240" i="148"/>
  <c r="N241" i="148"/>
  <c r="N242" i="148"/>
  <c r="N243" i="148"/>
  <c r="N244" i="148"/>
  <c r="N245" i="148"/>
  <c r="N246" i="148"/>
  <c r="N247" i="148"/>
  <c r="N248" i="148"/>
  <c r="N249" i="148"/>
  <c r="N250" i="148"/>
  <c r="N251" i="148"/>
  <c r="N252" i="148"/>
  <c r="N253" i="148"/>
  <c r="N254" i="148"/>
  <c r="N231" i="148"/>
  <c r="N232" i="148"/>
  <c r="N223" i="148"/>
  <c r="N224" i="148"/>
  <c r="N225" i="148"/>
  <c r="N226" i="148"/>
  <c r="N227" i="148"/>
  <c r="N228" i="148"/>
  <c r="N229" i="148"/>
  <c r="N230" i="148"/>
  <c r="N221" i="148"/>
  <c r="N222" i="148"/>
  <c r="N165" i="148"/>
  <c r="N166" i="148"/>
  <c r="N167" i="148"/>
  <c r="N168" i="148"/>
  <c r="N169" i="148"/>
  <c r="N170" i="148"/>
  <c r="N171" i="148"/>
  <c r="N172" i="148"/>
  <c r="N173" i="148"/>
  <c r="N174" i="148"/>
  <c r="N175" i="148"/>
  <c r="N176" i="148"/>
  <c r="N177" i="148"/>
  <c r="N178" i="148"/>
  <c r="N179" i="148"/>
  <c r="N180" i="148"/>
  <c r="N181" i="148"/>
  <c r="N182" i="148"/>
  <c r="N183" i="148"/>
  <c r="N184" i="148"/>
  <c r="N185" i="148"/>
  <c r="N186" i="148"/>
  <c r="N187" i="148"/>
  <c r="N188" i="148"/>
  <c r="N189" i="148"/>
  <c r="N190" i="148"/>
  <c r="N191" i="148"/>
  <c r="N192" i="148"/>
  <c r="N193" i="148"/>
  <c r="N194" i="148"/>
  <c r="N195" i="148"/>
  <c r="N196" i="148"/>
  <c r="N197" i="148"/>
  <c r="N198" i="148"/>
  <c r="N199" i="148"/>
  <c r="N200" i="148"/>
  <c r="N201" i="148"/>
  <c r="N202" i="148"/>
  <c r="N203" i="148"/>
  <c r="N204" i="148"/>
  <c r="N205" i="148"/>
  <c r="N206" i="148"/>
  <c r="N207" i="148"/>
  <c r="N208" i="148"/>
  <c r="N209" i="148"/>
  <c r="N210" i="148"/>
  <c r="N211" i="148"/>
  <c r="N212" i="148"/>
  <c r="N213" i="148"/>
  <c r="N214" i="148"/>
  <c r="N215" i="148"/>
  <c r="N216" i="148"/>
  <c r="N217" i="148"/>
  <c r="N218" i="148"/>
  <c r="N219" i="148"/>
  <c r="N220" i="148"/>
  <c r="N163" i="148"/>
  <c r="N164" i="148"/>
  <c r="N155" i="148"/>
  <c r="N156" i="148"/>
  <c r="N157" i="148"/>
  <c r="N158" i="148"/>
  <c r="N159" i="148"/>
  <c r="N160" i="148"/>
  <c r="N161" i="148"/>
  <c r="N162" i="148"/>
  <c r="N153" i="148"/>
  <c r="N154" i="148"/>
  <c r="N145" i="148"/>
  <c r="N146" i="148"/>
  <c r="N147" i="148"/>
  <c r="N148" i="148"/>
  <c r="N149" i="148"/>
  <c r="N150" i="148"/>
  <c r="N151" i="148"/>
  <c r="N152" i="148"/>
  <c r="N143" i="148"/>
  <c r="N144" i="148"/>
  <c r="N135" i="148"/>
  <c r="N136" i="148"/>
  <c r="N137" i="148"/>
  <c r="N138" i="148"/>
  <c r="N139" i="148"/>
  <c r="N140" i="148"/>
  <c r="N141" i="148"/>
  <c r="N142" i="148"/>
  <c r="N116" i="148"/>
  <c r="N117" i="148"/>
  <c r="N118" i="148"/>
  <c r="N119" i="148"/>
  <c r="N120" i="148"/>
  <c r="N121" i="148"/>
  <c r="N122" i="148"/>
  <c r="N123" i="148"/>
  <c r="N124" i="148"/>
  <c r="N125" i="148"/>
  <c r="N126" i="148"/>
  <c r="N127" i="148"/>
  <c r="N128" i="148"/>
  <c r="N129" i="148"/>
  <c r="N130" i="148"/>
  <c r="N131" i="148"/>
  <c r="N132" i="148"/>
  <c r="N133" i="148"/>
  <c r="N134" i="148"/>
  <c r="N115" i="148"/>
  <c r="N112" i="148"/>
  <c r="N113" i="148"/>
  <c r="N114" i="148"/>
  <c r="N105" i="148"/>
  <c r="N106" i="148"/>
  <c r="N107" i="148"/>
  <c r="N108" i="148"/>
  <c r="N109" i="148"/>
  <c r="N110" i="148"/>
  <c r="N111" i="148"/>
  <c r="N104" i="148"/>
  <c r="N53" i="148"/>
  <c r="N54" i="148"/>
  <c r="N55" i="148"/>
  <c r="N56" i="148"/>
  <c r="N57" i="148"/>
  <c r="N58" i="148"/>
  <c r="N59" i="148"/>
  <c r="N60" i="148"/>
  <c r="N61" i="148"/>
  <c r="N62" i="148"/>
  <c r="N63" i="148"/>
  <c r="N64" i="148"/>
  <c r="N65" i="148"/>
  <c r="N66" i="148"/>
  <c r="N67" i="148"/>
  <c r="N68" i="148"/>
  <c r="N69" i="148"/>
  <c r="N70" i="148"/>
  <c r="N71" i="148"/>
  <c r="N72" i="148"/>
  <c r="N73" i="148"/>
  <c r="N74" i="148"/>
  <c r="N75" i="148"/>
  <c r="N76" i="148"/>
  <c r="N77" i="148"/>
  <c r="N78" i="148"/>
  <c r="N79" i="148"/>
  <c r="N80" i="148"/>
  <c r="N81" i="148"/>
  <c r="N82" i="148"/>
  <c r="N83" i="148"/>
  <c r="N84" i="148"/>
  <c r="N85" i="148"/>
  <c r="N86" i="148"/>
  <c r="N87" i="148"/>
  <c r="N88" i="148"/>
  <c r="N89" i="148"/>
  <c r="N90" i="148"/>
  <c r="N91" i="148"/>
  <c r="N92" i="148"/>
  <c r="N93" i="148"/>
  <c r="N94" i="148"/>
  <c r="N95" i="148"/>
  <c r="N96" i="148"/>
  <c r="N97" i="148"/>
  <c r="N98" i="148"/>
  <c r="N99" i="148"/>
  <c r="N100" i="148"/>
  <c r="N101" i="148"/>
  <c r="N102" i="148"/>
  <c r="N103" i="148"/>
  <c r="N52" i="148"/>
  <c r="N35" i="148"/>
  <c r="N36" i="148"/>
  <c r="N37" i="148"/>
  <c r="N38" i="148"/>
  <c r="N39" i="148"/>
  <c r="N40" i="148"/>
  <c r="N41" i="148"/>
  <c r="N42" i="148"/>
  <c r="N43" i="148"/>
  <c r="N44" i="148"/>
  <c r="N45" i="148"/>
  <c r="N46" i="148"/>
  <c r="N47" i="148"/>
  <c r="N48" i="148"/>
  <c r="N49" i="148"/>
  <c r="N50" i="148"/>
  <c r="N51" i="148"/>
  <c r="N34" i="148"/>
  <c r="N7" i="148"/>
  <c r="N8" i="148"/>
  <c r="N9" i="148"/>
  <c r="N10" i="148"/>
  <c r="N11" i="148"/>
  <c r="N12" i="148"/>
  <c r="N13" i="148"/>
  <c r="N14" i="148"/>
  <c r="N15" i="148"/>
  <c r="N16" i="148"/>
  <c r="N17" i="148"/>
  <c r="N18" i="148"/>
  <c r="N19" i="148"/>
  <c r="N20" i="148"/>
  <c r="N21" i="148"/>
  <c r="N22" i="148"/>
  <c r="N23" i="148"/>
  <c r="N24" i="148"/>
  <c r="N25" i="148"/>
  <c r="N26" i="148"/>
  <c r="N27" i="148"/>
  <c r="N28" i="148"/>
  <c r="N29" i="148"/>
  <c r="N30" i="148"/>
  <c r="N31" i="148"/>
  <c r="N32" i="148"/>
  <c r="N33" i="148"/>
  <c r="N6" i="148"/>
  <c r="M313" i="148"/>
  <c r="M314" i="148"/>
  <c r="M315" i="148"/>
  <c r="M316" i="148"/>
  <c r="M317" i="148"/>
  <c r="M311" i="148"/>
  <c r="M312" i="148"/>
  <c r="M300" i="148"/>
  <c r="M301" i="148"/>
  <c r="M302" i="148"/>
  <c r="M303" i="148"/>
  <c r="M304" i="148"/>
  <c r="M305" i="148"/>
  <c r="M306" i="148"/>
  <c r="M307" i="148"/>
  <c r="M308" i="148"/>
  <c r="M309" i="148"/>
  <c r="M310" i="148"/>
  <c r="M297" i="148"/>
  <c r="M298" i="148"/>
  <c r="M299" i="148"/>
  <c r="M294" i="148"/>
  <c r="M295" i="148"/>
  <c r="M296" i="148"/>
  <c r="M289" i="148"/>
  <c r="M290" i="148"/>
  <c r="M291" i="148"/>
  <c r="M292" i="148"/>
  <c r="M293" i="148"/>
  <c r="M288" i="148"/>
  <c r="M262" i="148"/>
  <c r="M263" i="148"/>
  <c r="M264" i="148"/>
  <c r="M265" i="148"/>
  <c r="M266" i="148"/>
  <c r="M267" i="148"/>
  <c r="M268" i="148"/>
  <c r="M269" i="148"/>
  <c r="M270" i="148"/>
  <c r="M271" i="148"/>
  <c r="M272" i="148"/>
  <c r="M273" i="148"/>
  <c r="M274" i="148"/>
  <c r="M275" i="148"/>
  <c r="M276" i="148"/>
  <c r="M277" i="148"/>
  <c r="M278" i="148"/>
  <c r="M279" i="148"/>
  <c r="M280" i="148"/>
  <c r="M281" i="148"/>
  <c r="M282" i="148"/>
  <c r="M283" i="148"/>
  <c r="M284" i="148"/>
  <c r="M285" i="148"/>
  <c r="M286" i="148"/>
  <c r="M287" i="148"/>
  <c r="M260" i="148"/>
  <c r="M261" i="148"/>
  <c r="M233" i="148"/>
  <c r="M234" i="148"/>
  <c r="M235" i="148"/>
  <c r="M236" i="148"/>
  <c r="M237" i="148"/>
  <c r="M238" i="148"/>
  <c r="M239" i="148"/>
  <c r="M240" i="148"/>
  <c r="M241" i="148"/>
  <c r="M242" i="148"/>
  <c r="M243" i="148"/>
  <c r="M244" i="148"/>
  <c r="M245" i="148"/>
  <c r="M246" i="148"/>
  <c r="M247" i="148"/>
  <c r="M248" i="148"/>
  <c r="M249" i="148"/>
  <c r="M250" i="148"/>
  <c r="M251" i="148"/>
  <c r="M252" i="148"/>
  <c r="M253" i="148"/>
  <c r="M254" i="148"/>
  <c r="M255" i="148"/>
  <c r="M256" i="148"/>
  <c r="M257" i="148"/>
  <c r="M258" i="148"/>
  <c r="M259" i="148"/>
  <c r="M231" i="148"/>
  <c r="M232" i="148"/>
  <c r="M223" i="148"/>
  <c r="M224" i="148"/>
  <c r="M225" i="148"/>
  <c r="M226" i="148"/>
  <c r="M227" i="148"/>
  <c r="M228" i="148"/>
  <c r="M229" i="148"/>
  <c r="M230" i="148"/>
  <c r="M221" i="148"/>
  <c r="M222" i="148"/>
  <c r="M165" i="148"/>
  <c r="M166" i="148"/>
  <c r="M167" i="148"/>
  <c r="M168" i="148"/>
  <c r="M169" i="148"/>
  <c r="M170" i="148"/>
  <c r="M171" i="148"/>
  <c r="M172" i="148"/>
  <c r="M173" i="148"/>
  <c r="M174" i="148"/>
  <c r="M175" i="148"/>
  <c r="M176" i="148"/>
  <c r="M177" i="148"/>
  <c r="M178" i="148"/>
  <c r="M179" i="148"/>
  <c r="M180" i="148"/>
  <c r="M181" i="148"/>
  <c r="M182" i="148"/>
  <c r="M183" i="148"/>
  <c r="M184" i="148"/>
  <c r="M185" i="148"/>
  <c r="M186" i="148"/>
  <c r="M187" i="148"/>
  <c r="M188" i="148"/>
  <c r="M189" i="148"/>
  <c r="M190" i="148"/>
  <c r="M191" i="148"/>
  <c r="M192" i="148"/>
  <c r="M193" i="148"/>
  <c r="M194" i="148"/>
  <c r="M195" i="148"/>
  <c r="M196" i="148"/>
  <c r="M197" i="148"/>
  <c r="M198" i="148"/>
  <c r="M199" i="148"/>
  <c r="M200" i="148"/>
  <c r="M201" i="148"/>
  <c r="M202" i="148"/>
  <c r="M203" i="148"/>
  <c r="M204" i="148"/>
  <c r="M205" i="148"/>
  <c r="M206" i="148"/>
  <c r="M207" i="148"/>
  <c r="M208" i="148"/>
  <c r="M209" i="148"/>
  <c r="M210" i="148"/>
  <c r="M211" i="148"/>
  <c r="M212" i="148"/>
  <c r="M213" i="148"/>
  <c r="M214" i="148"/>
  <c r="M215" i="148"/>
  <c r="M216" i="148"/>
  <c r="M217" i="148"/>
  <c r="M218" i="148"/>
  <c r="M219" i="148"/>
  <c r="M220" i="148"/>
  <c r="M163" i="148"/>
  <c r="M164" i="148"/>
  <c r="M155" i="148"/>
  <c r="M156" i="148"/>
  <c r="M157" i="148"/>
  <c r="M158" i="148"/>
  <c r="M159" i="148"/>
  <c r="M160" i="148"/>
  <c r="M161" i="148"/>
  <c r="M162" i="148"/>
  <c r="M153" i="148"/>
  <c r="M154" i="148"/>
  <c r="M145" i="148"/>
  <c r="M146" i="148"/>
  <c r="M147" i="148"/>
  <c r="M148" i="148"/>
  <c r="M149" i="148"/>
  <c r="M150" i="148"/>
  <c r="M151" i="148"/>
  <c r="M152" i="148"/>
  <c r="M143" i="148"/>
  <c r="M144" i="148"/>
  <c r="M135" i="148"/>
  <c r="M136" i="148"/>
  <c r="M137" i="148"/>
  <c r="M138" i="148"/>
  <c r="M139" i="148"/>
  <c r="M140" i="148"/>
  <c r="M141" i="148"/>
  <c r="M142" i="148"/>
  <c r="M116" i="148"/>
  <c r="M117" i="148"/>
  <c r="M118" i="148"/>
  <c r="M119" i="148"/>
  <c r="M120" i="148"/>
  <c r="M121" i="148"/>
  <c r="M122" i="148"/>
  <c r="M123" i="148"/>
  <c r="M124" i="148"/>
  <c r="M125" i="148"/>
  <c r="M126" i="148"/>
  <c r="M127" i="148"/>
  <c r="M128" i="148"/>
  <c r="M129" i="148"/>
  <c r="M130" i="148"/>
  <c r="M131" i="148"/>
  <c r="M132" i="148"/>
  <c r="M133" i="148"/>
  <c r="M134" i="148"/>
  <c r="M115" i="148"/>
  <c r="M112" i="148"/>
  <c r="M113" i="148"/>
  <c r="M114" i="148"/>
  <c r="M105" i="148"/>
  <c r="M106" i="148"/>
  <c r="M107" i="148"/>
  <c r="M108" i="148"/>
  <c r="M109" i="148"/>
  <c r="M110" i="148"/>
  <c r="M111" i="148"/>
  <c r="M104" i="148"/>
  <c r="M35" i="148"/>
  <c r="M36" i="148"/>
  <c r="M37" i="148"/>
  <c r="M38" i="148"/>
  <c r="M39" i="148"/>
  <c r="M40" i="148"/>
  <c r="M41" i="148"/>
  <c r="M42" i="148"/>
  <c r="M43" i="148"/>
  <c r="M44" i="148"/>
  <c r="M45" i="148"/>
  <c r="M46" i="148"/>
  <c r="M47" i="148"/>
  <c r="M48" i="148"/>
  <c r="M49" i="148"/>
  <c r="M50" i="148"/>
  <c r="M51" i="148"/>
  <c r="M52" i="148"/>
  <c r="M53" i="148"/>
  <c r="M54" i="148"/>
  <c r="M55" i="148"/>
  <c r="M56" i="148"/>
  <c r="M57" i="148"/>
  <c r="M58" i="148"/>
  <c r="M59" i="148"/>
  <c r="M60" i="148"/>
  <c r="M61" i="148"/>
  <c r="M62" i="148"/>
  <c r="M63" i="148"/>
  <c r="M64" i="148"/>
  <c r="M65" i="148"/>
  <c r="M66" i="148"/>
  <c r="M67" i="148"/>
  <c r="M68" i="148"/>
  <c r="M69" i="148"/>
  <c r="M70" i="148"/>
  <c r="M71" i="148"/>
  <c r="M72" i="148"/>
  <c r="M73" i="148"/>
  <c r="M74" i="148"/>
  <c r="M75" i="148"/>
  <c r="M76" i="148"/>
  <c r="M77" i="148"/>
  <c r="M78" i="148"/>
  <c r="M79" i="148"/>
  <c r="M80" i="148"/>
  <c r="M81" i="148"/>
  <c r="M82" i="148"/>
  <c r="M83" i="148"/>
  <c r="M84" i="148"/>
  <c r="M85" i="148"/>
  <c r="M86" i="148"/>
  <c r="M87" i="148"/>
  <c r="M88" i="148"/>
  <c r="M89" i="148"/>
  <c r="M90" i="148"/>
  <c r="M91" i="148"/>
  <c r="M92" i="148"/>
  <c r="M93" i="148"/>
  <c r="M94" i="148"/>
  <c r="M95" i="148"/>
  <c r="M96" i="148"/>
  <c r="M97" i="148"/>
  <c r="M98" i="148"/>
  <c r="M99" i="148"/>
  <c r="M100" i="148"/>
  <c r="M101" i="148"/>
  <c r="M102" i="148"/>
  <c r="M103" i="148"/>
  <c r="M34" i="148"/>
  <c r="M7" i="148"/>
  <c r="M8" i="148"/>
  <c r="M9" i="148"/>
  <c r="M10" i="148"/>
  <c r="M11" i="148"/>
  <c r="M12" i="148"/>
  <c r="M13" i="148"/>
  <c r="M14" i="148"/>
  <c r="M15" i="148"/>
  <c r="M16" i="148"/>
  <c r="M17" i="148"/>
  <c r="M18" i="148"/>
  <c r="M19" i="148"/>
  <c r="M20" i="148"/>
  <c r="M21" i="148"/>
  <c r="M22" i="148"/>
  <c r="M23" i="148"/>
  <c r="M24" i="148"/>
  <c r="M25" i="148"/>
  <c r="M26" i="148"/>
  <c r="M27" i="148"/>
  <c r="M28" i="148"/>
  <c r="M29" i="148"/>
  <c r="M30" i="148"/>
  <c r="M31" i="148"/>
  <c r="M32" i="148"/>
  <c r="M33" i="148"/>
  <c r="M6" i="148"/>
  <c r="L313" i="148"/>
  <c r="L314" i="148"/>
  <c r="L315" i="148"/>
  <c r="L316" i="148"/>
  <c r="L317" i="148"/>
  <c r="L311" i="148"/>
  <c r="L312" i="148"/>
  <c r="L300" i="148"/>
  <c r="L301" i="148"/>
  <c r="L302" i="148"/>
  <c r="L303" i="148"/>
  <c r="L304" i="148"/>
  <c r="L305" i="148"/>
  <c r="L306" i="148"/>
  <c r="L307" i="148"/>
  <c r="L308" i="148"/>
  <c r="L309" i="148"/>
  <c r="L310" i="148"/>
  <c r="L297" i="148"/>
  <c r="L298" i="148"/>
  <c r="L299" i="148"/>
  <c r="L294" i="148"/>
  <c r="L295" i="148"/>
  <c r="L296" i="148"/>
  <c r="L289" i="148"/>
  <c r="L290" i="148"/>
  <c r="L291" i="148"/>
  <c r="L292" i="148"/>
  <c r="L293" i="148"/>
  <c r="L288" i="148"/>
  <c r="L262" i="148"/>
  <c r="L263" i="148"/>
  <c r="L264" i="148"/>
  <c r="L265" i="148"/>
  <c r="L266" i="148"/>
  <c r="L267" i="148"/>
  <c r="L268" i="148"/>
  <c r="L269" i="148"/>
  <c r="L270" i="148"/>
  <c r="L271" i="148"/>
  <c r="L272" i="148"/>
  <c r="L273" i="148"/>
  <c r="L274" i="148"/>
  <c r="L275" i="148"/>
  <c r="L276" i="148"/>
  <c r="L277" i="148"/>
  <c r="L278" i="148"/>
  <c r="L279" i="148"/>
  <c r="L280" i="148"/>
  <c r="L281" i="148"/>
  <c r="L282" i="148"/>
  <c r="L283" i="148"/>
  <c r="L284" i="148"/>
  <c r="L285" i="148"/>
  <c r="L286" i="148"/>
  <c r="L287" i="148"/>
  <c r="L260" i="148"/>
  <c r="L261" i="148"/>
  <c r="L233" i="148"/>
  <c r="L234" i="148"/>
  <c r="L235" i="148"/>
  <c r="L236" i="148"/>
  <c r="L237" i="148"/>
  <c r="L238" i="148"/>
  <c r="L239" i="148"/>
  <c r="L240" i="148"/>
  <c r="L241" i="148"/>
  <c r="L242" i="148"/>
  <c r="L243" i="148"/>
  <c r="L244" i="148"/>
  <c r="L245" i="148"/>
  <c r="L246" i="148"/>
  <c r="L247" i="148"/>
  <c r="L248" i="148"/>
  <c r="L249" i="148"/>
  <c r="L250" i="148"/>
  <c r="L251" i="148"/>
  <c r="L252" i="148"/>
  <c r="L253" i="148"/>
  <c r="L254" i="148"/>
  <c r="L255" i="148"/>
  <c r="L256" i="148"/>
  <c r="L257" i="148"/>
  <c r="L258" i="148"/>
  <c r="L259" i="148"/>
  <c r="L231" i="148"/>
  <c r="L232" i="148"/>
  <c r="L223" i="148"/>
  <c r="L224" i="148"/>
  <c r="L225" i="148"/>
  <c r="L226" i="148"/>
  <c r="L227" i="148"/>
  <c r="L228" i="148"/>
  <c r="L229" i="148"/>
  <c r="L230" i="148"/>
  <c r="L221" i="148"/>
  <c r="L222" i="148"/>
  <c r="L165" i="148"/>
  <c r="L166" i="148"/>
  <c r="L167" i="148"/>
  <c r="L168" i="148"/>
  <c r="L169" i="148"/>
  <c r="L170" i="148"/>
  <c r="L171" i="148"/>
  <c r="L172" i="148"/>
  <c r="L173" i="148"/>
  <c r="L174" i="148"/>
  <c r="L175" i="148"/>
  <c r="L176" i="148"/>
  <c r="L177" i="148"/>
  <c r="L178" i="148"/>
  <c r="L179" i="148"/>
  <c r="L180" i="148"/>
  <c r="L181" i="148"/>
  <c r="L182" i="148"/>
  <c r="L183" i="148"/>
  <c r="L184" i="148"/>
  <c r="L185" i="148"/>
  <c r="L186" i="148"/>
  <c r="L187" i="148"/>
  <c r="L188" i="148"/>
  <c r="L189" i="148"/>
  <c r="L190" i="148"/>
  <c r="L191" i="148"/>
  <c r="L192" i="148"/>
  <c r="L193" i="148"/>
  <c r="L194" i="148"/>
  <c r="L195" i="148"/>
  <c r="L196" i="148"/>
  <c r="L197" i="148"/>
  <c r="L198" i="148"/>
  <c r="L199" i="148"/>
  <c r="L200" i="148"/>
  <c r="L201" i="148"/>
  <c r="L202" i="148"/>
  <c r="L203" i="148"/>
  <c r="L204" i="148"/>
  <c r="L205" i="148"/>
  <c r="L206" i="148"/>
  <c r="L207" i="148"/>
  <c r="L208" i="148"/>
  <c r="L209" i="148"/>
  <c r="L210" i="148"/>
  <c r="L211" i="148"/>
  <c r="L212" i="148"/>
  <c r="L213" i="148"/>
  <c r="L214" i="148"/>
  <c r="L215" i="148"/>
  <c r="L216" i="148"/>
  <c r="L217" i="148"/>
  <c r="L218" i="148"/>
  <c r="L219" i="148"/>
  <c r="L220" i="148"/>
  <c r="L163" i="148"/>
  <c r="L164" i="148"/>
  <c r="L155" i="148"/>
  <c r="L156" i="148"/>
  <c r="L157" i="148"/>
  <c r="L158" i="148"/>
  <c r="L159" i="148"/>
  <c r="L160" i="148"/>
  <c r="L161" i="148"/>
  <c r="L162" i="148"/>
  <c r="L153" i="148"/>
  <c r="L154" i="148"/>
  <c r="L145" i="148"/>
  <c r="L146" i="148"/>
  <c r="L147" i="148"/>
  <c r="L148" i="148"/>
  <c r="L149" i="148"/>
  <c r="L150" i="148"/>
  <c r="L151" i="148"/>
  <c r="L152" i="148"/>
  <c r="L143" i="148"/>
  <c r="L144" i="148"/>
  <c r="L135" i="148"/>
  <c r="L136" i="148"/>
  <c r="L137" i="148"/>
  <c r="L138" i="148"/>
  <c r="L139" i="148"/>
  <c r="L140" i="148"/>
  <c r="L141" i="148"/>
  <c r="L142" i="148"/>
  <c r="L116" i="148"/>
  <c r="L117" i="148"/>
  <c r="L118" i="148"/>
  <c r="L119" i="148"/>
  <c r="L120" i="148"/>
  <c r="L121" i="148"/>
  <c r="L122" i="148"/>
  <c r="L123" i="148"/>
  <c r="L124" i="148"/>
  <c r="L125" i="148"/>
  <c r="L126" i="148"/>
  <c r="L127" i="148"/>
  <c r="L128" i="148"/>
  <c r="L129" i="148"/>
  <c r="L130" i="148"/>
  <c r="L131" i="148"/>
  <c r="L132" i="148"/>
  <c r="L133" i="148"/>
  <c r="L134" i="148"/>
  <c r="L115" i="148"/>
  <c r="L112" i="148"/>
  <c r="L113" i="148"/>
  <c r="L114" i="148"/>
  <c r="L105" i="148"/>
  <c r="L106" i="148"/>
  <c r="L107" i="148"/>
  <c r="L108" i="148"/>
  <c r="L109" i="148"/>
  <c r="L110" i="148"/>
  <c r="L111" i="148"/>
  <c r="L104" i="148"/>
  <c r="L35" i="148"/>
  <c r="L36" i="148"/>
  <c r="L37" i="148"/>
  <c r="L38" i="148"/>
  <c r="L39" i="148"/>
  <c r="L40" i="148"/>
  <c r="L41" i="148"/>
  <c r="L42" i="148"/>
  <c r="L43" i="148"/>
  <c r="L44" i="148"/>
  <c r="L45" i="148"/>
  <c r="L46" i="148"/>
  <c r="L47" i="148"/>
  <c r="L48" i="148"/>
  <c r="L49" i="148"/>
  <c r="L50" i="148"/>
  <c r="L51" i="148"/>
  <c r="L52" i="148"/>
  <c r="L53" i="148"/>
  <c r="L54" i="148"/>
  <c r="L55" i="148"/>
  <c r="L56" i="148"/>
  <c r="L57" i="148"/>
  <c r="L58" i="148"/>
  <c r="L59" i="148"/>
  <c r="L60" i="148"/>
  <c r="L61" i="148"/>
  <c r="L62" i="148"/>
  <c r="L63" i="148"/>
  <c r="L64" i="148"/>
  <c r="L65" i="148"/>
  <c r="L66" i="148"/>
  <c r="L67" i="148"/>
  <c r="L68" i="148"/>
  <c r="L69" i="148"/>
  <c r="L70" i="148"/>
  <c r="L71" i="148"/>
  <c r="L72" i="148"/>
  <c r="L73" i="148"/>
  <c r="L74" i="148"/>
  <c r="L75" i="148"/>
  <c r="L76" i="148"/>
  <c r="L77" i="148"/>
  <c r="L78" i="148"/>
  <c r="L79" i="148"/>
  <c r="L80" i="148"/>
  <c r="L81" i="148"/>
  <c r="L82" i="148"/>
  <c r="L83" i="148"/>
  <c r="L84" i="148"/>
  <c r="L85" i="148"/>
  <c r="L86" i="148"/>
  <c r="L87" i="148"/>
  <c r="L88" i="148"/>
  <c r="L89" i="148"/>
  <c r="L90" i="148"/>
  <c r="L91" i="148"/>
  <c r="L92" i="148"/>
  <c r="L93" i="148"/>
  <c r="L94" i="148"/>
  <c r="L95" i="148"/>
  <c r="L96" i="148"/>
  <c r="L97" i="148"/>
  <c r="L98" i="148"/>
  <c r="L99" i="148"/>
  <c r="L100" i="148"/>
  <c r="L101" i="148"/>
  <c r="L102" i="148"/>
  <c r="L103" i="148"/>
  <c r="L34" i="148"/>
  <c r="L7" i="148"/>
  <c r="L8" i="148"/>
  <c r="L9" i="148"/>
  <c r="L10" i="148"/>
  <c r="L11" i="148"/>
  <c r="L12" i="148"/>
  <c r="L13" i="148"/>
  <c r="L14" i="148"/>
  <c r="L15" i="148"/>
  <c r="L16" i="148"/>
  <c r="L17" i="148"/>
  <c r="L18" i="148"/>
  <c r="L19" i="148"/>
  <c r="L20" i="148"/>
  <c r="L21" i="148"/>
  <c r="L22" i="148"/>
  <c r="L23" i="148"/>
  <c r="L24" i="148"/>
  <c r="L25" i="148"/>
  <c r="L26" i="148"/>
  <c r="L27" i="148"/>
  <c r="L28" i="148"/>
  <c r="L29" i="148"/>
  <c r="L30" i="148"/>
  <c r="L31" i="148"/>
  <c r="L32" i="148"/>
  <c r="L33" i="148"/>
  <c r="L6" i="148"/>
  <c r="I311" i="148"/>
  <c r="I312" i="148"/>
  <c r="I313" i="148"/>
  <c r="I314" i="148"/>
  <c r="I315" i="148"/>
  <c r="I316" i="148"/>
  <c r="I317" i="148"/>
  <c r="I309" i="148"/>
  <c r="I310" i="148"/>
  <c r="I297" i="148"/>
  <c r="I298" i="148"/>
  <c r="I299" i="148"/>
  <c r="I300" i="148"/>
  <c r="I301" i="148"/>
  <c r="I302" i="148"/>
  <c r="I303" i="148"/>
  <c r="I304" i="148"/>
  <c r="I305" i="148"/>
  <c r="I306" i="148"/>
  <c r="I307" i="148"/>
  <c r="I308" i="148"/>
  <c r="I295" i="148"/>
  <c r="I296" i="148"/>
  <c r="I262" i="148"/>
  <c r="I263" i="148"/>
  <c r="I264" i="148"/>
  <c r="I265" i="148"/>
  <c r="I266" i="148"/>
  <c r="I267" i="148"/>
  <c r="I268" i="148"/>
  <c r="I269" i="148"/>
  <c r="I270" i="148"/>
  <c r="I271" i="148"/>
  <c r="I272" i="148"/>
  <c r="I273" i="148"/>
  <c r="I274" i="148"/>
  <c r="I275" i="148"/>
  <c r="I276" i="148"/>
  <c r="I277" i="148"/>
  <c r="I278" i="148"/>
  <c r="I279" i="148"/>
  <c r="I280" i="148"/>
  <c r="I281" i="148"/>
  <c r="I282" i="148"/>
  <c r="I283" i="148"/>
  <c r="I284" i="148"/>
  <c r="I285" i="148"/>
  <c r="I286" i="148"/>
  <c r="I287" i="148"/>
  <c r="I288" i="148"/>
  <c r="I289" i="148"/>
  <c r="I290" i="148"/>
  <c r="I291" i="148"/>
  <c r="I292" i="148"/>
  <c r="I293" i="148"/>
  <c r="I294" i="148"/>
  <c r="I261" i="148"/>
  <c r="I233" i="148"/>
  <c r="I234" i="148"/>
  <c r="I235" i="148"/>
  <c r="I236" i="148"/>
  <c r="I237" i="148"/>
  <c r="I238" i="148"/>
  <c r="I239" i="148"/>
  <c r="I240" i="148"/>
  <c r="I241" i="148"/>
  <c r="I242" i="148"/>
  <c r="I243" i="148"/>
  <c r="I244" i="148"/>
  <c r="I245" i="148"/>
  <c r="I246" i="148"/>
  <c r="I247" i="148"/>
  <c r="I248" i="148"/>
  <c r="I249" i="148"/>
  <c r="I250" i="148"/>
  <c r="I251" i="148"/>
  <c r="I252" i="148"/>
  <c r="I253" i="148"/>
  <c r="I254" i="148"/>
  <c r="I255" i="148"/>
  <c r="I256" i="148"/>
  <c r="I257" i="148"/>
  <c r="I258" i="148"/>
  <c r="I259" i="148"/>
  <c r="I260" i="148"/>
  <c r="I231" i="148"/>
  <c r="I232" i="148"/>
  <c r="I223" i="148"/>
  <c r="I224" i="148"/>
  <c r="I225" i="148"/>
  <c r="I226" i="148"/>
  <c r="I227" i="148"/>
  <c r="I228" i="148"/>
  <c r="I229" i="148"/>
  <c r="I230" i="148"/>
  <c r="I221" i="148"/>
  <c r="I222" i="148"/>
  <c r="I165" i="148"/>
  <c r="I166" i="148"/>
  <c r="I167" i="148"/>
  <c r="I168" i="148"/>
  <c r="I169" i="148"/>
  <c r="I170" i="148"/>
  <c r="I171" i="148"/>
  <c r="I172" i="148"/>
  <c r="I173" i="148"/>
  <c r="I174" i="148"/>
  <c r="I175" i="148"/>
  <c r="I176" i="148"/>
  <c r="I177" i="148"/>
  <c r="I178" i="148"/>
  <c r="I179" i="148"/>
  <c r="I180" i="148"/>
  <c r="I181" i="148"/>
  <c r="I182" i="148"/>
  <c r="I183" i="148"/>
  <c r="I184" i="148"/>
  <c r="I185" i="148"/>
  <c r="I186" i="148"/>
  <c r="I187" i="148"/>
  <c r="I188" i="148"/>
  <c r="I189" i="148"/>
  <c r="I190" i="148"/>
  <c r="I191" i="148"/>
  <c r="I192" i="148"/>
  <c r="I193" i="148"/>
  <c r="I194" i="148"/>
  <c r="I195" i="148"/>
  <c r="I196" i="148"/>
  <c r="I197" i="148"/>
  <c r="I198" i="148"/>
  <c r="I199" i="148"/>
  <c r="I200" i="148"/>
  <c r="I201" i="148"/>
  <c r="I202" i="148"/>
  <c r="I203" i="148"/>
  <c r="I204" i="148"/>
  <c r="I205" i="148"/>
  <c r="I206" i="148"/>
  <c r="I207" i="148"/>
  <c r="I208" i="148"/>
  <c r="I209" i="148"/>
  <c r="I210" i="148"/>
  <c r="I211" i="148"/>
  <c r="I212" i="148"/>
  <c r="I213" i="148"/>
  <c r="I214" i="148"/>
  <c r="I215" i="148"/>
  <c r="I216" i="148"/>
  <c r="I217" i="148"/>
  <c r="I218" i="148"/>
  <c r="I219" i="148"/>
  <c r="I220" i="148"/>
  <c r="I163" i="148"/>
  <c r="I164" i="148"/>
  <c r="I153" i="148"/>
  <c r="I154" i="148"/>
  <c r="I155" i="148"/>
  <c r="I156" i="148"/>
  <c r="I157" i="148"/>
  <c r="I158" i="148"/>
  <c r="I159" i="148"/>
  <c r="I160" i="148"/>
  <c r="I161" i="148"/>
  <c r="I162" i="148"/>
  <c r="I145" i="148"/>
  <c r="I146" i="148"/>
  <c r="I147" i="148"/>
  <c r="I148" i="148"/>
  <c r="I149" i="148"/>
  <c r="I150" i="148"/>
  <c r="I151" i="148"/>
  <c r="I152" i="148"/>
  <c r="I143" i="148"/>
  <c r="I144" i="148"/>
  <c r="I135" i="148"/>
  <c r="I136" i="148"/>
  <c r="I137" i="148"/>
  <c r="I138" i="148"/>
  <c r="I139" i="148"/>
  <c r="I140" i="148"/>
  <c r="I141" i="148"/>
  <c r="I142" i="148"/>
  <c r="I116" i="148"/>
  <c r="I117" i="148"/>
  <c r="I118" i="148"/>
  <c r="I119" i="148"/>
  <c r="I120" i="148"/>
  <c r="I121" i="148"/>
  <c r="I122" i="148"/>
  <c r="I123" i="148"/>
  <c r="I124" i="148"/>
  <c r="I125" i="148"/>
  <c r="I126" i="148"/>
  <c r="I127" i="148"/>
  <c r="I128" i="148"/>
  <c r="I129" i="148"/>
  <c r="I130" i="148"/>
  <c r="I131" i="148"/>
  <c r="I132" i="148"/>
  <c r="I133" i="148"/>
  <c r="I134" i="148"/>
  <c r="I115" i="148"/>
  <c r="I112" i="148"/>
  <c r="I113" i="148"/>
  <c r="I114" i="148"/>
  <c r="I105" i="148"/>
  <c r="I106" i="148"/>
  <c r="I107" i="148"/>
  <c r="I108" i="148"/>
  <c r="I109" i="148"/>
  <c r="I110" i="148"/>
  <c r="I111" i="148"/>
  <c r="I104" i="148"/>
  <c r="I35" i="148"/>
  <c r="I36" i="148"/>
  <c r="I37" i="148"/>
  <c r="I38" i="148"/>
  <c r="I39" i="148"/>
  <c r="I40" i="148"/>
  <c r="I41" i="148"/>
  <c r="I42" i="148"/>
  <c r="I43" i="148"/>
  <c r="I44" i="148"/>
  <c r="I45" i="148"/>
  <c r="I46" i="148"/>
  <c r="I47" i="148"/>
  <c r="I48" i="148"/>
  <c r="I49" i="148"/>
  <c r="I50" i="148"/>
  <c r="I51" i="148"/>
  <c r="I52" i="148"/>
  <c r="I53" i="148"/>
  <c r="I54" i="148"/>
  <c r="I55" i="148"/>
  <c r="I56" i="148"/>
  <c r="I57" i="148"/>
  <c r="I58" i="148"/>
  <c r="I59" i="148"/>
  <c r="I60" i="148"/>
  <c r="I61" i="148"/>
  <c r="I62" i="148"/>
  <c r="I63" i="148"/>
  <c r="I64" i="148"/>
  <c r="I65" i="148"/>
  <c r="I66" i="148"/>
  <c r="I67" i="148"/>
  <c r="I68" i="148"/>
  <c r="I69" i="148"/>
  <c r="I70" i="148"/>
  <c r="I71" i="148"/>
  <c r="I72" i="148"/>
  <c r="I73" i="148"/>
  <c r="I74" i="148"/>
  <c r="I75" i="148"/>
  <c r="I76" i="148"/>
  <c r="I77" i="148"/>
  <c r="I78" i="148"/>
  <c r="I79" i="148"/>
  <c r="I80" i="148"/>
  <c r="I81" i="148"/>
  <c r="I82" i="148"/>
  <c r="I83" i="148"/>
  <c r="I84" i="148"/>
  <c r="I85" i="148"/>
  <c r="I86" i="148"/>
  <c r="I87" i="148"/>
  <c r="I88" i="148"/>
  <c r="I89" i="148"/>
  <c r="I90" i="148"/>
  <c r="I91" i="148"/>
  <c r="I92" i="148"/>
  <c r="I93" i="148"/>
  <c r="I94" i="148"/>
  <c r="I95" i="148"/>
  <c r="I96" i="148"/>
  <c r="I97" i="148"/>
  <c r="I98" i="148"/>
  <c r="I99" i="148"/>
  <c r="I100" i="148"/>
  <c r="I101" i="148"/>
  <c r="I102" i="148"/>
  <c r="I103" i="148"/>
  <c r="I34" i="148"/>
  <c r="I7" i="148"/>
  <c r="I8" i="148"/>
  <c r="I9" i="148"/>
  <c r="I10" i="148"/>
  <c r="I11" i="148"/>
  <c r="I12" i="148"/>
  <c r="I13" i="148"/>
  <c r="I14" i="148"/>
  <c r="I15" i="148"/>
  <c r="I16" i="148"/>
  <c r="I17" i="148"/>
  <c r="I18" i="148"/>
  <c r="I19" i="148"/>
  <c r="I20" i="148"/>
  <c r="I21" i="148"/>
  <c r="I22" i="148"/>
  <c r="I23" i="148"/>
  <c r="I24" i="148"/>
  <c r="I25" i="148"/>
  <c r="I26" i="148"/>
  <c r="I27" i="148"/>
  <c r="I28" i="148"/>
  <c r="I29" i="148"/>
  <c r="I30" i="148"/>
  <c r="I31" i="148"/>
  <c r="I32" i="148"/>
  <c r="I33" i="148"/>
  <c r="H7" i="148" a="1"/>
  <c r="H7" i="148" s="1"/>
  <c r="H8" i="148" a="1"/>
  <c r="H8" i="148" s="1"/>
  <c r="H9" i="148" a="1"/>
  <c r="H9" i="148" s="1"/>
  <c r="H10" i="148" a="1"/>
  <c r="H10" i="148" s="1"/>
  <c r="H11" i="148" a="1"/>
  <c r="H11" i="148" s="1"/>
  <c r="H12" i="148" a="1"/>
  <c r="H12" i="148" s="1"/>
  <c r="H13" i="148" a="1"/>
  <c r="H13" i="148" s="1"/>
  <c r="H14" i="148" a="1"/>
  <c r="H14" i="148" s="1"/>
  <c r="H15" i="148" a="1"/>
  <c r="H15" i="148" s="1"/>
  <c r="H16" i="148" a="1"/>
  <c r="H16" i="148" s="1"/>
  <c r="H17" i="148" a="1"/>
  <c r="H17" i="148" s="1"/>
  <c r="H18" i="148" a="1"/>
  <c r="H18" i="148" s="1"/>
  <c r="H19" i="148" a="1"/>
  <c r="H19" i="148" s="1"/>
  <c r="H20" i="148" a="1"/>
  <c r="H20" i="148" s="1"/>
  <c r="H21" i="148" a="1"/>
  <c r="H21" i="148" s="1"/>
  <c r="H22" i="148" a="1"/>
  <c r="H22" i="148" s="1"/>
  <c r="H23" i="148" a="1"/>
  <c r="H23" i="148" s="1"/>
  <c r="H24" i="148" a="1"/>
  <c r="H24" i="148" s="1"/>
  <c r="H25" i="148" a="1"/>
  <c r="H25" i="148" s="1"/>
  <c r="H26" i="148" a="1"/>
  <c r="H26" i="148" s="1"/>
  <c r="H27" i="148" a="1"/>
  <c r="H27" i="148" s="1"/>
  <c r="H28" i="148" a="1"/>
  <c r="H28" i="148" s="1"/>
  <c r="H29" i="148" a="1"/>
  <c r="H29" i="148" s="1"/>
  <c r="H30" i="148" a="1"/>
  <c r="H30" i="148" s="1"/>
  <c r="H31" i="148" a="1"/>
  <c r="H31" i="148" s="1"/>
  <c r="H32" i="148" a="1"/>
  <c r="H32" i="148" s="1"/>
  <c r="H33" i="148" a="1"/>
  <c r="H33" i="148" s="1"/>
  <c r="H34" i="148" a="1"/>
  <c r="H34" i="148" s="1"/>
  <c r="H35" i="148" a="1"/>
  <c r="H35" i="148" s="1"/>
  <c r="H36" i="148" a="1"/>
  <c r="H36" i="148" s="1"/>
  <c r="H37" i="148" a="1"/>
  <c r="H37" i="148" s="1"/>
  <c r="H38" i="148" a="1"/>
  <c r="H38" i="148"/>
  <c r="H39" i="148" a="1"/>
  <c r="H39" i="148" s="1"/>
  <c r="H40" i="148" a="1"/>
  <c r="H40" i="148" s="1"/>
  <c r="H41" i="148" a="1"/>
  <c r="H41" i="148" s="1"/>
  <c r="H42" i="148" a="1"/>
  <c r="H42" i="148" s="1"/>
  <c r="H43" i="148" a="1"/>
  <c r="H43" i="148" s="1"/>
  <c r="H44" i="148" a="1"/>
  <c r="H44" i="148" s="1"/>
  <c r="H45" i="148" a="1"/>
  <c r="H45" i="148" s="1"/>
  <c r="H46" i="148" a="1"/>
  <c r="H46" i="148" s="1"/>
  <c r="H47" i="148" a="1"/>
  <c r="H47" i="148" s="1"/>
  <c r="H48" i="148" a="1"/>
  <c r="H48" i="148" s="1"/>
  <c r="H49" i="148" a="1"/>
  <c r="H49" i="148" s="1"/>
  <c r="H50" i="148" a="1"/>
  <c r="H50" i="148" s="1"/>
  <c r="H51" i="148" a="1"/>
  <c r="H51" i="148" s="1"/>
  <c r="H52" i="148" a="1"/>
  <c r="H52" i="148" s="1"/>
  <c r="H53" i="148" a="1"/>
  <c r="H53" i="148" s="1"/>
  <c r="H54" i="148" a="1"/>
  <c r="H54" i="148" s="1"/>
  <c r="H55" i="148" a="1"/>
  <c r="H55" i="148" s="1"/>
  <c r="H56" i="148" a="1"/>
  <c r="H56" i="148" s="1"/>
  <c r="H57" i="148" a="1"/>
  <c r="H57" i="148" s="1"/>
  <c r="H58" i="148" a="1"/>
  <c r="H58" i="148" s="1"/>
  <c r="H59" i="148" a="1"/>
  <c r="H59" i="148" s="1"/>
  <c r="H60" i="148" a="1"/>
  <c r="H60" i="148" s="1"/>
  <c r="H61" i="148" a="1"/>
  <c r="H61" i="148" s="1"/>
  <c r="H62" i="148" a="1"/>
  <c r="H62" i="148" s="1"/>
  <c r="H63" i="148" a="1"/>
  <c r="H63" i="148" s="1"/>
  <c r="H64" i="148" a="1"/>
  <c r="H64" i="148" s="1"/>
  <c r="H65" i="148" a="1"/>
  <c r="H65" i="148" s="1"/>
  <c r="H66" i="148" a="1"/>
  <c r="H66" i="148"/>
  <c r="H67" i="148" a="1"/>
  <c r="H67" i="148" s="1"/>
  <c r="H68" i="148" a="1"/>
  <c r="H68" i="148" s="1"/>
  <c r="H69" i="148" a="1"/>
  <c r="H69" i="148" s="1"/>
  <c r="H70" i="148" a="1"/>
  <c r="H70" i="148" s="1"/>
  <c r="H71" i="148" a="1"/>
  <c r="H71" i="148" s="1"/>
  <c r="H72" i="148" a="1"/>
  <c r="H72" i="148" s="1"/>
  <c r="H73" i="148" a="1"/>
  <c r="H73" i="148" s="1"/>
  <c r="H74" i="148" a="1"/>
  <c r="H74" i="148" s="1"/>
  <c r="H75" i="148" a="1"/>
  <c r="H75" i="148" s="1"/>
  <c r="H76" i="148" a="1"/>
  <c r="H76" i="148" s="1"/>
  <c r="H77" i="148" a="1"/>
  <c r="H77" i="148" s="1"/>
  <c r="H78" i="148" a="1"/>
  <c r="H78" i="148" s="1"/>
  <c r="H79" i="148" a="1"/>
  <c r="H79" i="148" s="1"/>
  <c r="H80" i="148" a="1"/>
  <c r="H80" i="148" s="1"/>
  <c r="H81" i="148" a="1"/>
  <c r="H81" i="148" s="1"/>
  <c r="H82" i="148" a="1"/>
  <c r="H82" i="148" s="1"/>
  <c r="H83" i="148" a="1"/>
  <c r="H83" i="148" s="1"/>
  <c r="H84" i="148" a="1"/>
  <c r="H84" i="148" s="1"/>
  <c r="H85" i="148" a="1"/>
  <c r="H85" i="148" s="1"/>
  <c r="H86" i="148" a="1"/>
  <c r="H86" i="148" s="1"/>
  <c r="H87" i="148" a="1"/>
  <c r="H87" i="148" s="1"/>
  <c r="H88" i="148" a="1"/>
  <c r="H88" i="148" s="1"/>
  <c r="H89" i="148" a="1"/>
  <c r="H89" i="148" s="1"/>
  <c r="H90" i="148" a="1"/>
  <c r="H90" i="148"/>
  <c r="H91" i="148" a="1"/>
  <c r="H91" i="148" s="1"/>
  <c r="H92" i="148" a="1"/>
  <c r="H92" i="148" s="1"/>
  <c r="H93" i="148" a="1"/>
  <c r="H93" i="148" s="1"/>
  <c r="H94" i="148" a="1"/>
  <c r="H94" i="148"/>
  <c r="H95" i="148" a="1"/>
  <c r="H95" i="148" s="1"/>
  <c r="H96" i="148" a="1"/>
  <c r="H96" i="148" s="1"/>
  <c r="H97" i="148" a="1"/>
  <c r="H97" i="148" s="1"/>
  <c r="H98" i="148" a="1"/>
  <c r="H98" i="148" s="1"/>
  <c r="H99" i="148" a="1"/>
  <c r="H99" i="148" s="1"/>
  <c r="H100" i="148" a="1"/>
  <c r="H100" i="148" s="1"/>
  <c r="H101" i="148" a="1"/>
  <c r="H101" i="148" s="1"/>
  <c r="H102" i="148" a="1"/>
  <c r="H102" i="148" s="1"/>
  <c r="H103" i="148" a="1"/>
  <c r="H103" i="148" s="1"/>
  <c r="H104" i="148" a="1"/>
  <c r="H104" i="148" s="1"/>
  <c r="H105" i="148" a="1"/>
  <c r="H105" i="148" s="1"/>
  <c r="H106" i="148" a="1"/>
  <c r="H106" i="148" s="1"/>
  <c r="H107" i="148" a="1"/>
  <c r="H107" i="148" s="1"/>
  <c r="H108" i="148" a="1"/>
  <c r="H108" i="148" s="1"/>
  <c r="H109" i="148" a="1"/>
  <c r="H109" i="148" s="1"/>
  <c r="H110" i="148" a="1"/>
  <c r="H110" i="148" s="1"/>
  <c r="H111" i="148" a="1"/>
  <c r="H111" i="148" s="1"/>
  <c r="H112" i="148" a="1"/>
  <c r="H112" i="148" s="1"/>
  <c r="H113" i="148" a="1"/>
  <c r="H113" i="148" s="1"/>
  <c r="H114" i="148" a="1"/>
  <c r="H114" i="148" s="1"/>
  <c r="H115" i="148" a="1"/>
  <c r="H115" i="148" s="1"/>
  <c r="H116" i="148" a="1"/>
  <c r="H116" i="148" s="1"/>
  <c r="H117" i="148" a="1"/>
  <c r="H117" i="148" s="1"/>
  <c r="H118" i="148" a="1"/>
  <c r="H118" i="148"/>
  <c r="H119" i="148" a="1"/>
  <c r="H119" i="148" s="1"/>
  <c r="H120" i="148" a="1"/>
  <c r="H120" i="148" s="1"/>
  <c r="H121" i="148" a="1"/>
  <c r="H121" i="148" s="1"/>
  <c r="H122" i="148" a="1"/>
  <c r="H122" i="148" s="1"/>
  <c r="H123" i="148" a="1"/>
  <c r="H123" i="148" s="1"/>
  <c r="H124" i="148" a="1"/>
  <c r="H124" i="148" s="1"/>
  <c r="H125" i="148" a="1"/>
  <c r="H125" i="148" s="1"/>
  <c r="H126" i="148" a="1"/>
  <c r="H126" i="148" s="1"/>
  <c r="H127" i="148" a="1"/>
  <c r="H127" i="148" s="1"/>
  <c r="H128" i="148" a="1"/>
  <c r="H128" i="148" s="1"/>
  <c r="H129" i="148" a="1"/>
  <c r="H129" i="148" s="1"/>
  <c r="H130" i="148" a="1"/>
  <c r="H130" i="148" s="1"/>
  <c r="H131" i="148" a="1"/>
  <c r="H131" i="148" s="1"/>
  <c r="H132" i="148" a="1"/>
  <c r="H132" i="148" s="1"/>
  <c r="H133" i="148" a="1"/>
  <c r="H133" i="148" s="1"/>
  <c r="H134" i="148" a="1"/>
  <c r="H134" i="148" s="1"/>
  <c r="H135" i="148" a="1"/>
  <c r="H135" i="148" s="1"/>
  <c r="H136" i="148" a="1"/>
  <c r="H136" i="148" s="1"/>
  <c r="H137" i="148" a="1"/>
  <c r="H137" i="148" s="1"/>
  <c r="H138" i="148" a="1"/>
  <c r="H138" i="148" s="1"/>
  <c r="H139" i="148" a="1"/>
  <c r="H139" i="148" s="1"/>
  <c r="H140" i="148" a="1"/>
  <c r="H140" i="148" s="1"/>
  <c r="H141" i="148" a="1"/>
  <c r="H141" i="148" s="1"/>
  <c r="H142" i="148" a="1"/>
  <c r="H142" i="148" s="1"/>
  <c r="H143" i="148" a="1"/>
  <c r="H143" i="148" s="1"/>
  <c r="H144" i="148" a="1"/>
  <c r="H144" i="148" s="1"/>
  <c r="H145" i="148" a="1"/>
  <c r="H145" i="148" s="1"/>
  <c r="H146" i="148" a="1"/>
  <c r="H146" i="148" s="1"/>
  <c r="H147" i="148" a="1"/>
  <c r="H147" i="148" s="1"/>
  <c r="H148" i="148" a="1"/>
  <c r="H148" i="148" s="1"/>
  <c r="H149" i="148" a="1"/>
  <c r="H149" i="148" s="1"/>
  <c r="H150" i="148" a="1"/>
  <c r="H150" i="148"/>
  <c r="H151" i="148" a="1"/>
  <c r="H151" i="148" s="1"/>
  <c r="H152" i="148" a="1"/>
  <c r="H152" i="148" s="1"/>
  <c r="H153" i="148" a="1"/>
  <c r="H153" i="148" s="1"/>
  <c r="H154" i="148" a="1"/>
  <c r="H154" i="148" s="1"/>
  <c r="H155" i="148" a="1"/>
  <c r="H155" i="148" s="1"/>
  <c r="H156" i="148" a="1"/>
  <c r="H156" i="148" s="1"/>
  <c r="H157" i="148" a="1"/>
  <c r="H157" i="148" s="1"/>
  <c r="H158" i="148" a="1"/>
  <c r="H158" i="148" s="1"/>
  <c r="H159" i="148" a="1"/>
  <c r="H159" i="148" s="1"/>
  <c r="H160" i="148" a="1"/>
  <c r="H160" i="148" s="1"/>
  <c r="H161" i="148" a="1"/>
  <c r="H161" i="148" s="1"/>
  <c r="H162" i="148" a="1"/>
  <c r="H162" i="148" s="1"/>
  <c r="H163" i="148" a="1"/>
  <c r="H163" i="148" s="1"/>
  <c r="H164" i="148" a="1"/>
  <c r="H164" i="148" s="1"/>
  <c r="H165" i="148" a="1"/>
  <c r="H165" i="148" s="1"/>
  <c r="H166" i="148" a="1"/>
  <c r="H166" i="148" s="1"/>
  <c r="H167" i="148" a="1"/>
  <c r="H167" i="148" s="1"/>
  <c r="H168" i="148" a="1"/>
  <c r="H168" i="148" s="1"/>
  <c r="H169" i="148" a="1"/>
  <c r="H169" i="148" s="1"/>
  <c r="H170" i="148" a="1"/>
  <c r="H170" i="148" s="1"/>
  <c r="H171" i="148" a="1"/>
  <c r="H171" i="148" s="1"/>
  <c r="H172" i="148" a="1"/>
  <c r="H172" i="148" s="1"/>
  <c r="H173" i="148" a="1"/>
  <c r="H173" i="148" s="1"/>
  <c r="H174" i="148" a="1"/>
  <c r="H174" i="148" s="1"/>
  <c r="H175" i="148" a="1"/>
  <c r="H175" i="148" s="1"/>
  <c r="H176" i="148" a="1"/>
  <c r="H176" i="148" s="1"/>
  <c r="H177" i="148" a="1"/>
  <c r="H177" i="148" s="1"/>
  <c r="H178" i="148" a="1"/>
  <c r="H178" i="148" s="1"/>
  <c r="H179" i="148" a="1"/>
  <c r="H179" i="148" s="1"/>
  <c r="H180" i="148" a="1"/>
  <c r="H180" i="148" s="1"/>
  <c r="H181" i="148" a="1"/>
  <c r="H181" i="148" s="1"/>
  <c r="H182" i="148" a="1"/>
  <c r="H182" i="148" s="1"/>
  <c r="H183" i="148" a="1"/>
  <c r="H183" i="148" s="1"/>
  <c r="H184" i="148" a="1"/>
  <c r="H184" i="148" s="1"/>
  <c r="H185" i="148" a="1"/>
  <c r="H185" i="148" s="1"/>
  <c r="H186" i="148" a="1"/>
  <c r="H186" i="148" s="1"/>
  <c r="H187" i="148" a="1"/>
  <c r="H187" i="148" s="1"/>
  <c r="H188" i="148" a="1"/>
  <c r="H188" i="148" s="1"/>
  <c r="H189" i="148" a="1"/>
  <c r="H189" i="148" s="1"/>
  <c r="H190" i="148" a="1"/>
  <c r="H190" i="148" s="1"/>
  <c r="H191" i="148" a="1"/>
  <c r="H191" i="148" s="1"/>
  <c r="H192" i="148" a="1"/>
  <c r="H192" i="148" s="1"/>
  <c r="H193" i="148" a="1"/>
  <c r="H193" i="148" s="1"/>
  <c r="H194" i="148" a="1"/>
  <c r="H194" i="148" s="1"/>
  <c r="H195" i="148" a="1"/>
  <c r="H195" i="148" s="1"/>
  <c r="H196" i="148" a="1"/>
  <c r="H196" i="148" s="1"/>
  <c r="H197" i="148" a="1"/>
  <c r="H197" i="148" s="1"/>
  <c r="H198" i="148" a="1"/>
  <c r="H198" i="148" s="1"/>
  <c r="H199" i="148" a="1"/>
  <c r="H199" i="148" s="1"/>
  <c r="H200" i="148" a="1"/>
  <c r="H200" i="148" s="1"/>
  <c r="H201" i="148" a="1"/>
  <c r="H201" i="148" s="1"/>
  <c r="H202" i="148" a="1"/>
  <c r="H202" i="148" s="1"/>
  <c r="H203" i="148" a="1"/>
  <c r="H203" i="148" s="1"/>
  <c r="H204" i="148" a="1"/>
  <c r="H204" i="148" s="1"/>
  <c r="H205" i="148" a="1"/>
  <c r="H205" i="148" s="1"/>
  <c r="H206" i="148" a="1"/>
  <c r="H206" i="148" s="1"/>
  <c r="H207" i="148" a="1"/>
  <c r="H207" i="148" s="1"/>
  <c r="H208" i="148" a="1"/>
  <c r="H208" i="148" s="1"/>
  <c r="H209" i="148" a="1"/>
  <c r="H209" i="148" s="1"/>
  <c r="H210" i="148" a="1"/>
  <c r="H210" i="148" s="1"/>
  <c r="H211" i="148" a="1"/>
  <c r="H211" i="148" s="1"/>
  <c r="H212" i="148" a="1"/>
  <c r="H212" i="148" s="1"/>
  <c r="H213" i="148" a="1"/>
  <c r="H213" i="148" s="1"/>
  <c r="H214" i="148" a="1"/>
  <c r="H214" i="148" s="1"/>
  <c r="H215" i="148" a="1"/>
  <c r="H215" i="148" s="1"/>
  <c r="H216" i="148" a="1"/>
  <c r="H216" i="148" s="1"/>
  <c r="H217" i="148" a="1"/>
  <c r="H217" i="148" s="1"/>
  <c r="H218" i="148" a="1"/>
  <c r="H218" i="148" s="1"/>
  <c r="H219" i="148" a="1"/>
  <c r="H219" i="148" s="1"/>
  <c r="H220" i="148" a="1"/>
  <c r="H220" i="148" s="1"/>
  <c r="H221" i="148" a="1"/>
  <c r="H221" i="148" s="1"/>
  <c r="H222" i="148" a="1"/>
  <c r="H222" i="148" s="1"/>
  <c r="H223" i="148" a="1"/>
  <c r="H223" i="148" s="1"/>
  <c r="H224" i="148" a="1"/>
  <c r="H224" i="148" s="1"/>
  <c r="H225" i="148" a="1"/>
  <c r="H225" i="148" s="1"/>
  <c r="H226" i="148" a="1"/>
  <c r="H226" i="148" s="1"/>
  <c r="H227" i="148" a="1"/>
  <c r="H227" i="148" s="1"/>
  <c r="H228" i="148" a="1"/>
  <c r="H228" i="148" s="1"/>
  <c r="H229" i="148" a="1"/>
  <c r="H229" i="148" s="1"/>
  <c r="H230" i="148" a="1"/>
  <c r="H230" i="148"/>
  <c r="H231" i="148" a="1"/>
  <c r="H231" i="148" s="1"/>
  <c r="H232" i="148" a="1"/>
  <c r="H232" i="148" s="1"/>
  <c r="H233" i="148" a="1"/>
  <c r="H233" i="148" s="1"/>
  <c r="H234" i="148" a="1"/>
  <c r="H234" i="148" s="1"/>
  <c r="H235" i="148" a="1"/>
  <c r="H235" i="148" s="1"/>
  <c r="H236" i="148" a="1"/>
  <c r="H236" i="148" s="1"/>
  <c r="H237" i="148" a="1"/>
  <c r="H237" i="148" s="1"/>
  <c r="H238" i="148" a="1"/>
  <c r="H238" i="148" s="1"/>
  <c r="H239" i="148" a="1"/>
  <c r="H239" i="148" s="1"/>
  <c r="H240" i="148" a="1"/>
  <c r="H240" i="148" s="1"/>
  <c r="H241" i="148" a="1"/>
  <c r="H241" i="148" s="1"/>
  <c r="H242" i="148" a="1"/>
  <c r="H242" i="148" s="1"/>
  <c r="H243" i="148" a="1"/>
  <c r="H243" i="148" s="1"/>
  <c r="H244" i="148" a="1"/>
  <c r="H244" i="148" s="1"/>
  <c r="H245" i="148" a="1"/>
  <c r="H245" i="148" s="1"/>
  <c r="H246" i="148" a="1"/>
  <c r="H246" i="148" s="1"/>
  <c r="H247" i="148" a="1"/>
  <c r="H247" i="148" s="1"/>
  <c r="H248" i="148" a="1"/>
  <c r="H248" i="148" s="1"/>
  <c r="H249" i="148" a="1"/>
  <c r="H249" i="148" s="1"/>
  <c r="H250" i="148" a="1"/>
  <c r="H250" i="148" s="1"/>
  <c r="H251" i="148" a="1"/>
  <c r="H251" i="148" s="1"/>
  <c r="H252" i="148" a="1"/>
  <c r="H252" i="148" s="1"/>
  <c r="H253" i="148" a="1"/>
  <c r="H253" i="148" s="1"/>
  <c r="H254" i="148" a="1"/>
  <c r="H254" i="148" s="1"/>
  <c r="H255" i="148" a="1"/>
  <c r="H255" i="148" s="1"/>
  <c r="H256" i="148" a="1"/>
  <c r="H256" i="148" s="1"/>
  <c r="H257" i="148" a="1"/>
  <c r="H257" i="148" s="1"/>
  <c r="H258" i="148" a="1"/>
  <c r="H258" i="148" s="1"/>
  <c r="H259" i="148" a="1"/>
  <c r="H259" i="148" s="1"/>
  <c r="H260" i="148" a="1"/>
  <c r="H260" i="148" s="1"/>
  <c r="H261" i="148" a="1"/>
  <c r="H261" i="148" s="1"/>
  <c r="H262" i="148" a="1"/>
  <c r="H262" i="148" s="1"/>
  <c r="H263" i="148" a="1"/>
  <c r="H263" i="148" s="1"/>
  <c r="H264" i="148" a="1"/>
  <c r="H264" i="148" s="1"/>
  <c r="H265" i="148" a="1"/>
  <c r="H265" i="148" s="1"/>
  <c r="H266" i="148" a="1"/>
  <c r="H266" i="148" s="1"/>
  <c r="H267" i="148" a="1"/>
  <c r="H267" i="148" s="1"/>
  <c r="H268" i="148" a="1"/>
  <c r="H268" i="148" s="1"/>
  <c r="H269" i="148" a="1"/>
  <c r="H269" i="148" s="1"/>
  <c r="H270" i="148" a="1"/>
  <c r="H270" i="148" s="1"/>
  <c r="H271" i="148" a="1"/>
  <c r="H271" i="148" s="1"/>
  <c r="H272" i="148" a="1"/>
  <c r="H272" i="148" s="1"/>
  <c r="H273" i="148" a="1"/>
  <c r="H273" i="148" s="1"/>
  <c r="H274" i="148" a="1"/>
  <c r="H274" i="148" s="1"/>
  <c r="H275" i="148" a="1"/>
  <c r="H275" i="148" s="1"/>
  <c r="H276" i="148" a="1"/>
  <c r="H276" i="148" s="1"/>
  <c r="H277" i="148" a="1"/>
  <c r="H277" i="148" s="1"/>
  <c r="H278" i="148" a="1"/>
  <c r="H278" i="148" s="1"/>
  <c r="H279" i="148" a="1"/>
  <c r="H279" i="148" s="1"/>
  <c r="H280" i="148" a="1"/>
  <c r="H280" i="148" s="1"/>
  <c r="H281" i="148" a="1"/>
  <c r="H281" i="148" s="1"/>
  <c r="H282" i="148" a="1"/>
  <c r="H282" i="148" s="1"/>
  <c r="H283" i="148" a="1"/>
  <c r="H283" i="148" s="1"/>
  <c r="H284" i="148" a="1"/>
  <c r="H284" i="148" s="1"/>
  <c r="H285" i="148" a="1"/>
  <c r="H285" i="148" s="1"/>
  <c r="H286" i="148" a="1"/>
  <c r="H286" i="148" s="1"/>
  <c r="H287" i="148" a="1"/>
  <c r="H287" i="148" s="1"/>
  <c r="H288" i="148" a="1"/>
  <c r="H288" i="148" s="1"/>
  <c r="H289" i="148" a="1"/>
  <c r="H289" i="148" s="1"/>
  <c r="H290" i="148" a="1"/>
  <c r="H290" i="148" s="1"/>
  <c r="H291" i="148" a="1"/>
  <c r="H291" i="148" s="1"/>
  <c r="H292" i="148" a="1"/>
  <c r="H292" i="148" s="1"/>
  <c r="H293" i="148" a="1"/>
  <c r="H293" i="148" s="1"/>
  <c r="H294" i="148" a="1"/>
  <c r="H294" i="148" s="1"/>
  <c r="H295" i="148" a="1"/>
  <c r="H295" i="148" s="1"/>
  <c r="H296" i="148" a="1"/>
  <c r="H296" i="148" s="1"/>
  <c r="H297" i="148" a="1"/>
  <c r="H297" i="148" s="1"/>
  <c r="H298" i="148" a="1"/>
  <c r="H298" i="148"/>
  <c r="H299" i="148" a="1"/>
  <c r="H299" i="148" s="1"/>
  <c r="H300" i="148" a="1"/>
  <c r="H300" i="148" s="1"/>
  <c r="H301" i="148" a="1"/>
  <c r="H301" i="148" s="1"/>
  <c r="H302" i="148" a="1"/>
  <c r="H302" i="148" s="1"/>
  <c r="H303" i="148" a="1"/>
  <c r="H303" i="148" s="1"/>
  <c r="H304" i="148" a="1"/>
  <c r="H304" i="148" s="1"/>
  <c r="H305" i="148" a="1"/>
  <c r="H305" i="148" s="1"/>
  <c r="H306" i="148" a="1"/>
  <c r="H306" i="148" s="1"/>
  <c r="H307" i="148" a="1"/>
  <c r="H307" i="148" s="1"/>
  <c r="H308" i="148" a="1"/>
  <c r="H308" i="148" s="1"/>
  <c r="H309" i="148" a="1"/>
  <c r="H309" i="148" s="1"/>
  <c r="H310" i="148" a="1"/>
  <c r="H310" i="148" s="1"/>
  <c r="H311" i="148" a="1"/>
  <c r="H311" i="148" s="1"/>
  <c r="H312" i="148" a="1"/>
  <c r="H312" i="148" s="1"/>
  <c r="H313" i="148" a="1"/>
  <c r="H313" i="148" s="1"/>
  <c r="H314" i="148" a="1"/>
  <c r="H314" i="148" s="1"/>
  <c r="H315" i="148" a="1"/>
  <c r="H315" i="148" s="1"/>
  <c r="H316" i="148" a="1"/>
  <c r="H316" i="148" s="1"/>
  <c r="H317" i="148" a="1"/>
  <c r="H317" i="148" s="1"/>
  <c r="H6" i="148" a="1"/>
  <c r="H6" i="148" s="1"/>
  <c r="G317" i="148"/>
  <c r="F317" i="148"/>
  <c r="G316" i="148"/>
  <c r="F316" i="148"/>
  <c r="G315" i="148"/>
  <c r="F315" i="148"/>
  <c r="G314" i="148"/>
  <c r="F314" i="148"/>
  <c r="G313" i="148"/>
  <c r="F313" i="148"/>
  <c r="G312" i="148"/>
  <c r="F312" i="148"/>
  <c r="G311" i="148"/>
  <c r="F311" i="148"/>
  <c r="G310" i="148"/>
  <c r="F310" i="148"/>
  <c r="G309" i="148"/>
  <c r="F309" i="148"/>
  <c r="G308" i="148"/>
  <c r="F308" i="148"/>
  <c r="G307" i="148"/>
  <c r="F307" i="148"/>
  <c r="G306" i="148"/>
  <c r="F306" i="148"/>
  <c r="G305" i="148"/>
  <c r="F305" i="148"/>
  <c r="G304" i="148"/>
  <c r="F304" i="148"/>
  <c r="G303" i="148"/>
  <c r="F303" i="148"/>
  <c r="G302" i="148"/>
  <c r="F302" i="148"/>
  <c r="G301" i="148"/>
  <c r="F301" i="148"/>
  <c r="G300" i="148"/>
  <c r="F300" i="148"/>
  <c r="G299" i="148"/>
  <c r="F299" i="148"/>
  <c r="G298" i="148"/>
  <c r="F298" i="148"/>
  <c r="G297" i="148"/>
  <c r="F297" i="148"/>
  <c r="G296" i="148"/>
  <c r="F296" i="148"/>
  <c r="G295" i="148"/>
  <c r="F295" i="148"/>
  <c r="G294" i="148"/>
  <c r="F294" i="148"/>
  <c r="G293" i="148"/>
  <c r="F293" i="148"/>
  <c r="G292" i="148"/>
  <c r="F292" i="148"/>
  <c r="G291" i="148"/>
  <c r="F291" i="148"/>
  <c r="G290" i="148"/>
  <c r="F290" i="148"/>
  <c r="G289" i="148"/>
  <c r="F289" i="148"/>
  <c r="G288" i="148"/>
  <c r="F288" i="148"/>
  <c r="G287" i="148"/>
  <c r="F287" i="148"/>
  <c r="G286" i="148"/>
  <c r="F286" i="148"/>
  <c r="G285" i="148"/>
  <c r="F285" i="148"/>
  <c r="G284" i="148"/>
  <c r="F284" i="148"/>
  <c r="G283" i="148"/>
  <c r="F283" i="148"/>
  <c r="G282" i="148"/>
  <c r="F282" i="148"/>
  <c r="G281" i="148"/>
  <c r="F281" i="148"/>
  <c r="G280" i="148"/>
  <c r="F280" i="148"/>
  <c r="G279" i="148"/>
  <c r="F279" i="148"/>
  <c r="G278" i="148"/>
  <c r="F278" i="148"/>
  <c r="G277" i="148"/>
  <c r="F277" i="148"/>
  <c r="G276" i="148"/>
  <c r="F276" i="148"/>
  <c r="G275" i="148"/>
  <c r="F275" i="148"/>
  <c r="G274" i="148"/>
  <c r="F274" i="148"/>
  <c r="G273" i="148"/>
  <c r="F273" i="148"/>
  <c r="G272" i="148"/>
  <c r="F272" i="148"/>
  <c r="G271" i="148"/>
  <c r="F271" i="148"/>
  <c r="G270" i="148"/>
  <c r="F270" i="148"/>
  <c r="G269" i="148"/>
  <c r="F269" i="148"/>
  <c r="G268" i="148"/>
  <c r="F268" i="148"/>
  <c r="G267" i="148"/>
  <c r="F267" i="148"/>
  <c r="G266" i="148"/>
  <c r="F266" i="148"/>
  <c r="G265" i="148"/>
  <c r="F265" i="148"/>
  <c r="G264" i="148"/>
  <c r="F264" i="148"/>
  <c r="G263" i="148"/>
  <c r="F263" i="148"/>
  <c r="G262" i="148"/>
  <c r="F262" i="148"/>
  <c r="G261" i="148"/>
  <c r="F261" i="148"/>
  <c r="G260" i="148"/>
  <c r="F260" i="148"/>
  <c r="G259" i="148"/>
  <c r="F259" i="148"/>
  <c r="G258" i="148"/>
  <c r="F258" i="148"/>
  <c r="G257" i="148"/>
  <c r="F257" i="148"/>
  <c r="G256" i="148"/>
  <c r="F256" i="148"/>
  <c r="G255" i="148"/>
  <c r="F255" i="148"/>
  <c r="G254" i="148"/>
  <c r="F254" i="148"/>
  <c r="G253" i="148"/>
  <c r="F253" i="148"/>
  <c r="G252" i="148"/>
  <c r="F252" i="148"/>
  <c r="G251" i="148"/>
  <c r="F251" i="148"/>
  <c r="G250" i="148"/>
  <c r="F250" i="148"/>
  <c r="G249" i="148"/>
  <c r="F249" i="148"/>
  <c r="G248" i="148"/>
  <c r="F248" i="148"/>
  <c r="G247" i="148"/>
  <c r="F247" i="148"/>
  <c r="G246" i="148"/>
  <c r="F246" i="148"/>
  <c r="G245" i="148"/>
  <c r="F245" i="148"/>
  <c r="G244" i="148"/>
  <c r="F244" i="148"/>
  <c r="G243" i="148"/>
  <c r="F243" i="148"/>
  <c r="G242" i="148"/>
  <c r="F242" i="148"/>
  <c r="G241" i="148"/>
  <c r="F241" i="148"/>
  <c r="G240" i="148"/>
  <c r="F240" i="148"/>
  <c r="G239" i="148"/>
  <c r="F239" i="148"/>
  <c r="G238" i="148"/>
  <c r="F238" i="148"/>
  <c r="G237" i="148"/>
  <c r="F237" i="148"/>
  <c r="G236" i="148"/>
  <c r="F236" i="148"/>
  <c r="G235" i="148"/>
  <c r="F235" i="148"/>
  <c r="G234" i="148"/>
  <c r="F234" i="148"/>
  <c r="G233" i="148"/>
  <c r="F233" i="148"/>
  <c r="G232" i="148"/>
  <c r="F232" i="148"/>
  <c r="G231" i="148"/>
  <c r="F231" i="148"/>
  <c r="G230" i="148"/>
  <c r="F230" i="148"/>
  <c r="G229" i="148"/>
  <c r="F229" i="148"/>
  <c r="G228" i="148"/>
  <c r="F228" i="148"/>
  <c r="G227" i="148"/>
  <c r="F227" i="148"/>
  <c r="G226" i="148"/>
  <c r="F226" i="148"/>
  <c r="G225" i="148"/>
  <c r="F225" i="148"/>
  <c r="G224" i="148"/>
  <c r="F224" i="148"/>
  <c r="G223" i="148"/>
  <c r="F223" i="148"/>
  <c r="G222" i="148"/>
  <c r="F222" i="148"/>
  <c r="G221" i="148"/>
  <c r="F221" i="148"/>
  <c r="G220" i="148"/>
  <c r="F220" i="148"/>
  <c r="G219" i="148"/>
  <c r="F219" i="148"/>
  <c r="G218" i="148"/>
  <c r="F218" i="148"/>
  <c r="G217" i="148"/>
  <c r="F217" i="148"/>
  <c r="G216" i="148"/>
  <c r="F216" i="148"/>
  <c r="G215" i="148"/>
  <c r="F215" i="148"/>
  <c r="G214" i="148"/>
  <c r="F214" i="148"/>
  <c r="G213" i="148"/>
  <c r="F213" i="148"/>
  <c r="G212" i="148"/>
  <c r="F212" i="148"/>
  <c r="G211" i="148"/>
  <c r="F211" i="148"/>
  <c r="G210" i="148"/>
  <c r="F210" i="148"/>
  <c r="G209" i="148"/>
  <c r="F209" i="148"/>
  <c r="G208" i="148"/>
  <c r="F208" i="148"/>
  <c r="G207" i="148"/>
  <c r="F207" i="148"/>
  <c r="G206" i="148"/>
  <c r="F206" i="148"/>
  <c r="G205" i="148"/>
  <c r="F205" i="148"/>
  <c r="G204" i="148"/>
  <c r="F204" i="148"/>
  <c r="G203" i="148"/>
  <c r="F203" i="148"/>
  <c r="G202" i="148"/>
  <c r="F202" i="148"/>
  <c r="G201" i="148"/>
  <c r="F201" i="148"/>
  <c r="G200" i="148"/>
  <c r="F200" i="148"/>
  <c r="G199" i="148"/>
  <c r="F199" i="148"/>
  <c r="G198" i="148"/>
  <c r="F198" i="148"/>
  <c r="G197" i="148"/>
  <c r="F197" i="148"/>
  <c r="G196" i="148"/>
  <c r="F196" i="148"/>
  <c r="G195" i="148"/>
  <c r="F195" i="148"/>
  <c r="G194" i="148"/>
  <c r="F194" i="148"/>
  <c r="G193" i="148"/>
  <c r="F193" i="148"/>
  <c r="G192" i="148"/>
  <c r="F192" i="148"/>
  <c r="G191" i="148"/>
  <c r="F191" i="148"/>
  <c r="G190" i="148"/>
  <c r="F190" i="148"/>
  <c r="G189" i="148"/>
  <c r="F189" i="148"/>
  <c r="G188" i="148"/>
  <c r="F188" i="148"/>
  <c r="G187" i="148"/>
  <c r="F187" i="148"/>
  <c r="G186" i="148"/>
  <c r="F186" i="148"/>
  <c r="G185" i="148"/>
  <c r="F185" i="148"/>
  <c r="G184" i="148"/>
  <c r="F184" i="148"/>
  <c r="G183" i="148"/>
  <c r="F183" i="148"/>
  <c r="G182" i="148"/>
  <c r="F182" i="148"/>
  <c r="G181" i="148"/>
  <c r="F181" i="148"/>
  <c r="G180" i="148"/>
  <c r="F180" i="148"/>
  <c r="G179" i="148"/>
  <c r="F179" i="148"/>
  <c r="G178" i="148"/>
  <c r="F178" i="148"/>
  <c r="G177" i="148"/>
  <c r="F177" i="148"/>
  <c r="G176" i="148"/>
  <c r="F176" i="148"/>
  <c r="G175" i="148"/>
  <c r="F175" i="148"/>
  <c r="G174" i="148"/>
  <c r="F174" i="148"/>
  <c r="G173" i="148"/>
  <c r="F173" i="148"/>
  <c r="G172" i="148"/>
  <c r="F172" i="148"/>
  <c r="G171" i="148"/>
  <c r="F171" i="148"/>
  <c r="G170" i="148"/>
  <c r="F170" i="148"/>
  <c r="G169" i="148"/>
  <c r="F169" i="148"/>
  <c r="G168" i="148"/>
  <c r="F168" i="148"/>
  <c r="G167" i="148"/>
  <c r="F167" i="148"/>
  <c r="G166" i="148"/>
  <c r="F166" i="148"/>
  <c r="G165" i="148"/>
  <c r="F165" i="148"/>
  <c r="G164" i="148"/>
  <c r="F164" i="148"/>
  <c r="G163" i="148"/>
  <c r="F163" i="148"/>
  <c r="G162" i="148"/>
  <c r="F162" i="148"/>
  <c r="G161" i="148"/>
  <c r="F161" i="148"/>
  <c r="G160" i="148"/>
  <c r="F160" i="148"/>
  <c r="G159" i="148"/>
  <c r="F159" i="148"/>
  <c r="G158" i="148"/>
  <c r="F158" i="148"/>
  <c r="G157" i="148"/>
  <c r="F157" i="148"/>
  <c r="G156" i="148"/>
  <c r="F156" i="148"/>
  <c r="G155" i="148"/>
  <c r="F155" i="148"/>
  <c r="G154" i="148"/>
  <c r="F154" i="148"/>
  <c r="G153" i="148"/>
  <c r="F153" i="148"/>
  <c r="G152" i="148"/>
  <c r="F152" i="148"/>
  <c r="G151" i="148"/>
  <c r="F151" i="148"/>
  <c r="G150" i="148"/>
  <c r="F150" i="148"/>
  <c r="G149" i="148"/>
  <c r="F149" i="148"/>
  <c r="G148" i="148"/>
  <c r="F148" i="148"/>
  <c r="G147" i="148"/>
  <c r="F147" i="148"/>
  <c r="G146" i="148"/>
  <c r="F146" i="148"/>
  <c r="G145" i="148"/>
  <c r="F145" i="148"/>
  <c r="G144" i="148"/>
  <c r="F144" i="148"/>
  <c r="G143" i="148"/>
  <c r="F143" i="148"/>
  <c r="G142" i="148"/>
  <c r="F142" i="148"/>
  <c r="G141" i="148"/>
  <c r="F141" i="148"/>
  <c r="G140" i="148"/>
  <c r="F140" i="148"/>
  <c r="G139" i="148"/>
  <c r="F139" i="148"/>
  <c r="G138" i="148"/>
  <c r="F138" i="148"/>
  <c r="G137" i="148"/>
  <c r="F137" i="148"/>
  <c r="G136" i="148"/>
  <c r="F136" i="148"/>
  <c r="G135" i="148"/>
  <c r="F135" i="148"/>
  <c r="G134" i="148"/>
  <c r="F134" i="148"/>
  <c r="G133" i="148"/>
  <c r="F133" i="148"/>
  <c r="G132" i="148"/>
  <c r="F132" i="148"/>
  <c r="G131" i="148"/>
  <c r="F131" i="148"/>
  <c r="G130" i="148"/>
  <c r="F130" i="148"/>
  <c r="G129" i="148"/>
  <c r="F129" i="148"/>
  <c r="G128" i="148"/>
  <c r="F128" i="148"/>
  <c r="G127" i="148"/>
  <c r="F127" i="148"/>
  <c r="G126" i="148"/>
  <c r="F126" i="148"/>
  <c r="G125" i="148"/>
  <c r="F125" i="148"/>
  <c r="G124" i="148"/>
  <c r="F124" i="148"/>
  <c r="G123" i="148"/>
  <c r="F123" i="148"/>
  <c r="G122" i="148"/>
  <c r="F122" i="148"/>
  <c r="G121" i="148"/>
  <c r="F121" i="148"/>
  <c r="G120" i="148"/>
  <c r="F120" i="148"/>
  <c r="G119" i="148"/>
  <c r="F119" i="148"/>
  <c r="G118" i="148"/>
  <c r="F118" i="148"/>
  <c r="G117" i="148"/>
  <c r="F117" i="148"/>
  <c r="G116" i="148"/>
  <c r="F116" i="148"/>
  <c r="G115" i="148"/>
  <c r="F115" i="148"/>
  <c r="G114" i="148"/>
  <c r="F114" i="148"/>
  <c r="G113" i="148"/>
  <c r="F113" i="148"/>
  <c r="G112" i="148"/>
  <c r="F112" i="148"/>
  <c r="G111" i="148"/>
  <c r="F111" i="148"/>
  <c r="G110" i="148"/>
  <c r="F110" i="148"/>
  <c r="G109" i="148"/>
  <c r="F109" i="148"/>
  <c r="G108" i="148"/>
  <c r="F108" i="148"/>
  <c r="G107" i="148"/>
  <c r="F107" i="148"/>
  <c r="G106" i="148"/>
  <c r="F106" i="148"/>
  <c r="G105" i="148"/>
  <c r="F105" i="148"/>
  <c r="G104" i="148"/>
  <c r="F104" i="148"/>
  <c r="G103" i="148"/>
  <c r="F103" i="148"/>
  <c r="G102" i="148"/>
  <c r="F102" i="148"/>
  <c r="G101" i="148"/>
  <c r="F101" i="148"/>
  <c r="G100" i="148"/>
  <c r="F100" i="148"/>
  <c r="G99" i="148"/>
  <c r="F99" i="148"/>
  <c r="G98" i="148"/>
  <c r="F98" i="148"/>
  <c r="G97" i="148"/>
  <c r="F97" i="148"/>
  <c r="G96" i="148"/>
  <c r="F96" i="148"/>
  <c r="G95" i="148"/>
  <c r="F95" i="148"/>
  <c r="G94" i="148"/>
  <c r="F94" i="148"/>
  <c r="G93" i="148"/>
  <c r="F93" i="148"/>
  <c r="G92" i="148"/>
  <c r="F92" i="148"/>
  <c r="G91" i="148"/>
  <c r="F91" i="148"/>
  <c r="G90" i="148"/>
  <c r="F90" i="148"/>
  <c r="G89" i="148"/>
  <c r="F89" i="148"/>
  <c r="G88" i="148"/>
  <c r="F88" i="148"/>
  <c r="G87" i="148"/>
  <c r="F87" i="148"/>
  <c r="G86" i="148"/>
  <c r="F86" i="148"/>
  <c r="G85" i="148"/>
  <c r="F85" i="148"/>
  <c r="G84" i="148"/>
  <c r="F84" i="148"/>
  <c r="G83" i="148"/>
  <c r="F83" i="148"/>
  <c r="G82" i="148"/>
  <c r="F82" i="148"/>
  <c r="G81" i="148"/>
  <c r="F81" i="148"/>
  <c r="G80" i="148"/>
  <c r="F80" i="148"/>
  <c r="G79" i="148"/>
  <c r="F79" i="148"/>
  <c r="G78" i="148"/>
  <c r="F78" i="148"/>
  <c r="G77" i="148"/>
  <c r="F77" i="148"/>
  <c r="G76" i="148"/>
  <c r="F76" i="148"/>
  <c r="G75" i="148"/>
  <c r="F75" i="148"/>
  <c r="G74" i="148"/>
  <c r="F74" i="148"/>
  <c r="G73" i="148"/>
  <c r="F73" i="148"/>
  <c r="G72" i="148"/>
  <c r="F72" i="148"/>
  <c r="G71" i="148"/>
  <c r="F71" i="148"/>
  <c r="G70" i="148"/>
  <c r="F70" i="148"/>
  <c r="G69" i="148"/>
  <c r="F69" i="148"/>
  <c r="G68" i="148"/>
  <c r="F68" i="148"/>
  <c r="G67" i="148"/>
  <c r="F67" i="148"/>
  <c r="G66" i="148"/>
  <c r="F66" i="148"/>
  <c r="G65" i="148"/>
  <c r="F65" i="148"/>
  <c r="G64" i="148"/>
  <c r="F64" i="148"/>
  <c r="G63" i="148"/>
  <c r="F63" i="148"/>
  <c r="G62" i="148"/>
  <c r="F62" i="148"/>
  <c r="G61" i="148"/>
  <c r="F61" i="148"/>
  <c r="G60" i="148"/>
  <c r="F60" i="148"/>
  <c r="G59" i="148"/>
  <c r="F59" i="148"/>
  <c r="G58" i="148"/>
  <c r="F58" i="148"/>
  <c r="G57" i="148"/>
  <c r="F57" i="148"/>
  <c r="G56" i="148"/>
  <c r="F56" i="148"/>
  <c r="G55" i="148"/>
  <c r="F55" i="148"/>
  <c r="G54" i="148"/>
  <c r="F54" i="148"/>
  <c r="G53" i="148"/>
  <c r="F53" i="148"/>
  <c r="G52" i="148"/>
  <c r="F52" i="148"/>
  <c r="G51" i="148"/>
  <c r="F51" i="148"/>
  <c r="G50" i="148"/>
  <c r="F50" i="148"/>
  <c r="G49" i="148"/>
  <c r="F49" i="148"/>
  <c r="G48" i="148"/>
  <c r="F48" i="148"/>
  <c r="G47" i="148"/>
  <c r="F47" i="148"/>
  <c r="G46" i="148"/>
  <c r="F46" i="148"/>
  <c r="G45" i="148"/>
  <c r="F45" i="148"/>
  <c r="G44" i="148"/>
  <c r="F44" i="148"/>
  <c r="G43" i="148"/>
  <c r="F43" i="148"/>
  <c r="G42" i="148"/>
  <c r="F42" i="148"/>
  <c r="G41" i="148"/>
  <c r="F41" i="148"/>
  <c r="G40" i="148"/>
  <c r="F40" i="148"/>
  <c r="G39" i="148"/>
  <c r="F39" i="148"/>
  <c r="G38" i="148"/>
  <c r="F38" i="148"/>
  <c r="G37" i="148"/>
  <c r="F37" i="148"/>
  <c r="G36" i="148"/>
  <c r="F36" i="148"/>
  <c r="G35" i="148"/>
  <c r="F35" i="148"/>
  <c r="G34" i="148"/>
  <c r="F34" i="148"/>
  <c r="G33" i="148"/>
  <c r="F33" i="148"/>
  <c r="G32" i="148"/>
  <c r="F32" i="148"/>
  <c r="G31" i="148"/>
  <c r="F31" i="148"/>
  <c r="G30" i="148"/>
  <c r="F30" i="148"/>
  <c r="G29" i="148"/>
  <c r="F29" i="148"/>
  <c r="G28" i="148"/>
  <c r="F28" i="148"/>
  <c r="G27" i="148"/>
  <c r="F27" i="148"/>
  <c r="G26" i="148"/>
  <c r="F26" i="148"/>
  <c r="G25" i="148"/>
  <c r="F25" i="148"/>
  <c r="G24" i="148"/>
  <c r="F24" i="148"/>
  <c r="G23" i="148"/>
  <c r="F23" i="148"/>
  <c r="G22" i="148"/>
  <c r="F22" i="148"/>
  <c r="G21" i="148"/>
  <c r="F21" i="148"/>
  <c r="G20" i="148"/>
  <c r="F20" i="148"/>
  <c r="G19" i="148"/>
  <c r="F19" i="148"/>
  <c r="G18" i="148"/>
  <c r="F18" i="148"/>
  <c r="G17" i="148"/>
  <c r="F17" i="148"/>
  <c r="G16" i="148"/>
  <c r="F16" i="148"/>
  <c r="G15" i="148"/>
  <c r="F15" i="148"/>
  <c r="G14" i="148"/>
  <c r="F14" i="148"/>
  <c r="G13" i="148"/>
  <c r="F13" i="148"/>
  <c r="G12" i="148"/>
  <c r="F12" i="148"/>
  <c r="G11" i="148"/>
  <c r="F11" i="148"/>
  <c r="G10" i="148"/>
  <c r="F10" i="148"/>
  <c r="G9" i="148"/>
  <c r="F9" i="148"/>
  <c r="G8" i="148"/>
  <c r="F8" i="148"/>
  <c r="G7" i="148"/>
  <c r="F7" i="148"/>
  <c r="G6" i="148"/>
  <c r="F6" i="148"/>
  <c r="E224" i="148"/>
  <c r="E225" i="148"/>
  <c r="E226" i="148"/>
  <c r="E227" i="148"/>
  <c r="E228" i="148"/>
  <c r="E229" i="148"/>
  <c r="E230" i="148"/>
  <c r="E231" i="148"/>
  <c r="E232" i="148"/>
  <c r="E233" i="148"/>
  <c r="E234" i="148"/>
  <c r="E235" i="148"/>
  <c r="E236" i="148"/>
  <c r="E237" i="148"/>
  <c r="E238" i="148"/>
  <c r="E239" i="148"/>
  <c r="E240" i="148"/>
  <c r="E241" i="148"/>
  <c r="E242" i="148"/>
  <c r="E243" i="148"/>
  <c r="E244" i="148"/>
  <c r="E245" i="148"/>
  <c r="E246" i="148"/>
  <c r="E247" i="148"/>
  <c r="E248" i="148"/>
  <c r="E249" i="148"/>
  <c r="E250" i="148"/>
  <c r="E251" i="148"/>
  <c r="E252" i="148"/>
  <c r="E253" i="148"/>
  <c r="E254" i="148"/>
  <c r="E255" i="148"/>
  <c r="E256" i="148"/>
  <c r="E257" i="148"/>
  <c r="E258" i="148"/>
  <c r="E259" i="148"/>
  <c r="E260" i="148"/>
  <c r="E261" i="148"/>
  <c r="E262" i="148"/>
  <c r="E263" i="148"/>
  <c r="E264" i="148"/>
  <c r="E265" i="148"/>
  <c r="E266" i="148"/>
  <c r="E267" i="148"/>
  <c r="E268" i="148"/>
  <c r="E269" i="148"/>
  <c r="E270" i="148"/>
  <c r="E271" i="148"/>
  <c r="E272" i="148"/>
  <c r="E273" i="148"/>
  <c r="E274" i="148"/>
  <c r="E275" i="148"/>
  <c r="E276" i="148"/>
  <c r="E277" i="148"/>
  <c r="E278" i="148"/>
  <c r="E279" i="148"/>
  <c r="E280" i="148"/>
  <c r="E281" i="148"/>
  <c r="E282" i="148"/>
  <c r="E283" i="148"/>
  <c r="E284" i="148"/>
  <c r="E285" i="148"/>
  <c r="E286" i="148"/>
  <c r="E287" i="148"/>
  <c r="E288" i="148"/>
  <c r="E289" i="148"/>
  <c r="E290" i="148"/>
  <c r="E291" i="148"/>
  <c r="E292" i="148"/>
  <c r="E293" i="148"/>
  <c r="E294" i="148"/>
  <c r="E295" i="148"/>
  <c r="D224" i="148"/>
  <c r="D225" i="148"/>
  <c r="D226" i="148"/>
  <c r="D227" i="148"/>
  <c r="D228" i="148"/>
  <c r="D229" i="148"/>
  <c r="D230" i="148"/>
  <c r="D231" i="148"/>
  <c r="D232" i="148"/>
  <c r="D233" i="148"/>
  <c r="D234" i="148"/>
  <c r="D235" i="148"/>
  <c r="D236" i="148"/>
  <c r="D237" i="148"/>
  <c r="D238" i="148"/>
  <c r="D239" i="148"/>
  <c r="D240" i="148"/>
  <c r="D241" i="148"/>
  <c r="D242" i="148"/>
  <c r="D243" i="148"/>
  <c r="D244" i="148"/>
  <c r="D245" i="148"/>
  <c r="D246" i="148"/>
  <c r="D247" i="148"/>
  <c r="D248" i="148"/>
  <c r="D249" i="148"/>
  <c r="D250" i="148"/>
  <c r="D251" i="148"/>
  <c r="D252" i="148"/>
  <c r="D253" i="148"/>
  <c r="D254" i="148"/>
  <c r="D255" i="148"/>
  <c r="D256" i="148"/>
  <c r="D257" i="148"/>
  <c r="D258" i="148"/>
  <c r="D259" i="148"/>
  <c r="D260" i="148"/>
  <c r="D261" i="148"/>
  <c r="D262" i="148"/>
  <c r="D263" i="148"/>
  <c r="D264" i="148"/>
  <c r="D265" i="148"/>
  <c r="D266" i="148"/>
  <c r="D267" i="148"/>
  <c r="D268" i="148"/>
  <c r="D269" i="148"/>
  <c r="D270" i="148"/>
  <c r="D271" i="148"/>
  <c r="D272" i="148"/>
  <c r="D273" i="148"/>
  <c r="D274" i="148"/>
  <c r="D275" i="148"/>
  <c r="D276" i="148"/>
  <c r="D277" i="148"/>
  <c r="D278" i="148"/>
  <c r="D279" i="148"/>
  <c r="D280" i="148"/>
  <c r="D281" i="148"/>
  <c r="D282" i="148"/>
  <c r="D283" i="148"/>
  <c r="D284" i="148"/>
  <c r="D285" i="148"/>
  <c r="D286" i="148"/>
  <c r="D287" i="148"/>
  <c r="D288" i="148"/>
  <c r="D289" i="148"/>
  <c r="D290" i="148"/>
  <c r="D291" i="148"/>
  <c r="D292" i="148"/>
  <c r="D293" i="148"/>
  <c r="D294" i="148"/>
  <c r="D295" i="148"/>
  <c r="A224" i="148"/>
  <c r="A225" i="148"/>
  <c r="A226" i="148"/>
  <c r="A227" i="148"/>
  <c r="A228" i="148"/>
  <c r="A229" i="148"/>
  <c r="A230" i="148"/>
  <c r="A231" i="148"/>
  <c r="A232" i="148"/>
  <c r="A233" i="148"/>
  <c r="A234" i="148"/>
  <c r="A235" i="148"/>
  <c r="A236" i="148"/>
  <c r="A237" i="148"/>
  <c r="A238" i="148"/>
  <c r="A239" i="148"/>
  <c r="A240" i="148"/>
  <c r="A241" i="148"/>
  <c r="A242" i="148"/>
  <c r="A243" i="148"/>
  <c r="A244" i="148"/>
  <c r="A245" i="148"/>
  <c r="A246" i="148"/>
  <c r="A247" i="148"/>
  <c r="A248" i="148"/>
  <c r="A249" i="148"/>
  <c r="A250" i="148"/>
  <c r="A251" i="148"/>
  <c r="A252" i="148"/>
  <c r="A253" i="148"/>
  <c r="A254" i="148"/>
  <c r="A255" i="148"/>
  <c r="A256" i="148"/>
  <c r="A257" i="148"/>
  <c r="A258" i="148"/>
  <c r="A259" i="148"/>
  <c r="A260" i="148"/>
  <c r="A261" i="148"/>
  <c r="A262" i="148"/>
  <c r="A263" i="148"/>
  <c r="A264" i="148"/>
  <c r="A265" i="148"/>
  <c r="A266" i="148"/>
  <c r="A267" i="148"/>
  <c r="A268" i="148"/>
  <c r="A269" i="148"/>
  <c r="A270" i="148"/>
  <c r="A271" i="148"/>
  <c r="A272" i="148"/>
  <c r="A273" i="148"/>
  <c r="A274" i="148"/>
  <c r="A275" i="148"/>
  <c r="A276" i="148"/>
  <c r="A277" i="148"/>
  <c r="A278" i="148"/>
  <c r="A279" i="148"/>
  <c r="A280" i="148"/>
  <c r="A281" i="148"/>
  <c r="A282" i="148"/>
  <c r="A283" i="148"/>
  <c r="A284" i="148"/>
  <c r="A285" i="148"/>
  <c r="A286" i="148"/>
  <c r="A287" i="148"/>
  <c r="A288" i="148"/>
  <c r="A289" i="148"/>
  <c r="A290" i="148"/>
  <c r="A291" i="148"/>
  <c r="A292" i="148"/>
  <c r="A293" i="148"/>
  <c r="A294" i="148"/>
  <c r="A295" i="148"/>
  <c r="A296" i="148"/>
  <c r="A297" i="148"/>
  <c r="A298" i="148"/>
  <c r="A299" i="148"/>
  <c r="A300" i="148"/>
  <c r="A301" i="148"/>
  <c r="A302" i="148"/>
  <c r="A303" i="148"/>
  <c r="A304" i="148"/>
  <c r="A305" i="148"/>
  <c r="A306" i="148"/>
  <c r="A307" i="148"/>
  <c r="A308" i="148"/>
  <c r="A309" i="148"/>
  <c r="A310" i="148"/>
  <c r="A311" i="148"/>
  <c r="A312" i="148"/>
  <c r="A313" i="148"/>
  <c r="A314" i="148"/>
  <c r="A315" i="148"/>
  <c r="A316" i="148"/>
  <c r="A317" i="148"/>
  <c r="E212" i="148"/>
  <c r="E213" i="148"/>
  <c r="E214" i="148"/>
  <c r="E215" i="148"/>
  <c r="E216" i="148"/>
  <c r="E217" i="148"/>
  <c r="E218" i="148"/>
  <c r="E219" i="148"/>
  <c r="E220" i="148"/>
  <c r="E221" i="148"/>
  <c r="E222" i="148"/>
  <c r="E223" i="148"/>
  <c r="D212" i="148"/>
  <c r="D213" i="148"/>
  <c r="D214" i="148"/>
  <c r="D215" i="148"/>
  <c r="D216" i="148"/>
  <c r="D217" i="148"/>
  <c r="D218" i="148"/>
  <c r="D219" i="148"/>
  <c r="D220" i="148"/>
  <c r="D221" i="148"/>
  <c r="D222" i="148"/>
  <c r="D223" i="148"/>
  <c r="E211" i="148"/>
  <c r="E210" i="148"/>
  <c r="E209" i="148"/>
  <c r="E208" i="148"/>
  <c r="E207" i="148"/>
  <c r="E206" i="148"/>
  <c r="E205" i="148"/>
  <c r="E204" i="148"/>
  <c r="E203" i="148"/>
  <c r="E202" i="148"/>
  <c r="E201" i="148"/>
  <c r="E200" i="148"/>
  <c r="E199" i="148"/>
  <c r="E198" i="148"/>
  <c r="E197" i="148"/>
  <c r="E196" i="148"/>
  <c r="E195" i="148"/>
  <c r="E194" i="148"/>
  <c r="E193" i="148"/>
  <c r="E192" i="148"/>
  <c r="E191" i="148"/>
  <c r="E190" i="148"/>
  <c r="E189" i="148"/>
  <c r="E188" i="148"/>
  <c r="E187" i="148"/>
  <c r="E186" i="148"/>
  <c r="E185" i="148"/>
  <c r="E184" i="148"/>
  <c r="E183" i="148"/>
  <c r="E182" i="148"/>
  <c r="E181" i="148"/>
  <c r="E180" i="148"/>
  <c r="E179" i="148"/>
  <c r="E178" i="148"/>
  <c r="E177" i="148"/>
  <c r="E176" i="148"/>
  <c r="E175" i="148"/>
  <c r="E174" i="148"/>
  <c r="E173" i="148"/>
  <c r="E172" i="148"/>
  <c r="E171" i="148"/>
  <c r="E170" i="148"/>
  <c r="E169" i="148"/>
  <c r="E168" i="148"/>
  <c r="E167" i="148"/>
  <c r="E166" i="148"/>
  <c r="E165" i="148"/>
  <c r="E164" i="148"/>
  <c r="E163" i="148"/>
  <c r="E162" i="148"/>
  <c r="E161" i="148"/>
  <c r="E160" i="148"/>
  <c r="E159" i="148"/>
  <c r="E158" i="148"/>
  <c r="E157" i="148"/>
  <c r="E156" i="148"/>
  <c r="E155" i="148"/>
  <c r="E154" i="148"/>
  <c r="E153" i="148"/>
  <c r="E152" i="148"/>
  <c r="E151" i="148"/>
  <c r="E150" i="148"/>
  <c r="E149" i="148"/>
  <c r="E148" i="148"/>
  <c r="E147" i="148"/>
  <c r="E146" i="148"/>
  <c r="E145" i="148"/>
  <c r="E144" i="148"/>
  <c r="E143" i="148"/>
  <c r="E142" i="148"/>
  <c r="E141" i="148"/>
  <c r="E140" i="148"/>
  <c r="E139" i="148"/>
  <c r="E138" i="148"/>
  <c r="E137" i="148"/>
  <c r="E136" i="148"/>
  <c r="E135" i="148"/>
  <c r="E134" i="148"/>
  <c r="E133" i="148"/>
  <c r="E132" i="148"/>
  <c r="E131" i="148"/>
  <c r="E130" i="148"/>
  <c r="E129" i="148"/>
  <c r="E128" i="148"/>
  <c r="E127" i="148"/>
  <c r="E126" i="148"/>
  <c r="E125" i="148"/>
  <c r="E124" i="148"/>
  <c r="E123" i="148"/>
  <c r="E122" i="148"/>
  <c r="E121" i="148"/>
  <c r="E120" i="148"/>
  <c r="E119" i="148"/>
  <c r="E118" i="148"/>
  <c r="E117" i="148"/>
  <c r="E116" i="148"/>
  <c r="E115" i="148"/>
  <c r="E114" i="148"/>
  <c r="E113" i="148"/>
  <c r="E112" i="148"/>
  <c r="E111" i="148"/>
  <c r="E110" i="148"/>
  <c r="E109" i="148"/>
  <c r="E108" i="148"/>
  <c r="E107" i="148"/>
  <c r="E106" i="148"/>
  <c r="E105" i="148"/>
  <c r="E104" i="148"/>
  <c r="E103" i="148"/>
  <c r="E102" i="148"/>
  <c r="E101" i="148"/>
  <c r="E100" i="148"/>
  <c r="E99" i="148"/>
  <c r="E98" i="148"/>
  <c r="E97" i="148"/>
  <c r="E96" i="148"/>
  <c r="E95" i="148"/>
  <c r="E94" i="148"/>
  <c r="E93" i="148"/>
  <c r="E92" i="148"/>
  <c r="E91" i="148"/>
  <c r="E90" i="148"/>
  <c r="E89" i="148"/>
  <c r="E88" i="148"/>
  <c r="E87" i="148"/>
  <c r="E86" i="148"/>
  <c r="E85" i="148"/>
  <c r="E84" i="148"/>
  <c r="E83" i="148"/>
  <c r="E82" i="148"/>
  <c r="E81" i="148"/>
  <c r="E80" i="148"/>
  <c r="E79" i="148"/>
  <c r="E78" i="148"/>
  <c r="E77" i="148"/>
  <c r="E76" i="148"/>
  <c r="E75" i="148"/>
  <c r="E74" i="148"/>
  <c r="E73" i="148"/>
  <c r="E72" i="148"/>
  <c r="E71" i="148"/>
  <c r="E70" i="148"/>
  <c r="E69" i="148"/>
  <c r="E68" i="148"/>
  <c r="E67" i="148"/>
  <c r="E66" i="148"/>
  <c r="E65" i="148"/>
  <c r="E64" i="148"/>
  <c r="E63" i="148"/>
  <c r="E62" i="148"/>
  <c r="E61" i="148"/>
  <c r="E60" i="148"/>
  <c r="E59" i="148"/>
  <c r="E58" i="148"/>
  <c r="E57" i="148"/>
  <c r="E56" i="148"/>
  <c r="E55" i="148"/>
  <c r="E54" i="148"/>
  <c r="E53" i="148"/>
  <c r="E52" i="148"/>
  <c r="E51" i="148"/>
  <c r="E50" i="148"/>
  <c r="E49" i="148"/>
  <c r="E48" i="148"/>
  <c r="E47" i="148"/>
  <c r="E46" i="148"/>
  <c r="E45" i="148"/>
  <c r="E44" i="148"/>
  <c r="E43" i="148"/>
  <c r="E42" i="148"/>
  <c r="E41" i="148"/>
  <c r="E40" i="148"/>
  <c r="E39" i="148"/>
  <c r="E38" i="148"/>
  <c r="E37" i="148"/>
  <c r="E36" i="148"/>
  <c r="E35" i="148"/>
  <c r="E34" i="148"/>
  <c r="E33" i="148"/>
  <c r="E32" i="148"/>
  <c r="E31" i="148"/>
  <c r="E30" i="148"/>
  <c r="E29" i="148"/>
  <c r="E28" i="148"/>
  <c r="E27" i="148"/>
  <c r="E26" i="148"/>
  <c r="E25" i="148"/>
  <c r="E24" i="148"/>
  <c r="E23" i="148"/>
  <c r="E22" i="148"/>
  <c r="E21" i="148"/>
  <c r="E20" i="148"/>
  <c r="E19" i="148"/>
  <c r="E18" i="148"/>
  <c r="E17" i="148"/>
  <c r="E16" i="148"/>
  <c r="E15" i="148"/>
  <c r="E14" i="148"/>
  <c r="E13" i="148"/>
  <c r="E12" i="148"/>
  <c r="E11" i="148"/>
  <c r="E10" i="148"/>
  <c r="E9" i="148"/>
  <c r="E8" i="148"/>
  <c r="E7" i="148"/>
  <c r="E6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D133" i="148"/>
  <c r="D132" i="148"/>
  <c r="D131" i="148"/>
  <c r="D130" i="148"/>
  <c r="D129" i="148"/>
  <c r="D128" i="148"/>
  <c r="D127" i="148"/>
  <c r="D126" i="148"/>
  <c r="D125" i="148"/>
  <c r="D124" i="148"/>
  <c r="D123" i="148"/>
  <c r="D122" i="148"/>
  <c r="D121" i="148"/>
  <c r="D120" i="148"/>
  <c r="D119" i="148"/>
  <c r="D118" i="148"/>
  <c r="D117" i="148"/>
  <c r="D116" i="148"/>
  <c r="D115" i="148"/>
  <c r="D114" i="148"/>
  <c r="D113" i="148"/>
  <c r="D112" i="148"/>
  <c r="D111" i="148"/>
  <c r="D110" i="148"/>
  <c r="D109" i="148"/>
  <c r="D108" i="148"/>
  <c r="D107" i="148"/>
  <c r="D106" i="148"/>
  <c r="D105" i="148"/>
  <c r="D104" i="148"/>
  <c r="D103" i="148"/>
  <c r="D102" i="148"/>
  <c r="D101" i="148"/>
  <c r="D100" i="148"/>
  <c r="D99" i="148"/>
  <c r="D98" i="148"/>
  <c r="D97" i="148"/>
  <c r="D96" i="148"/>
  <c r="D95" i="148"/>
  <c r="D94" i="148"/>
  <c r="D93" i="148"/>
  <c r="D92" i="148"/>
  <c r="D91" i="148"/>
  <c r="D90" i="148"/>
  <c r="D89" i="148"/>
  <c r="D88" i="148"/>
  <c r="D87" i="148"/>
  <c r="D86" i="148"/>
  <c r="D85" i="148"/>
  <c r="D84" i="148"/>
  <c r="D83" i="148"/>
  <c r="D82" i="148"/>
  <c r="D81" i="148"/>
  <c r="D80" i="148"/>
  <c r="D79" i="148"/>
  <c r="D78" i="148"/>
  <c r="D77" i="148"/>
  <c r="D76" i="148"/>
  <c r="D75" i="148"/>
  <c r="D74" i="148"/>
  <c r="D73" i="148"/>
  <c r="D72" i="148"/>
  <c r="D71" i="148"/>
  <c r="D70" i="148"/>
  <c r="D69" i="148"/>
  <c r="D68" i="148"/>
  <c r="D67" i="148"/>
  <c r="D66" i="148"/>
  <c r="D65" i="148"/>
  <c r="D64" i="148"/>
  <c r="D63" i="148"/>
  <c r="D62" i="148"/>
  <c r="D61" i="148"/>
  <c r="D60" i="148"/>
  <c r="D59" i="148"/>
  <c r="D58" i="148"/>
  <c r="D57" i="148"/>
  <c r="D56" i="148"/>
  <c r="D55" i="148"/>
  <c r="D54" i="148"/>
  <c r="D53" i="148"/>
  <c r="D52" i="148"/>
  <c r="D51" i="148"/>
  <c r="D50" i="148"/>
  <c r="D49" i="148"/>
  <c r="D48" i="148"/>
  <c r="D47" i="148"/>
  <c r="D46" i="148"/>
  <c r="D45" i="148"/>
  <c r="D44" i="148"/>
  <c r="D43" i="148"/>
  <c r="D42" i="148"/>
  <c r="D41" i="148"/>
  <c r="D40" i="148"/>
  <c r="D39" i="148"/>
  <c r="D38" i="148"/>
  <c r="D37" i="148"/>
  <c r="D36" i="148"/>
  <c r="D35" i="148"/>
  <c r="D34" i="148"/>
  <c r="D33" i="148"/>
  <c r="D32" i="148"/>
  <c r="D31" i="148"/>
  <c r="D30" i="148"/>
  <c r="D29" i="148"/>
  <c r="D28" i="148"/>
  <c r="D27" i="148"/>
  <c r="D26" i="148"/>
  <c r="D25" i="148"/>
  <c r="D24" i="148"/>
  <c r="D23" i="148"/>
  <c r="D22" i="148"/>
  <c r="D21" i="148"/>
  <c r="D20" i="148"/>
  <c r="D19" i="148"/>
  <c r="D18" i="148"/>
  <c r="D17" i="148"/>
  <c r="D16" i="148"/>
  <c r="D15" i="148"/>
  <c r="D14" i="148"/>
  <c r="D13" i="148"/>
  <c r="D12" i="148"/>
  <c r="D11" i="148"/>
  <c r="D10" i="148"/>
  <c r="D9" i="148"/>
  <c r="D8" i="148"/>
  <c r="D7" i="148"/>
  <c r="D6" i="148"/>
  <c r="A223" i="148"/>
  <c r="A222" i="148"/>
  <c r="A221" i="148"/>
  <c r="A220" i="148"/>
  <c r="A219" i="148"/>
  <c r="A218" i="148"/>
  <c r="A217" i="148"/>
  <c r="A216" i="148"/>
  <c r="A215" i="148"/>
  <c r="A214" i="148"/>
  <c r="A213" i="148"/>
  <c r="A212" i="148"/>
  <c r="A211" i="148"/>
  <c r="A210" i="148"/>
  <c r="A209" i="148"/>
  <c r="A208" i="148"/>
  <c r="A207" i="148"/>
  <c r="A206" i="148"/>
  <c r="A205" i="148"/>
  <c r="A204" i="148"/>
  <c r="A203" i="148"/>
  <c r="A202" i="148"/>
  <c r="A201" i="148"/>
  <c r="A200" i="148"/>
  <c r="A199" i="148"/>
  <c r="A198" i="148"/>
  <c r="A197" i="148"/>
  <c r="A196" i="148"/>
  <c r="A195" i="148"/>
  <c r="A194" i="148"/>
  <c r="A193" i="148"/>
  <c r="A192" i="148"/>
  <c r="A191" i="148"/>
  <c r="A190" i="148"/>
  <c r="A189" i="148"/>
  <c r="A188" i="148"/>
  <c r="A187" i="148"/>
  <c r="A186" i="148"/>
  <c r="A185" i="148"/>
  <c r="A184" i="148"/>
  <c r="A183" i="148"/>
  <c r="A182" i="148"/>
  <c r="A181" i="148"/>
  <c r="A180" i="148"/>
  <c r="A179" i="148"/>
  <c r="A178" i="148"/>
  <c r="A177" i="148"/>
  <c r="A176" i="148"/>
  <c r="A175" i="148"/>
  <c r="A174" i="148"/>
  <c r="A173" i="148"/>
  <c r="A172" i="148"/>
  <c r="A171" i="148"/>
  <c r="A170" i="148"/>
  <c r="A169" i="148"/>
  <c r="A168" i="148"/>
  <c r="A167" i="148"/>
  <c r="A166" i="148"/>
  <c r="A165" i="148"/>
  <c r="A164" i="148"/>
  <c r="A163" i="148"/>
  <c r="A162" i="148"/>
  <c r="A161" i="148"/>
  <c r="A160" i="148"/>
  <c r="A159" i="148"/>
  <c r="A158" i="148"/>
  <c r="A157" i="148"/>
  <c r="A156" i="148"/>
  <c r="A155" i="148"/>
  <c r="A154" i="148"/>
  <c r="A153" i="148"/>
  <c r="A152" i="148"/>
  <c r="A151" i="148"/>
  <c r="A150" i="148"/>
  <c r="A149" i="148"/>
  <c r="A148" i="148"/>
  <c r="A147" i="148"/>
  <c r="A146" i="148"/>
  <c r="A145" i="148"/>
  <c r="A144" i="148"/>
  <c r="A143" i="148"/>
  <c r="A142" i="148"/>
  <c r="A141" i="148"/>
  <c r="A140" i="148"/>
  <c r="A139" i="148"/>
  <c r="A138" i="148"/>
  <c r="A137" i="148"/>
  <c r="A136" i="148"/>
  <c r="A135" i="148"/>
  <c r="A134" i="148"/>
  <c r="A133" i="148"/>
  <c r="A132" i="148"/>
  <c r="A131" i="148"/>
  <c r="A130" i="148"/>
  <c r="A129" i="148"/>
  <c r="A128" i="148"/>
  <c r="A127" i="148"/>
  <c r="A126" i="148"/>
  <c r="A125" i="148"/>
  <c r="A124" i="148"/>
  <c r="A123" i="148"/>
  <c r="A122" i="148"/>
  <c r="A121" i="148"/>
  <c r="A120" i="148"/>
  <c r="A119" i="148"/>
  <c r="A118" i="148"/>
  <c r="A117" i="148"/>
  <c r="A116" i="148"/>
  <c r="A115" i="148"/>
  <c r="A114" i="148"/>
  <c r="A113" i="148"/>
  <c r="A112" i="148"/>
  <c r="A111" i="148"/>
  <c r="A110" i="148"/>
  <c r="A109" i="148"/>
  <c r="A108" i="148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A84" i="148"/>
  <c r="A83" i="148"/>
  <c r="A82" i="148"/>
  <c r="A81" i="148"/>
  <c r="A80" i="148"/>
  <c r="A79" i="148"/>
  <c r="A78" i="148"/>
  <c r="A77" i="148"/>
  <c r="A76" i="148"/>
  <c r="A75" i="148"/>
  <c r="A74" i="148"/>
  <c r="A73" i="148"/>
  <c r="A72" i="148"/>
  <c r="A71" i="148"/>
  <c r="A70" i="148"/>
  <c r="A69" i="148"/>
  <c r="A68" i="148"/>
  <c r="A67" i="148"/>
  <c r="A66" i="148"/>
  <c r="A65" i="148"/>
  <c r="A64" i="148"/>
  <c r="A63" i="148"/>
  <c r="A62" i="148"/>
  <c r="A61" i="148"/>
  <c r="A60" i="148"/>
  <c r="A59" i="148"/>
  <c r="A58" i="148"/>
  <c r="A57" i="148"/>
  <c r="A56" i="148"/>
  <c r="A55" i="148"/>
  <c r="A54" i="148"/>
  <c r="A53" i="148"/>
  <c r="A52" i="148"/>
  <c r="A51" i="148"/>
  <c r="A50" i="148"/>
  <c r="A49" i="148"/>
  <c r="A48" i="148"/>
  <c r="A47" i="148"/>
  <c r="A46" i="148"/>
  <c r="A45" i="148"/>
  <c r="A44" i="148"/>
  <c r="A43" i="148"/>
  <c r="A42" i="148"/>
  <c r="A41" i="148"/>
  <c r="A40" i="148"/>
  <c r="A39" i="148"/>
  <c r="A38" i="148"/>
  <c r="A37" i="148"/>
  <c r="A36" i="148"/>
  <c r="A35" i="148"/>
  <c r="A34" i="148"/>
  <c r="A33" i="148"/>
  <c r="A32" i="148"/>
  <c r="A31" i="148"/>
  <c r="A30" i="148"/>
  <c r="A29" i="148"/>
  <c r="A28" i="148"/>
  <c r="A27" i="148"/>
  <c r="A26" i="148"/>
  <c r="A25" i="148"/>
  <c r="A24" i="148"/>
  <c r="A23" i="148"/>
  <c r="A22" i="148"/>
  <c r="A21" i="148"/>
  <c r="A20" i="148"/>
  <c r="A19" i="148"/>
  <c r="A18" i="148"/>
  <c r="A17" i="148"/>
  <c r="A16" i="148"/>
  <c r="A15" i="148"/>
  <c r="A14" i="148"/>
  <c r="A13" i="148"/>
  <c r="A12" i="148"/>
  <c r="A11" i="148"/>
  <c r="A10" i="148"/>
  <c r="A9" i="148"/>
  <c r="A8" i="148"/>
  <c r="A7" i="148"/>
  <c r="A6" i="148"/>
  <c r="AB305" i="102" a="1"/>
  <c r="AB305" i="102" s="1"/>
  <c r="AA305" i="102" a="1"/>
  <c r="AA305" i="102" s="1"/>
  <c r="AD305" i="102" s="1"/>
  <c r="AJ305" i="102" s="1"/>
  <c r="AK305" i="102" s="1"/>
  <c r="AL305" i="102" s="1"/>
  <c r="Y305" i="102"/>
  <c r="X305" i="102"/>
  <c r="AB304" i="102" a="1"/>
  <c r="AB304" i="102" s="1"/>
  <c r="AA304" i="102" a="1"/>
  <c r="AA304" i="102" s="1"/>
  <c r="AD304" i="102" s="1"/>
  <c r="AJ304" i="102" s="1"/>
  <c r="AK304" i="102" s="1"/>
  <c r="AL304" i="102" s="1"/>
  <c r="Y304" i="102"/>
  <c r="X304" i="102"/>
  <c r="AB303" i="102" a="1"/>
  <c r="AB303" i="102" s="1"/>
  <c r="AA303" i="102" a="1"/>
  <c r="AA303" i="102" s="1"/>
  <c r="AD303" i="102" s="1"/>
  <c r="AJ303" i="102" s="1"/>
  <c r="AK303" i="102" s="1"/>
  <c r="AL303" i="102" s="1"/>
  <c r="Y303" i="102"/>
  <c r="X303" i="102"/>
  <c r="Z303" i="102" s="1"/>
  <c r="AH303" i="102" s="1"/>
  <c r="AB302" i="102" a="1"/>
  <c r="AB302" i="102" s="1"/>
  <c r="AA302" i="102" a="1"/>
  <c r="AA302" i="102" s="1"/>
  <c r="Y302" i="102"/>
  <c r="X302" i="102"/>
  <c r="AB301" i="102" a="1"/>
  <c r="AB301" i="102" s="1"/>
  <c r="AA301" i="102" a="1"/>
  <c r="AA301" i="102" s="1"/>
  <c r="AD301" i="102" s="1"/>
  <c r="AJ301" i="102" s="1"/>
  <c r="AK301" i="102" s="1"/>
  <c r="AL301" i="102" s="1"/>
  <c r="Y301" i="102"/>
  <c r="X301" i="102"/>
  <c r="AB300" i="102"/>
  <c r="AB300" i="102" a="1"/>
  <c r="AA300" i="102" a="1"/>
  <c r="AA300" i="102" s="1"/>
  <c r="AD300" i="102" s="1"/>
  <c r="AJ300" i="102" s="1"/>
  <c r="AK300" i="102" s="1"/>
  <c r="AL300" i="102" s="1"/>
  <c r="Y300" i="102"/>
  <c r="X300" i="102"/>
  <c r="AB299" i="102" a="1"/>
  <c r="AB299" i="102" s="1"/>
  <c r="AA299" i="102" a="1"/>
  <c r="AA299" i="102" s="1"/>
  <c r="AD299" i="102" s="1"/>
  <c r="AJ299" i="102" s="1"/>
  <c r="AK299" i="102" s="1"/>
  <c r="AL299" i="102" s="1"/>
  <c r="Y299" i="102"/>
  <c r="X299" i="102"/>
  <c r="AB298" i="102" a="1"/>
  <c r="AB298" i="102" s="1"/>
  <c r="AA298" i="102" a="1"/>
  <c r="AA298" i="102" s="1"/>
  <c r="AD298" i="102" s="1"/>
  <c r="AJ298" i="102" s="1"/>
  <c r="AK298" i="102" s="1"/>
  <c r="AL298" i="102" s="1"/>
  <c r="Y298" i="102"/>
  <c r="X298" i="102"/>
  <c r="AB297" i="102" a="1"/>
  <c r="AB297" i="102" s="1"/>
  <c r="AA297" i="102" a="1"/>
  <c r="AA297" i="102" s="1"/>
  <c r="AD297" i="102" s="1"/>
  <c r="AJ297" i="102" s="1"/>
  <c r="AK297" i="102" s="1"/>
  <c r="AL297" i="102" s="1"/>
  <c r="Y297" i="102"/>
  <c r="X297" i="102"/>
  <c r="AB296" i="102" a="1"/>
  <c r="AB296" i="102" s="1"/>
  <c r="AA296" i="102" a="1"/>
  <c r="AA296" i="102" s="1"/>
  <c r="AD296" i="102" s="1"/>
  <c r="AJ296" i="102" s="1"/>
  <c r="AK296" i="102" s="1"/>
  <c r="AL296" i="102" s="1"/>
  <c r="Y296" i="102"/>
  <c r="X296" i="102"/>
  <c r="AB295" i="102" a="1"/>
  <c r="AB295" i="102" s="1"/>
  <c r="AA295" i="102"/>
  <c r="AD295" i="102" s="1"/>
  <c r="AJ295" i="102" s="1"/>
  <c r="AK295" i="102" s="1"/>
  <c r="AL295" i="102" s="1"/>
  <c r="AA295" i="102" a="1"/>
  <c r="Y295" i="102"/>
  <c r="X295" i="102"/>
  <c r="AB294" i="102" a="1"/>
  <c r="AB294" i="102" s="1"/>
  <c r="AA294" i="102" a="1"/>
  <c r="AA294" i="102" s="1"/>
  <c r="AD294" i="102" s="1"/>
  <c r="AJ294" i="102" s="1"/>
  <c r="AK294" i="102" s="1"/>
  <c r="AL294" i="102" s="1"/>
  <c r="Y294" i="102"/>
  <c r="X294" i="102"/>
  <c r="Z294" i="102" s="1"/>
  <c r="AH294" i="102" s="1"/>
  <c r="AB293" i="102" a="1"/>
  <c r="AB293" i="102" s="1"/>
  <c r="AA293" i="102" a="1"/>
  <c r="AA293" i="102" s="1"/>
  <c r="AD293" i="102" s="1"/>
  <c r="AJ293" i="102" s="1"/>
  <c r="AK293" i="102" s="1"/>
  <c r="AL293" i="102" s="1"/>
  <c r="Y293" i="102"/>
  <c r="X293" i="102"/>
  <c r="AB292" i="102" a="1"/>
  <c r="AB292" i="102" s="1"/>
  <c r="AA292" i="102" a="1"/>
  <c r="AA292" i="102" s="1"/>
  <c r="AD292" i="102" s="1"/>
  <c r="AJ292" i="102" s="1"/>
  <c r="AK292" i="102" s="1"/>
  <c r="AL292" i="102" s="1"/>
  <c r="Y292" i="102"/>
  <c r="X292" i="102"/>
  <c r="AB291" i="102" a="1"/>
  <c r="AB291" i="102" s="1"/>
  <c r="AA291" i="102" a="1"/>
  <c r="AA291" i="102" s="1"/>
  <c r="AD291" i="102" s="1"/>
  <c r="AJ291" i="102" s="1"/>
  <c r="AK291" i="102" s="1"/>
  <c r="AL291" i="102" s="1"/>
  <c r="Y291" i="102"/>
  <c r="X291" i="102"/>
  <c r="AB290" i="102" a="1"/>
  <c r="AB290" i="102" s="1"/>
  <c r="AA290" i="102" a="1"/>
  <c r="AA290" i="102" s="1"/>
  <c r="Y290" i="102"/>
  <c r="X290" i="102"/>
  <c r="AB289" i="102" a="1"/>
  <c r="AB289" i="102" s="1"/>
  <c r="AA289" i="102" a="1"/>
  <c r="AA289" i="102" s="1"/>
  <c r="AD289" i="102" s="1"/>
  <c r="AJ289" i="102" s="1"/>
  <c r="AK289" i="102" s="1"/>
  <c r="AL289" i="102" s="1"/>
  <c r="Y289" i="102"/>
  <c r="X289" i="102"/>
  <c r="AB288" i="102" a="1"/>
  <c r="AB288" i="102" s="1"/>
  <c r="AA288" i="102" a="1"/>
  <c r="AA288" i="102" s="1"/>
  <c r="Y288" i="102"/>
  <c r="X288" i="102"/>
  <c r="AB287" i="102" a="1"/>
  <c r="AB287" i="102" s="1"/>
  <c r="AA287" i="102" a="1"/>
  <c r="AA287" i="102" s="1"/>
  <c r="AD287" i="102" s="1"/>
  <c r="AJ287" i="102" s="1"/>
  <c r="AK287" i="102" s="1"/>
  <c r="AL287" i="102" s="1"/>
  <c r="Y287" i="102"/>
  <c r="X287" i="102"/>
  <c r="AB286" i="102" a="1"/>
  <c r="AB286" i="102" s="1"/>
  <c r="AA286" i="102" a="1"/>
  <c r="AA286" i="102" s="1"/>
  <c r="AD286" i="102" s="1"/>
  <c r="AJ286" i="102" s="1"/>
  <c r="AK286" i="102" s="1"/>
  <c r="AL286" i="102" s="1"/>
  <c r="Y286" i="102"/>
  <c r="X286" i="102"/>
  <c r="AB285" i="102" a="1"/>
  <c r="AB285" i="102" s="1"/>
  <c r="AA285" i="102" a="1"/>
  <c r="AA285" i="102" s="1"/>
  <c r="AD285" i="102" s="1"/>
  <c r="AJ285" i="102" s="1"/>
  <c r="AK285" i="102" s="1"/>
  <c r="AL285" i="102" s="1"/>
  <c r="Y285" i="102"/>
  <c r="X285" i="102"/>
  <c r="AB284" i="102"/>
  <c r="AB284" i="102" a="1"/>
  <c r="AA284" i="102" a="1"/>
  <c r="AA284" i="102" s="1"/>
  <c r="AD284" i="102" s="1"/>
  <c r="AJ284" i="102" s="1"/>
  <c r="AK284" i="102" s="1"/>
  <c r="AL284" i="102" s="1"/>
  <c r="Y284" i="102"/>
  <c r="X284" i="102"/>
  <c r="AB283" i="102" a="1"/>
  <c r="AB283" i="102" s="1"/>
  <c r="AA283" i="102" a="1"/>
  <c r="AA283" i="102" s="1"/>
  <c r="AD283" i="102" s="1"/>
  <c r="AJ283" i="102" s="1"/>
  <c r="AK283" i="102" s="1"/>
  <c r="AL283" i="102" s="1"/>
  <c r="Y283" i="102"/>
  <c r="X283" i="102"/>
  <c r="AB282" i="102" a="1"/>
  <c r="AB282" i="102" s="1"/>
  <c r="AA282" i="102" a="1"/>
  <c r="AA282" i="102" s="1"/>
  <c r="AD282" i="102" s="1"/>
  <c r="AJ282" i="102" s="1"/>
  <c r="AK282" i="102" s="1"/>
  <c r="AL282" i="102" s="1"/>
  <c r="Y282" i="102"/>
  <c r="X282" i="102"/>
  <c r="AB281" i="102" a="1"/>
  <c r="AB281" i="102" s="1"/>
  <c r="AA281" i="102" a="1"/>
  <c r="AA281" i="102" s="1"/>
  <c r="AD281" i="102" s="1"/>
  <c r="AJ281" i="102" s="1"/>
  <c r="AK281" i="102" s="1"/>
  <c r="AL281" i="102" s="1"/>
  <c r="Y281" i="102"/>
  <c r="X281" i="102"/>
  <c r="AB280" i="102" a="1"/>
  <c r="AB280" i="102" s="1"/>
  <c r="AA280" i="102" a="1"/>
  <c r="AA280" i="102" s="1"/>
  <c r="AD280" i="102" s="1"/>
  <c r="AJ280" i="102" s="1"/>
  <c r="AK280" i="102" s="1"/>
  <c r="AL280" i="102" s="1"/>
  <c r="Y280" i="102"/>
  <c r="X280" i="102"/>
  <c r="AB279" i="102" a="1"/>
  <c r="AB279" i="102" s="1"/>
  <c r="AA279" i="102"/>
  <c r="AD279" i="102" s="1"/>
  <c r="AJ279" i="102" s="1"/>
  <c r="AK279" i="102" s="1"/>
  <c r="AL279" i="102" s="1"/>
  <c r="AA279" i="102" a="1"/>
  <c r="Y279" i="102"/>
  <c r="X279" i="102"/>
  <c r="Z279" i="102" s="1"/>
  <c r="AH279" i="102" s="1"/>
  <c r="AB278" i="102" a="1"/>
  <c r="AB278" i="102" s="1"/>
  <c r="AA278" i="102" a="1"/>
  <c r="AA278" i="102" s="1"/>
  <c r="Y278" i="102"/>
  <c r="X278" i="102"/>
  <c r="AB277" i="102" a="1"/>
  <c r="AB277" i="102" s="1"/>
  <c r="AA277" i="102" a="1"/>
  <c r="AA277" i="102" s="1"/>
  <c r="AD277" i="102" s="1"/>
  <c r="AJ277" i="102" s="1"/>
  <c r="AK277" i="102" s="1"/>
  <c r="AL277" i="102" s="1"/>
  <c r="Y277" i="102"/>
  <c r="X277" i="102"/>
  <c r="Z277" i="102" s="1"/>
  <c r="AH277" i="102" s="1"/>
  <c r="AB276" i="102" a="1"/>
  <c r="AB276" i="102" s="1"/>
  <c r="AA276" i="102" a="1"/>
  <c r="AA276" i="102" s="1"/>
  <c r="AD276" i="102" s="1"/>
  <c r="AJ276" i="102" s="1"/>
  <c r="AK276" i="102" s="1"/>
  <c r="AL276" i="102" s="1"/>
  <c r="Y276" i="102"/>
  <c r="X276" i="102"/>
  <c r="Z276" i="102" s="1"/>
  <c r="AH276" i="102" s="1"/>
  <c r="AB275" i="102" a="1"/>
  <c r="AB275" i="102" s="1"/>
  <c r="AA275" i="102" a="1"/>
  <c r="AA275" i="102" s="1"/>
  <c r="AD275" i="102" s="1"/>
  <c r="AJ275" i="102" s="1"/>
  <c r="AK275" i="102" s="1"/>
  <c r="AL275" i="102" s="1"/>
  <c r="Y275" i="102"/>
  <c r="X275" i="102"/>
  <c r="AB274" i="102" a="1"/>
  <c r="AB274" i="102" s="1"/>
  <c r="AA274" i="102" a="1"/>
  <c r="AA274" i="102" s="1"/>
  <c r="AD274" i="102" s="1"/>
  <c r="AJ274" i="102" s="1"/>
  <c r="AK274" i="102" s="1"/>
  <c r="AL274" i="102" s="1"/>
  <c r="Y274" i="102"/>
  <c r="Z274" i="102" s="1"/>
  <c r="AH274" i="102" s="1"/>
  <c r="X274" i="102"/>
  <c r="AB273" i="102" a="1"/>
  <c r="AB273" i="102" s="1"/>
  <c r="AA273" i="102" a="1"/>
  <c r="AA273" i="102" s="1"/>
  <c r="Y273" i="102"/>
  <c r="X273" i="102"/>
  <c r="AB272" i="102" a="1"/>
  <c r="AB272" i="102" s="1"/>
  <c r="AA272" i="102" a="1"/>
  <c r="AA272" i="102" s="1"/>
  <c r="AD272" i="102" s="1"/>
  <c r="AJ272" i="102" s="1"/>
  <c r="AK272" i="102" s="1"/>
  <c r="AL272" i="102" s="1"/>
  <c r="Y272" i="102"/>
  <c r="X272" i="102"/>
  <c r="AB271" i="102" a="1"/>
  <c r="AB271" i="102" s="1"/>
  <c r="AA271" i="102" a="1"/>
  <c r="AA271" i="102" s="1"/>
  <c r="Y271" i="102"/>
  <c r="X271" i="102"/>
  <c r="AB270" i="102" a="1"/>
  <c r="AB270" i="102" s="1"/>
  <c r="AA270" i="102" a="1"/>
  <c r="AA270" i="102" s="1"/>
  <c r="AD270" i="102" s="1"/>
  <c r="AJ270" i="102" s="1"/>
  <c r="AK270" i="102" s="1"/>
  <c r="AL270" i="102" s="1"/>
  <c r="Y270" i="102"/>
  <c r="X270" i="102"/>
  <c r="AB269" i="102" a="1"/>
  <c r="AB269" i="102" s="1"/>
  <c r="AA269" i="102" a="1"/>
  <c r="AA269" i="102" s="1"/>
  <c r="AD269" i="102" s="1"/>
  <c r="AJ269" i="102" s="1"/>
  <c r="AK269" i="102" s="1"/>
  <c r="AL269" i="102" s="1"/>
  <c r="Y269" i="102"/>
  <c r="X269" i="102"/>
  <c r="AB268" i="102" a="1"/>
  <c r="AB268" i="102" s="1"/>
  <c r="AA268" i="102" a="1"/>
  <c r="AA268" i="102" s="1"/>
  <c r="AD268" i="102" s="1"/>
  <c r="AJ268" i="102" s="1"/>
  <c r="AK268" i="102" s="1"/>
  <c r="AL268" i="102" s="1"/>
  <c r="Y268" i="102"/>
  <c r="X268" i="102"/>
  <c r="AB267" i="102" a="1"/>
  <c r="AB267" i="102" s="1"/>
  <c r="AA267" i="102" a="1"/>
  <c r="AA267" i="102" s="1"/>
  <c r="AD267" i="102" s="1"/>
  <c r="AJ267" i="102" s="1"/>
  <c r="AK267" i="102" s="1"/>
  <c r="AL267" i="102" s="1"/>
  <c r="Y267" i="102"/>
  <c r="X267" i="102"/>
  <c r="AB266" i="102" a="1"/>
  <c r="AB266" i="102" s="1"/>
  <c r="AA266" i="102" a="1"/>
  <c r="AA266" i="102" s="1"/>
  <c r="AD266" i="102" s="1"/>
  <c r="AJ266" i="102" s="1"/>
  <c r="AK266" i="102" s="1"/>
  <c r="AL266" i="102" s="1"/>
  <c r="Y266" i="102"/>
  <c r="X266" i="102"/>
  <c r="Z266" i="102" s="1"/>
  <c r="AH266" i="102" s="1"/>
  <c r="AB265" i="102" a="1"/>
  <c r="AB265" i="102" s="1"/>
  <c r="AA265" i="102" a="1"/>
  <c r="AA265" i="102" s="1"/>
  <c r="AD265" i="102" s="1"/>
  <c r="AJ265" i="102" s="1"/>
  <c r="AK265" i="102" s="1"/>
  <c r="AL265" i="102" s="1"/>
  <c r="Y265" i="102"/>
  <c r="X265" i="102"/>
  <c r="AB264" i="102" a="1"/>
  <c r="AB264" i="102" s="1"/>
  <c r="AA264" i="102" a="1"/>
  <c r="AA264" i="102" s="1"/>
  <c r="AD264" i="102" s="1"/>
  <c r="AJ264" i="102" s="1"/>
  <c r="AK264" i="102" s="1"/>
  <c r="AL264" i="102" s="1"/>
  <c r="Y264" i="102"/>
  <c r="X264" i="102"/>
  <c r="Z264" i="102" s="1"/>
  <c r="AH264" i="102" s="1"/>
  <c r="AB263" i="102" a="1"/>
  <c r="AB263" i="102" s="1"/>
  <c r="AA263" i="102" a="1"/>
  <c r="AA263" i="102" s="1"/>
  <c r="AD263" i="102" s="1"/>
  <c r="AJ263" i="102" s="1"/>
  <c r="AK263" i="102" s="1"/>
  <c r="AL263" i="102" s="1"/>
  <c r="Y263" i="102"/>
  <c r="X263" i="102"/>
  <c r="AB262" i="102" a="1"/>
  <c r="AB262" i="102" s="1"/>
  <c r="AA262" i="102" a="1"/>
  <c r="AA262" i="102" s="1"/>
  <c r="AD262" i="102" s="1"/>
  <c r="AJ262" i="102" s="1"/>
  <c r="AK262" i="102" s="1"/>
  <c r="AL262" i="102" s="1"/>
  <c r="Y262" i="102"/>
  <c r="X262" i="102"/>
  <c r="Z262" i="102" s="1"/>
  <c r="AH262" i="102" s="1"/>
  <c r="AB261" i="102" a="1"/>
  <c r="AB261" i="102" s="1"/>
  <c r="AA261" i="102" a="1"/>
  <c r="AA261" i="102" s="1"/>
  <c r="AD261" i="102" s="1"/>
  <c r="AJ261" i="102" s="1"/>
  <c r="AK261" i="102" s="1"/>
  <c r="AL261" i="102" s="1"/>
  <c r="Y261" i="102"/>
  <c r="X261" i="102"/>
  <c r="Z261" i="102" s="1"/>
  <c r="AH261" i="102" s="1"/>
  <c r="AB260" i="102" a="1"/>
  <c r="AB260" i="102" s="1"/>
  <c r="AA260" i="102" a="1"/>
  <c r="AA260" i="102" s="1"/>
  <c r="AD260" i="102" s="1"/>
  <c r="AJ260" i="102" s="1"/>
  <c r="AK260" i="102" s="1"/>
  <c r="AL260" i="102" s="1"/>
  <c r="Y260" i="102"/>
  <c r="X260" i="102"/>
  <c r="AB259" i="102" a="1"/>
  <c r="AB259" i="102" s="1"/>
  <c r="AA259" i="102" a="1"/>
  <c r="AA259" i="102" s="1"/>
  <c r="AD259" i="102" s="1"/>
  <c r="AJ259" i="102" s="1"/>
  <c r="AK259" i="102" s="1"/>
  <c r="AL259" i="102" s="1"/>
  <c r="Y259" i="102"/>
  <c r="X259" i="102"/>
  <c r="AB258" i="102" a="1"/>
  <c r="AB258" i="102" s="1"/>
  <c r="AA258" i="102" a="1"/>
  <c r="AA258" i="102" s="1"/>
  <c r="AD258" i="102" s="1"/>
  <c r="AJ258" i="102" s="1"/>
  <c r="AK258" i="102" s="1"/>
  <c r="AL258" i="102" s="1"/>
  <c r="Y258" i="102"/>
  <c r="X258" i="102"/>
  <c r="Z258" i="102" s="1"/>
  <c r="AH258" i="102" s="1"/>
  <c r="AB257" i="102" a="1"/>
  <c r="AB257" i="102" s="1"/>
  <c r="AA257" i="102" a="1"/>
  <c r="AA257" i="102" s="1"/>
  <c r="AD257" i="102" s="1"/>
  <c r="AJ257" i="102" s="1"/>
  <c r="AK257" i="102" s="1"/>
  <c r="AL257" i="102" s="1"/>
  <c r="Y257" i="102"/>
  <c r="X257" i="102"/>
  <c r="AB256" i="102" a="1"/>
  <c r="AB256" i="102" s="1"/>
  <c r="AA256" i="102" a="1"/>
  <c r="AA256" i="102" s="1"/>
  <c r="AD256" i="102" s="1"/>
  <c r="AJ256" i="102" s="1"/>
  <c r="AK256" i="102" s="1"/>
  <c r="AL256" i="102" s="1"/>
  <c r="Y256" i="102"/>
  <c r="X256" i="102"/>
  <c r="Z256" i="102" s="1"/>
  <c r="AH256" i="102" s="1"/>
  <c r="AB255" i="102" a="1"/>
  <c r="AB255" i="102" s="1"/>
  <c r="AA255" i="102" a="1"/>
  <c r="AA255" i="102" s="1"/>
  <c r="Y255" i="102"/>
  <c r="X255" i="102"/>
  <c r="AB254" i="102" a="1"/>
  <c r="AB254" i="102" s="1"/>
  <c r="AA254" i="102" a="1"/>
  <c r="AA254" i="102" s="1"/>
  <c r="AD254" i="102" s="1"/>
  <c r="AJ254" i="102" s="1"/>
  <c r="AK254" i="102" s="1"/>
  <c r="AL254" i="102" s="1"/>
  <c r="Y254" i="102"/>
  <c r="X254" i="102"/>
  <c r="AB253" i="102" a="1"/>
  <c r="AB253" i="102" s="1"/>
  <c r="AA253" i="102" a="1"/>
  <c r="AA253" i="102" s="1"/>
  <c r="AD253" i="102" s="1"/>
  <c r="AJ253" i="102" s="1"/>
  <c r="AK253" i="102" s="1"/>
  <c r="AL253" i="102" s="1"/>
  <c r="Y253" i="102"/>
  <c r="X253" i="102"/>
  <c r="AB252" i="102" a="1"/>
  <c r="AB252" i="102" s="1"/>
  <c r="AA252" i="102" a="1"/>
  <c r="AA252" i="102" s="1"/>
  <c r="AD252" i="102" s="1"/>
  <c r="AJ252" i="102" s="1"/>
  <c r="AK252" i="102" s="1"/>
  <c r="AL252" i="102" s="1"/>
  <c r="Y252" i="102"/>
  <c r="X252" i="102"/>
  <c r="AB251" i="102" a="1"/>
  <c r="AB251" i="102" s="1"/>
  <c r="AA251" i="102" a="1"/>
  <c r="AA251" i="102" s="1"/>
  <c r="Y251" i="102"/>
  <c r="X251" i="102"/>
  <c r="AB250" i="102" a="1"/>
  <c r="AB250" i="102" s="1"/>
  <c r="AA250" i="102" a="1"/>
  <c r="AA250" i="102" s="1"/>
  <c r="AD250" i="102" s="1"/>
  <c r="AJ250" i="102" s="1"/>
  <c r="AK250" i="102" s="1"/>
  <c r="AL250" i="102" s="1"/>
  <c r="Y250" i="102"/>
  <c r="X250" i="102"/>
  <c r="Z250" i="102" s="1"/>
  <c r="AH250" i="102" s="1"/>
  <c r="AB249" i="102" a="1"/>
  <c r="AB249" i="102" s="1"/>
  <c r="AA249" i="102" a="1"/>
  <c r="AA249" i="102" s="1"/>
  <c r="AD249" i="102" s="1"/>
  <c r="AJ249" i="102" s="1"/>
  <c r="AK249" i="102" s="1"/>
  <c r="AL249" i="102" s="1"/>
  <c r="Y249" i="102"/>
  <c r="X249" i="102"/>
  <c r="Z249" i="102" s="1"/>
  <c r="AH249" i="102" s="1"/>
  <c r="AB248" i="102" a="1"/>
  <c r="AB248" i="102" s="1"/>
  <c r="AA248" i="102" a="1"/>
  <c r="AA248" i="102" s="1"/>
  <c r="AD248" i="102" s="1"/>
  <c r="AJ248" i="102" s="1"/>
  <c r="AK248" i="102" s="1"/>
  <c r="AL248" i="102" s="1"/>
  <c r="Y248" i="102"/>
  <c r="X248" i="102"/>
  <c r="Z248" i="102" s="1"/>
  <c r="AH248" i="102" s="1"/>
  <c r="AB247" i="102" a="1"/>
  <c r="AB247" i="102" s="1"/>
  <c r="AA247" i="102" a="1"/>
  <c r="AA247" i="102" s="1"/>
  <c r="AD247" i="102" s="1"/>
  <c r="AJ247" i="102" s="1"/>
  <c r="AK247" i="102" s="1"/>
  <c r="AL247" i="102" s="1"/>
  <c r="Y247" i="102"/>
  <c r="X247" i="102"/>
  <c r="Z247" i="102" s="1"/>
  <c r="AH247" i="102" s="1"/>
  <c r="AB246" i="102" a="1"/>
  <c r="AB246" i="102" s="1"/>
  <c r="AA246" i="102" a="1"/>
  <c r="AA246" i="102" s="1"/>
  <c r="AD246" i="102" s="1"/>
  <c r="AJ246" i="102" s="1"/>
  <c r="AK246" i="102" s="1"/>
  <c r="AL246" i="102" s="1"/>
  <c r="Y246" i="102"/>
  <c r="X246" i="102"/>
  <c r="AB245" i="102" a="1"/>
  <c r="AB245" i="102" s="1"/>
  <c r="AA245" i="102" a="1"/>
  <c r="AA245" i="102" s="1"/>
  <c r="Y245" i="102"/>
  <c r="X245" i="102"/>
  <c r="AB244" i="102" a="1"/>
  <c r="AB244" i="102" s="1"/>
  <c r="AA244" i="102" a="1"/>
  <c r="AA244" i="102" s="1"/>
  <c r="AD244" i="102" s="1"/>
  <c r="AJ244" i="102" s="1"/>
  <c r="AK244" i="102" s="1"/>
  <c r="AL244" i="102" s="1"/>
  <c r="Y244" i="102"/>
  <c r="X244" i="102"/>
  <c r="Z244" i="102" s="1"/>
  <c r="AH244" i="102" s="1"/>
  <c r="AB243" i="102" a="1"/>
  <c r="AB243" i="102" s="1"/>
  <c r="AA243" i="102" a="1"/>
  <c r="AA243" i="102" s="1"/>
  <c r="AD243" i="102" s="1"/>
  <c r="AJ243" i="102" s="1"/>
  <c r="AK243" i="102" s="1"/>
  <c r="AL243" i="102" s="1"/>
  <c r="Y243" i="102"/>
  <c r="X243" i="102"/>
  <c r="Z243" i="102" s="1"/>
  <c r="AH243" i="102" s="1"/>
  <c r="AB242" i="102" a="1"/>
  <c r="AB242" i="102" s="1"/>
  <c r="AA242" i="102" a="1"/>
  <c r="AA242" i="102" s="1"/>
  <c r="Y242" i="102"/>
  <c r="X242" i="102"/>
  <c r="Z241" i="102" s="1"/>
  <c r="AH241" i="102" s="1"/>
  <c r="AB241" i="102" a="1"/>
  <c r="AB241" i="102" s="1"/>
  <c r="AA241" i="102" a="1"/>
  <c r="AA241" i="102" s="1"/>
  <c r="AD241" i="102" s="1"/>
  <c r="AJ241" i="102" s="1"/>
  <c r="AK241" i="102" s="1"/>
  <c r="AL241" i="102" s="1"/>
  <c r="Y241" i="102"/>
  <c r="X241" i="102"/>
  <c r="AB240" i="102" a="1"/>
  <c r="AB240" i="102" s="1"/>
  <c r="AA240" i="102" a="1"/>
  <c r="AA240" i="102" s="1"/>
  <c r="AD240" i="102" s="1"/>
  <c r="AJ240" i="102" s="1"/>
  <c r="AK240" i="102" s="1"/>
  <c r="AL240" i="102" s="1"/>
  <c r="Y240" i="102"/>
  <c r="X240" i="102"/>
  <c r="AB239" i="102" a="1"/>
  <c r="AB239" i="102" s="1"/>
  <c r="AA239" i="102" a="1"/>
  <c r="AA239" i="102" s="1"/>
  <c r="Y239" i="102"/>
  <c r="X239" i="102"/>
  <c r="AB238" i="102" a="1"/>
  <c r="AB238" i="102" s="1"/>
  <c r="AA238" i="102" a="1"/>
  <c r="AA238" i="102" s="1"/>
  <c r="AD238" i="102" s="1"/>
  <c r="AJ238" i="102" s="1"/>
  <c r="AK238" i="102" s="1"/>
  <c r="AL238" i="102" s="1"/>
  <c r="Y238" i="102"/>
  <c r="X238" i="102"/>
  <c r="Z238" i="102" s="1"/>
  <c r="AH238" i="102" s="1"/>
  <c r="AB237" i="102" a="1"/>
  <c r="AB237" i="102" s="1"/>
  <c r="AA237" i="102" a="1"/>
  <c r="AA237" i="102" s="1"/>
  <c r="AD237" i="102" s="1"/>
  <c r="AJ237" i="102" s="1"/>
  <c r="AK237" i="102" s="1"/>
  <c r="AL237" i="102" s="1"/>
  <c r="Y237" i="102"/>
  <c r="X237" i="102"/>
  <c r="Z237" i="102" s="1"/>
  <c r="AH237" i="102" s="1"/>
  <c r="AB236" i="102" a="1"/>
  <c r="AB236" i="102" s="1"/>
  <c r="AA236" i="102" a="1"/>
  <c r="AA236" i="102" s="1"/>
  <c r="Y236" i="102"/>
  <c r="X236" i="102"/>
  <c r="Z235" i="102" s="1"/>
  <c r="AH235" i="102" s="1"/>
  <c r="AB235" i="102" a="1"/>
  <c r="AB235" i="102" s="1"/>
  <c r="AA235" i="102" a="1"/>
  <c r="AA235" i="102" s="1"/>
  <c r="AD235" i="102" s="1"/>
  <c r="AJ235" i="102" s="1"/>
  <c r="AK235" i="102" s="1"/>
  <c r="AL235" i="102" s="1"/>
  <c r="Y235" i="102"/>
  <c r="X235" i="102"/>
  <c r="AB234" i="102" a="1"/>
  <c r="AB234" i="102" s="1"/>
  <c r="AA234" i="102" a="1"/>
  <c r="AA234" i="102" s="1"/>
  <c r="AD234" i="102" s="1"/>
  <c r="AJ234" i="102" s="1"/>
  <c r="AK234" i="102" s="1"/>
  <c r="AL234" i="102" s="1"/>
  <c r="Y234" i="102"/>
  <c r="X234" i="102"/>
  <c r="Z305" i="102"/>
  <c r="AH305" i="102" s="1"/>
  <c r="I305" i="102"/>
  <c r="H305" i="102"/>
  <c r="Z304" i="102"/>
  <c r="AH304" i="102" s="1"/>
  <c r="I304" i="102"/>
  <c r="H304" i="102"/>
  <c r="I303" i="102"/>
  <c r="H303" i="102"/>
  <c r="AJ302" i="102"/>
  <c r="AK302" i="102" s="1"/>
  <c r="AL302" i="102" s="1"/>
  <c r="AH302" i="102"/>
  <c r="I302" i="102"/>
  <c r="H302" i="102"/>
  <c r="I301" i="102"/>
  <c r="H301" i="102"/>
  <c r="I300" i="102"/>
  <c r="H300" i="102"/>
  <c r="I299" i="102"/>
  <c r="H299" i="102"/>
  <c r="Z298" i="102"/>
  <c r="AH298" i="102" s="1"/>
  <c r="I298" i="102"/>
  <c r="H298" i="102"/>
  <c r="I297" i="102"/>
  <c r="H297" i="102"/>
  <c r="Z296" i="102"/>
  <c r="AH296" i="102" s="1"/>
  <c r="I296" i="102"/>
  <c r="H296" i="102"/>
  <c r="Z295" i="102"/>
  <c r="AH295" i="102" s="1"/>
  <c r="I295" i="102"/>
  <c r="H295" i="102"/>
  <c r="I294" i="102"/>
  <c r="H294" i="102"/>
  <c r="I293" i="102"/>
  <c r="H293" i="102"/>
  <c r="Z292" i="102"/>
  <c r="AH292" i="102" s="1"/>
  <c r="I292" i="102"/>
  <c r="H292" i="102"/>
  <c r="I291" i="102"/>
  <c r="H291" i="102"/>
  <c r="AJ290" i="102"/>
  <c r="AK290" i="102" s="1"/>
  <c r="AL290" i="102" s="1"/>
  <c r="AH290" i="102"/>
  <c r="I290" i="102"/>
  <c r="H290" i="102"/>
  <c r="I289" i="102"/>
  <c r="H289" i="102"/>
  <c r="AJ288" i="102"/>
  <c r="AK288" i="102" s="1"/>
  <c r="AL288" i="102" s="1"/>
  <c r="AH288" i="102"/>
  <c r="I288" i="102"/>
  <c r="H288" i="102"/>
  <c r="Z287" i="102"/>
  <c r="AH287" i="102" s="1"/>
  <c r="I287" i="102"/>
  <c r="H287" i="102"/>
  <c r="Z286" i="102"/>
  <c r="AH286" i="102" s="1"/>
  <c r="I286" i="102"/>
  <c r="H286" i="102"/>
  <c r="I285" i="102"/>
  <c r="H285" i="102"/>
  <c r="Z284" i="102"/>
  <c r="AH284" i="102" s="1"/>
  <c r="I284" i="102"/>
  <c r="H284" i="102"/>
  <c r="Z283" i="102"/>
  <c r="AH283" i="102" s="1"/>
  <c r="I283" i="102"/>
  <c r="H283" i="102"/>
  <c r="Z282" i="102"/>
  <c r="AH282" i="102" s="1"/>
  <c r="I282" i="102"/>
  <c r="H282" i="102"/>
  <c r="I281" i="102"/>
  <c r="H281" i="102"/>
  <c r="Z280" i="102"/>
  <c r="AH280" i="102" s="1"/>
  <c r="I280" i="102"/>
  <c r="H280" i="102"/>
  <c r="I279" i="102"/>
  <c r="H279" i="102"/>
  <c r="AJ278" i="102"/>
  <c r="AK278" i="102" s="1"/>
  <c r="AL278" i="102" s="1"/>
  <c r="AH278" i="102"/>
  <c r="I278" i="102"/>
  <c r="H278" i="102"/>
  <c r="I277" i="102"/>
  <c r="H277" i="102"/>
  <c r="I276" i="102"/>
  <c r="H276" i="102"/>
  <c r="I275" i="102"/>
  <c r="H275" i="102"/>
  <c r="I274" i="102"/>
  <c r="H274" i="102"/>
  <c r="AJ273" i="102"/>
  <c r="AK273" i="102" s="1"/>
  <c r="AL273" i="102" s="1"/>
  <c r="AH273" i="102"/>
  <c r="I273" i="102"/>
  <c r="H273" i="102"/>
  <c r="I272" i="102"/>
  <c r="H272" i="102"/>
  <c r="AJ271" i="102"/>
  <c r="AK271" i="102" s="1"/>
  <c r="AL271" i="102" s="1"/>
  <c r="AH271" i="102"/>
  <c r="I271" i="102"/>
  <c r="H271" i="102"/>
  <c r="I270" i="102"/>
  <c r="H270" i="102"/>
  <c r="I269" i="102"/>
  <c r="H269" i="102"/>
  <c r="I268" i="102"/>
  <c r="H268" i="102"/>
  <c r="Z267" i="102"/>
  <c r="AH267" i="102" s="1"/>
  <c r="I267" i="102"/>
  <c r="H267" i="102"/>
  <c r="I266" i="102"/>
  <c r="H266" i="102"/>
  <c r="I265" i="102"/>
  <c r="H265" i="102"/>
  <c r="I264" i="102"/>
  <c r="H264" i="102"/>
  <c r="Z263" i="102"/>
  <c r="AH263" i="102" s="1"/>
  <c r="I263" i="102"/>
  <c r="H263" i="102"/>
  <c r="I262" i="102"/>
  <c r="H262" i="102"/>
  <c r="I261" i="102"/>
  <c r="H261" i="102"/>
  <c r="Z260" i="102"/>
  <c r="AH260" i="102" s="1"/>
  <c r="I260" i="102"/>
  <c r="H260" i="102"/>
  <c r="Z259" i="102"/>
  <c r="AH259" i="102" s="1"/>
  <c r="I259" i="102"/>
  <c r="H259" i="102"/>
  <c r="I258" i="102"/>
  <c r="H258" i="102"/>
  <c r="I257" i="102"/>
  <c r="H257" i="102"/>
  <c r="I256" i="102"/>
  <c r="H256" i="102"/>
  <c r="AK255" i="102"/>
  <c r="AL255" i="102" s="1"/>
  <c r="AJ255" i="102"/>
  <c r="AH255" i="102"/>
  <c r="I255" i="102"/>
  <c r="H255" i="102"/>
  <c r="I254" i="102"/>
  <c r="H254" i="102"/>
  <c r="Z253" i="102"/>
  <c r="AH253" i="102" s="1"/>
  <c r="I253" i="102"/>
  <c r="H253" i="102"/>
  <c r="Z252" i="102"/>
  <c r="AH252" i="102" s="1"/>
  <c r="I252" i="102"/>
  <c r="H252" i="102"/>
  <c r="AJ251" i="102"/>
  <c r="AK251" i="102" s="1"/>
  <c r="AL251" i="102" s="1"/>
  <c r="AH251" i="102"/>
  <c r="I251" i="102"/>
  <c r="H251" i="102"/>
  <c r="I250" i="102"/>
  <c r="H250" i="102"/>
  <c r="I249" i="102"/>
  <c r="H249" i="102"/>
  <c r="I248" i="102"/>
  <c r="H248" i="102"/>
  <c r="I247" i="102"/>
  <c r="H247" i="102"/>
  <c r="I246" i="102"/>
  <c r="H246" i="102"/>
  <c r="AJ245" i="102"/>
  <c r="AK245" i="102" s="1"/>
  <c r="AL245" i="102" s="1"/>
  <c r="AH245" i="102"/>
  <c r="I245" i="102"/>
  <c r="H245" i="102"/>
  <c r="I244" i="102"/>
  <c r="H244" i="102"/>
  <c r="I243" i="102"/>
  <c r="H243" i="102"/>
  <c r="AK242" i="102"/>
  <c r="AL242" i="102" s="1"/>
  <c r="AJ242" i="102"/>
  <c r="AH242" i="102"/>
  <c r="I242" i="102"/>
  <c r="H242" i="102"/>
  <c r="I241" i="102"/>
  <c r="H241" i="102"/>
  <c r="I240" i="102"/>
  <c r="H240" i="102"/>
  <c r="AJ239" i="102"/>
  <c r="AK239" i="102" s="1"/>
  <c r="AL239" i="102" s="1"/>
  <c r="AH239" i="102"/>
  <c r="I239" i="102"/>
  <c r="H239" i="102"/>
  <c r="I238" i="102"/>
  <c r="H238" i="102"/>
  <c r="I237" i="102"/>
  <c r="H237" i="102"/>
  <c r="AJ236" i="102"/>
  <c r="AK236" i="102" s="1"/>
  <c r="AL236" i="102" s="1"/>
  <c r="AH236" i="102"/>
  <c r="I236" i="102"/>
  <c r="H236" i="102"/>
  <c r="I235" i="102"/>
  <c r="H235" i="102"/>
  <c r="I234" i="102"/>
  <c r="H234" i="102"/>
  <c r="P207" i="144" a="1"/>
  <c r="P207" i="144" s="1"/>
  <c r="O207" i="144" a="1"/>
  <c r="O207" i="144" s="1"/>
  <c r="N207" i="144" a="1"/>
  <c r="N207" i="144" s="1"/>
  <c r="F207" i="144"/>
  <c r="F207" i="144" a="1"/>
  <c r="E207" i="144" a="1"/>
  <c r="E207" i="144" s="1"/>
  <c r="D207" i="144" a="1"/>
  <c r="D207" i="144" s="1"/>
  <c r="P206" i="144" a="1"/>
  <c r="P206" i="144" s="1"/>
  <c r="O206" i="144"/>
  <c r="O206" i="144" a="1"/>
  <c r="N206" i="144" a="1"/>
  <c r="N206" i="144" s="1"/>
  <c r="F206" i="144" a="1"/>
  <c r="F206" i="144" s="1"/>
  <c r="E206" i="144" a="1"/>
  <c r="E206" i="144" s="1"/>
  <c r="D206" i="144"/>
  <c r="D206" i="144" a="1"/>
  <c r="P205" i="144" a="1"/>
  <c r="P205" i="144" s="1"/>
  <c r="O205" i="144" a="1"/>
  <c r="O205" i="144" s="1"/>
  <c r="N205" i="144" a="1"/>
  <c r="N205" i="144" s="1"/>
  <c r="F205" i="144"/>
  <c r="F205" i="144" a="1"/>
  <c r="E205" i="144" a="1"/>
  <c r="E205" i="144" s="1"/>
  <c r="D205" i="144" a="1"/>
  <c r="D205" i="144" s="1"/>
  <c r="P204" i="144" a="1"/>
  <c r="P204" i="144" s="1"/>
  <c r="O204" i="144"/>
  <c r="O204" i="144" a="1"/>
  <c r="N204" i="144" a="1"/>
  <c r="N204" i="144" s="1"/>
  <c r="F204" i="144" a="1"/>
  <c r="F204" i="144" s="1"/>
  <c r="E204" i="144" a="1"/>
  <c r="E204" i="144" s="1"/>
  <c r="D204" i="144"/>
  <c r="D204" i="144" a="1"/>
  <c r="P203" i="144" a="1"/>
  <c r="P203" i="144" s="1"/>
  <c r="O203" i="144" a="1"/>
  <c r="O203" i="144" s="1"/>
  <c r="N203" i="144" a="1"/>
  <c r="N203" i="144" s="1"/>
  <c r="F203" i="144"/>
  <c r="F203" i="144" a="1"/>
  <c r="E203" i="144" a="1"/>
  <c r="E203" i="144" s="1"/>
  <c r="D203" i="144" a="1"/>
  <c r="D203" i="144" s="1"/>
  <c r="P202" i="144" a="1"/>
  <c r="P202" i="144" s="1"/>
  <c r="O202" i="144"/>
  <c r="O202" i="144" a="1"/>
  <c r="N202" i="144" a="1"/>
  <c r="N202" i="144" s="1"/>
  <c r="F202" i="144" a="1"/>
  <c r="F202" i="144" s="1"/>
  <c r="E202" i="144" a="1"/>
  <c r="E202" i="144" s="1"/>
  <c r="D202" i="144"/>
  <c r="D202" i="144" a="1"/>
  <c r="P201" i="144" a="1"/>
  <c r="P201" i="144" s="1"/>
  <c r="O201" i="144" a="1"/>
  <c r="O201" i="144" s="1"/>
  <c r="N201" i="144" a="1"/>
  <c r="N201" i="144" s="1"/>
  <c r="F201" i="144"/>
  <c r="F201" i="144" a="1"/>
  <c r="E201" i="144" a="1"/>
  <c r="E201" i="144" s="1"/>
  <c r="D201" i="144" a="1"/>
  <c r="D201" i="144" s="1"/>
  <c r="P200" i="144" a="1"/>
  <c r="P200" i="144" s="1"/>
  <c r="O200" i="144"/>
  <c r="O200" i="144" a="1"/>
  <c r="N200" i="144" a="1"/>
  <c r="N200" i="144" s="1"/>
  <c r="F200" i="144" a="1"/>
  <c r="F200" i="144" s="1"/>
  <c r="E200" i="144" a="1"/>
  <c r="E200" i="144" s="1"/>
  <c r="D200" i="144"/>
  <c r="D200" i="144" a="1"/>
  <c r="P195" i="144" a="1"/>
  <c r="P195" i="144" s="1"/>
  <c r="F195" i="144" a="1"/>
  <c r="F195" i="144" s="1"/>
  <c r="O194" i="144" a="1"/>
  <c r="O194" i="144" s="1"/>
  <c r="E194" i="144"/>
  <c r="E194" i="144" a="1"/>
  <c r="N193" i="144" a="1"/>
  <c r="N193" i="144" s="1"/>
  <c r="D193" i="144" a="1"/>
  <c r="D193" i="144" s="1"/>
  <c r="P192" i="144" a="1"/>
  <c r="P192" i="144" s="1"/>
  <c r="F192" i="144"/>
  <c r="F192" i="144" a="1"/>
  <c r="O191" i="144" a="1"/>
  <c r="O191" i="144" s="1"/>
  <c r="E191" i="144" a="1"/>
  <c r="E191" i="144" s="1"/>
  <c r="N190" i="144" a="1"/>
  <c r="N190" i="144" s="1"/>
  <c r="D190" i="144"/>
  <c r="D190" i="144" a="1"/>
  <c r="P189" i="144" a="1"/>
  <c r="P189" i="144" s="1"/>
  <c r="F189" i="144" a="1"/>
  <c r="F189" i="144" s="1"/>
  <c r="O188" i="144" a="1"/>
  <c r="O188" i="144" s="1"/>
  <c r="E188" i="144"/>
  <c r="E188" i="144" a="1"/>
  <c r="N187" i="144" a="1"/>
  <c r="N187" i="144" s="1"/>
  <c r="D187" i="144" a="1"/>
  <c r="D187" i="144" s="1"/>
  <c r="P186" i="144" a="1"/>
  <c r="P186" i="144" s="1"/>
  <c r="F186" i="144"/>
  <c r="F186" i="144" a="1"/>
  <c r="O185" i="144" a="1"/>
  <c r="O185" i="144" s="1"/>
  <c r="E185" i="144" a="1"/>
  <c r="E185" i="144" s="1"/>
  <c r="N184" i="144" a="1"/>
  <c r="N184" i="144" s="1"/>
  <c r="D184" i="144"/>
  <c r="D184" i="144" a="1"/>
  <c r="P183" i="144" a="1"/>
  <c r="P183" i="144" s="1"/>
  <c r="F183" i="144" a="1"/>
  <c r="F183" i="144" s="1"/>
  <c r="O182" i="144" a="1"/>
  <c r="O182" i="144" s="1"/>
  <c r="E182" i="144"/>
  <c r="E182" i="144" a="1"/>
  <c r="N181" i="144" a="1"/>
  <c r="N181" i="144" s="1"/>
  <c r="D181" i="144" a="1"/>
  <c r="D181" i="144" s="1"/>
  <c r="P180" i="144" a="1"/>
  <c r="P180" i="144" s="1"/>
  <c r="F180" i="144"/>
  <c r="F180" i="144" a="1"/>
  <c r="O179" i="144" a="1"/>
  <c r="O179" i="144" s="1"/>
  <c r="E179" i="144" a="1"/>
  <c r="E179" i="144" s="1"/>
  <c r="N178" i="144" a="1"/>
  <c r="N178" i="144" s="1"/>
  <c r="D178" i="144"/>
  <c r="D178" i="144" a="1"/>
  <c r="P177" i="144" a="1"/>
  <c r="P177" i="144" s="1"/>
  <c r="F177" i="144" a="1"/>
  <c r="F177" i="144" s="1"/>
  <c r="O176" i="144" a="1"/>
  <c r="O176" i="144" s="1"/>
  <c r="E176" i="144"/>
  <c r="E176" i="144" a="1"/>
  <c r="N175" i="144" a="1"/>
  <c r="N175" i="144" s="1"/>
  <c r="D175" i="144" a="1"/>
  <c r="D175" i="144" s="1"/>
  <c r="P174" i="144" a="1"/>
  <c r="P174" i="144" s="1"/>
  <c r="F174" i="144"/>
  <c r="F174" i="144" a="1"/>
  <c r="O173" i="144" a="1"/>
  <c r="O173" i="144" s="1"/>
  <c r="E173" i="144" a="1"/>
  <c r="E173" i="144" s="1"/>
  <c r="N172" i="144" a="1"/>
  <c r="N172" i="144" s="1"/>
  <c r="D172" i="144"/>
  <c r="D172" i="144" a="1"/>
  <c r="P171" i="144" a="1"/>
  <c r="P171" i="144" s="1"/>
  <c r="F171" i="144" a="1"/>
  <c r="F171" i="144" s="1"/>
  <c r="O170" i="144" a="1"/>
  <c r="O170" i="144" s="1"/>
  <c r="E170" i="144"/>
  <c r="E170" i="144" a="1"/>
  <c r="N169" i="144" a="1"/>
  <c r="N169" i="144" s="1"/>
  <c r="D169" i="144" a="1"/>
  <c r="D169" i="144" s="1"/>
  <c r="P164" i="144" a="1"/>
  <c r="P164" i="144" s="1"/>
  <c r="F164" i="144"/>
  <c r="F164" i="144" a="1"/>
  <c r="O163" i="144" a="1"/>
  <c r="O163" i="144" s="1"/>
  <c r="E163" i="144" a="1"/>
  <c r="E163" i="144" s="1"/>
  <c r="N162" i="144" a="1"/>
  <c r="N162" i="144" s="1"/>
  <c r="D162" i="144" a="1"/>
  <c r="D162" i="144" s="1"/>
  <c r="P161" i="144" a="1"/>
  <c r="P161" i="144" s="1"/>
  <c r="F161" i="144" a="1"/>
  <c r="F161" i="144" s="1"/>
  <c r="O160" i="144" a="1"/>
  <c r="O160" i="144" s="1"/>
  <c r="E160" i="144" a="1"/>
  <c r="E160" i="144" s="1"/>
  <c r="N159" i="144" a="1"/>
  <c r="N159" i="144" s="1"/>
  <c r="D159" i="144" a="1"/>
  <c r="D159" i="144" s="1"/>
  <c r="P158" i="144" a="1"/>
  <c r="P158" i="144" s="1"/>
  <c r="F158" i="144" a="1"/>
  <c r="F158" i="144" s="1"/>
  <c r="O157" i="144" a="1"/>
  <c r="O157" i="144" s="1"/>
  <c r="E157" i="144" a="1"/>
  <c r="E157" i="144" s="1"/>
  <c r="N156" i="144" a="1"/>
  <c r="N156" i="144" s="1"/>
  <c r="D156" i="144" a="1"/>
  <c r="D156" i="144" s="1"/>
  <c r="P155" i="144" a="1"/>
  <c r="P155" i="144" s="1"/>
  <c r="F155" i="144" a="1"/>
  <c r="F155" i="144" s="1"/>
  <c r="O154" i="144" a="1"/>
  <c r="O154" i="144" s="1"/>
  <c r="E154" i="144" a="1"/>
  <c r="E154" i="144" s="1"/>
  <c r="N153" i="144" a="1"/>
  <c r="N153" i="144" s="1"/>
  <c r="D153" i="144" a="1"/>
  <c r="D153" i="144" s="1"/>
  <c r="P152" i="144" a="1"/>
  <c r="P152" i="144" s="1"/>
  <c r="F152" i="144" a="1"/>
  <c r="F152" i="144" s="1"/>
  <c r="O151" i="144" a="1"/>
  <c r="O151" i="144" s="1"/>
  <c r="E151" i="144" a="1"/>
  <c r="E151" i="144" s="1"/>
  <c r="N150" i="144" a="1"/>
  <c r="N150" i="144" s="1"/>
  <c r="D150" i="144" a="1"/>
  <c r="D150" i="144" s="1"/>
  <c r="P149" i="144" a="1"/>
  <c r="P149" i="144" s="1"/>
  <c r="F149" i="144" a="1"/>
  <c r="F149" i="144" s="1"/>
  <c r="O148" i="144" a="1"/>
  <c r="O148" i="144" s="1"/>
  <c r="E148" i="144" a="1"/>
  <c r="E148" i="144" s="1"/>
  <c r="N147" i="144" a="1"/>
  <c r="N147" i="144" s="1"/>
  <c r="D147" i="144" a="1"/>
  <c r="D147" i="144" s="1"/>
  <c r="P146" i="144" a="1"/>
  <c r="P146" i="144" s="1"/>
  <c r="F146" i="144" a="1"/>
  <c r="F146" i="144" s="1"/>
  <c r="O145" i="144" a="1"/>
  <c r="O145" i="144" s="1"/>
  <c r="E145" i="144" a="1"/>
  <c r="E145" i="144" s="1"/>
  <c r="N144" i="144" a="1"/>
  <c r="N144" i="144" s="1"/>
  <c r="D144" i="144" a="1"/>
  <c r="D144" i="144" s="1"/>
  <c r="P143" i="144" a="1"/>
  <c r="P143" i="144" s="1"/>
  <c r="F143" i="144" a="1"/>
  <c r="F143" i="144" s="1"/>
  <c r="O142" i="144" a="1"/>
  <c r="O142" i="144" s="1"/>
  <c r="E142" i="144" a="1"/>
  <c r="E142" i="144" s="1"/>
  <c r="N141" i="144" a="1"/>
  <c r="N141" i="144" s="1"/>
  <c r="D141" i="144" a="1"/>
  <c r="D141" i="144" s="1"/>
  <c r="P140" i="144" a="1"/>
  <c r="P140" i="144" s="1"/>
  <c r="F140" i="144" a="1"/>
  <c r="F140" i="144" s="1"/>
  <c r="O139" i="144" a="1"/>
  <c r="O139" i="144" s="1"/>
  <c r="E139" i="144" a="1"/>
  <c r="E139" i="144" s="1"/>
  <c r="N138" i="144" a="1"/>
  <c r="N138" i="144" s="1"/>
  <c r="D138" i="144" a="1"/>
  <c r="D138" i="144" s="1"/>
  <c r="N133" i="144" a="1"/>
  <c r="N133" i="144" s="1"/>
  <c r="D133" i="144" a="1"/>
  <c r="D133" i="144" s="1"/>
  <c r="P132" i="144" a="1"/>
  <c r="P132" i="144" s="1"/>
  <c r="F132" i="144" a="1"/>
  <c r="F132" i="144" s="1"/>
  <c r="O131" i="144" a="1"/>
  <c r="O131" i="144" s="1"/>
  <c r="E131" i="144" a="1"/>
  <c r="E131" i="144" s="1"/>
  <c r="N130" i="144" a="1"/>
  <c r="N130" i="144" s="1"/>
  <c r="D130" i="144" a="1"/>
  <c r="D130" i="144" s="1"/>
  <c r="P129" i="144" a="1"/>
  <c r="P129" i="144" s="1"/>
  <c r="F129" i="144" a="1"/>
  <c r="F129" i="144" s="1"/>
  <c r="O128" i="144" a="1"/>
  <c r="O128" i="144" s="1"/>
  <c r="E128" i="144" a="1"/>
  <c r="E128" i="144" s="1"/>
  <c r="N127" i="144" a="1"/>
  <c r="N127" i="144" s="1"/>
  <c r="D127" i="144" a="1"/>
  <c r="D127" i="144" s="1"/>
  <c r="P126" i="144" a="1"/>
  <c r="P126" i="144" s="1"/>
  <c r="F126" i="144" a="1"/>
  <c r="F126" i="144" s="1"/>
  <c r="O125" i="144" a="1"/>
  <c r="O125" i="144" s="1"/>
  <c r="E125" i="144" a="1"/>
  <c r="E125" i="144" s="1"/>
  <c r="N124" i="144" a="1"/>
  <c r="N124" i="144" s="1"/>
  <c r="D124" i="144" a="1"/>
  <c r="D124" i="144" s="1"/>
  <c r="P123" i="144" a="1"/>
  <c r="P123" i="144" s="1"/>
  <c r="F123" i="144" a="1"/>
  <c r="F123" i="144" s="1"/>
  <c r="O122" i="144" a="1"/>
  <c r="O122" i="144" s="1"/>
  <c r="E122" i="144"/>
  <c r="E122" i="144" a="1"/>
  <c r="N121" i="144" a="1"/>
  <c r="N121" i="144" s="1"/>
  <c r="D121" i="144" a="1"/>
  <c r="D121" i="144" s="1"/>
  <c r="P120" i="144" a="1"/>
  <c r="P120" i="144" s="1"/>
  <c r="F120" i="144" a="1"/>
  <c r="F120" i="144" s="1"/>
  <c r="O119" i="144" a="1"/>
  <c r="O119" i="144" s="1"/>
  <c r="E119" i="144" a="1"/>
  <c r="E119" i="144" s="1"/>
  <c r="N118" i="144" a="1"/>
  <c r="N118" i="144" s="1"/>
  <c r="D118" i="144" a="1"/>
  <c r="D118" i="144" s="1"/>
  <c r="P117" i="144" a="1"/>
  <c r="P117" i="144" s="1"/>
  <c r="F117" i="144" a="1"/>
  <c r="F117" i="144" s="1"/>
  <c r="O116" i="144" a="1"/>
  <c r="O116" i="144" s="1"/>
  <c r="E116" i="144" a="1"/>
  <c r="E116" i="144" s="1"/>
  <c r="N115" i="144" a="1"/>
  <c r="N115" i="144" s="1"/>
  <c r="D115" i="144" a="1"/>
  <c r="D115" i="144" s="1"/>
  <c r="P114" i="144" a="1"/>
  <c r="P114" i="144" s="1"/>
  <c r="F114" i="144"/>
  <c r="F114" i="144" a="1"/>
  <c r="O113" i="144" a="1"/>
  <c r="O113" i="144" s="1"/>
  <c r="E113" i="144" a="1"/>
  <c r="E113" i="144" s="1"/>
  <c r="N112" i="144" a="1"/>
  <c r="N112" i="144" s="1"/>
  <c r="D112" i="144" a="1"/>
  <c r="D112" i="144" s="1"/>
  <c r="P111" i="144" a="1"/>
  <c r="P111" i="144" s="1"/>
  <c r="F111" i="144" a="1"/>
  <c r="F111" i="144" s="1"/>
  <c r="O110" i="144" a="1"/>
  <c r="O110" i="144" s="1"/>
  <c r="E110" i="144" a="1"/>
  <c r="E110" i="144" s="1"/>
  <c r="O134" i="144" s="1"/>
  <c r="N109" i="144" a="1"/>
  <c r="N109" i="144" s="1"/>
  <c r="F109" i="144" a="1"/>
  <c r="F109" i="144" s="1"/>
  <c r="E109" i="144" a="1"/>
  <c r="E109" i="144" s="1"/>
  <c r="D109" i="144" a="1"/>
  <c r="D109" i="144" s="1"/>
  <c r="N104" i="144" a="1"/>
  <c r="N104" i="144" s="1"/>
  <c r="D104" i="144" a="1"/>
  <c r="D104" i="144" s="1"/>
  <c r="P103" i="144" a="1"/>
  <c r="P103" i="144" s="1"/>
  <c r="F103" i="144"/>
  <c r="F103" i="144" a="1"/>
  <c r="O102" i="144" a="1"/>
  <c r="O102" i="144" s="1"/>
  <c r="E102" i="144" a="1"/>
  <c r="E102" i="144" s="1"/>
  <c r="N101" i="144" a="1"/>
  <c r="N101" i="144" s="1"/>
  <c r="D101" i="144" a="1"/>
  <c r="D101" i="144" s="1"/>
  <c r="P100" i="144" a="1"/>
  <c r="P100" i="144" s="1"/>
  <c r="F100" i="144" a="1"/>
  <c r="F100" i="144" s="1"/>
  <c r="O99" i="144" a="1"/>
  <c r="O99" i="144" s="1"/>
  <c r="E99" i="144" a="1"/>
  <c r="E99" i="144" s="1"/>
  <c r="N98" i="144" a="1"/>
  <c r="N98" i="144" s="1"/>
  <c r="D98" i="144" a="1"/>
  <c r="D98" i="144" s="1"/>
  <c r="P97" i="144" a="1"/>
  <c r="P97" i="144" s="1"/>
  <c r="F97" i="144" a="1"/>
  <c r="F97" i="144" s="1"/>
  <c r="O96" i="144" a="1"/>
  <c r="O96" i="144" s="1"/>
  <c r="E96" i="144" a="1"/>
  <c r="E96" i="144" s="1"/>
  <c r="N95" i="144" a="1"/>
  <c r="N95" i="144" s="1"/>
  <c r="D95" i="144"/>
  <c r="D95" i="144" a="1"/>
  <c r="P94" i="144" a="1"/>
  <c r="P94" i="144" s="1"/>
  <c r="F94" i="144" a="1"/>
  <c r="F94" i="144" s="1"/>
  <c r="O93" i="144" a="1"/>
  <c r="O93" i="144" s="1"/>
  <c r="E93" i="144" a="1"/>
  <c r="E93" i="144" s="1"/>
  <c r="N92" i="144" a="1"/>
  <c r="N92" i="144" s="1"/>
  <c r="D92" i="144" a="1"/>
  <c r="D92" i="144" s="1"/>
  <c r="P91" i="144" a="1"/>
  <c r="P91" i="144" s="1"/>
  <c r="F91" i="144"/>
  <c r="F91" i="144" a="1"/>
  <c r="O90" i="144" a="1"/>
  <c r="O90" i="144" s="1"/>
  <c r="E90" i="144" a="1"/>
  <c r="E90" i="144" s="1"/>
  <c r="N89" i="144" a="1"/>
  <c r="N89" i="144" s="1"/>
  <c r="D89" i="144" a="1"/>
  <c r="D89" i="144" s="1"/>
  <c r="P88" i="144" a="1"/>
  <c r="P88" i="144" s="1"/>
  <c r="F88" i="144" a="1"/>
  <c r="F88" i="144" s="1"/>
  <c r="O87" i="144" a="1"/>
  <c r="O87" i="144" s="1"/>
  <c r="E87" i="144"/>
  <c r="E87" i="144" a="1"/>
  <c r="N86" i="144" a="1"/>
  <c r="N86" i="144" s="1"/>
  <c r="D86" i="144" a="1"/>
  <c r="D86" i="144" s="1"/>
  <c r="P85" i="144" a="1"/>
  <c r="P85" i="144" s="1"/>
  <c r="F85" i="144" a="1"/>
  <c r="F85" i="144" s="1"/>
  <c r="O84" i="144" a="1"/>
  <c r="O84" i="144" s="1"/>
  <c r="E84" i="144" a="1"/>
  <c r="E84" i="144" s="1"/>
  <c r="N83" i="144" a="1"/>
  <c r="N83" i="144" s="1"/>
  <c r="D83" i="144" a="1"/>
  <c r="D83" i="144" s="1"/>
  <c r="P82" i="144" a="1"/>
  <c r="P82" i="144" s="1"/>
  <c r="F82" i="144" a="1"/>
  <c r="F82" i="144" s="1"/>
  <c r="O81" i="144" a="1"/>
  <c r="O81" i="144" s="1"/>
  <c r="E81" i="144" a="1"/>
  <c r="E81" i="144" s="1"/>
  <c r="N80" i="144" a="1"/>
  <c r="N80" i="144" s="1"/>
  <c r="F80" i="144" a="1"/>
  <c r="F80" i="144" s="1"/>
  <c r="E80" i="144" a="1"/>
  <c r="E80" i="144" s="1"/>
  <c r="D80" i="144"/>
  <c r="D80" i="144" a="1"/>
  <c r="P207" i="145" a="1"/>
  <c r="P207" i="145" s="1"/>
  <c r="O207" i="145" a="1"/>
  <c r="O207" i="145" s="1"/>
  <c r="N207" i="145" a="1"/>
  <c r="N207" i="145" s="1"/>
  <c r="F207" i="145" a="1"/>
  <c r="F207" i="145" s="1"/>
  <c r="E207" i="145" a="1"/>
  <c r="E207" i="145" s="1"/>
  <c r="D207" i="145" a="1"/>
  <c r="D207" i="145" s="1"/>
  <c r="P206" i="145" a="1"/>
  <c r="P206" i="145" s="1"/>
  <c r="O206" i="145" a="1"/>
  <c r="O206" i="145" s="1"/>
  <c r="N206" i="145" a="1"/>
  <c r="N206" i="145" s="1"/>
  <c r="F206" i="145" a="1"/>
  <c r="F206" i="145" s="1"/>
  <c r="E206" i="145" a="1"/>
  <c r="E206" i="145" s="1"/>
  <c r="D206" i="145" a="1"/>
  <c r="D206" i="145" s="1"/>
  <c r="P205" i="145" a="1"/>
  <c r="P205" i="145" s="1"/>
  <c r="O205" i="145" a="1"/>
  <c r="O205" i="145" s="1"/>
  <c r="N205" i="145" a="1"/>
  <c r="N205" i="145" s="1"/>
  <c r="F205" i="145" a="1"/>
  <c r="F205" i="145" s="1"/>
  <c r="E205" i="145" a="1"/>
  <c r="E205" i="145" s="1"/>
  <c r="D205" i="145" a="1"/>
  <c r="D205" i="145" s="1"/>
  <c r="P204" i="145" a="1"/>
  <c r="P204" i="145" s="1"/>
  <c r="O204" i="145" a="1"/>
  <c r="O204" i="145" s="1"/>
  <c r="N204" i="145" a="1"/>
  <c r="N204" i="145" s="1"/>
  <c r="F204" i="145" a="1"/>
  <c r="F204" i="145" s="1"/>
  <c r="E204" i="145" a="1"/>
  <c r="E204" i="145" s="1"/>
  <c r="D204" i="145" a="1"/>
  <c r="D204" i="145" s="1"/>
  <c r="P203" i="145" a="1"/>
  <c r="P203" i="145" s="1"/>
  <c r="O203" i="145" a="1"/>
  <c r="O203" i="145" s="1"/>
  <c r="N203" i="145" a="1"/>
  <c r="N203" i="145" s="1"/>
  <c r="F203" i="145" a="1"/>
  <c r="F203" i="145" s="1"/>
  <c r="E203" i="145" a="1"/>
  <c r="E203" i="145" s="1"/>
  <c r="D203" i="145" a="1"/>
  <c r="D203" i="145" s="1"/>
  <c r="P202" i="145" a="1"/>
  <c r="P202" i="145" s="1"/>
  <c r="O202" i="145" a="1"/>
  <c r="O202" i="145" s="1"/>
  <c r="N202" i="145" a="1"/>
  <c r="N202" i="145" s="1"/>
  <c r="F202" i="145" a="1"/>
  <c r="F202" i="145" s="1"/>
  <c r="E202" i="145" a="1"/>
  <c r="E202" i="145" s="1"/>
  <c r="D202" i="145" a="1"/>
  <c r="D202" i="145" s="1"/>
  <c r="P201" i="145" a="1"/>
  <c r="P201" i="145" s="1"/>
  <c r="O201" i="145" a="1"/>
  <c r="O201" i="145" s="1"/>
  <c r="N201" i="145" a="1"/>
  <c r="N201" i="145" s="1"/>
  <c r="F201" i="145" a="1"/>
  <c r="F201" i="145" s="1"/>
  <c r="E201" i="145" a="1"/>
  <c r="E201" i="145" s="1"/>
  <c r="D201" i="145" a="1"/>
  <c r="D201" i="145" s="1"/>
  <c r="P200" i="145" a="1"/>
  <c r="P200" i="145" s="1"/>
  <c r="O200" i="145" a="1"/>
  <c r="O200" i="145" s="1"/>
  <c r="N200" i="145" a="1"/>
  <c r="N200" i="145" s="1"/>
  <c r="F200" i="145" a="1"/>
  <c r="F200" i="145" s="1"/>
  <c r="E200" i="145" a="1"/>
  <c r="E200" i="145" s="1"/>
  <c r="D200" i="145" a="1"/>
  <c r="D200" i="145" s="1"/>
  <c r="P195" i="145" a="1"/>
  <c r="P195" i="145" s="1"/>
  <c r="F195" i="145" a="1"/>
  <c r="F195" i="145" s="1"/>
  <c r="O194" i="145" a="1"/>
  <c r="O194" i="145" s="1"/>
  <c r="E194" i="145" a="1"/>
  <c r="E194" i="145" s="1"/>
  <c r="N193" i="145" a="1"/>
  <c r="N193" i="145" s="1"/>
  <c r="D193" i="145" a="1"/>
  <c r="D193" i="145" s="1"/>
  <c r="P192" i="145" a="1"/>
  <c r="P192" i="145" s="1"/>
  <c r="F192" i="145" a="1"/>
  <c r="F192" i="145" s="1"/>
  <c r="O191" i="145" a="1"/>
  <c r="O191" i="145" s="1"/>
  <c r="E191" i="145" a="1"/>
  <c r="E191" i="145" s="1"/>
  <c r="N190" i="145" a="1"/>
  <c r="N190" i="145" s="1"/>
  <c r="D190" i="145" a="1"/>
  <c r="D190" i="145" s="1"/>
  <c r="P189" i="145" a="1"/>
  <c r="P189" i="145" s="1"/>
  <c r="F189" i="145" a="1"/>
  <c r="F189" i="145" s="1"/>
  <c r="O188" i="145" a="1"/>
  <c r="O188" i="145" s="1"/>
  <c r="E188" i="145" a="1"/>
  <c r="E188" i="145" s="1"/>
  <c r="N187" i="145" a="1"/>
  <c r="N187" i="145" s="1"/>
  <c r="D187" i="145" a="1"/>
  <c r="D187" i="145" s="1"/>
  <c r="P186" i="145" a="1"/>
  <c r="P186" i="145" s="1"/>
  <c r="F186" i="145" a="1"/>
  <c r="F186" i="145" s="1"/>
  <c r="O185" i="145" a="1"/>
  <c r="O185" i="145" s="1"/>
  <c r="E185" i="145" a="1"/>
  <c r="E185" i="145" s="1"/>
  <c r="N184" i="145" a="1"/>
  <c r="N184" i="145" s="1"/>
  <c r="D184" i="145" a="1"/>
  <c r="D184" i="145" s="1"/>
  <c r="P183" i="145" a="1"/>
  <c r="P183" i="145" s="1"/>
  <c r="F183" i="145" a="1"/>
  <c r="F183" i="145" s="1"/>
  <c r="O182" i="145" a="1"/>
  <c r="O182" i="145" s="1"/>
  <c r="E182" i="145" a="1"/>
  <c r="E182" i="145" s="1"/>
  <c r="N181" i="145" a="1"/>
  <c r="N181" i="145" s="1"/>
  <c r="D181" i="145" a="1"/>
  <c r="D181" i="145" s="1"/>
  <c r="P180" i="145" a="1"/>
  <c r="P180" i="145" s="1"/>
  <c r="F180" i="145" a="1"/>
  <c r="F180" i="145" s="1"/>
  <c r="O179" i="145" a="1"/>
  <c r="O179" i="145" s="1"/>
  <c r="E179" i="145" a="1"/>
  <c r="E179" i="145" s="1"/>
  <c r="N178" i="145" a="1"/>
  <c r="N178" i="145" s="1"/>
  <c r="D178" i="145" a="1"/>
  <c r="D178" i="145" s="1"/>
  <c r="P177" i="145" a="1"/>
  <c r="P177" i="145" s="1"/>
  <c r="F177" i="145" a="1"/>
  <c r="F177" i="145" s="1"/>
  <c r="O176" i="145" a="1"/>
  <c r="O176" i="145" s="1"/>
  <c r="E176" i="145" a="1"/>
  <c r="E176" i="145" s="1"/>
  <c r="N175" i="145" a="1"/>
  <c r="N175" i="145" s="1"/>
  <c r="D175" i="145" a="1"/>
  <c r="D175" i="145" s="1"/>
  <c r="P174" i="145" a="1"/>
  <c r="P174" i="145" s="1"/>
  <c r="F174" i="145" a="1"/>
  <c r="F174" i="145" s="1"/>
  <c r="O173" i="145" a="1"/>
  <c r="O173" i="145" s="1"/>
  <c r="E173" i="145" a="1"/>
  <c r="E173" i="145" s="1"/>
  <c r="N172" i="145" a="1"/>
  <c r="N172" i="145" s="1"/>
  <c r="D172" i="145" a="1"/>
  <c r="D172" i="145" s="1"/>
  <c r="P171" i="145" a="1"/>
  <c r="P171" i="145" s="1"/>
  <c r="F171" i="145" a="1"/>
  <c r="F171" i="145" s="1"/>
  <c r="P196" i="145" s="1"/>
  <c r="O170" i="145" a="1"/>
  <c r="O170" i="145" s="1"/>
  <c r="E170" i="145" a="1"/>
  <c r="E170" i="145" s="1"/>
  <c r="N169" i="145" a="1"/>
  <c r="N169" i="145" s="1"/>
  <c r="D169" i="145" a="1"/>
  <c r="D169" i="145" s="1"/>
  <c r="N196" i="145" s="1"/>
  <c r="P164" i="145" a="1"/>
  <c r="P164" i="145" s="1"/>
  <c r="F164" i="145" a="1"/>
  <c r="F164" i="145" s="1"/>
  <c r="O163" i="145" a="1"/>
  <c r="O163" i="145" s="1"/>
  <c r="E163" i="145" a="1"/>
  <c r="E163" i="145" s="1"/>
  <c r="N162" i="145" a="1"/>
  <c r="N162" i="145" s="1"/>
  <c r="D162" i="145" a="1"/>
  <c r="D162" i="145" s="1"/>
  <c r="P161" i="145" a="1"/>
  <c r="P161" i="145" s="1"/>
  <c r="F161" i="145" a="1"/>
  <c r="F161" i="145" s="1"/>
  <c r="O160" i="145" a="1"/>
  <c r="O160" i="145" s="1"/>
  <c r="E160" i="145" a="1"/>
  <c r="E160" i="145" s="1"/>
  <c r="N159" i="145" a="1"/>
  <c r="N159" i="145" s="1"/>
  <c r="D159" i="145" a="1"/>
  <c r="D159" i="145" s="1"/>
  <c r="P158" i="145" a="1"/>
  <c r="P158" i="145" s="1"/>
  <c r="F158" i="145" a="1"/>
  <c r="F158" i="145" s="1"/>
  <c r="O157" i="145" a="1"/>
  <c r="O157" i="145" s="1"/>
  <c r="E157" i="145" a="1"/>
  <c r="E157" i="145" s="1"/>
  <c r="N156" i="145" a="1"/>
  <c r="N156" i="145" s="1"/>
  <c r="D156" i="145" a="1"/>
  <c r="D156" i="145" s="1"/>
  <c r="P155" i="145" a="1"/>
  <c r="P155" i="145" s="1"/>
  <c r="F155" i="145" a="1"/>
  <c r="F155" i="145" s="1"/>
  <c r="O154" i="145" a="1"/>
  <c r="O154" i="145" s="1"/>
  <c r="E154" i="145" a="1"/>
  <c r="E154" i="145" s="1"/>
  <c r="N153" i="145" a="1"/>
  <c r="N153" i="145" s="1"/>
  <c r="D153" i="145" a="1"/>
  <c r="D153" i="145" s="1"/>
  <c r="P152" i="145" a="1"/>
  <c r="P152" i="145" s="1"/>
  <c r="F152" i="145" a="1"/>
  <c r="F152" i="145" s="1"/>
  <c r="O151" i="145" a="1"/>
  <c r="O151" i="145" s="1"/>
  <c r="E151" i="145" a="1"/>
  <c r="E151" i="145" s="1"/>
  <c r="N150" i="145" a="1"/>
  <c r="N150" i="145" s="1"/>
  <c r="D150" i="145" a="1"/>
  <c r="D150" i="145" s="1"/>
  <c r="P149" i="145" a="1"/>
  <c r="P149" i="145" s="1"/>
  <c r="F149" i="145" a="1"/>
  <c r="F149" i="145" s="1"/>
  <c r="O148" i="145" a="1"/>
  <c r="O148" i="145" s="1"/>
  <c r="E148" i="145" a="1"/>
  <c r="E148" i="145" s="1"/>
  <c r="N147" i="145" a="1"/>
  <c r="N147" i="145" s="1"/>
  <c r="D147" i="145" a="1"/>
  <c r="D147" i="145" s="1"/>
  <c r="P146" i="145" a="1"/>
  <c r="P146" i="145" s="1"/>
  <c r="F146" i="145" a="1"/>
  <c r="F146" i="145" s="1"/>
  <c r="O145" i="145" a="1"/>
  <c r="O145" i="145" s="1"/>
  <c r="E145" i="145" a="1"/>
  <c r="E145" i="145" s="1"/>
  <c r="N144" i="145" a="1"/>
  <c r="N144" i="145" s="1"/>
  <c r="D144" i="145" a="1"/>
  <c r="D144" i="145" s="1"/>
  <c r="P143" i="145" a="1"/>
  <c r="P143" i="145" s="1"/>
  <c r="F143" i="145" a="1"/>
  <c r="F143" i="145" s="1"/>
  <c r="O142" i="145" a="1"/>
  <c r="O142" i="145" s="1"/>
  <c r="E142" i="145" a="1"/>
  <c r="E142" i="145" s="1"/>
  <c r="N141" i="145" a="1"/>
  <c r="N141" i="145" s="1"/>
  <c r="D141" i="145" a="1"/>
  <c r="D141" i="145" s="1"/>
  <c r="P140" i="145" a="1"/>
  <c r="P140" i="145" s="1"/>
  <c r="F140" i="145" a="1"/>
  <c r="F140" i="145" s="1"/>
  <c r="O139" i="145" a="1"/>
  <c r="O139" i="145" s="1"/>
  <c r="E139" i="145" a="1"/>
  <c r="E139" i="145" s="1"/>
  <c r="N138" i="145" a="1"/>
  <c r="N138" i="145" s="1"/>
  <c r="D138" i="145" a="1"/>
  <c r="D138" i="145" s="1"/>
  <c r="N133" i="145" a="1"/>
  <c r="N133" i="145" s="1"/>
  <c r="D133" i="145" a="1"/>
  <c r="D133" i="145" s="1"/>
  <c r="P132" i="145" a="1"/>
  <c r="P132" i="145" s="1"/>
  <c r="F132" i="145" a="1"/>
  <c r="F132" i="145" s="1"/>
  <c r="O131" i="145" a="1"/>
  <c r="O131" i="145" s="1"/>
  <c r="E131" i="145" a="1"/>
  <c r="E131" i="145" s="1"/>
  <c r="N130" i="145" a="1"/>
  <c r="N130" i="145" s="1"/>
  <c r="D130" i="145" a="1"/>
  <c r="D130" i="145" s="1"/>
  <c r="P129" i="145" a="1"/>
  <c r="P129" i="145" s="1"/>
  <c r="F129" i="145" a="1"/>
  <c r="F129" i="145" s="1"/>
  <c r="O128" i="145" a="1"/>
  <c r="O128" i="145" s="1"/>
  <c r="E128" i="145" a="1"/>
  <c r="E128" i="145" s="1"/>
  <c r="N127" i="145" a="1"/>
  <c r="N127" i="145" s="1"/>
  <c r="D127" i="145" a="1"/>
  <c r="D127" i="145" s="1"/>
  <c r="P126" i="145" a="1"/>
  <c r="P126" i="145" s="1"/>
  <c r="F126" i="145" a="1"/>
  <c r="F126" i="145" s="1"/>
  <c r="O125" i="145" a="1"/>
  <c r="O125" i="145" s="1"/>
  <c r="E125" i="145" a="1"/>
  <c r="E125" i="145" s="1"/>
  <c r="N124" i="145" a="1"/>
  <c r="N124" i="145" s="1"/>
  <c r="D124" i="145" a="1"/>
  <c r="D124" i="145" s="1"/>
  <c r="P123" i="145" a="1"/>
  <c r="P123" i="145" s="1"/>
  <c r="F123" i="145" a="1"/>
  <c r="F123" i="145" s="1"/>
  <c r="O122" i="145" a="1"/>
  <c r="O122" i="145" s="1"/>
  <c r="E122" i="145" a="1"/>
  <c r="E122" i="145" s="1"/>
  <c r="N121" i="145" a="1"/>
  <c r="N121" i="145" s="1"/>
  <c r="D121" i="145" a="1"/>
  <c r="D121" i="145" s="1"/>
  <c r="P120" i="145" a="1"/>
  <c r="P120" i="145" s="1"/>
  <c r="F120" i="145" a="1"/>
  <c r="F120" i="145" s="1"/>
  <c r="O119" i="145" a="1"/>
  <c r="O119" i="145" s="1"/>
  <c r="E119" i="145" a="1"/>
  <c r="E119" i="145" s="1"/>
  <c r="N118" i="145" a="1"/>
  <c r="N118" i="145" s="1"/>
  <c r="D118" i="145" a="1"/>
  <c r="D118" i="145" s="1"/>
  <c r="P117" i="145" a="1"/>
  <c r="P117" i="145" s="1"/>
  <c r="F117" i="145" a="1"/>
  <c r="F117" i="145" s="1"/>
  <c r="O116" i="145" a="1"/>
  <c r="O116" i="145" s="1"/>
  <c r="E116" i="145" a="1"/>
  <c r="E116" i="145" s="1"/>
  <c r="N115" i="145" a="1"/>
  <c r="N115" i="145" s="1"/>
  <c r="D115" i="145" a="1"/>
  <c r="D115" i="145" s="1"/>
  <c r="P114" i="145" a="1"/>
  <c r="P114" i="145" s="1"/>
  <c r="F114" i="145" a="1"/>
  <c r="F114" i="145" s="1"/>
  <c r="O113" i="145" a="1"/>
  <c r="O113" i="145" s="1"/>
  <c r="E113" i="145" a="1"/>
  <c r="E113" i="145" s="1"/>
  <c r="N112" i="145" a="1"/>
  <c r="N112" i="145" s="1"/>
  <c r="D112" i="145" a="1"/>
  <c r="D112" i="145" s="1"/>
  <c r="P111" i="145" a="1"/>
  <c r="P111" i="145" s="1"/>
  <c r="F111" i="145" a="1"/>
  <c r="F111" i="145" s="1"/>
  <c r="O110" i="145" a="1"/>
  <c r="O110" i="145" s="1"/>
  <c r="E110" i="145" a="1"/>
  <c r="E110" i="145" s="1"/>
  <c r="N109" i="145" a="1"/>
  <c r="N109" i="145" s="1"/>
  <c r="F109" i="145" a="1"/>
  <c r="F109" i="145" s="1"/>
  <c r="P134" i="145" s="1"/>
  <c r="E109" i="145" a="1"/>
  <c r="E109" i="145" s="1"/>
  <c r="D109" i="145" a="1"/>
  <c r="D109" i="145" s="1"/>
  <c r="N104" i="145" a="1"/>
  <c r="N104" i="145" s="1"/>
  <c r="D104" i="145" a="1"/>
  <c r="D104" i="145" s="1"/>
  <c r="P103" i="145" a="1"/>
  <c r="P103" i="145" s="1"/>
  <c r="F103" i="145" a="1"/>
  <c r="F103" i="145" s="1"/>
  <c r="O102" i="145" a="1"/>
  <c r="O102" i="145" s="1"/>
  <c r="E102" i="145" a="1"/>
  <c r="E102" i="145" s="1"/>
  <c r="N101" i="145" a="1"/>
  <c r="N101" i="145" s="1"/>
  <c r="D101" i="145" a="1"/>
  <c r="D101" i="145" s="1"/>
  <c r="P100" i="145" a="1"/>
  <c r="P100" i="145" s="1"/>
  <c r="F100" i="145" a="1"/>
  <c r="F100" i="145" s="1"/>
  <c r="O99" i="145" a="1"/>
  <c r="O99" i="145" s="1"/>
  <c r="E99" i="145" a="1"/>
  <c r="E99" i="145" s="1"/>
  <c r="N98" i="145" a="1"/>
  <c r="N98" i="145" s="1"/>
  <c r="D98" i="145" a="1"/>
  <c r="D98" i="145" s="1"/>
  <c r="P97" i="145" a="1"/>
  <c r="P97" i="145" s="1"/>
  <c r="F97" i="145" a="1"/>
  <c r="F97" i="145" s="1"/>
  <c r="O96" i="145" a="1"/>
  <c r="O96" i="145" s="1"/>
  <c r="E96" i="145" a="1"/>
  <c r="E96" i="145" s="1"/>
  <c r="N95" i="145" a="1"/>
  <c r="N95" i="145" s="1"/>
  <c r="D95" i="145" a="1"/>
  <c r="D95" i="145" s="1"/>
  <c r="P94" i="145" a="1"/>
  <c r="P94" i="145" s="1"/>
  <c r="F94" i="145" a="1"/>
  <c r="F94" i="145" s="1"/>
  <c r="O93" i="145" a="1"/>
  <c r="O93" i="145" s="1"/>
  <c r="E93" i="145" a="1"/>
  <c r="E93" i="145" s="1"/>
  <c r="N92" i="145" a="1"/>
  <c r="N92" i="145" s="1"/>
  <c r="D92" i="145" a="1"/>
  <c r="D92" i="145" s="1"/>
  <c r="P91" i="145" a="1"/>
  <c r="P91" i="145" s="1"/>
  <c r="F91" i="145" a="1"/>
  <c r="F91" i="145" s="1"/>
  <c r="O90" i="145" a="1"/>
  <c r="O90" i="145" s="1"/>
  <c r="E90" i="145" a="1"/>
  <c r="E90" i="145" s="1"/>
  <c r="N89" i="145" a="1"/>
  <c r="N89" i="145" s="1"/>
  <c r="D89" i="145" a="1"/>
  <c r="D89" i="145" s="1"/>
  <c r="P88" i="145" a="1"/>
  <c r="P88" i="145" s="1"/>
  <c r="F88" i="145" a="1"/>
  <c r="F88" i="145" s="1"/>
  <c r="O87" i="145" a="1"/>
  <c r="O87" i="145" s="1"/>
  <c r="E87" i="145" a="1"/>
  <c r="E87" i="145" s="1"/>
  <c r="N86" i="145" a="1"/>
  <c r="N86" i="145" s="1"/>
  <c r="D86" i="145" a="1"/>
  <c r="D86" i="145" s="1"/>
  <c r="P85" i="145" a="1"/>
  <c r="P85" i="145" s="1"/>
  <c r="F85" i="145" a="1"/>
  <c r="F85" i="145" s="1"/>
  <c r="O84" i="145" a="1"/>
  <c r="O84" i="145" s="1"/>
  <c r="E84" i="145" a="1"/>
  <c r="E84" i="145" s="1"/>
  <c r="N83" i="145" a="1"/>
  <c r="N83" i="145" s="1"/>
  <c r="D83" i="145" a="1"/>
  <c r="D83" i="145" s="1"/>
  <c r="P82" i="145" a="1"/>
  <c r="P82" i="145" s="1"/>
  <c r="F82" i="145" a="1"/>
  <c r="F82" i="145" s="1"/>
  <c r="O81" i="145" a="1"/>
  <c r="O81" i="145" s="1"/>
  <c r="E81" i="145" a="1"/>
  <c r="E81" i="145" s="1"/>
  <c r="N80" i="145" a="1"/>
  <c r="N80" i="145" s="1"/>
  <c r="F80" i="145" a="1"/>
  <c r="F80" i="145" s="1"/>
  <c r="E80" i="145" a="1"/>
  <c r="E80" i="145" s="1"/>
  <c r="D80" i="145" a="1"/>
  <c r="D80" i="145" s="1"/>
  <c r="P207" i="133" a="1"/>
  <c r="P207" i="133" s="1"/>
  <c r="O207" i="133" a="1"/>
  <c r="O207" i="133" s="1"/>
  <c r="N207" i="133" a="1"/>
  <c r="N207" i="133" s="1"/>
  <c r="F207" i="133" a="1"/>
  <c r="F207" i="133" s="1"/>
  <c r="E207" i="133" a="1"/>
  <c r="E207" i="133" s="1"/>
  <c r="D207" i="133" a="1"/>
  <c r="D207" i="133" s="1"/>
  <c r="P206" i="133" a="1"/>
  <c r="P206" i="133" s="1"/>
  <c r="O206" i="133" a="1"/>
  <c r="O206" i="133" s="1"/>
  <c r="N206" i="133" a="1"/>
  <c r="N206" i="133" s="1"/>
  <c r="F206" i="133" a="1"/>
  <c r="F206" i="133" s="1"/>
  <c r="E206" i="133" a="1"/>
  <c r="E206" i="133" s="1"/>
  <c r="D206" i="133" a="1"/>
  <c r="D206" i="133" s="1"/>
  <c r="P205" i="133" a="1"/>
  <c r="P205" i="133" s="1"/>
  <c r="O205" i="133" a="1"/>
  <c r="O205" i="133" s="1"/>
  <c r="N205" i="133" a="1"/>
  <c r="N205" i="133" s="1"/>
  <c r="F205" i="133" a="1"/>
  <c r="F205" i="133" s="1"/>
  <c r="E205" i="133" a="1"/>
  <c r="E205" i="133" s="1"/>
  <c r="D205" i="133" a="1"/>
  <c r="D205" i="133" s="1"/>
  <c r="P204" i="133" a="1"/>
  <c r="P204" i="133" s="1"/>
  <c r="O204" i="133" a="1"/>
  <c r="O204" i="133" s="1"/>
  <c r="N204" i="133" a="1"/>
  <c r="N204" i="133" s="1"/>
  <c r="F204" i="133" a="1"/>
  <c r="F204" i="133" s="1"/>
  <c r="E204" i="133" a="1"/>
  <c r="E204" i="133" s="1"/>
  <c r="D204" i="133" a="1"/>
  <c r="D204" i="133" s="1"/>
  <c r="P203" i="133" a="1"/>
  <c r="P203" i="133" s="1"/>
  <c r="O203" i="133" a="1"/>
  <c r="O203" i="133" s="1"/>
  <c r="N203" i="133" a="1"/>
  <c r="N203" i="133" s="1"/>
  <c r="F203" i="133" a="1"/>
  <c r="F203" i="133" s="1"/>
  <c r="E203" i="133" a="1"/>
  <c r="E203" i="133" s="1"/>
  <c r="D203" i="133" a="1"/>
  <c r="D203" i="133" s="1"/>
  <c r="P202" i="133" a="1"/>
  <c r="P202" i="133" s="1"/>
  <c r="O202" i="133" a="1"/>
  <c r="O202" i="133" s="1"/>
  <c r="N202" i="133" a="1"/>
  <c r="N202" i="133" s="1"/>
  <c r="F202" i="133" a="1"/>
  <c r="F202" i="133" s="1"/>
  <c r="E202" i="133" a="1"/>
  <c r="E202" i="133" s="1"/>
  <c r="D202" i="133" a="1"/>
  <c r="D202" i="133" s="1"/>
  <c r="P201" i="133" a="1"/>
  <c r="P201" i="133" s="1"/>
  <c r="O201" i="133" a="1"/>
  <c r="O201" i="133" s="1"/>
  <c r="N201" i="133" a="1"/>
  <c r="N201" i="133" s="1"/>
  <c r="F201" i="133" a="1"/>
  <c r="F201" i="133" s="1"/>
  <c r="E201" i="133" a="1"/>
  <c r="E201" i="133" s="1"/>
  <c r="D201" i="133" a="1"/>
  <c r="D201" i="133" s="1"/>
  <c r="P200" i="133" a="1"/>
  <c r="P200" i="133" s="1"/>
  <c r="O200" i="133" a="1"/>
  <c r="O200" i="133" s="1"/>
  <c r="N200" i="133" a="1"/>
  <c r="N200" i="133" s="1"/>
  <c r="F200" i="133" a="1"/>
  <c r="F200" i="133" s="1"/>
  <c r="E200" i="133" a="1"/>
  <c r="E200" i="133" s="1"/>
  <c r="D200" i="133" a="1"/>
  <c r="D200" i="133" s="1"/>
  <c r="P195" i="133" a="1"/>
  <c r="P195" i="133" s="1"/>
  <c r="F195" i="133" a="1"/>
  <c r="F195" i="133" s="1"/>
  <c r="O194" i="133" a="1"/>
  <c r="O194" i="133" s="1"/>
  <c r="E194" i="133" a="1"/>
  <c r="E194" i="133" s="1"/>
  <c r="N193" i="133" a="1"/>
  <c r="N193" i="133" s="1"/>
  <c r="D193" i="133" a="1"/>
  <c r="D193" i="133" s="1"/>
  <c r="P192" i="133" a="1"/>
  <c r="P192" i="133" s="1"/>
  <c r="F192" i="133" a="1"/>
  <c r="F192" i="133" s="1"/>
  <c r="O191" i="133" a="1"/>
  <c r="O191" i="133" s="1"/>
  <c r="E191" i="133" a="1"/>
  <c r="E191" i="133" s="1"/>
  <c r="N190" i="133" a="1"/>
  <c r="N190" i="133" s="1"/>
  <c r="D190" i="133" a="1"/>
  <c r="D190" i="133" s="1"/>
  <c r="P189" i="133" a="1"/>
  <c r="P189" i="133" s="1"/>
  <c r="F189" i="133" a="1"/>
  <c r="F189" i="133" s="1"/>
  <c r="O188" i="133" a="1"/>
  <c r="O188" i="133" s="1"/>
  <c r="E188" i="133" a="1"/>
  <c r="E188" i="133" s="1"/>
  <c r="N187" i="133" a="1"/>
  <c r="N187" i="133" s="1"/>
  <c r="D187" i="133" a="1"/>
  <c r="D187" i="133" s="1"/>
  <c r="P186" i="133" a="1"/>
  <c r="P186" i="133" s="1"/>
  <c r="F186" i="133" a="1"/>
  <c r="F186" i="133" s="1"/>
  <c r="O185" i="133" a="1"/>
  <c r="O185" i="133" s="1"/>
  <c r="E185" i="133" a="1"/>
  <c r="E185" i="133" s="1"/>
  <c r="N184" i="133" a="1"/>
  <c r="N184" i="133" s="1"/>
  <c r="D184" i="133" a="1"/>
  <c r="D184" i="133" s="1"/>
  <c r="P183" i="133" a="1"/>
  <c r="P183" i="133" s="1"/>
  <c r="F183" i="133" a="1"/>
  <c r="F183" i="133" s="1"/>
  <c r="O182" i="133" a="1"/>
  <c r="O182" i="133" s="1"/>
  <c r="E182" i="133" a="1"/>
  <c r="E182" i="133" s="1"/>
  <c r="N181" i="133" a="1"/>
  <c r="N181" i="133" s="1"/>
  <c r="D181" i="133" a="1"/>
  <c r="D181" i="133" s="1"/>
  <c r="P180" i="133" a="1"/>
  <c r="P180" i="133" s="1"/>
  <c r="F180" i="133" a="1"/>
  <c r="F180" i="133" s="1"/>
  <c r="O179" i="133" a="1"/>
  <c r="O179" i="133" s="1"/>
  <c r="E179" i="133" a="1"/>
  <c r="E179" i="133" s="1"/>
  <c r="N178" i="133" a="1"/>
  <c r="N178" i="133" s="1"/>
  <c r="D178" i="133" a="1"/>
  <c r="D178" i="133" s="1"/>
  <c r="P177" i="133" a="1"/>
  <c r="P177" i="133" s="1"/>
  <c r="F177" i="133" a="1"/>
  <c r="F177" i="133" s="1"/>
  <c r="O176" i="133" a="1"/>
  <c r="O176" i="133" s="1"/>
  <c r="E176" i="133" a="1"/>
  <c r="E176" i="133" s="1"/>
  <c r="N175" i="133" a="1"/>
  <c r="N175" i="133" s="1"/>
  <c r="D175" i="133" a="1"/>
  <c r="D175" i="133" s="1"/>
  <c r="P174" i="133" a="1"/>
  <c r="P174" i="133" s="1"/>
  <c r="F174" i="133" a="1"/>
  <c r="F174" i="133" s="1"/>
  <c r="O173" i="133" a="1"/>
  <c r="O173" i="133" s="1"/>
  <c r="E173" i="133" a="1"/>
  <c r="E173" i="133" s="1"/>
  <c r="N172" i="133" a="1"/>
  <c r="N172" i="133" s="1"/>
  <c r="D172" i="133" a="1"/>
  <c r="D172" i="133" s="1"/>
  <c r="P171" i="133" a="1"/>
  <c r="P171" i="133" s="1"/>
  <c r="F171" i="133" a="1"/>
  <c r="F171" i="133" s="1"/>
  <c r="O170" i="133" a="1"/>
  <c r="O170" i="133" s="1"/>
  <c r="E170" i="133" a="1"/>
  <c r="E170" i="133" s="1"/>
  <c r="N169" i="133" a="1"/>
  <c r="N169" i="133" s="1"/>
  <c r="D169" i="133" a="1"/>
  <c r="D169" i="133" s="1"/>
  <c r="P164" i="133" a="1"/>
  <c r="P164" i="133" s="1"/>
  <c r="F164" i="133" a="1"/>
  <c r="F164" i="133" s="1"/>
  <c r="O163" i="133" a="1"/>
  <c r="O163" i="133" s="1"/>
  <c r="E163" i="133" a="1"/>
  <c r="E163" i="133" s="1"/>
  <c r="N162" i="133" a="1"/>
  <c r="N162" i="133" s="1"/>
  <c r="D162" i="133" a="1"/>
  <c r="D162" i="133" s="1"/>
  <c r="P161" i="133" a="1"/>
  <c r="P161" i="133" s="1"/>
  <c r="F161" i="133" a="1"/>
  <c r="F161" i="133" s="1"/>
  <c r="O160" i="133" a="1"/>
  <c r="O160" i="133" s="1"/>
  <c r="E160" i="133" a="1"/>
  <c r="E160" i="133" s="1"/>
  <c r="N159" i="133" a="1"/>
  <c r="N159" i="133" s="1"/>
  <c r="D159" i="133" a="1"/>
  <c r="D159" i="133" s="1"/>
  <c r="P158" i="133" a="1"/>
  <c r="P158" i="133" s="1"/>
  <c r="F158" i="133" a="1"/>
  <c r="F158" i="133" s="1"/>
  <c r="O157" i="133" a="1"/>
  <c r="O157" i="133" s="1"/>
  <c r="E157" i="133" a="1"/>
  <c r="E157" i="133" s="1"/>
  <c r="N156" i="133" a="1"/>
  <c r="N156" i="133" s="1"/>
  <c r="D156" i="133" a="1"/>
  <c r="D156" i="133" s="1"/>
  <c r="P155" i="133" a="1"/>
  <c r="P155" i="133" s="1"/>
  <c r="F155" i="133" a="1"/>
  <c r="F155" i="133" s="1"/>
  <c r="O154" i="133" a="1"/>
  <c r="O154" i="133" s="1"/>
  <c r="E154" i="133" a="1"/>
  <c r="E154" i="133" s="1"/>
  <c r="N153" i="133" a="1"/>
  <c r="N153" i="133" s="1"/>
  <c r="D153" i="133" a="1"/>
  <c r="D153" i="133" s="1"/>
  <c r="P152" i="133" a="1"/>
  <c r="P152" i="133" s="1"/>
  <c r="F152" i="133" a="1"/>
  <c r="F152" i="133" s="1"/>
  <c r="O151" i="133" a="1"/>
  <c r="O151" i="133" s="1"/>
  <c r="E151" i="133" a="1"/>
  <c r="E151" i="133" s="1"/>
  <c r="N150" i="133" a="1"/>
  <c r="N150" i="133" s="1"/>
  <c r="D150" i="133" a="1"/>
  <c r="D150" i="133" s="1"/>
  <c r="P149" i="133" a="1"/>
  <c r="P149" i="133" s="1"/>
  <c r="F149" i="133" a="1"/>
  <c r="F149" i="133" s="1"/>
  <c r="O148" i="133" a="1"/>
  <c r="O148" i="133" s="1"/>
  <c r="E148" i="133" a="1"/>
  <c r="E148" i="133" s="1"/>
  <c r="N147" i="133" a="1"/>
  <c r="N147" i="133" s="1"/>
  <c r="D147" i="133" a="1"/>
  <c r="D147" i="133" s="1"/>
  <c r="P146" i="133" a="1"/>
  <c r="P146" i="133" s="1"/>
  <c r="F146" i="133" a="1"/>
  <c r="F146" i="133" s="1"/>
  <c r="O145" i="133" a="1"/>
  <c r="O145" i="133" s="1"/>
  <c r="E145" i="133" a="1"/>
  <c r="E145" i="133" s="1"/>
  <c r="N144" i="133" a="1"/>
  <c r="N144" i="133" s="1"/>
  <c r="D144" i="133" a="1"/>
  <c r="D144" i="133" s="1"/>
  <c r="P143" i="133" a="1"/>
  <c r="P143" i="133" s="1"/>
  <c r="F143" i="133" a="1"/>
  <c r="F143" i="133" s="1"/>
  <c r="O142" i="133" a="1"/>
  <c r="O142" i="133" s="1"/>
  <c r="E142" i="133" a="1"/>
  <c r="E142" i="133" s="1"/>
  <c r="N141" i="133" a="1"/>
  <c r="N141" i="133" s="1"/>
  <c r="D141" i="133" a="1"/>
  <c r="D141" i="133" s="1"/>
  <c r="P140" i="133" a="1"/>
  <c r="P140" i="133" s="1"/>
  <c r="F140" i="133" a="1"/>
  <c r="F140" i="133" s="1"/>
  <c r="O139" i="133" a="1"/>
  <c r="O139" i="133" s="1"/>
  <c r="E139" i="133" a="1"/>
  <c r="E139" i="133" s="1"/>
  <c r="N138" i="133" a="1"/>
  <c r="N138" i="133" s="1"/>
  <c r="D138" i="133" a="1"/>
  <c r="D138" i="133" s="1"/>
  <c r="N133" i="133" a="1"/>
  <c r="N133" i="133" s="1"/>
  <c r="D133" i="133" a="1"/>
  <c r="D133" i="133" s="1"/>
  <c r="P132" i="133" a="1"/>
  <c r="P132" i="133" s="1"/>
  <c r="F132" i="133" a="1"/>
  <c r="F132" i="133" s="1"/>
  <c r="O131" i="133" a="1"/>
  <c r="O131" i="133" s="1"/>
  <c r="E131" i="133" a="1"/>
  <c r="E131" i="133" s="1"/>
  <c r="N130" i="133" a="1"/>
  <c r="N130" i="133" s="1"/>
  <c r="D130" i="133" a="1"/>
  <c r="D130" i="133" s="1"/>
  <c r="P129" i="133" a="1"/>
  <c r="P129" i="133" s="1"/>
  <c r="F129" i="133" a="1"/>
  <c r="F129" i="133" s="1"/>
  <c r="O128" i="133" a="1"/>
  <c r="O128" i="133" s="1"/>
  <c r="E128" i="133" a="1"/>
  <c r="E128" i="133" s="1"/>
  <c r="N127" i="133" a="1"/>
  <c r="N127" i="133" s="1"/>
  <c r="D127" i="133" a="1"/>
  <c r="D127" i="133" s="1"/>
  <c r="P126" i="133" a="1"/>
  <c r="P126" i="133" s="1"/>
  <c r="F126" i="133" a="1"/>
  <c r="F126" i="133" s="1"/>
  <c r="O125" i="133" a="1"/>
  <c r="O125" i="133" s="1"/>
  <c r="E125" i="133" a="1"/>
  <c r="E125" i="133" s="1"/>
  <c r="N124" i="133" a="1"/>
  <c r="N124" i="133" s="1"/>
  <c r="D124" i="133" a="1"/>
  <c r="D124" i="133" s="1"/>
  <c r="P123" i="133" a="1"/>
  <c r="P123" i="133" s="1"/>
  <c r="F123" i="133" a="1"/>
  <c r="F123" i="133" s="1"/>
  <c r="O122" i="133" a="1"/>
  <c r="O122" i="133" s="1"/>
  <c r="E122" i="133" a="1"/>
  <c r="E122" i="133" s="1"/>
  <c r="N121" i="133" a="1"/>
  <c r="N121" i="133" s="1"/>
  <c r="D121" i="133" a="1"/>
  <c r="D121" i="133" s="1"/>
  <c r="P120" i="133" a="1"/>
  <c r="P120" i="133" s="1"/>
  <c r="F120" i="133" a="1"/>
  <c r="F120" i="133" s="1"/>
  <c r="O119" i="133" a="1"/>
  <c r="O119" i="133" s="1"/>
  <c r="E119" i="133" a="1"/>
  <c r="E119" i="133" s="1"/>
  <c r="N118" i="133" a="1"/>
  <c r="N118" i="133" s="1"/>
  <c r="D118" i="133" a="1"/>
  <c r="D118" i="133" s="1"/>
  <c r="P117" i="133" a="1"/>
  <c r="P117" i="133" s="1"/>
  <c r="F117" i="133" a="1"/>
  <c r="F117" i="133" s="1"/>
  <c r="O116" i="133" a="1"/>
  <c r="O116" i="133" s="1"/>
  <c r="E116" i="133" a="1"/>
  <c r="E116" i="133" s="1"/>
  <c r="N115" i="133" a="1"/>
  <c r="N115" i="133" s="1"/>
  <c r="D115" i="133" a="1"/>
  <c r="D115" i="133" s="1"/>
  <c r="P114" i="133" a="1"/>
  <c r="P114" i="133" s="1"/>
  <c r="F114" i="133" a="1"/>
  <c r="F114" i="133" s="1"/>
  <c r="O113" i="133" a="1"/>
  <c r="O113" i="133" s="1"/>
  <c r="E113" i="133" a="1"/>
  <c r="E113" i="133" s="1"/>
  <c r="N112" i="133" a="1"/>
  <c r="N112" i="133" s="1"/>
  <c r="D112" i="133" a="1"/>
  <c r="D112" i="133" s="1"/>
  <c r="P111" i="133" a="1"/>
  <c r="P111" i="133" s="1"/>
  <c r="F111" i="133" a="1"/>
  <c r="F111" i="133" s="1"/>
  <c r="O110" i="133" a="1"/>
  <c r="O110" i="133" s="1"/>
  <c r="E110" i="133" a="1"/>
  <c r="E110" i="133" s="1"/>
  <c r="N109" i="133" a="1"/>
  <c r="N109" i="133" s="1"/>
  <c r="F109" i="133" a="1"/>
  <c r="F109" i="133" s="1"/>
  <c r="E109" i="133" a="1"/>
  <c r="E109" i="133" s="1"/>
  <c r="D109" i="133" a="1"/>
  <c r="D109" i="133" s="1"/>
  <c r="N104" i="133" a="1"/>
  <c r="N104" i="133" s="1"/>
  <c r="D104" i="133" a="1"/>
  <c r="D104" i="133" s="1"/>
  <c r="P103" i="133" a="1"/>
  <c r="P103" i="133" s="1"/>
  <c r="F103" i="133" a="1"/>
  <c r="F103" i="133" s="1"/>
  <c r="O102" i="133" a="1"/>
  <c r="O102" i="133" s="1"/>
  <c r="E102" i="133" a="1"/>
  <c r="E102" i="133" s="1"/>
  <c r="N101" i="133" a="1"/>
  <c r="N101" i="133" s="1"/>
  <c r="D101" i="133" a="1"/>
  <c r="D101" i="133" s="1"/>
  <c r="P100" i="133" a="1"/>
  <c r="P100" i="133" s="1"/>
  <c r="F100" i="133" a="1"/>
  <c r="F100" i="133" s="1"/>
  <c r="O99" i="133" a="1"/>
  <c r="O99" i="133" s="1"/>
  <c r="E99" i="133" a="1"/>
  <c r="E99" i="133" s="1"/>
  <c r="N98" i="133" a="1"/>
  <c r="N98" i="133" s="1"/>
  <c r="D98" i="133" a="1"/>
  <c r="D98" i="133" s="1"/>
  <c r="P97" i="133" a="1"/>
  <c r="P97" i="133" s="1"/>
  <c r="F97" i="133" a="1"/>
  <c r="F97" i="133" s="1"/>
  <c r="O96" i="133" a="1"/>
  <c r="O96" i="133" s="1"/>
  <c r="E96" i="133" a="1"/>
  <c r="E96" i="133" s="1"/>
  <c r="N95" i="133" a="1"/>
  <c r="N95" i="133" s="1"/>
  <c r="D95" i="133" a="1"/>
  <c r="D95" i="133" s="1"/>
  <c r="P94" i="133" a="1"/>
  <c r="P94" i="133" s="1"/>
  <c r="F94" i="133" a="1"/>
  <c r="F94" i="133" s="1"/>
  <c r="O93" i="133" a="1"/>
  <c r="O93" i="133" s="1"/>
  <c r="E93" i="133" a="1"/>
  <c r="E93" i="133" s="1"/>
  <c r="N92" i="133" a="1"/>
  <c r="N92" i="133" s="1"/>
  <c r="D92" i="133" a="1"/>
  <c r="D92" i="133" s="1"/>
  <c r="P91" i="133" a="1"/>
  <c r="P91" i="133" s="1"/>
  <c r="F91" i="133" a="1"/>
  <c r="F91" i="133" s="1"/>
  <c r="O90" i="133" a="1"/>
  <c r="O90" i="133" s="1"/>
  <c r="E90" i="133" a="1"/>
  <c r="E90" i="133" s="1"/>
  <c r="N89" i="133" a="1"/>
  <c r="N89" i="133" s="1"/>
  <c r="D89" i="133" a="1"/>
  <c r="D89" i="133" s="1"/>
  <c r="P88" i="133" a="1"/>
  <c r="P88" i="133" s="1"/>
  <c r="F88" i="133" a="1"/>
  <c r="F88" i="133" s="1"/>
  <c r="O87" i="133" a="1"/>
  <c r="O87" i="133" s="1"/>
  <c r="E87" i="133" a="1"/>
  <c r="E87" i="133" s="1"/>
  <c r="N86" i="133" a="1"/>
  <c r="N86" i="133" s="1"/>
  <c r="D86" i="133" a="1"/>
  <c r="D86" i="133" s="1"/>
  <c r="P85" i="133" a="1"/>
  <c r="P85" i="133" s="1"/>
  <c r="F85" i="133" a="1"/>
  <c r="F85" i="133" s="1"/>
  <c r="O84" i="133" a="1"/>
  <c r="O84" i="133" s="1"/>
  <c r="E84" i="133" a="1"/>
  <c r="E84" i="133" s="1"/>
  <c r="N83" i="133" a="1"/>
  <c r="N83" i="133" s="1"/>
  <c r="D83" i="133" a="1"/>
  <c r="D83" i="133" s="1"/>
  <c r="P82" i="133" a="1"/>
  <c r="P82" i="133" s="1"/>
  <c r="F82" i="133" a="1"/>
  <c r="F82" i="133" s="1"/>
  <c r="O81" i="133" a="1"/>
  <c r="O81" i="133" s="1"/>
  <c r="E81" i="133" a="1"/>
  <c r="E81" i="133" s="1"/>
  <c r="N80" i="133" a="1"/>
  <c r="N80" i="133" s="1"/>
  <c r="F80" i="133" a="1"/>
  <c r="F80" i="133" s="1"/>
  <c r="E80" i="133" a="1"/>
  <c r="E80" i="133" s="1"/>
  <c r="D80" i="133" a="1"/>
  <c r="D80" i="133" s="1"/>
  <c r="Z297" i="102" l="1"/>
  <c r="AH297" i="102" s="1"/>
  <c r="Z299" i="102"/>
  <c r="AH299" i="102" s="1"/>
  <c r="Z301" i="102"/>
  <c r="AH301" i="102" s="1"/>
  <c r="Z289" i="102"/>
  <c r="AH289" i="102" s="1"/>
  <c r="Z270" i="102"/>
  <c r="AH270" i="102" s="1"/>
  <c r="Z240" i="102"/>
  <c r="AH240" i="102" s="1"/>
  <c r="Z291" i="102"/>
  <c r="AH291" i="102" s="1"/>
  <c r="Z246" i="102"/>
  <c r="AH246" i="102" s="1"/>
  <c r="Z265" i="102"/>
  <c r="AH265" i="102" s="1"/>
  <c r="Z268" i="102"/>
  <c r="AH268" i="102" s="1"/>
  <c r="Z275" i="102"/>
  <c r="AH275" i="102" s="1"/>
  <c r="Z281" i="102"/>
  <c r="AH281" i="102" s="1"/>
  <c r="Z293" i="102"/>
  <c r="AH293" i="102" s="1"/>
  <c r="Z254" i="102"/>
  <c r="AH254" i="102" s="1"/>
  <c r="Z269" i="102"/>
  <c r="AH269" i="102" s="1"/>
  <c r="Z272" i="102"/>
  <c r="AH272" i="102" s="1"/>
  <c r="Z234" i="102"/>
  <c r="AH234" i="102" s="1"/>
  <c r="Z257" i="102"/>
  <c r="AH257" i="102" s="1"/>
  <c r="Z285" i="102"/>
  <c r="AH285" i="102" s="1"/>
  <c r="Z300" i="102"/>
  <c r="AH300" i="102" s="1"/>
  <c r="P134" i="144"/>
  <c r="N105" i="144"/>
  <c r="D208" i="144"/>
  <c r="N134" i="145"/>
  <c r="O134" i="145"/>
  <c r="N165" i="145"/>
  <c r="N134" i="133"/>
  <c r="N196" i="133"/>
  <c r="N105" i="133"/>
  <c r="N165" i="133"/>
  <c r="P134" i="133"/>
  <c r="D208" i="133"/>
  <c r="E208" i="133"/>
  <c r="P196" i="133"/>
  <c r="O105" i="133"/>
  <c r="F208" i="133"/>
  <c r="P105" i="133"/>
  <c r="O165" i="133"/>
  <c r="N208" i="133"/>
  <c r="O208" i="133"/>
  <c r="P165" i="133"/>
  <c r="P208" i="133"/>
  <c r="O196" i="133"/>
  <c r="O134" i="133"/>
  <c r="P105" i="145"/>
  <c r="D208" i="145"/>
  <c r="F208" i="145"/>
  <c r="O165" i="145"/>
  <c r="N208" i="145"/>
  <c r="O208" i="145"/>
  <c r="P165" i="145"/>
  <c r="O196" i="145"/>
  <c r="P208" i="145"/>
  <c r="N105" i="145"/>
  <c r="E208" i="145"/>
  <c r="O105" i="145"/>
  <c r="N165" i="144"/>
  <c r="E208" i="144"/>
  <c r="O165" i="144"/>
  <c r="N196" i="144"/>
  <c r="F208" i="144"/>
  <c r="N208" i="144"/>
  <c r="O105" i="144"/>
  <c r="N134" i="144"/>
  <c r="P165" i="144"/>
  <c r="O196" i="144"/>
  <c r="O208" i="144"/>
  <c r="P105" i="144"/>
  <c r="P208" i="144"/>
  <c r="P196" i="144"/>
  <c r="A2" i="149" l="1"/>
  <c r="BP1" i="112"/>
  <c r="BO2" i="112"/>
  <c r="BF1" i="96"/>
  <c r="BE2" i="96" s="1"/>
  <c r="BF1" i="103"/>
  <c r="BE2" i="103" s="1"/>
  <c r="BG1" i="102"/>
  <c r="AE196" i="96" l="1"/>
  <c r="AE195" i="96"/>
  <c r="AE211" i="103"/>
  <c r="AE209" i="103"/>
  <c r="AE207" i="103"/>
  <c r="AE205" i="103"/>
  <c r="AE203" i="103"/>
  <c r="AE201" i="103"/>
  <c r="AE199" i="103"/>
  <c r="AE197" i="103"/>
  <c r="AE195" i="103"/>
  <c r="AE193" i="103"/>
  <c r="AE191" i="103"/>
  <c r="AE189" i="103"/>
  <c r="AE187" i="103"/>
  <c r="AE185" i="103"/>
  <c r="AE183" i="103"/>
  <c r="AD315" i="103"/>
  <c r="AD316" i="103"/>
  <c r="AD314" i="103"/>
  <c r="AD309" i="103"/>
  <c r="AD310" i="103"/>
  <c r="AD311" i="103"/>
  <c r="AD312" i="103"/>
  <c r="AD313" i="103"/>
  <c r="AD308" i="103"/>
  <c r="AD307" i="103"/>
  <c r="AD299" i="103"/>
  <c r="AD300" i="103"/>
  <c r="AD301" i="103"/>
  <c r="AD302" i="103"/>
  <c r="AD303" i="103"/>
  <c r="AD304" i="103"/>
  <c r="AD305" i="103"/>
  <c r="AD306" i="103"/>
  <c r="AD297" i="103"/>
  <c r="AD298" i="103"/>
  <c r="AD296" i="103"/>
  <c r="AD293" i="103"/>
  <c r="AD262" i="103"/>
  <c r="AD263" i="103"/>
  <c r="AD261" i="103"/>
  <c r="AD255" i="103"/>
  <c r="AD256" i="103"/>
  <c r="AD257" i="103"/>
  <c r="AD258" i="103"/>
  <c r="AD259" i="103"/>
  <c r="AD254" i="103"/>
  <c r="AD251" i="103"/>
  <c r="AD252" i="103"/>
  <c r="AD253" i="103"/>
  <c r="AD250" i="103"/>
  <c r="AD242" i="103"/>
  <c r="AD243" i="103"/>
  <c r="AD244" i="103"/>
  <c r="AD245" i="103"/>
  <c r="AD246" i="103"/>
  <c r="AD247" i="103"/>
  <c r="AD248" i="103"/>
  <c r="AD249" i="103"/>
  <c r="AD241" i="103"/>
  <c r="AD233" i="103"/>
  <c r="AD234" i="103"/>
  <c r="AD235" i="103"/>
  <c r="AD236" i="103"/>
  <c r="AD237" i="103"/>
  <c r="AD238" i="103"/>
  <c r="AD239" i="103"/>
  <c r="AD240" i="103"/>
  <c r="AD232" i="103"/>
  <c r="AD223" i="103"/>
  <c r="AD224" i="103"/>
  <c r="AD225" i="103"/>
  <c r="AD226" i="103"/>
  <c r="AD227" i="103"/>
  <c r="AD228" i="103"/>
  <c r="AD229" i="103"/>
  <c r="AD222" i="103"/>
  <c r="AD213" i="103"/>
  <c r="AD214" i="103"/>
  <c r="AD215" i="103"/>
  <c r="AD216" i="103"/>
  <c r="AD217" i="103"/>
  <c r="AD218" i="103"/>
  <c r="AD219" i="103"/>
  <c r="AD212" i="103"/>
  <c r="AD167" i="103"/>
  <c r="AD168" i="103"/>
  <c r="AD169" i="103"/>
  <c r="AD170" i="103"/>
  <c r="AD171" i="103"/>
  <c r="AD172" i="103"/>
  <c r="AD173" i="103"/>
  <c r="AD174" i="103"/>
  <c r="AD175" i="103"/>
  <c r="AD176" i="103"/>
  <c r="AD177" i="103"/>
  <c r="AD178" i="103"/>
  <c r="AD179" i="103"/>
  <c r="AD180" i="103"/>
  <c r="AD181" i="103"/>
  <c r="AD182" i="103"/>
  <c r="AD183" i="103"/>
  <c r="AD184" i="103"/>
  <c r="AD185" i="103"/>
  <c r="AD186" i="103"/>
  <c r="AD187" i="103"/>
  <c r="AD188" i="103"/>
  <c r="AD189" i="103"/>
  <c r="AD190" i="103"/>
  <c r="AD191" i="103"/>
  <c r="AD192" i="103"/>
  <c r="AD193" i="103"/>
  <c r="AD194" i="103"/>
  <c r="AD195" i="103"/>
  <c r="AD196" i="103"/>
  <c r="AD197" i="103"/>
  <c r="AD198" i="103"/>
  <c r="AD199" i="103"/>
  <c r="AD200" i="103"/>
  <c r="AD201" i="103"/>
  <c r="AD202" i="103"/>
  <c r="AD203" i="103"/>
  <c r="AD204" i="103"/>
  <c r="AD205" i="103"/>
  <c r="AD206" i="103"/>
  <c r="AD207" i="103"/>
  <c r="AD208" i="103"/>
  <c r="AD209" i="103"/>
  <c r="AD210" i="103"/>
  <c r="AD211" i="103"/>
  <c r="AD166" i="103"/>
  <c r="AD165" i="103"/>
  <c r="AD164" i="103"/>
  <c r="AD155" i="103"/>
  <c r="AD156" i="103"/>
  <c r="AD157" i="103"/>
  <c r="AD158" i="103"/>
  <c r="AD159" i="103"/>
  <c r="AD160" i="103"/>
  <c r="AD161" i="103"/>
  <c r="AD154" i="103"/>
  <c r="AD145" i="103"/>
  <c r="AD146" i="103"/>
  <c r="AD147" i="103"/>
  <c r="AD148" i="103"/>
  <c r="AD149" i="103"/>
  <c r="AD150" i="103"/>
  <c r="AD151" i="103"/>
  <c r="AD144" i="103"/>
  <c r="AD135" i="103"/>
  <c r="AD136" i="103"/>
  <c r="AD137" i="103"/>
  <c r="AD138" i="103"/>
  <c r="AD139" i="103"/>
  <c r="AD140" i="103"/>
  <c r="AD141" i="103"/>
  <c r="AD134" i="103"/>
  <c r="AD114" i="103"/>
  <c r="AE181" i="103"/>
  <c r="AE179" i="103"/>
  <c r="AE177" i="103"/>
  <c r="AE175" i="103"/>
  <c r="AE173" i="103"/>
  <c r="AE171" i="103"/>
  <c r="AE169" i="103"/>
  <c r="AE167" i="103"/>
  <c r="AE165" i="103"/>
  <c r="AE94" i="103"/>
  <c r="AE92" i="103"/>
  <c r="AE90" i="103"/>
  <c r="AE89" i="103"/>
  <c r="AE87" i="103"/>
  <c r="AE86" i="103"/>
  <c r="AE84" i="103"/>
  <c r="AE83" i="103"/>
  <c r="AE68" i="103"/>
  <c r="AE66" i="103"/>
  <c r="AE61" i="103"/>
  <c r="AE51" i="103"/>
  <c r="AE48" i="103"/>
  <c r="AE46" i="103"/>
  <c r="AE30" i="103"/>
  <c r="AE29" i="103"/>
  <c r="AE26" i="103"/>
  <c r="AE15" i="103"/>
  <c r="AD6" i="103"/>
  <c r="AD7" i="103"/>
  <c r="AD8" i="103"/>
  <c r="AD9" i="103"/>
  <c r="AD10" i="103"/>
  <c r="AD11" i="103"/>
  <c r="AD12" i="103"/>
  <c r="AD13" i="103"/>
  <c r="AD14" i="103"/>
  <c r="AD15" i="103"/>
  <c r="AD16" i="103"/>
  <c r="AD17" i="103"/>
  <c r="AD18" i="103"/>
  <c r="AD19" i="103"/>
  <c r="AD20" i="103"/>
  <c r="AD21" i="103"/>
  <c r="AD22" i="103"/>
  <c r="AD23" i="103"/>
  <c r="AD24" i="103"/>
  <c r="AD25" i="103"/>
  <c r="AD26" i="103"/>
  <c r="AD27" i="103"/>
  <c r="AD28" i="103"/>
  <c r="AD29" i="103"/>
  <c r="AD30" i="103"/>
  <c r="AD31" i="103"/>
  <c r="AD32" i="103"/>
  <c r="AD33" i="103"/>
  <c r="AD34" i="103"/>
  <c r="AD35" i="103"/>
  <c r="AD36" i="103"/>
  <c r="AD37" i="103"/>
  <c r="AD38" i="103"/>
  <c r="AD39" i="103"/>
  <c r="AD40" i="103"/>
  <c r="AD41" i="103"/>
  <c r="AD42" i="103"/>
  <c r="AD43" i="103"/>
  <c r="AD44" i="103"/>
  <c r="AD45" i="103"/>
  <c r="AD46" i="103"/>
  <c r="AD47" i="103"/>
  <c r="AD48" i="103"/>
  <c r="AD49" i="103"/>
  <c r="AD50" i="103"/>
  <c r="AD51" i="103"/>
  <c r="AD52" i="103"/>
  <c r="AD53" i="103"/>
  <c r="AD54" i="103"/>
  <c r="AD55" i="103"/>
  <c r="AD56" i="103"/>
  <c r="AD57" i="103"/>
  <c r="AD58" i="103"/>
  <c r="AD59" i="103"/>
  <c r="AD60" i="103"/>
  <c r="AD61" i="103"/>
  <c r="AD62" i="103"/>
  <c r="AD63" i="103"/>
  <c r="AD64" i="103"/>
  <c r="AD65" i="103"/>
  <c r="AD66" i="103"/>
  <c r="AD67" i="103"/>
  <c r="AD68" i="103"/>
  <c r="AD69" i="103"/>
  <c r="AD70" i="103"/>
  <c r="AD71" i="103"/>
  <c r="AD72" i="103"/>
  <c r="AD73" i="103"/>
  <c r="AD74" i="103"/>
  <c r="AD75" i="103"/>
  <c r="AD76" i="103"/>
  <c r="AD77" i="103"/>
  <c r="AD78" i="103"/>
  <c r="AD79" i="103"/>
  <c r="AD80" i="103"/>
  <c r="AD81" i="103"/>
  <c r="AD82" i="103"/>
  <c r="AD83" i="103"/>
  <c r="AD84" i="103"/>
  <c r="AD85" i="103"/>
  <c r="AD86" i="103"/>
  <c r="AD87" i="103"/>
  <c r="AD88" i="103"/>
  <c r="AD89" i="103"/>
  <c r="AD90" i="103"/>
  <c r="AD91" i="103"/>
  <c r="AD92" i="103"/>
  <c r="AD93" i="103"/>
  <c r="AD94" i="103"/>
  <c r="AD95" i="103"/>
  <c r="AD96" i="103"/>
  <c r="AD97" i="103"/>
  <c r="AD98" i="103"/>
  <c r="AD99" i="103"/>
  <c r="AD100" i="103"/>
  <c r="AD101" i="103"/>
  <c r="AD102" i="103"/>
  <c r="AD103" i="103"/>
  <c r="AD104" i="103"/>
  <c r="AD105" i="103"/>
  <c r="AD106" i="103"/>
  <c r="AD107" i="103"/>
  <c r="AD108" i="103"/>
  <c r="AD109" i="103"/>
  <c r="AD110" i="103"/>
  <c r="D4" i="148" l="1"/>
  <c r="AU249" i="112"/>
  <c r="AV249" i="112" s="1"/>
  <c r="AU250" i="112"/>
  <c r="AV250" i="112" s="1"/>
  <c r="AU46" i="112"/>
  <c r="AV46" i="112" s="1"/>
  <c r="AU47" i="112"/>
  <c r="AV47" i="112" s="1"/>
  <c r="AK103" i="103"/>
  <c r="AL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Y1" i="103"/>
  <c r="AY1" i="96"/>
  <c r="BI1" i="112"/>
  <c r="BA5" i="112" l="1" a="1"/>
  <c r="AQ5" i="103" a="1"/>
  <c r="AZ2" i="103" s="1"/>
  <c r="AQ5" i="96" a="1"/>
  <c r="AZ2" i="96" s="1"/>
  <c r="BA5" i="112" l="1"/>
  <c r="BJ2" i="112"/>
  <c r="AQ5" i="96"/>
  <c r="AQ5" i="103"/>
  <c r="B5" i="146" l="1"/>
  <c r="B6" i="146"/>
  <c r="B7" i="146"/>
  <c r="AH105" i="96" l="1"/>
  <c r="AI105" i="96" s="1"/>
  <c r="AJ105" i="96" s="1"/>
  <c r="AK105" i="96" s="1"/>
  <c r="AL105" i="96" s="1"/>
  <c r="AH195" i="96"/>
  <c r="AI195" i="96" s="1"/>
  <c r="AJ195" i="96" s="1"/>
  <c r="AK195" i="96" s="1"/>
  <c r="AL195" i="96" s="1"/>
  <c r="AH196" i="96"/>
  <c r="AI196" i="96" s="1"/>
  <c r="AJ196" i="96" s="1"/>
  <c r="AK196" i="96" s="1"/>
  <c r="AL196" i="96" s="1"/>
  <c r="AH233" i="96"/>
  <c r="AI233" i="96" s="1"/>
  <c r="AJ233" i="96" s="1"/>
  <c r="AK233" i="96" s="1"/>
  <c r="AL233" i="96" s="1"/>
  <c r="AH8" i="103"/>
  <c r="AI8" i="103" s="1"/>
  <c r="AJ8" i="103" s="1"/>
  <c r="AK8" i="103" s="1"/>
  <c r="AL8" i="103" s="1"/>
  <c r="AH10" i="103"/>
  <c r="AI10" i="103" s="1"/>
  <c r="AJ10" i="103" s="1"/>
  <c r="AK10" i="103" s="1"/>
  <c r="AL10" i="103" s="1"/>
  <c r="AH15" i="103"/>
  <c r="AI15" i="103" s="1"/>
  <c r="AJ15" i="103" s="1"/>
  <c r="AK15" i="103" s="1"/>
  <c r="AL15" i="103" s="1"/>
  <c r="AH21" i="103"/>
  <c r="AI21" i="103" s="1"/>
  <c r="AJ21" i="103" s="1"/>
  <c r="AK21" i="103" s="1"/>
  <c r="AL21" i="103" s="1"/>
  <c r="AH22" i="103"/>
  <c r="AI22" i="103" s="1"/>
  <c r="AJ22" i="103" s="1"/>
  <c r="AK22" i="103" s="1"/>
  <c r="AL22" i="103" s="1"/>
  <c r="AH26" i="103"/>
  <c r="AI26" i="103" s="1"/>
  <c r="AJ26" i="103" s="1"/>
  <c r="AK26" i="103" s="1"/>
  <c r="AL26" i="103" s="1"/>
  <c r="AH29" i="103"/>
  <c r="AI29" i="103" s="1"/>
  <c r="AJ29" i="103" s="1"/>
  <c r="AK29" i="103" s="1"/>
  <c r="AL29" i="103" s="1"/>
  <c r="AH30" i="103"/>
  <c r="AI30" i="103" s="1"/>
  <c r="AJ30" i="103" s="1"/>
  <c r="AK30" i="103" s="1"/>
  <c r="AL30" i="103" s="1"/>
  <c r="AH33" i="103"/>
  <c r="AI33" i="103" s="1"/>
  <c r="AJ33" i="103" s="1"/>
  <c r="AK33" i="103" s="1"/>
  <c r="AL33" i="103" s="1"/>
  <c r="AH46" i="103"/>
  <c r="AI46" i="103"/>
  <c r="AJ46" i="103" s="1"/>
  <c r="AK46" i="103" s="1"/>
  <c r="AL46" i="103" s="1"/>
  <c r="AH48" i="103"/>
  <c r="AI48" i="103" s="1"/>
  <c r="AJ48" i="103" s="1"/>
  <c r="AK48" i="103" s="1"/>
  <c r="AL48" i="103" s="1"/>
  <c r="AH51" i="103"/>
  <c r="AI51" i="103" s="1"/>
  <c r="AJ51" i="103" s="1"/>
  <c r="AK51" i="103" s="1"/>
  <c r="AL51" i="103" s="1"/>
  <c r="AH61" i="103"/>
  <c r="AI61" i="103" s="1"/>
  <c r="AJ61" i="103" s="1"/>
  <c r="AK61" i="103" s="1"/>
  <c r="AL61" i="103" s="1"/>
  <c r="AH66" i="103"/>
  <c r="AI66" i="103" s="1"/>
  <c r="AJ66" i="103" s="1"/>
  <c r="AK66" i="103" s="1"/>
  <c r="AL66" i="103" s="1"/>
  <c r="AH68" i="103"/>
  <c r="AI68" i="103" s="1"/>
  <c r="AJ68" i="103" s="1"/>
  <c r="AK68" i="103" s="1"/>
  <c r="AL68" i="103" s="1"/>
  <c r="AH83" i="103"/>
  <c r="AI83" i="103" s="1"/>
  <c r="AJ83" i="103" s="1"/>
  <c r="AK83" i="103" s="1"/>
  <c r="AL83" i="103" s="1"/>
  <c r="AH84" i="103"/>
  <c r="AI84" i="103" s="1"/>
  <c r="AJ84" i="103" s="1"/>
  <c r="AK84" i="103" s="1"/>
  <c r="AL84" i="103" s="1"/>
  <c r="AH86" i="103"/>
  <c r="AI86" i="103" s="1"/>
  <c r="AJ86" i="103" s="1"/>
  <c r="AK86" i="103" s="1"/>
  <c r="AL86" i="103" s="1"/>
  <c r="AH87" i="103"/>
  <c r="AI87" i="103" s="1"/>
  <c r="AJ87" i="103" s="1"/>
  <c r="AK87" i="103" s="1"/>
  <c r="AL87" i="103" s="1"/>
  <c r="AH89" i="103"/>
  <c r="AI89" i="103" s="1"/>
  <c r="AJ89" i="103" s="1"/>
  <c r="AK89" i="103" s="1"/>
  <c r="AL89" i="103" s="1"/>
  <c r="AH90" i="103"/>
  <c r="AI90" i="103" s="1"/>
  <c r="AJ90" i="103" s="1"/>
  <c r="AK90" i="103" s="1"/>
  <c r="AL90" i="103" s="1"/>
  <c r="AH92" i="103"/>
  <c r="AI92" i="103" s="1"/>
  <c r="AJ92" i="103" s="1"/>
  <c r="AK92" i="103" s="1"/>
  <c r="AL92" i="103" s="1"/>
  <c r="AH94" i="103"/>
  <c r="AI94" i="103" s="1"/>
  <c r="AJ94" i="103" s="1"/>
  <c r="AK94" i="103" s="1"/>
  <c r="AL94" i="103" s="1"/>
  <c r="AH111" i="103"/>
  <c r="AI111" i="103" s="1"/>
  <c r="AJ111" i="103" s="1"/>
  <c r="AK111" i="103" s="1"/>
  <c r="AL111" i="103" s="1"/>
  <c r="AH112" i="103"/>
  <c r="AI112" i="103" s="1"/>
  <c r="AJ112" i="103" s="1"/>
  <c r="AK112" i="103" s="1"/>
  <c r="AL112" i="103" s="1"/>
  <c r="AH113" i="103"/>
  <c r="AI113" i="103" s="1"/>
  <c r="AJ113" i="103" s="1"/>
  <c r="AK113" i="103" s="1"/>
  <c r="AL113" i="103" s="1"/>
  <c r="AH115" i="103"/>
  <c r="AI115" i="103" s="1"/>
  <c r="AJ115" i="103" s="1"/>
  <c r="AK115" i="103" s="1"/>
  <c r="AL115" i="103" s="1"/>
  <c r="AH116" i="103"/>
  <c r="AI116" i="103" s="1"/>
  <c r="AJ116" i="103" s="1"/>
  <c r="AK116" i="103" s="1"/>
  <c r="AL116" i="103" s="1"/>
  <c r="AH117" i="103"/>
  <c r="AI117" i="103" s="1"/>
  <c r="AJ117" i="103" s="1"/>
  <c r="AK117" i="103" s="1"/>
  <c r="AL117" i="103" s="1"/>
  <c r="AH118" i="103"/>
  <c r="AI118" i="103" s="1"/>
  <c r="AJ118" i="103" s="1"/>
  <c r="AK118" i="103" s="1"/>
  <c r="AL118" i="103" s="1"/>
  <c r="AH119" i="103"/>
  <c r="AI119" i="103" s="1"/>
  <c r="AJ119" i="103" s="1"/>
  <c r="AK119" i="103" s="1"/>
  <c r="AL119" i="103" s="1"/>
  <c r="AH120" i="103"/>
  <c r="AI120" i="103" s="1"/>
  <c r="AJ120" i="103" s="1"/>
  <c r="AK120" i="103" s="1"/>
  <c r="AL120" i="103" s="1"/>
  <c r="AH121" i="103"/>
  <c r="AI121" i="103" s="1"/>
  <c r="AJ121" i="103" s="1"/>
  <c r="AK121" i="103" s="1"/>
  <c r="AL121" i="103" s="1"/>
  <c r="AH122" i="103"/>
  <c r="AI122" i="103" s="1"/>
  <c r="AJ122" i="103" s="1"/>
  <c r="AK122" i="103" s="1"/>
  <c r="AL122" i="103" s="1"/>
  <c r="AH123" i="103"/>
  <c r="AI123" i="103" s="1"/>
  <c r="AJ123" i="103" s="1"/>
  <c r="AK123" i="103" s="1"/>
  <c r="AL123" i="103" s="1"/>
  <c r="AH124" i="103"/>
  <c r="AI124" i="103" s="1"/>
  <c r="AJ124" i="103" s="1"/>
  <c r="AK124" i="103" s="1"/>
  <c r="AL124" i="103" s="1"/>
  <c r="AH125" i="103"/>
  <c r="AI125" i="103" s="1"/>
  <c r="AJ125" i="103" s="1"/>
  <c r="AK125" i="103" s="1"/>
  <c r="AL125" i="103" s="1"/>
  <c r="AH126" i="103"/>
  <c r="AI126" i="103" s="1"/>
  <c r="AJ126" i="103" s="1"/>
  <c r="AK126" i="103" s="1"/>
  <c r="AL126" i="103" s="1"/>
  <c r="AH127" i="103"/>
  <c r="AI127" i="103" s="1"/>
  <c r="AJ127" i="103" s="1"/>
  <c r="AK127" i="103" s="1"/>
  <c r="AL127" i="103" s="1"/>
  <c r="AH128" i="103"/>
  <c r="AI128" i="103" s="1"/>
  <c r="AJ128" i="103" s="1"/>
  <c r="AK128" i="103" s="1"/>
  <c r="AL128" i="103" s="1"/>
  <c r="AH129" i="103"/>
  <c r="AI129" i="103" s="1"/>
  <c r="AJ129" i="103" s="1"/>
  <c r="AK129" i="103" s="1"/>
  <c r="AL129" i="103" s="1"/>
  <c r="AH130" i="103"/>
  <c r="AI130" i="103" s="1"/>
  <c r="AJ130" i="103" s="1"/>
  <c r="AK130" i="103" s="1"/>
  <c r="AL130" i="103" s="1"/>
  <c r="AH131" i="103"/>
  <c r="AI131" i="103" s="1"/>
  <c r="AJ131" i="103" s="1"/>
  <c r="AK131" i="103" s="1"/>
  <c r="AL131" i="103" s="1"/>
  <c r="AH132" i="103"/>
  <c r="AI132" i="103" s="1"/>
  <c r="AJ132" i="103" s="1"/>
  <c r="AK132" i="103" s="1"/>
  <c r="AL132" i="103" s="1"/>
  <c r="AH133" i="103"/>
  <c r="AI133" i="103" s="1"/>
  <c r="AJ133" i="103" s="1"/>
  <c r="AK133" i="103" s="1"/>
  <c r="AL133" i="103" s="1"/>
  <c r="AH142" i="103"/>
  <c r="AI142" i="103" s="1"/>
  <c r="AJ142" i="103" s="1"/>
  <c r="AK142" i="103" s="1"/>
  <c r="AL142" i="103" s="1"/>
  <c r="AH143" i="103"/>
  <c r="AI143" i="103"/>
  <c r="AJ143" i="103" s="1"/>
  <c r="AK143" i="103" s="1"/>
  <c r="AL143" i="103" s="1"/>
  <c r="AH152" i="103"/>
  <c r="AI152" i="103" s="1"/>
  <c r="AJ152" i="103" s="1"/>
  <c r="AK152" i="103" s="1"/>
  <c r="AL152" i="103" s="1"/>
  <c r="AH153" i="103"/>
  <c r="AI153" i="103" s="1"/>
  <c r="AJ153" i="103" s="1"/>
  <c r="AK153" i="103" s="1"/>
  <c r="AL153" i="103" s="1"/>
  <c r="AH162" i="103"/>
  <c r="AI162" i="103" s="1"/>
  <c r="AJ162" i="103" s="1"/>
  <c r="AK162" i="103" s="1"/>
  <c r="AL162" i="103" s="1"/>
  <c r="AH163" i="103"/>
  <c r="AI163" i="103" s="1"/>
  <c r="AJ163" i="103" s="1"/>
  <c r="AK163" i="103" s="1"/>
  <c r="AL163" i="103" s="1"/>
  <c r="AH165" i="103"/>
  <c r="AI165" i="103" s="1"/>
  <c r="AJ165" i="103" s="1"/>
  <c r="AK165" i="103" s="1"/>
  <c r="AL165" i="103" s="1"/>
  <c r="AH167" i="103"/>
  <c r="AI167" i="103" s="1"/>
  <c r="AJ167" i="103" s="1"/>
  <c r="AK167" i="103" s="1"/>
  <c r="AL167" i="103" s="1"/>
  <c r="AH169" i="103"/>
  <c r="AI169" i="103" s="1"/>
  <c r="AJ169" i="103" s="1"/>
  <c r="AK169" i="103" s="1"/>
  <c r="AL169" i="103" s="1"/>
  <c r="AH171" i="103"/>
  <c r="AI171" i="103" s="1"/>
  <c r="AJ171" i="103" s="1"/>
  <c r="AK171" i="103" s="1"/>
  <c r="AL171" i="103" s="1"/>
  <c r="AH173" i="103"/>
  <c r="AI173" i="103" s="1"/>
  <c r="AJ173" i="103" s="1"/>
  <c r="AK173" i="103" s="1"/>
  <c r="AL173" i="103" s="1"/>
  <c r="AH175" i="103"/>
  <c r="AI175" i="103" s="1"/>
  <c r="AJ175" i="103" s="1"/>
  <c r="AK175" i="103" s="1"/>
  <c r="AL175" i="103" s="1"/>
  <c r="AH177" i="103"/>
  <c r="AI177" i="103" s="1"/>
  <c r="AJ177" i="103" s="1"/>
  <c r="AK177" i="103" s="1"/>
  <c r="AL177" i="103" s="1"/>
  <c r="AH179" i="103"/>
  <c r="AI179" i="103" s="1"/>
  <c r="AJ179" i="103" s="1"/>
  <c r="AK179" i="103" s="1"/>
  <c r="AL179" i="103" s="1"/>
  <c r="AH181" i="103"/>
  <c r="AI181" i="103" s="1"/>
  <c r="AJ181" i="103" s="1"/>
  <c r="AK181" i="103" s="1"/>
  <c r="AL181" i="103" s="1"/>
  <c r="AH183" i="103"/>
  <c r="AI183" i="103" s="1"/>
  <c r="AJ183" i="103" s="1"/>
  <c r="AK183" i="103" s="1"/>
  <c r="AL183" i="103" s="1"/>
  <c r="AH185" i="103"/>
  <c r="AI185" i="103" s="1"/>
  <c r="AJ185" i="103" s="1"/>
  <c r="AK185" i="103" s="1"/>
  <c r="AL185" i="103" s="1"/>
  <c r="AH187" i="103"/>
  <c r="AI187" i="103" s="1"/>
  <c r="AJ187" i="103" s="1"/>
  <c r="AK187" i="103" s="1"/>
  <c r="AL187" i="103" s="1"/>
  <c r="AH189" i="103"/>
  <c r="AI189" i="103" s="1"/>
  <c r="AJ189" i="103" s="1"/>
  <c r="AK189" i="103" s="1"/>
  <c r="AL189" i="103" s="1"/>
  <c r="AH191" i="103"/>
  <c r="AI191" i="103" s="1"/>
  <c r="AJ191" i="103" s="1"/>
  <c r="AK191" i="103" s="1"/>
  <c r="AL191" i="103" s="1"/>
  <c r="AH193" i="103"/>
  <c r="AI193" i="103" s="1"/>
  <c r="AJ193" i="103" s="1"/>
  <c r="AK193" i="103" s="1"/>
  <c r="AL193" i="103" s="1"/>
  <c r="AH195" i="103"/>
  <c r="AI195" i="103" s="1"/>
  <c r="AJ195" i="103" s="1"/>
  <c r="AK195" i="103" s="1"/>
  <c r="AL195" i="103" s="1"/>
  <c r="AH197" i="103"/>
  <c r="AI197" i="103" s="1"/>
  <c r="AJ197" i="103" s="1"/>
  <c r="AK197" i="103" s="1"/>
  <c r="AL197" i="103" s="1"/>
  <c r="AH199" i="103"/>
  <c r="AI199" i="103" s="1"/>
  <c r="AJ199" i="103" s="1"/>
  <c r="AK199" i="103" s="1"/>
  <c r="AL199" i="103" s="1"/>
  <c r="AH201" i="103"/>
  <c r="AI201" i="103" s="1"/>
  <c r="AJ201" i="103" s="1"/>
  <c r="AK201" i="103" s="1"/>
  <c r="AL201" i="103" s="1"/>
  <c r="AH203" i="103"/>
  <c r="AI203" i="103" s="1"/>
  <c r="AJ203" i="103" s="1"/>
  <c r="AK203" i="103" s="1"/>
  <c r="AL203" i="103" s="1"/>
  <c r="AH205" i="103"/>
  <c r="AI205" i="103" s="1"/>
  <c r="AJ205" i="103" s="1"/>
  <c r="AK205" i="103" s="1"/>
  <c r="AL205" i="103" s="1"/>
  <c r="AH207" i="103"/>
  <c r="AI207" i="103" s="1"/>
  <c r="AJ207" i="103" s="1"/>
  <c r="AK207" i="103" s="1"/>
  <c r="AL207" i="103" s="1"/>
  <c r="AH209" i="103"/>
  <c r="AI209" i="103" s="1"/>
  <c r="AJ209" i="103" s="1"/>
  <c r="AK209" i="103" s="1"/>
  <c r="AL209" i="103" s="1"/>
  <c r="AH211" i="103"/>
  <c r="AI211" i="103" s="1"/>
  <c r="AJ211" i="103" s="1"/>
  <c r="AK211" i="103" s="1"/>
  <c r="AL211" i="103" s="1"/>
  <c r="AH220" i="103"/>
  <c r="AI220" i="103" s="1"/>
  <c r="AJ220" i="103" s="1"/>
  <c r="AK220" i="103" s="1"/>
  <c r="AL220" i="103" s="1"/>
  <c r="AH221" i="103"/>
  <c r="AI221" i="103" s="1"/>
  <c r="AJ221" i="103" s="1"/>
  <c r="AK221" i="103" s="1"/>
  <c r="AL221" i="103" s="1"/>
  <c r="AH230" i="103"/>
  <c r="AI230" i="103" s="1"/>
  <c r="AJ230" i="103" s="1"/>
  <c r="AK230" i="103" s="1"/>
  <c r="AL230" i="103" s="1"/>
  <c r="AH231" i="103"/>
  <c r="AI231" i="103" s="1"/>
  <c r="AJ231" i="103" s="1"/>
  <c r="AK231" i="103" s="1"/>
  <c r="AL231" i="103" s="1"/>
  <c r="AH294" i="103"/>
  <c r="AI294" i="103" s="1"/>
  <c r="AJ294" i="103" s="1"/>
  <c r="AK294" i="103" s="1"/>
  <c r="AL294" i="103" s="1"/>
  <c r="AH295" i="103"/>
  <c r="AI295" i="103" s="1"/>
  <c r="AJ295" i="103" s="1"/>
  <c r="AK295" i="103" s="1"/>
  <c r="AL295" i="103" s="1"/>
  <c r="AH308" i="103"/>
  <c r="AI308" i="103" s="1"/>
  <c r="AJ308" i="103" s="1"/>
  <c r="AK308" i="103" s="1"/>
  <c r="AL308" i="103" s="1"/>
  <c r="AH309" i="103"/>
  <c r="AI309" i="103"/>
  <c r="AJ309" i="103" s="1"/>
  <c r="AK309" i="103" s="1"/>
  <c r="AL309" i="103" s="1"/>
  <c r="AL282" i="112" a="1"/>
  <c r="AL282" i="112" s="1"/>
  <c r="AN282" i="112" s="1"/>
  <c r="AR282" i="112" s="1"/>
  <c r="AS282" i="112" s="1"/>
  <c r="AT282" i="112" s="1"/>
  <c r="AU282" i="112" s="1"/>
  <c r="AV282" i="112" s="1"/>
  <c r="AL281" i="112" a="1"/>
  <c r="AL281" i="112" s="1"/>
  <c r="AN281" i="112" s="1"/>
  <c r="AR281" i="112" s="1"/>
  <c r="AS281" i="112" s="1"/>
  <c r="AT281" i="112" s="1"/>
  <c r="AU281" i="112" s="1"/>
  <c r="AV281" i="112" s="1"/>
  <c r="AL280" i="112" a="1"/>
  <c r="AL280" i="112" s="1"/>
  <c r="AN280" i="112" s="1"/>
  <c r="AR280" i="112" s="1"/>
  <c r="AS280" i="112" s="1"/>
  <c r="AT280" i="112" s="1"/>
  <c r="AU280" i="112" s="1"/>
  <c r="AV280" i="112" s="1"/>
  <c r="AL279" i="112" a="1"/>
  <c r="AL279" i="112" s="1"/>
  <c r="AN279" i="112" s="1"/>
  <c r="AR279" i="112" s="1"/>
  <c r="AS279" i="112" s="1"/>
  <c r="AT279" i="112" s="1"/>
  <c r="AU279" i="112" s="1"/>
  <c r="AV279" i="112" s="1"/>
  <c r="AL278" i="112" a="1"/>
  <c r="AL278" i="112" s="1"/>
  <c r="AN278" i="112" s="1"/>
  <c r="AR278" i="112" s="1"/>
  <c r="AS278" i="112" s="1"/>
  <c r="AT278" i="112" s="1"/>
  <c r="AU278" i="112" s="1"/>
  <c r="AV278" i="112" s="1"/>
  <c r="AL277" i="112" a="1"/>
  <c r="AL277" i="112" s="1"/>
  <c r="AN277" i="112" s="1"/>
  <c r="AR277" i="112" s="1"/>
  <c r="AS277" i="112" s="1"/>
  <c r="AT277" i="112" s="1"/>
  <c r="AU277" i="112" s="1"/>
  <c r="AV277" i="112" s="1"/>
  <c r="AL276" i="112" a="1"/>
  <c r="AL276" i="112" s="1"/>
  <c r="AN276" i="112" s="1"/>
  <c r="AR276" i="112" s="1"/>
  <c r="AS276" i="112" s="1"/>
  <c r="AT276" i="112" s="1"/>
  <c r="AU276" i="112" s="1"/>
  <c r="AV276" i="112" s="1"/>
  <c r="AL275" i="112" a="1"/>
  <c r="AL275" i="112" s="1"/>
  <c r="AN275" i="112" s="1"/>
  <c r="AR275" i="112" s="1"/>
  <c r="AS275" i="112" s="1"/>
  <c r="AT275" i="112" s="1"/>
  <c r="AU275" i="112" s="1"/>
  <c r="AV275" i="112" s="1"/>
  <c r="AL274" i="112" a="1"/>
  <c r="AL274" i="112" s="1"/>
  <c r="AN274" i="112" s="1"/>
  <c r="AR274" i="112" s="1"/>
  <c r="AS274" i="112" s="1"/>
  <c r="AT274" i="112" s="1"/>
  <c r="AU274" i="112" s="1"/>
  <c r="AV274" i="112" s="1"/>
  <c r="AL273" i="112" a="1"/>
  <c r="AL273" i="112" s="1"/>
  <c r="AN273" i="112" s="1"/>
  <c r="AR273" i="112" s="1"/>
  <c r="AS273" i="112" s="1"/>
  <c r="AT273" i="112" s="1"/>
  <c r="AU273" i="112" s="1"/>
  <c r="AV273" i="112" s="1"/>
  <c r="AL272" i="112" a="1"/>
  <c r="AL272" i="112" s="1"/>
  <c r="AN272" i="112" s="1"/>
  <c r="AR272" i="112" s="1"/>
  <c r="AS272" i="112" s="1"/>
  <c r="AT272" i="112" s="1"/>
  <c r="AU272" i="112" s="1"/>
  <c r="AV272" i="112" s="1"/>
  <c r="AL271" i="112" a="1"/>
  <c r="AL271" i="112" s="1"/>
  <c r="AN271" i="112" s="1"/>
  <c r="AR271" i="112" s="1"/>
  <c r="AS271" i="112" s="1"/>
  <c r="AT271" i="112" s="1"/>
  <c r="AU271" i="112" s="1"/>
  <c r="AV271" i="112" s="1"/>
  <c r="AK270" i="112" a="1"/>
  <c r="AK270" i="112" s="1"/>
  <c r="AN270" i="112" s="1"/>
  <c r="AR270" i="112" s="1"/>
  <c r="AS270" i="112" s="1"/>
  <c r="AT270" i="112" s="1"/>
  <c r="AU270" i="112" s="1"/>
  <c r="AV270" i="112" s="1"/>
  <c r="AL269" i="112" a="1"/>
  <c r="AL269" i="112" s="1"/>
  <c r="AN269" i="112" s="1"/>
  <c r="AR269" i="112" s="1"/>
  <c r="AS269" i="112" s="1"/>
  <c r="AT269" i="112" s="1"/>
  <c r="AU269" i="112" s="1"/>
  <c r="AV269" i="112" s="1"/>
  <c r="AL268" i="112" a="1"/>
  <c r="AL268" i="112" s="1"/>
  <c r="AN268" i="112" s="1"/>
  <c r="AR268" i="112" s="1"/>
  <c r="AS268" i="112" s="1"/>
  <c r="AT268" i="112" s="1"/>
  <c r="AU268" i="112" s="1"/>
  <c r="AV268" i="112" s="1"/>
  <c r="AL267" i="112" a="1"/>
  <c r="AL267" i="112" s="1"/>
  <c r="AN267" i="112" s="1"/>
  <c r="AR267" i="112" s="1"/>
  <c r="AS267" i="112" s="1"/>
  <c r="AT267" i="112" s="1"/>
  <c r="AU267" i="112" s="1"/>
  <c r="AV267" i="112" s="1"/>
  <c r="AK266" i="112" a="1"/>
  <c r="AK266" i="112" s="1"/>
  <c r="AN266" i="112" s="1"/>
  <c r="AR266" i="112" s="1"/>
  <c r="AS266" i="112" s="1"/>
  <c r="AT266" i="112" s="1"/>
  <c r="AU266" i="112" s="1"/>
  <c r="AV266" i="112" s="1"/>
  <c r="AK265" i="112" a="1"/>
  <c r="AK265" i="112" s="1"/>
  <c r="AN265" i="112" s="1"/>
  <c r="AR265" i="112" s="1"/>
  <c r="AS265" i="112" s="1"/>
  <c r="AT265" i="112" s="1"/>
  <c r="AU265" i="112" s="1"/>
  <c r="AV265" i="112" s="1"/>
  <c r="AK264" i="112" a="1"/>
  <c r="AK264" i="112" s="1"/>
  <c r="AN264" i="112" s="1"/>
  <c r="AR264" i="112" s="1"/>
  <c r="AS264" i="112" s="1"/>
  <c r="AT264" i="112" s="1"/>
  <c r="AU264" i="112" s="1"/>
  <c r="AV264" i="112" s="1"/>
  <c r="AK263" i="112" a="1"/>
  <c r="AK263" i="112" s="1"/>
  <c r="AN263" i="112" s="1"/>
  <c r="AR263" i="112" s="1"/>
  <c r="AS263" i="112" s="1"/>
  <c r="AT263" i="112" s="1"/>
  <c r="AU263" i="112" s="1"/>
  <c r="AV263" i="112" s="1"/>
  <c r="AK262" i="112" a="1"/>
  <c r="AK262" i="112" s="1"/>
  <c r="AN262" i="112" s="1"/>
  <c r="AR262" i="112" s="1"/>
  <c r="AS262" i="112" s="1"/>
  <c r="AT262" i="112" s="1"/>
  <c r="AU262" i="112" s="1"/>
  <c r="AV262" i="112" s="1"/>
  <c r="AK261" i="112" a="1"/>
  <c r="AK261" i="112" s="1"/>
  <c r="AN261" i="112" s="1"/>
  <c r="AR261" i="112" s="1"/>
  <c r="AS261" i="112" s="1"/>
  <c r="AT261" i="112" s="1"/>
  <c r="AU261" i="112" s="1"/>
  <c r="AV261" i="112" s="1"/>
  <c r="AK260" i="112" a="1"/>
  <c r="AK260" i="112" s="1"/>
  <c r="AN260" i="112" s="1"/>
  <c r="AR260" i="112" s="1"/>
  <c r="AS260" i="112" s="1"/>
  <c r="AT260" i="112" s="1"/>
  <c r="AU260" i="112" s="1"/>
  <c r="AV260" i="112" s="1"/>
  <c r="AK259" i="112" a="1"/>
  <c r="AK259" i="112" s="1"/>
  <c r="AN259" i="112" s="1"/>
  <c r="AR259" i="112" s="1"/>
  <c r="AS259" i="112" s="1"/>
  <c r="AT259" i="112" s="1"/>
  <c r="AU259" i="112" s="1"/>
  <c r="AV259" i="112" s="1"/>
  <c r="AK258" i="112" a="1"/>
  <c r="AK258" i="112" s="1"/>
  <c r="AN258" i="112" s="1"/>
  <c r="AR258" i="112" s="1"/>
  <c r="AS258" i="112" s="1"/>
  <c r="AT258" i="112" s="1"/>
  <c r="AU258" i="112" s="1"/>
  <c r="AV258" i="112" s="1"/>
  <c r="AK257" i="112" a="1"/>
  <c r="AK257" i="112" s="1"/>
  <c r="AN257" i="112" s="1"/>
  <c r="AR257" i="112" s="1"/>
  <c r="AS257" i="112" s="1"/>
  <c r="AT257" i="112" s="1"/>
  <c r="AU257" i="112" s="1"/>
  <c r="AV257" i="112" s="1"/>
  <c r="AK256" i="112" a="1"/>
  <c r="AK256" i="112" s="1"/>
  <c r="AN256" i="112" s="1"/>
  <c r="AR256" i="112" s="1"/>
  <c r="AS256" i="112" s="1"/>
  <c r="AT256" i="112" s="1"/>
  <c r="AU256" i="112" s="1"/>
  <c r="AV256" i="112" s="1"/>
  <c r="AK255" i="112" a="1"/>
  <c r="AK255" i="112" s="1"/>
  <c r="AN255" i="112" s="1"/>
  <c r="AR255" i="112" s="1"/>
  <c r="AS255" i="112" s="1"/>
  <c r="AT255" i="112" s="1"/>
  <c r="AU255" i="112" s="1"/>
  <c r="AV255" i="112" s="1"/>
  <c r="AK254" i="112" a="1"/>
  <c r="AK254" i="112" s="1"/>
  <c r="AN254" i="112" s="1"/>
  <c r="AR254" i="112" s="1"/>
  <c r="AS254" i="112" s="1"/>
  <c r="AT254" i="112" s="1"/>
  <c r="AU254" i="112" s="1"/>
  <c r="AV254" i="112" s="1"/>
  <c r="AL252" i="112" a="1"/>
  <c r="AL252" i="112" s="1"/>
  <c r="AN252" i="112" s="1"/>
  <c r="AR252" i="112" s="1"/>
  <c r="AS252" i="112" s="1"/>
  <c r="AT252" i="112" s="1"/>
  <c r="AU252" i="112" s="1"/>
  <c r="AV252" i="112" s="1"/>
  <c r="AL251" i="112" a="1"/>
  <c r="AL251" i="112" s="1"/>
  <c r="AN251" i="112" s="1"/>
  <c r="AR251" i="112" s="1"/>
  <c r="AS251" i="112" s="1"/>
  <c r="AT251" i="112" s="1"/>
  <c r="AU251" i="112" s="1"/>
  <c r="AV251" i="112" s="1"/>
  <c r="AL248" i="112" a="1"/>
  <c r="AL248" i="112" s="1"/>
  <c r="AK248" i="112" a="1"/>
  <c r="AK248" i="112" s="1"/>
  <c r="AN248" i="112" s="1"/>
  <c r="AR248" i="112" s="1"/>
  <c r="AS248" i="112" s="1"/>
  <c r="AT248" i="112" s="1"/>
  <c r="AU248" i="112" s="1"/>
  <c r="AV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N245" i="112" s="1"/>
  <c r="AR245" i="112" s="1"/>
  <c r="AS245" i="112" s="1"/>
  <c r="AT245" i="112" s="1"/>
  <c r="AU245" i="112" s="1"/>
  <c r="AV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N233" i="112" s="1"/>
  <c r="AR233" i="112" s="1"/>
  <c r="AS233" i="112" s="1"/>
  <c r="AT233" i="112" s="1"/>
  <c r="AU233" i="112" s="1"/>
  <c r="AV233" i="112" s="1"/>
  <c r="AL232" i="112" a="1"/>
  <c r="AL232" i="112" s="1"/>
  <c r="AK232" i="112" a="1"/>
  <c r="AK232" i="112" s="1"/>
  <c r="AN232" i="112" s="1"/>
  <c r="AR232" i="112" s="1"/>
  <c r="AS232" i="112" s="1"/>
  <c r="AT232" i="112" s="1"/>
  <c r="AU232" i="112" s="1"/>
  <c r="AV232" i="112" s="1"/>
  <c r="AL231" i="112" a="1"/>
  <c r="AL231" i="112" s="1"/>
  <c r="AK231" i="112" a="1"/>
  <c r="AK231" i="112" s="1"/>
  <c r="AN231" i="112" s="1"/>
  <c r="AR231" i="112" s="1"/>
  <c r="AS231" i="112" s="1"/>
  <c r="AT231" i="112" s="1"/>
  <c r="AU231" i="112" s="1"/>
  <c r="AV231" i="112" s="1"/>
  <c r="AL230" i="112" a="1"/>
  <c r="AL230" i="112" s="1"/>
  <c r="AK230" i="112" a="1"/>
  <c r="AK230" i="112" s="1"/>
  <c r="AN230" i="112" s="1"/>
  <c r="AR230" i="112" s="1"/>
  <c r="AS230" i="112" s="1"/>
  <c r="AT230" i="112" s="1"/>
  <c r="AU230" i="112" s="1"/>
  <c r="AV230" i="112" s="1"/>
  <c r="AL228" i="112" a="1"/>
  <c r="AL228" i="112" s="1"/>
  <c r="AK228" i="112" a="1"/>
  <c r="AK228" i="112" s="1"/>
  <c r="AN228" i="112" s="1"/>
  <c r="AR228" i="112" s="1"/>
  <c r="AS228" i="112" s="1"/>
  <c r="AT228" i="112" s="1"/>
  <c r="AU228" i="112" s="1"/>
  <c r="AV228" i="112" s="1"/>
  <c r="AL226" i="112" a="1"/>
  <c r="AL226" i="112" s="1"/>
  <c r="AK226" i="112" a="1"/>
  <c r="AK226" i="112" s="1"/>
  <c r="AN226" i="112" s="1"/>
  <c r="AR226" i="112" s="1"/>
  <c r="AS226" i="112" s="1"/>
  <c r="AT226" i="112" s="1"/>
  <c r="AU226" i="112" s="1"/>
  <c r="AV226" i="112" s="1"/>
  <c r="AL223" i="112" a="1"/>
  <c r="AL223" i="112" s="1"/>
  <c r="AK223" i="112" a="1"/>
  <c r="AK223" i="112" s="1"/>
  <c r="AN223" i="112" s="1"/>
  <c r="AR223" i="112" s="1"/>
  <c r="AS223" i="112" s="1"/>
  <c r="AT223" i="112" s="1"/>
  <c r="AU223" i="112" s="1"/>
  <c r="AV223" i="112" s="1"/>
  <c r="AL222" i="112" a="1"/>
  <c r="AL222" i="112" s="1"/>
  <c r="AK222" i="112" a="1"/>
  <c r="AK222" i="112" s="1"/>
  <c r="AN222" i="112" s="1"/>
  <c r="AR222" i="112" s="1"/>
  <c r="AS222" i="112" s="1"/>
  <c r="AT222" i="112" s="1"/>
  <c r="AU222" i="112" s="1"/>
  <c r="AV222" i="112" s="1"/>
  <c r="AL221" i="112" a="1"/>
  <c r="AL221" i="112" s="1"/>
  <c r="AK221" i="112" a="1"/>
  <c r="AK221" i="112" s="1"/>
  <c r="AN221" i="112" s="1"/>
  <c r="AR221" i="112" s="1"/>
  <c r="AS221" i="112" s="1"/>
  <c r="AT221" i="112" s="1"/>
  <c r="AU221" i="112" s="1"/>
  <c r="AV221" i="112" s="1"/>
  <c r="AL220" i="112" a="1"/>
  <c r="AL220" i="112" s="1"/>
  <c r="AK220" i="112" a="1"/>
  <c r="AK220" i="112" s="1"/>
  <c r="AN220" i="112" s="1"/>
  <c r="AR220" i="112" s="1"/>
  <c r="AS220" i="112" s="1"/>
  <c r="AT220" i="112" s="1"/>
  <c r="AU220" i="112" s="1"/>
  <c r="AV220" i="112" s="1"/>
  <c r="AL216" i="112" a="1"/>
  <c r="AL216" i="112" s="1"/>
  <c r="AK216" i="112" a="1"/>
  <c r="AK216" i="112" s="1"/>
  <c r="AN216" i="112" s="1"/>
  <c r="AR216" i="112" s="1"/>
  <c r="AS216" i="112" s="1"/>
  <c r="AT216" i="112" s="1"/>
  <c r="AU216" i="112" s="1"/>
  <c r="AV216" i="112" s="1"/>
  <c r="AL214" i="112" a="1"/>
  <c r="AL214" i="112" s="1"/>
  <c r="AN214" i="112" s="1"/>
  <c r="AR214" i="112" s="1"/>
  <c r="AS214" i="112" s="1"/>
  <c r="AT214" i="112" s="1"/>
  <c r="AU214" i="112" s="1"/>
  <c r="AV214" i="112" s="1"/>
  <c r="AL213" i="112" a="1"/>
  <c r="AL213" i="112" s="1"/>
  <c r="AK213" i="112" a="1"/>
  <c r="AK213" i="112" s="1"/>
  <c r="AN213" i="112" s="1"/>
  <c r="AR213" i="112" s="1"/>
  <c r="AS213" i="112" s="1"/>
  <c r="AT213" i="112" s="1"/>
  <c r="AU213" i="112" s="1"/>
  <c r="AV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N209" i="112" s="1"/>
  <c r="AR209" i="112" s="1"/>
  <c r="AS209" i="112" s="1"/>
  <c r="AT209" i="112" s="1"/>
  <c r="AU209" i="112" s="1"/>
  <c r="AV209" i="112" s="1"/>
  <c r="AK208" i="112" a="1"/>
  <c r="AK208" i="112" s="1"/>
  <c r="AN208" i="112" s="1"/>
  <c r="AR208" i="112" s="1"/>
  <c r="AS208" i="112" s="1"/>
  <c r="AT208" i="112" s="1"/>
  <c r="AU208" i="112" s="1"/>
  <c r="AV208" i="112" s="1"/>
  <c r="AL205" i="112" a="1"/>
  <c r="AL205" i="112" s="1"/>
  <c r="AN205" i="112" s="1"/>
  <c r="AR205" i="112" s="1"/>
  <c r="AS205" i="112" s="1"/>
  <c r="AT205" i="112" s="1"/>
  <c r="AU205" i="112" s="1"/>
  <c r="AV205" i="112" s="1"/>
  <c r="AK204" i="112" a="1"/>
  <c r="AK204" i="112" s="1"/>
  <c r="AN204" i="112" s="1"/>
  <c r="AR204" i="112" s="1"/>
  <c r="AS204" i="112" s="1"/>
  <c r="AT204" i="112" s="1"/>
  <c r="AU204" i="112" s="1"/>
  <c r="AV204" i="112" s="1"/>
  <c r="AK203" i="112" a="1"/>
  <c r="AK203" i="112" s="1"/>
  <c r="AN203" i="112" s="1"/>
  <c r="AR203" i="112" s="1"/>
  <c r="AS203" i="112" s="1"/>
  <c r="AT203" i="112" s="1"/>
  <c r="AU203" i="112" s="1"/>
  <c r="AV203" i="112" s="1"/>
  <c r="AL202" i="112" a="1"/>
  <c r="AL202" i="112" s="1"/>
  <c r="AN202" i="112" s="1"/>
  <c r="AR202" i="112" s="1"/>
  <c r="AS202" i="112" s="1"/>
  <c r="AT202" i="112" s="1"/>
  <c r="AU202" i="112" s="1"/>
  <c r="AV202" i="112" s="1"/>
  <c r="AL201" i="112" a="1"/>
  <c r="AL201" i="112" s="1"/>
  <c r="AN201" i="112" s="1"/>
  <c r="AR201" i="112" s="1"/>
  <c r="AS201" i="112" s="1"/>
  <c r="AT201" i="112" s="1"/>
  <c r="AU201" i="112" s="1"/>
  <c r="AV201" i="112" s="1"/>
  <c r="AL200" i="112" a="1"/>
  <c r="AL200" i="112" s="1"/>
  <c r="AN200" i="112" s="1"/>
  <c r="AR200" i="112" s="1"/>
  <c r="AS200" i="112" s="1"/>
  <c r="AT200" i="112" s="1"/>
  <c r="AU200" i="112" s="1"/>
  <c r="AV200" i="112" s="1"/>
  <c r="AL199" i="112" a="1"/>
  <c r="AL199" i="112" s="1"/>
  <c r="AK199" i="112" a="1"/>
  <c r="AK199" i="112" s="1"/>
  <c r="AN199" i="112" s="1"/>
  <c r="AR199" i="112" s="1"/>
  <c r="AS199" i="112" s="1"/>
  <c r="AT199" i="112" s="1"/>
  <c r="AU199" i="112" s="1"/>
  <c r="AV199" i="112" s="1"/>
  <c r="AL198" i="112" a="1"/>
  <c r="AL198" i="112" s="1"/>
  <c r="AK198" i="112" a="1"/>
  <c r="AK198" i="112" s="1"/>
  <c r="AN198" i="112" s="1"/>
  <c r="AR198" i="112" s="1"/>
  <c r="AS198" i="112" s="1"/>
  <c r="AT198" i="112" s="1"/>
  <c r="AU198" i="112" s="1"/>
  <c r="AV198" i="112" s="1"/>
  <c r="AL193" i="112" a="1"/>
  <c r="AL193" i="112" s="1"/>
  <c r="AK193" i="112" a="1"/>
  <c r="AK193" i="112" s="1"/>
  <c r="AN193" i="112" s="1"/>
  <c r="AR193" i="112" s="1"/>
  <c r="AS193" i="112" s="1"/>
  <c r="AT193" i="112" s="1"/>
  <c r="AU193" i="112" s="1"/>
  <c r="AV193" i="112" s="1"/>
  <c r="AL192" i="112" a="1"/>
  <c r="AL192" i="112" s="1"/>
  <c r="AK192" i="112" a="1"/>
  <c r="AK192" i="112" s="1"/>
  <c r="AL191" i="112" a="1"/>
  <c r="AL191" i="112" s="1"/>
  <c r="AN191" i="112" s="1"/>
  <c r="AR191" i="112" s="1"/>
  <c r="AS191" i="112" s="1"/>
  <c r="AT191" i="112" s="1"/>
  <c r="AU191" i="112" s="1"/>
  <c r="AV191" i="112" s="1"/>
  <c r="AL190" i="112" a="1"/>
  <c r="AL190" i="112" s="1"/>
  <c r="AK190" i="112" a="1"/>
  <c r="AK190" i="112" s="1"/>
  <c r="AN190" i="112" s="1"/>
  <c r="AR190" i="112" s="1"/>
  <c r="AS190" i="112" s="1"/>
  <c r="AT190" i="112" s="1"/>
  <c r="AU190" i="112" s="1"/>
  <c r="AV190" i="112" s="1"/>
  <c r="AL189" i="112" a="1"/>
  <c r="AL189" i="112" s="1"/>
  <c r="AK189" i="112" a="1"/>
  <c r="AK189" i="112" s="1"/>
  <c r="AN189" i="112" s="1"/>
  <c r="AR189" i="112" s="1"/>
  <c r="AS189" i="112" s="1"/>
  <c r="AT189" i="112" s="1"/>
  <c r="AU189" i="112" s="1"/>
  <c r="AV189" i="112" s="1"/>
  <c r="AL187" i="112" a="1"/>
  <c r="AL187" i="112" s="1"/>
  <c r="AK187" i="112" a="1"/>
  <c r="AK187" i="112" s="1"/>
  <c r="AN187" i="112" s="1"/>
  <c r="AR187" i="112" s="1"/>
  <c r="AS187" i="112" s="1"/>
  <c r="AT187" i="112" s="1"/>
  <c r="AU187" i="112" s="1"/>
  <c r="AV187" i="112" s="1"/>
  <c r="AL182" i="112" a="1"/>
  <c r="AL182" i="112" s="1"/>
  <c r="AK182" i="112" a="1"/>
  <c r="AK182" i="112" s="1"/>
  <c r="AN182" i="112" s="1"/>
  <c r="AR182" i="112" s="1"/>
  <c r="AS182" i="112" s="1"/>
  <c r="AT182" i="112" s="1"/>
  <c r="AU182" i="112" s="1"/>
  <c r="AV182" i="112" s="1"/>
  <c r="AL181" i="112" a="1"/>
  <c r="AL181" i="112" s="1"/>
  <c r="AK181" i="112" a="1"/>
  <c r="AK181" i="112" s="1"/>
  <c r="AN181" i="112" s="1"/>
  <c r="AR181" i="112" s="1"/>
  <c r="AS181" i="112" s="1"/>
  <c r="AT181" i="112" s="1"/>
  <c r="AU181" i="112" s="1"/>
  <c r="AV181" i="112" s="1"/>
  <c r="AL180" i="112" a="1"/>
  <c r="AL180" i="112" s="1"/>
  <c r="AK180" i="112" a="1"/>
  <c r="AK180" i="112" s="1"/>
  <c r="AN180" i="112" s="1"/>
  <c r="AR180" i="112" s="1"/>
  <c r="AS180" i="112" s="1"/>
  <c r="AT180" i="112" s="1"/>
  <c r="AU180" i="112" s="1"/>
  <c r="AV180" i="112" s="1"/>
  <c r="AL179" i="112" a="1"/>
  <c r="AL179" i="112" s="1"/>
  <c r="AK179" i="112" a="1"/>
  <c r="AK179" i="112" s="1"/>
  <c r="AN179" i="112" s="1"/>
  <c r="AR179" i="112" s="1"/>
  <c r="AS179" i="112" s="1"/>
  <c r="AT179" i="112" s="1"/>
  <c r="AU179" i="112" s="1"/>
  <c r="AV179" i="112" s="1"/>
  <c r="AL178" i="112" a="1"/>
  <c r="AL178" i="112" s="1"/>
  <c r="AK178" i="112" a="1"/>
  <c r="AK178" i="112" s="1"/>
  <c r="AN178" i="112" s="1"/>
  <c r="AR178" i="112" s="1"/>
  <c r="AS178" i="112" s="1"/>
  <c r="AT178" i="112" s="1"/>
  <c r="AU178" i="112" s="1"/>
  <c r="AV178" i="112" s="1"/>
  <c r="AL177" i="112" a="1"/>
  <c r="AL177" i="112" s="1"/>
  <c r="AK177" i="112" a="1"/>
  <c r="AK177" i="112" s="1"/>
  <c r="AN177" i="112" s="1"/>
  <c r="AR177" i="112" s="1"/>
  <c r="AS177" i="112" s="1"/>
  <c r="AT177" i="112" s="1"/>
  <c r="AU177" i="112" s="1"/>
  <c r="AV177" i="112" s="1"/>
  <c r="AL175" i="112" a="1"/>
  <c r="AL175" i="112" s="1"/>
  <c r="AK175" i="112" a="1"/>
  <c r="AK175" i="112" s="1"/>
  <c r="AN175" i="112" s="1"/>
  <c r="AR175" i="112" s="1"/>
  <c r="AS175" i="112" s="1"/>
  <c r="AT175" i="112" s="1"/>
  <c r="AU175" i="112" s="1"/>
  <c r="AV175" i="112" s="1"/>
  <c r="AL174" i="112" a="1"/>
  <c r="AL174" i="112" s="1"/>
  <c r="AK174" i="112" a="1"/>
  <c r="AK174" i="112" s="1"/>
  <c r="AN174" i="112" s="1"/>
  <c r="AR174" i="112" s="1"/>
  <c r="AS174" i="112" s="1"/>
  <c r="AT174" i="112" s="1"/>
  <c r="AU174" i="112" s="1"/>
  <c r="AV174" i="112" s="1"/>
  <c r="AL173" i="112" a="1"/>
  <c r="AL173" i="112" s="1"/>
  <c r="AK173" i="112" a="1"/>
  <c r="AK173" i="112" s="1"/>
  <c r="AN173" i="112" s="1"/>
  <c r="AR173" i="112" s="1"/>
  <c r="AS173" i="112" s="1"/>
  <c r="AT173" i="112" s="1"/>
  <c r="AU173" i="112" s="1"/>
  <c r="AV173" i="112" s="1"/>
  <c r="AL172" i="112" a="1"/>
  <c r="AL172" i="112" s="1"/>
  <c r="AK172" i="112" a="1"/>
  <c r="AK172" i="112" s="1"/>
  <c r="AN172" i="112" s="1"/>
  <c r="AR172" i="112" s="1"/>
  <c r="AS172" i="112" s="1"/>
  <c r="AT172" i="112" s="1"/>
  <c r="AU172" i="112" s="1"/>
  <c r="AV172" i="112" s="1"/>
  <c r="AL171" i="112" a="1"/>
  <c r="AL171" i="112" s="1"/>
  <c r="AK171" i="112" a="1"/>
  <c r="AK171" i="112" s="1"/>
  <c r="AN171" i="112" s="1"/>
  <c r="AR171" i="112" s="1"/>
  <c r="AS171" i="112" s="1"/>
  <c r="AT171" i="112" s="1"/>
  <c r="AU171" i="112" s="1"/>
  <c r="AV171" i="112" s="1"/>
  <c r="AL170" i="112" a="1"/>
  <c r="AL170" i="112" s="1"/>
  <c r="AK170" i="112" a="1"/>
  <c r="AK170" i="112" s="1"/>
  <c r="AL169" i="112" a="1"/>
  <c r="AL169" i="112" s="1"/>
  <c r="AK169" i="112" a="1"/>
  <c r="AK169" i="112" s="1"/>
  <c r="AN169" i="112" s="1"/>
  <c r="AR169" i="112" s="1"/>
  <c r="AS169" i="112" s="1"/>
  <c r="AT169" i="112" s="1"/>
  <c r="AU169" i="112" s="1"/>
  <c r="AV169" i="112" s="1"/>
  <c r="AL168" i="112" a="1"/>
  <c r="AL168" i="112" s="1"/>
  <c r="AK168" i="112" a="1"/>
  <c r="AK168" i="112" s="1"/>
  <c r="AN168" i="112" s="1"/>
  <c r="AR168" i="112" s="1"/>
  <c r="AS168" i="112" s="1"/>
  <c r="AT168" i="112" s="1"/>
  <c r="AU168" i="112" s="1"/>
  <c r="AV168" i="112" s="1"/>
  <c r="AL167" i="112" a="1"/>
  <c r="AL167" i="112" s="1"/>
  <c r="AK167" i="112" a="1"/>
  <c r="AK167" i="112" s="1"/>
  <c r="AN167" i="112" s="1"/>
  <c r="AR167" i="112" s="1"/>
  <c r="AS167" i="112" s="1"/>
  <c r="AT167" i="112" s="1"/>
  <c r="AU167" i="112" s="1"/>
  <c r="AV167" i="112" s="1"/>
  <c r="AL166" i="112" a="1"/>
  <c r="AL166" i="112" s="1"/>
  <c r="AK166" i="112" a="1"/>
  <c r="AK166" i="112" s="1"/>
  <c r="AL165" i="112" a="1"/>
  <c r="AL165" i="112" s="1"/>
  <c r="AK165" i="112" a="1"/>
  <c r="AK165" i="112" s="1"/>
  <c r="AN165" i="112" s="1"/>
  <c r="AR165" i="112" s="1"/>
  <c r="AS165" i="112" s="1"/>
  <c r="AT165" i="112" s="1"/>
  <c r="AU165" i="112" s="1"/>
  <c r="AV165" i="112" s="1"/>
  <c r="AL164" i="112" a="1"/>
  <c r="AL164" i="112" s="1"/>
  <c r="AK164" i="112" a="1"/>
  <c r="AK164" i="112" s="1"/>
  <c r="AL163" i="112" a="1"/>
  <c r="AL163" i="112" s="1"/>
  <c r="AK163" i="112" a="1"/>
  <c r="AK163" i="112" s="1"/>
  <c r="AN163" i="112" s="1"/>
  <c r="AR163" i="112" s="1"/>
  <c r="AS163" i="112" s="1"/>
  <c r="AT163" i="112" s="1"/>
  <c r="AU163" i="112" s="1"/>
  <c r="AV163" i="112" s="1"/>
  <c r="AL162" i="112" a="1"/>
  <c r="AL162" i="112" s="1"/>
  <c r="AK162" i="112" a="1"/>
  <c r="AK162" i="112" s="1"/>
  <c r="AN162" i="112" s="1"/>
  <c r="AR162" i="112" s="1"/>
  <c r="AS162" i="112" s="1"/>
  <c r="AT162" i="112" s="1"/>
  <c r="AU162" i="112" s="1"/>
  <c r="AV162" i="112" s="1"/>
  <c r="AL153" i="112" a="1"/>
  <c r="AL153" i="112" s="1"/>
  <c r="AK153" i="112" a="1"/>
  <c r="AK153" i="112" s="1"/>
  <c r="AN153" i="112" s="1"/>
  <c r="AR153" i="112" s="1"/>
  <c r="AS153" i="112" s="1"/>
  <c r="AT153" i="112" s="1"/>
  <c r="AU153" i="112" s="1"/>
  <c r="AV153" i="112" s="1"/>
  <c r="AL152" i="112" a="1"/>
  <c r="AL152" i="112" s="1"/>
  <c r="AK152" i="112" a="1"/>
  <c r="AK152" i="112" s="1"/>
  <c r="AN152" i="112" s="1"/>
  <c r="AR152" i="112" s="1"/>
  <c r="AS152" i="112" s="1"/>
  <c r="AT152" i="112" s="1"/>
  <c r="AU152" i="112" s="1"/>
  <c r="AV152" i="112" s="1"/>
  <c r="AL150" i="112" a="1"/>
  <c r="AL150" i="112" s="1"/>
  <c r="AK150" i="112" a="1"/>
  <c r="AK150" i="112" s="1"/>
  <c r="AL148" i="112" a="1"/>
  <c r="AL148" i="112" s="1"/>
  <c r="AK148" i="112" a="1"/>
  <c r="AK148" i="112" s="1"/>
  <c r="AN148" i="112" s="1"/>
  <c r="AR148" i="112" s="1"/>
  <c r="AS148" i="112" s="1"/>
  <c r="AT148" i="112" s="1"/>
  <c r="AU148" i="112" s="1"/>
  <c r="AV148" i="112" s="1"/>
  <c r="AL146" i="112" a="1"/>
  <c r="AL146" i="112" s="1"/>
  <c r="AK146" i="112" a="1"/>
  <c r="AK146" i="112" s="1"/>
  <c r="AL119" i="112" a="1"/>
  <c r="AL119" i="112" s="1"/>
  <c r="AK119" i="112" a="1"/>
  <c r="AK119" i="112" s="1"/>
  <c r="AN119" i="112" s="1"/>
  <c r="AR119" i="112" s="1"/>
  <c r="AS119" i="112" s="1"/>
  <c r="AT119" i="112" s="1"/>
  <c r="AU119" i="112" s="1"/>
  <c r="AV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N105" i="112" s="1"/>
  <c r="AR105" i="112" s="1"/>
  <c r="AS105" i="112" s="1"/>
  <c r="AT105" i="112" s="1"/>
  <c r="AU105" i="112" s="1"/>
  <c r="AV105" i="112" s="1"/>
  <c r="AL104" i="112" a="1"/>
  <c r="AL104" i="112" s="1"/>
  <c r="AK104" i="112" a="1"/>
  <c r="AK104" i="112" s="1"/>
  <c r="AL103" i="112" a="1"/>
  <c r="AL103" i="112" s="1"/>
  <c r="AK103" i="112" a="1"/>
  <c r="AK103" i="112" s="1"/>
  <c r="AN103" i="112" s="1"/>
  <c r="AR103" i="112" s="1"/>
  <c r="AS103" i="112" s="1"/>
  <c r="AT103" i="112" s="1"/>
  <c r="AU103" i="112" s="1"/>
  <c r="AV103" i="112" s="1"/>
  <c r="AL102" i="112" a="1"/>
  <c r="AL102" i="112" s="1"/>
  <c r="AK102" i="112" a="1"/>
  <c r="AK102" i="112" s="1"/>
  <c r="AL101" i="112" a="1"/>
  <c r="AL101" i="112" s="1"/>
  <c r="AK101" i="112" a="1"/>
  <c r="AK101" i="112" s="1"/>
  <c r="AN101" i="112" s="1"/>
  <c r="AR101" i="112" s="1"/>
  <c r="AS101" i="112" s="1"/>
  <c r="AT101" i="112" s="1"/>
  <c r="AU101" i="112" s="1"/>
  <c r="AV101" i="112" s="1"/>
  <c r="AL100" i="112" a="1"/>
  <c r="AL100" i="112" s="1"/>
  <c r="AK100" i="112" a="1"/>
  <c r="AK100" i="112" s="1"/>
  <c r="AL99" i="112" a="1"/>
  <c r="AL99" i="112" s="1"/>
  <c r="AK99" i="112" a="1"/>
  <c r="AK99" i="112" s="1"/>
  <c r="AN99" i="112" s="1"/>
  <c r="AR99" i="112" s="1"/>
  <c r="AS99" i="112" s="1"/>
  <c r="AT99" i="112" s="1"/>
  <c r="AU99" i="112" s="1"/>
  <c r="AV99" i="112" s="1"/>
  <c r="AL98" i="112" a="1"/>
  <c r="AL98" i="112" s="1"/>
  <c r="AK98" i="112" a="1"/>
  <c r="AK98" i="112" s="1"/>
  <c r="AK96" i="112" a="1"/>
  <c r="AK96" i="112" s="1"/>
  <c r="AN96" i="112" s="1"/>
  <c r="AR96" i="112" s="1"/>
  <c r="AS96" i="112" s="1"/>
  <c r="AT96" i="112" s="1"/>
  <c r="AU96" i="112" s="1"/>
  <c r="AV96" i="112" s="1"/>
  <c r="AK64" i="112" a="1"/>
  <c r="AK64" i="112" s="1"/>
  <c r="AN64" i="112" s="1"/>
  <c r="AR64" i="112" s="1"/>
  <c r="AS64" i="112" s="1"/>
  <c r="AT64" i="112" s="1"/>
  <c r="AU64" i="112" s="1"/>
  <c r="AV64" i="112" s="1"/>
  <c r="AL51" i="112" a="1"/>
  <c r="AL51" i="112" s="1"/>
  <c r="AK51" i="112" a="1"/>
  <c r="AK51" i="112" s="1"/>
  <c r="AN51" i="112" s="1"/>
  <c r="AR51" i="112" s="1"/>
  <c r="AS51" i="112" s="1"/>
  <c r="AT51" i="112" s="1"/>
  <c r="AU51" i="112" s="1"/>
  <c r="AV51" i="112" s="1"/>
  <c r="AL37" i="112" a="1"/>
  <c r="AL37" i="112" s="1"/>
  <c r="AK37" i="112" a="1"/>
  <c r="AK37" i="112" s="1"/>
  <c r="AN37" i="112" s="1"/>
  <c r="AR37" i="112" s="1"/>
  <c r="AS37" i="112" s="1"/>
  <c r="AT37" i="112" s="1"/>
  <c r="AU37" i="112" s="1"/>
  <c r="AV37" i="112" s="1"/>
  <c r="AL36" i="112" a="1"/>
  <c r="AL36" i="112" s="1"/>
  <c r="AK36" i="112" a="1"/>
  <c r="AK36" i="112" s="1"/>
  <c r="AN36" i="112" s="1"/>
  <c r="AR36" i="112" s="1"/>
  <c r="AS36" i="112" s="1"/>
  <c r="AT36" i="112" s="1"/>
  <c r="AU36" i="112" s="1"/>
  <c r="AV36" i="112" s="1"/>
  <c r="AL30" i="112" a="1"/>
  <c r="AL30" i="112" s="1"/>
  <c r="AN30" i="112" s="1"/>
  <c r="AR30" i="112" s="1"/>
  <c r="AS30" i="112" s="1"/>
  <c r="AT30" i="112" s="1"/>
  <c r="AU30" i="112" s="1"/>
  <c r="AV30" i="112" s="1"/>
  <c r="AL25" i="112" a="1"/>
  <c r="AL25" i="112" s="1"/>
  <c r="AK25" i="112" a="1"/>
  <c r="AK25" i="112" s="1"/>
  <c r="AN25" i="112" s="1"/>
  <c r="AR25" i="112" s="1"/>
  <c r="AS25" i="112" s="1"/>
  <c r="AT25" i="112" s="1"/>
  <c r="AU25" i="112" s="1"/>
  <c r="AV25" i="112" s="1"/>
  <c r="AL24" i="112" a="1"/>
  <c r="AL24" i="112" s="1"/>
  <c r="AK24" i="112" a="1"/>
  <c r="AK24" i="112" s="1"/>
  <c r="AN24" i="112" s="1"/>
  <c r="AR24" i="112" s="1"/>
  <c r="AS24" i="112" s="1"/>
  <c r="AT24" i="112" s="1"/>
  <c r="AU24" i="112" s="1"/>
  <c r="AV24" i="112" s="1"/>
  <c r="AL23" i="112" a="1"/>
  <c r="AL23" i="112" s="1"/>
  <c r="AK23" i="112" a="1"/>
  <c r="AK23" i="112" s="1"/>
  <c r="AN23" i="112" s="1"/>
  <c r="AR23" i="112" s="1"/>
  <c r="AS23" i="112" s="1"/>
  <c r="AT23" i="112" s="1"/>
  <c r="AU23" i="112" s="1"/>
  <c r="AV23" i="112" s="1"/>
  <c r="AL8" i="112" a="1"/>
  <c r="AL8" i="112" s="1"/>
  <c r="AK8" i="112" a="1"/>
  <c r="AK8" i="112" s="1"/>
  <c r="AL6" i="112" a="1"/>
  <c r="AL6" i="112" s="1"/>
  <c r="AN6" i="112" s="1"/>
  <c r="AR6" i="112" s="1"/>
  <c r="AS6" i="112" s="1"/>
  <c r="AT6" i="112" s="1"/>
  <c r="AU6" i="112" s="1"/>
  <c r="AV6" i="112" s="1"/>
  <c r="AK5" i="112" a="1"/>
  <c r="AK5" i="112" s="1"/>
  <c r="AN5" i="112" s="1"/>
  <c r="AR5" i="112" s="1"/>
  <c r="AS5" i="112" s="1"/>
  <c r="AT5" i="112" s="1"/>
  <c r="AU5" i="112" s="1"/>
  <c r="AV5" i="112" s="1"/>
  <c r="AJ281" i="112"/>
  <c r="AN253" i="112"/>
  <c r="AR253" i="112" s="1"/>
  <c r="AS253" i="112" s="1"/>
  <c r="AT253" i="112" s="1"/>
  <c r="AU253" i="112" s="1"/>
  <c r="AV253" i="112" s="1"/>
  <c r="AN244" i="112"/>
  <c r="AR244" i="112" s="1"/>
  <c r="AS244" i="112" s="1"/>
  <c r="AT244" i="112" s="1"/>
  <c r="AU244" i="112" s="1"/>
  <c r="AV244" i="112" s="1"/>
  <c r="AN243" i="112"/>
  <c r="AR243" i="112" s="1"/>
  <c r="AS243" i="112" s="1"/>
  <c r="AT243" i="112" s="1"/>
  <c r="AU243" i="112" s="1"/>
  <c r="AV243" i="112" s="1"/>
  <c r="AN238" i="112"/>
  <c r="AR238" i="112" s="1"/>
  <c r="AS238" i="112" s="1"/>
  <c r="AT238" i="112" s="1"/>
  <c r="AU238" i="112" s="1"/>
  <c r="AV238" i="112" s="1"/>
  <c r="AN237" i="112"/>
  <c r="AR237" i="112" s="1"/>
  <c r="AS237" i="112" s="1"/>
  <c r="AT237" i="112" s="1"/>
  <c r="AU237" i="112" s="1"/>
  <c r="AV237" i="112" s="1"/>
  <c r="AN236" i="112"/>
  <c r="AR236" i="112" s="1"/>
  <c r="AS236" i="112" s="1"/>
  <c r="AT236" i="112" s="1"/>
  <c r="AU236" i="112" s="1"/>
  <c r="AV236" i="112" s="1"/>
  <c r="AN235" i="112"/>
  <c r="AR235" i="112" s="1"/>
  <c r="AS235" i="112" s="1"/>
  <c r="AT235" i="112" s="1"/>
  <c r="AU235" i="112" s="1"/>
  <c r="AV235" i="112" s="1"/>
  <c r="AN234" i="112"/>
  <c r="AR234" i="112" s="1"/>
  <c r="AS234" i="112" s="1"/>
  <c r="AT234" i="112" s="1"/>
  <c r="AU234" i="112" s="1"/>
  <c r="AV234" i="112" s="1"/>
  <c r="AN229" i="112"/>
  <c r="AR229" i="112" s="1"/>
  <c r="AS229" i="112" s="1"/>
  <c r="AT229" i="112" s="1"/>
  <c r="AU229" i="112" s="1"/>
  <c r="AV229" i="112" s="1"/>
  <c r="AN227" i="112"/>
  <c r="AR227" i="112" s="1"/>
  <c r="AS227" i="112" s="1"/>
  <c r="AT227" i="112" s="1"/>
  <c r="AU227" i="112" s="1"/>
  <c r="AV227" i="112" s="1"/>
  <c r="AN225" i="112"/>
  <c r="AR225" i="112" s="1"/>
  <c r="AS225" i="112" s="1"/>
  <c r="AT225" i="112" s="1"/>
  <c r="AU225" i="112" s="1"/>
  <c r="AV225" i="112" s="1"/>
  <c r="AN224" i="112"/>
  <c r="AR224" i="112" s="1"/>
  <c r="AS224" i="112" s="1"/>
  <c r="AT224" i="112" s="1"/>
  <c r="AU224" i="112" s="1"/>
  <c r="AV224" i="112" s="1"/>
  <c r="AN219" i="112"/>
  <c r="AR219" i="112" s="1"/>
  <c r="AS219" i="112" s="1"/>
  <c r="AT219" i="112" s="1"/>
  <c r="AU219" i="112" s="1"/>
  <c r="AV219" i="112" s="1"/>
  <c r="AN218" i="112"/>
  <c r="AR218" i="112" s="1"/>
  <c r="AS218" i="112" s="1"/>
  <c r="AT218" i="112" s="1"/>
  <c r="AU218" i="112" s="1"/>
  <c r="AV218" i="112" s="1"/>
  <c r="AN217" i="112"/>
  <c r="AR217" i="112" s="1"/>
  <c r="AS217" i="112" s="1"/>
  <c r="AT217" i="112" s="1"/>
  <c r="AU217" i="112" s="1"/>
  <c r="AV217" i="112" s="1"/>
  <c r="AN215" i="112"/>
  <c r="AR215" i="112" s="1"/>
  <c r="AS215" i="112" s="1"/>
  <c r="AT215" i="112" s="1"/>
  <c r="AU215" i="112" s="1"/>
  <c r="AV215" i="112" s="1"/>
  <c r="AJ215" i="112"/>
  <c r="AN212" i="112"/>
  <c r="AR212" i="112" s="1"/>
  <c r="AS212" i="112" s="1"/>
  <c r="AT212" i="112" s="1"/>
  <c r="AU212" i="112" s="1"/>
  <c r="AV212" i="112" s="1"/>
  <c r="AN207" i="112"/>
  <c r="AR207" i="112" s="1"/>
  <c r="AS207" i="112" s="1"/>
  <c r="AT207" i="112" s="1"/>
  <c r="AU207" i="112" s="1"/>
  <c r="AV207" i="112" s="1"/>
  <c r="AN206" i="112"/>
  <c r="AR206" i="112" s="1"/>
  <c r="AS206" i="112" s="1"/>
  <c r="AT206" i="112" s="1"/>
  <c r="AU206" i="112" s="1"/>
  <c r="AV206" i="112" s="1"/>
  <c r="AN197" i="112"/>
  <c r="AR197" i="112" s="1"/>
  <c r="AS197" i="112" s="1"/>
  <c r="AT197" i="112" s="1"/>
  <c r="AU197" i="112" s="1"/>
  <c r="AV197" i="112" s="1"/>
  <c r="AN196" i="112"/>
  <c r="AR196" i="112" s="1"/>
  <c r="AS196" i="112" s="1"/>
  <c r="AT196" i="112" s="1"/>
  <c r="AU196" i="112" s="1"/>
  <c r="AV196" i="112" s="1"/>
  <c r="AN195" i="112"/>
  <c r="AR195" i="112" s="1"/>
  <c r="AS195" i="112" s="1"/>
  <c r="AT195" i="112" s="1"/>
  <c r="AU195" i="112" s="1"/>
  <c r="AV195" i="112" s="1"/>
  <c r="AN194" i="112"/>
  <c r="AR194" i="112" s="1"/>
  <c r="AS194" i="112" s="1"/>
  <c r="AT194" i="112" s="1"/>
  <c r="AU194" i="112" s="1"/>
  <c r="AV194" i="112" s="1"/>
  <c r="AN188" i="112"/>
  <c r="AR188" i="112" s="1"/>
  <c r="AS188" i="112" s="1"/>
  <c r="AT188" i="112" s="1"/>
  <c r="AU188" i="112" s="1"/>
  <c r="AV188" i="112" s="1"/>
  <c r="AN186" i="112"/>
  <c r="AR186" i="112" s="1"/>
  <c r="AS186" i="112" s="1"/>
  <c r="AT186" i="112" s="1"/>
  <c r="AU186" i="112" s="1"/>
  <c r="AV186" i="112" s="1"/>
  <c r="AN185" i="112"/>
  <c r="AR185" i="112" s="1"/>
  <c r="AS185" i="112" s="1"/>
  <c r="AT185" i="112" s="1"/>
  <c r="AU185" i="112" s="1"/>
  <c r="AV185" i="112" s="1"/>
  <c r="AJ185" i="112"/>
  <c r="AN184" i="112"/>
  <c r="AR184" i="112" s="1"/>
  <c r="AS184" i="112" s="1"/>
  <c r="AT184" i="112" s="1"/>
  <c r="AU184" i="112" s="1"/>
  <c r="AV184" i="112" s="1"/>
  <c r="AN183" i="112"/>
  <c r="AR183" i="112" s="1"/>
  <c r="AS183" i="112" s="1"/>
  <c r="AT183" i="112" s="1"/>
  <c r="AU183" i="112" s="1"/>
  <c r="AV183" i="112" s="1"/>
  <c r="AJ183" i="112"/>
  <c r="AN176" i="112"/>
  <c r="AR176" i="112" s="1"/>
  <c r="AS176" i="112" s="1"/>
  <c r="AT176" i="112" s="1"/>
  <c r="AU176" i="112" s="1"/>
  <c r="AV176" i="112" s="1"/>
  <c r="AN161" i="112"/>
  <c r="AR161" i="112" s="1"/>
  <c r="AS161" i="112" s="1"/>
  <c r="AT161" i="112" s="1"/>
  <c r="AU161" i="112" s="1"/>
  <c r="AV161" i="112" s="1"/>
  <c r="AN160" i="112"/>
  <c r="AR160" i="112" s="1"/>
  <c r="AS160" i="112" s="1"/>
  <c r="AT160" i="112" s="1"/>
  <c r="AU160" i="112" s="1"/>
  <c r="AV160" i="112" s="1"/>
  <c r="AN159" i="112"/>
  <c r="AR159" i="112" s="1"/>
  <c r="AS159" i="112" s="1"/>
  <c r="AT159" i="112" s="1"/>
  <c r="AU159" i="112" s="1"/>
  <c r="AV159" i="112" s="1"/>
  <c r="AN158" i="112"/>
  <c r="AR158" i="112" s="1"/>
  <c r="AS158" i="112" s="1"/>
  <c r="AT158" i="112" s="1"/>
  <c r="AU158" i="112" s="1"/>
  <c r="AV158" i="112" s="1"/>
  <c r="AN157" i="112"/>
  <c r="AR157" i="112" s="1"/>
  <c r="AS157" i="112" s="1"/>
  <c r="AT157" i="112" s="1"/>
  <c r="AU157" i="112" s="1"/>
  <c r="AV157" i="112" s="1"/>
  <c r="AN156" i="112"/>
  <c r="AR156" i="112" s="1"/>
  <c r="AS156" i="112" s="1"/>
  <c r="AT156" i="112" s="1"/>
  <c r="AU156" i="112" s="1"/>
  <c r="AV156" i="112" s="1"/>
  <c r="AN155" i="112"/>
  <c r="AR155" i="112" s="1"/>
  <c r="AS155" i="112" s="1"/>
  <c r="AT155" i="112" s="1"/>
  <c r="AU155" i="112" s="1"/>
  <c r="AV155" i="112" s="1"/>
  <c r="AJ155" i="112"/>
  <c r="AN154" i="112"/>
  <c r="AR154" i="112" s="1"/>
  <c r="AS154" i="112" s="1"/>
  <c r="AT154" i="112" s="1"/>
  <c r="AU154" i="112" s="1"/>
  <c r="AV154" i="112" s="1"/>
  <c r="AJ154" i="112"/>
  <c r="AN151" i="112"/>
  <c r="AR151" i="112" s="1"/>
  <c r="AS151" i="112" s="1"/>
  <c r="AT151" i="112" s="1"/>
  <c r="AU151" i="112" s="1"/>
  <c r="AV151" i="112" s="1"/>
  <c r="AN149" i="112"/>
  <c r="AR149" i="112" s="1"/>
  <c r="AS149" i="112" s="1"/>
  <c r="AT149" i="112" s="1"/>
  <c r="AU149" i="112" s="1"/>
  <c r="AV149" i="112" s="1"/>
  <c r="AN147" i="112"/>
  <c r="AR147" i="112" s="1"/>
  <c r="AS147" i="112" s="1"/>
  <c r="AT147" i="112" s="1"/>
  <c r="AU147" i="112" s="1"/>
  <c r="AV147" i="112" s="1"/>
  <c r="AN145" i="112"/>
  <c r="AR145" i="112" s="1"/>
  <c r="AS145" i="112" s="1"/>
  <c r="AT145" i="112" s="1"/>
  <c r="AU145" i="112" s="1"/>
  <c r="AV145" i="112" s="1"/>
  <c r="AN144" i="112"/>
  <c r="AR144" i="112" s="1"/>
  <c r="AS144" i="112" s="1"/>
  <c r="AT144" i="112" s="1"/>
  <c r="AU144" i="112" s="1"/>
  <c r="AV144" i="112" s="1"/>
  <c r="AN143" i="112"/>
  <c r="AR143" i="112" s="1"/>
  <c r="AS143" i="112" s="1"/>
  <c r="AT143" i="112" s="1"/>
  <c r="AU143" i="112" s="1"/>
  <c r="AV143" i="112" s="1"/>
  <c r="AN142" i="112"/>
  <c r="AR142" i="112" s="1"/>
  <c r="AS142" i="112" s="1"/>
  <c r="AT142" i="112" s="1"/>
  <c r="AU142" i="112" s="1"/>
  <c r="AV142" i="112" s="1"/>
  <c r="AN141" i="112"/>
  <c r="AR141" i="112" s="1"/>
  <c r="AS141" i="112" s="1"/>
  <c r="AT141" i="112" s="1"/>
  <c r="AU141" i="112" s="1"/>
  <c r="AV141" i="112" s="1"/>
  <c r="AN140" i="112"/>
  <c r="AR140" i="112" s="1"/>
  <c r="AS140" i="112" s="1"/>
  <c r="AT140" i="112" s="1"/>
  <c r="AU140" i="112" s="1"/>
  <c r="AV140" i="112" s="1"/>
  <c r="AN139" i="112"/>
  <c r="AR139" i="112" s="1"/>
  <c r="AS139" i="112" s="1"/>
  <c r="AT139" i="112" s="1"/>
  <c r="AU139" i="112" s="1"/>
  <c r="AV139" i="112" s="1"/>
  <c r="AN138" i="112"/>
  <c r="AR138" i="112" s="1"/>
  <c r="AS138" i="112" s="1"/>
  <c r="AT138" i="112" s="1"/>
  <c r="AU138" i="112" s="1"/>
  <c r="AV138" i="112" s="1"/>
  <c r="AJ138" i="112"/>
  <c r="AN137" i="112"/>
  <c r="AR137" i="112" s="1"/>
  <c r="AS137" i="112" s="1"/>
  <c r="AT137" i="112" s="1"/>
  <c r="AU137" i="112" s="1"/>
  <c r="AV137" i="112" s="1"/>
  <c r="AN136" i="112"/>
  <c r="AR136" i="112" s="1"/>
  <c r="AS136" i="112" s="1"/>
  <c r="AT136" i="112" s="1"/>
  <c r="AU136" i="112" s="1"/>
  <c r="AV136" i="112" s="1"/>
  <c r="AN135" i="112"/>
  <c r="AR135" i="112" s="1"/>
  <c r="AS135" i="112" s="1"/>
  <c r="AT135" i="112" s="1"/>
  <c r="AU135" i="112" s="1"/>
  <c r="AV135" i="112" s="1"/>
  <c r="AN134" i="112"/>
  <c r="AR134" i="112" s="1"/>
  <c r="AS134" i="112" s="1"/>
  <c r="AT134" i="112" s="1"/>
  <c r="AU134" i="112" s="1"/>
  <c r="AV134" i="112" s="1"/>
  <c r="AN133" i="112"/>
  <c r="AR133" i="112" s="1"/>
  <c r="AS133" i="112" s="1"/>
  <c r="AT133" i="112" s="1"/>
  <c r="AU133" i="112" s="1"/>
  <c r="AV133" i="112" s="1"/>
  <c r="AN132" i="112"/>
  <c r="AR132" i="112" s="1"/>
  <c r="AS132" i="112" s="1"/>
  <c r="AT132" i="112" s="1"/>
  <c r="AU132" i="112" s="1"/>
  <c r="AV132" i="112" s="1"/>
  <c r="AN131" i="112"/>
  <c r="AR131" i="112" s="1"/>
  <c r="AS131" i="112" s="1"/>
  <c r="AT131" i="112" s="1"/>
  <c r="AU131" i="112" s="1"/>
  <c r="AV131" i="112" s="1"/>
  <c r="AN130" i="112"/>
  <c r="AR130" i="112" s="1"/>
  <c r="AS130" i="112" s="1"/>
  <c r="AT130" i="112" s="1"/>
  <c r="AU130" i="112" s="1"/>
  <c r="AV130" i="112" s="1"/>
  <c r="AN129" i="112"/>
  <c r="AR129" i="112" s="1"/>
  <c r="AS129" i="112" s="1"/>
  <c r="AT129" i="112" s="1"/>
  <c r="AU129" i="112" s="1"/>
  <c r="AV129" i="112" s="1"/>
  <c r="AN128" i="112"/>
  <c r="AR128" i="112" s="1"/>
  <c r="AS128" i="112" s="1"/>
  <c r="AT128" i="112" s="1"/>
  <c r="AU128" i="112" s="1"/>
  <c r="AV128" i="112" s="1"/>
  <c r="AN127" i="112"/>
  <c r="AR127" i="112" s="1"/>
  <c r="AS127" i="112" s="1"/>
  <c r="AT127" i="112" s="1"/>
  <c r="AU127" i="112" s="1"/>
  <c r="AV127" i="112" s="1"/>
  <c r="AN126" i="112"/>
  <c r="AR126" i="112" s="1"/>
  <c r="AS126" i="112" s="1"/>
  <c r="AT126" i="112" s="1"/>
  <c r="AU126" i="112" s="1"/>
  <c r="AV126" i="112" s="1"/>
  <c r="AN125" i="112"/>
  <c r="AR125" i="112" s="1"/>
  <c r="AS125" i="112" s="1"/>
  <c r="AT125" i="112" s="1"/>
  <c r="AU125" i="112" s="1"/>
  <c r="AV125" i="112" s="1"/>
  <c r="AN124" i="112"/>
  <c r="AR124" i="112" s="1"/>
  <c r="AS124" i="112" s="1"/>
  <c r="AT124" i="112" s="1"/>
  <c r="AU124" i="112" s="1"/>
  <c r="AV124" i="112" s="1"/>
  <c r="AN123" i="112"/>
  <c r="AR123" i="112" s="1"/>
  <c r="AS123" i="112" s="1"/>
  <c r="AT123" i="112" s="1"/>
  <c r="AU123" i="112" s="1"/>
  <c r="AV123" i="112" s="1"/>
  <c r="AN122" i="112"/>
  <c r="AR122" i="112" s="1"/>
  <c r="AS122" i="112" s="1"/>
  <c r="AT122" i="112" s="1"/>
  <c r="AU122" i="112" s="1"/>
  <c r="AV122" i="112" s="1"/>
  <c r="AN121" i="112"/>
  <c r="AR121" i="112" s="1"/>
  <c r="AS121" i="112" s="1"/>
  <c r="AT121" i="112" s="1"/>
  <c r="AU121" i="112" s="1"/>
  <c r="AV121" i="112" s="1"/>
  <c r="AN120" i="112"/>
  <c r="AR120" i="112" s="1"/>
  <c r="AS120" i="112" s="1"/>
  <c r="AT120" i="112" s="1"/>
  <c r="AU120" i="112" s="1"/>
  <c r="AV120" i="112" s="1"/>
  <c r="AN117" i="112"/>
  <c r="AR117" i="112" s="1"/>
  <c r="AS117" i="112" s="1"/>
  <c r="AT117" i="112" s="1"/>
  <c r="AU117" i="112" s="1"/>
  <c r="AV117" i="112" s="1"/>
  <c r="AN116" i="112"/>
  <c r="AR116" i="112" s="1"/>
  <c r="AS116" i="112" s="1"/>
  <c r="AT116" i="112" s="1"/>
  <c r="AU116" i="112" s="1"/>
  <c r="AV116" i="112" s="1"/>
  <c r="AN115" i="112"/>
  <c r="AR115" i="112" s="1"/>
  <c r="AS115" i="112" s="1"/>
  <c r="AT115" i="112" s="1"/>
  <c r="AU115" i="112" s="1"/>
  <c r="AV115" i="112" s="1"/>
  <c r="AN114" i="112"/>
  <c r="AR114" i="112" s="1"/>
  <c r="AS114" i="112" s="1"/>
  <c r="AT114" i="112" s="1"/>
  <c r="AU114" i="112" s="1"/>
  <c r="AV114" i="112" s="1"/>
  <c r="AN113" i="112"/>
  <c r="AR113" i="112" s="1"/>
  <c r="AS113" i="112" s="1"/>
  <c r="AT113" i="112" s="1"/>
  <c r="AU113" i="112" s="1"/>
  <c r="AV113" i="112" s="1"/>
  <c r="AN112" i="112"/>
  <c r="AR112" i="112" s="1"/>
  <c r="AS112" i="112" s="1"/>
  <c r="AT112" i="112" s="1"/>
  <c r="AU112" i="112" s="1"/>
  <c r="AV112" i="112" s="1"/>
  <c r="AN111" i="112"/>
  <c r="AR111" i="112" s="1"/>
  <c r="AS111" i="112" s="1"/>
  <c r="AT111" i="112" s="1"/>
  <c r="AU111" i="112" s="1"/>
  <c r="AV111" i="112" s="1"/>
  <c r="AN110" i="112"/>
  <c r="AR110" i="112" s="1"/>
  <c r="AS110" i="112" s="1"/>
  <c r="AT110" i="112" s="1"/>
  <c r="AU110" i="112" s="1"/>
  <c r="AV110" i="112" s="1"/>
  <c r="AN109" i="112"/>
  <c r="AR109" i="112" s="1"/>
  <c r="AS109" i="112" s="1"/>
  <c r="AT109" i="112" s="1"/>
  <c r="AU109" i="112" s="1"/>
  <c r="AV109" i="112" s="1"/>
  <c r="AN108" i="112"/>
  <c r="AR108" i="112" s="1"/>
  <c r="AS108" i="112" s="1"/>
  <c r="AT108" i="112" s="1"/>
  <c r="AU108" i="112" s="1"/>
  <c r="AV108" i="112" s="1"/>
  <c r="AN107" i="112"/>
  <c r="AR107" i="112" s="1"/>
  <c r="AS107" i="112" s="1"/>
  <c r="AT107" i="112" s="1"/>
  <c r="AU107" i="112" s="1"/>
  <c r="AV107" i="112" s="1"/>
  <c r="AN97" i="112"/>
  <c r="AR97" i="112" s="1"/>
  <c r="AS97" i="112" s="1"/>
  <c r="AT97" i="112" s="1"/>
  <c r="AU97" i="112" s="1"/>
  <c r="AV97" i="112" s="1"/>
  <c r="AN95" i="112"/>
  <c r="AR95" i="112" s="1"/>
  <c r="AS95" i="112" s="1"/>
  <c r="AT95" i="112" s="1"/>
  <c r="AU95" i="112" s="1"/>
  <c r="AV95" i="112" s="1"/>
  <c r="AN94" i="112"/>
  <c r="AR94" i="112" s="1"/>
  <c r="AS94" i="112" s="1"/>
  <c r="AT94" i="112" s="1"/>
  <c r="AU94" i="112" s="1"/>
  <c r="AV94" i="112" s="1"/>
  <c r="AN93" i="112"/>
  <c r="AR93" i="112" s="1"/>
  <c r="AS93" i="112" s="1"/>
  <c r="AT93" i="112" s="1"/>
  <c r="AU93" i="112" s="1"/>
  <c r="AV93" i="112" s="1"/>
  <c r="AN92" i="112"/>
  <c r="AR92" i="112" s="1"/>
  <c r="AS92" i="112" s="1"/>
  <c r="AT92" i="112" s="1"/>
  <c r="AU92" i="112" s="1"/>
  <c r="AV92" i="112" s="1"/>
  <c r="AN91" i="112"/>
  <c r="AR91" i="112" s="1"/>
  <c r="AS91" i="112" s="1"/>
  <c r="AT91" i="112" s="1"/>
  <c r="AU91" i="112" s="1"/>
  <c r="AV91" i="112" s="1"/>
  <c r="AN90" i="112"/>
  <c r="AR90" i="112" s="1"/>
  <c r="AS90" i="112" s="1"/>
  <c r="AT90" i="112" s="1"/>
  <c r="AU90" i="112" s="1"/>
  <c r="AV90" i="112" s="1"/>
  <c r="AN89" i="112"/>
  <c r="AR89" i="112" s="1"/>
  <c r="AS89" i="112" s="1"/>
  <c r="AT89" i="112" s="1"/>
  <c r="AU89" i="112" s="1"/>
  <c r="AV89" i="112" s="1"/>
  <c r="AN88" i="112"/>
  <c r="AR88" i="112" s="1"/>
  <c r="AS88" i="112" s="1"/>
  <c r="AT88" i="112" s="1"/>
  <c r="AU88" i="112" s="1"/>
  <c r="AV88" i="112" s="1"/>
  <c r="AN87" i="112"/>
  <c r="AR87" i="112" s="1"/>
  <c r="AS87" i="112" s="1"/>
  <c r="AT87" i="112" s="1"/>
  <c r="AU87" i="112" s="1"/>
  <c r="AV87" i="112" s="1"/>
  <c r="AN86" i="112"/>
  <c r="AR86" i="112" s="1"/>
  <c r="AS86" i="112" s="1"/>
  <c r="AT86" i="112" s="1"/>
  <c r="AU86" i="112" s="1"/>
  <c r="AV86" i="112" s="1"/>
  <c r="AN85" i="112"/>
  <c r="AR85" i="112" s="1"/>
  <c r="AS85" i="112" s="1"/>
  <c r="AT85" i="112" s="1"/>
  <c r="AU85" i="112" s="1"/>
  <c r="AV85" i="112" s="1"/>
  <c r="AN84" i="112"/>
  <c r="AR84" i="112" s="1"/>
  <c r="AS84" i="112" s="1"/>
  <c r="AT84" i="112" s="1"/>
  <c r="AU84" i="112" s="1"/>
  <c r="AV84" i="112" s="1"/>
  <c r="AN83" i="112"/>
  <c r="AR83" i="112" s="1"/>
  <c r="AS83" i="112" s="1"/>
  <c r="AT83" i="112" s="1"/>
  <c r="AU83" i="112" s="1"/>
  <c r="AV83" i="112" s="1"/>
  <c r="AN82" i="112"/>
  <c r="AR82" i="112" s="1"/>
  <c r="AS82" i="112" s="1"/>
  <c r="AT82" i="112" s="1"/>
  <c r="AU82" i="112" s="1"/>
  <c r="AV82" i="112" s="1"/>
  <c r="AN81" i="112"/>
  <c r="AR81" i="112" s="1"/>
  <c r="AS81" i="112" s="1"/>
  <c r="AT81" i="112" s="1"/>
  <c r="AU81" i="112" s="1"/>
  <c r="AV81" i="112" s="1"/>
  <c r="AJ81" i="112"/>
  <c r="AN80" i="112"/>
  <c r="AR80" i="112" s="1"/>
  <c r="AS80" i="112" s="1"/>
  <c r="AT80" i="112" s="1"/>
  <c r="AU80" i="112" s="1"/>
  <c r="AV80" i="112" s="1"/>
  <c r="AN79" i="112"/>
  <c r="AR79" i="112" s="1"/>
  <c r="AS79" i="112" s="1"/>
  <c r="AT79" i="112" s="1"/>
  <c r="AU79" i="112" s="1"/>
  <c r="AV79" i="112" s="1"/>
  <c r="AN78" i="112"/>
  <c r="AR78" i="112" s="1"/>
  <c r="AS78" i="112" s="1"/>
  <c r="AT78" i="112" s="1"/>
  <c r="AU78" i="112" s="1"/>
  <c r="AV78" i="112" s="1"/>
  <c r="AN77" i="112"/>
  <c r="AR77" i="112" s="1"/>
  <c r="AS77" i="112" s="1"/>
  <c r="AT77" i="112" s="1"/>
  <c r="AU77" i="112" s="1"/>
  <c r="AV77" i="112" s="1"/>
  <c r="AN76" i="112"/>
  <c r="AR76" i="112" s="1"/>
  <c r="AS76" i="112" s="1"/>
  <c r="AT76" i="112" s="1"/>
  <c r="AU76" i="112" s="1"/>
  <c r="AV76" i="112" s="1"/>
  <c r="AN75" i="112"/>
  <c r="AR75" i="112" s="1"/>
  <c r="AS75" i="112" s="1"/>
  <c r="AT75" i="112" s="1"/>
  <c r="AU75" i="112" s="1"/>
  <c r="AV75" i="112" s="1"/>
  <c r="AN74" i="112"/>
  <c r="AR74" i="112" s="1"/>
  <c r="AS74" i="112" s="1"/>
  <c r="AT74" i="112" s="1"/>
  <c r="AU74" i="112" s="1"/>
  <c r="AV74" i="112" s="1"/>
  <c r="AN73" i="112"/>
  <c r="AR73" i="112" s="1"/>
  <c r="AS73" i="112" s="1"/>
  <c r="AT73" i="112" s="1"/>
  <c r="AU73" i="112" s="1"/>
  <c r="AV73" i="112" s="1"/>
  <c r="AN72" i="112"/>
  <c r="AR72" i="112" s="1"/>
  <c r="AS72" i="112" s="1"/>
  <c r="AT72" i="112" s="1"/>
  <c r="AU72" i="112" s="1"/>
  <c r="AV72" i="112" s="1"/>
  <c r="AN71" i="112"/>
  <c r="AR71" i="112" s="1"/>
  <c r="AS71" i="112" s="1"/>
  <c r="AT71" i="112" s="1"/>
  <c r="AU71" i="112" s="1"/>
  <c r="AV71" i="112" s="1"/>
  <c r="AN70" i="112"/>
  <c r="AR70" i="112" s="1"/>
  <c r="AS70" i="112" s="1"/>
  <c r="AT70" i="112" s="1"/>
  <c r="AU70" i="112" s="1"/>
  <c r="AV70" i="112" s="1"/>
  <c r="AN69" i="112"/>
  <c r="AR69" i="112" s="1"/>
  <c r="AS69" i="112" s="1"/>
  <c r="AT69" i="112" s="1"/>
  <c r="AU69" i="112" s="1"/>
  <c r="AV69" i="112" s="1"/>
  <c r="AN68" i="112"/>
  <c r="AR68" i="112" s="1"/>
  <c r="AS68" i="112" s="1"/>
  <c r="AT68" i="112" s="1"/>
  <c r="AU68" i="112" s="1"/>
  <c r="AV68" i="112" s="1"/>
  <c r="AN67" i="112"/>
  <c r="AR67" i="112" s="1"/>
  <c r="AS67" i="112" s="1"/>
  <c r="AT67" i="112" s="1"/>
  <c r="AU67" i="112" s="1"/>
  <c r="AV67" i="112" s="1"/>
  <c r="AJ67" i="112"/>
  <c r="AN66" i="112"/>
  <c r="AR66" i="112" s="1"/>
  <c r="AS66" i="112" s="1"/>
  <c r="AT66" i="112" s="1"/>
  <c r="AU66" i="112" s="1"/>
  <c r="AV66" i="112" s="1"/>
  <c r="AN65" i="112"/>
  <c r="AR65" i="112" s="1"/>
  <c r="AS65" i="112" s="1"/>
  <c r="AT65" i="112" s="1"/>
  <c r="AU65" i="112" s="1"/>
  <c r="AV65" i="112" s="1"/>
  <c r="AN63" i="112"/>
  <c r="AR63" i="112" s="1"/>
  <c r="AS63" i="112" s="1"/>
  <c r="AT63" i="112" s="1"/>
  <c r="AU63" i="112" s="1"/>
  <c r="AV63" i="112" s="1"/>
  <c r="AN62" i="112"/>
  <c r="AR62" i="112" s="1"/>
  <c r="AS62" i="112" s="1"/>
  <c r="AT62" i="112" s="1"/>
  <c r="AU62" i="112" s="1"/>
  <c r="AV62" i="112" s="1"/>
  <c r="AN61" i="112"/>
  <c r="AR61" i="112" s="1"/>
  <c r="AS61" i="112" s="1"/>
  <c r="AT61" i="112" s="1"/>
  <c r="AU61" i="112" s="1"/>
  <c r="AV61" i="112" s="1"/>
  <c r="AN60" i="112"/>
  <c r="AR60" i="112" s="1"/>
  <c r="AS60" i="112" s="1"/>
  <c r="AT60" i="112" s="1"/>
  <c r="AU60" i="112" s="1"/>
  <c r="AV60" i="112" s="1"/>
  <c r="AN59" i="112"/>
  <c r="AR59" i="112" s="1"/>
  <c r="AS59" i="112" s="1"/>
  <c r="AT59" i="112" s="1"/>
  <c r="AU59" i="112" s="1"/>
  <c r="AV59" i="112" s="1"/>
  <c r="AN58" i="112"/>
  <c r="AR58" i="112" s="1"/>
  <c r="AS58" i="112" s="1"/>
  <c r="AT58" i="112" s="1"/>
  <c r="AU58" i="112" s="1"/>
  <c r="AV58" i="112" s="1"/>
  <c r="AN57" i="112"/>
  <c r="AR57" i="112" s="1"/>
  <c r="AS57" i="112" s="1"/>
  <c r="AT57" i="112" s="1"/>
  <c r="AU57" i="112" s="1"/>
  <c r="AV57" i="112" s="1"/>
  <c r="AN56" i="112"/>
  <c r="AR56" i="112" s="1"/>
  <c r="AS56" i="112" s="1"/>
  <c r="AT56" i="112" s="1"/>
  <c r="AU56" i="112" s="1"/>
  <c r="AV56" i="112" s="1"/>
  <c r="AN55" i="112"/>
  <c r="AR55" i="112" s="1"/>
  <c r="AS55" i="112" s="1"/>
  <c r="AT55" i="112" s="1"/>
  <c r="AU55" i="112" s="1"/>
  <c r="AV55" i="112" s="1"/>
  <c r="AN54" i="112"/>
  <c r="AR54" i="112" s="1"/>
  <c r="AS54" i="112" s="1"/>
  <c r="AT54" i="112" s="1"/>
  <c r="AU54" i="112" s="1"/>
  <c r="AV54" i="112" s="1"/>
  <c r="AN53" i="112"/>
  <c r="AR53" i="112" s="1"/>
  <c r="AS53" i="112" s="1"/>
  <c r="AT53" i="112" s="1"/>
  <c r="AU53" i="112" s="1"/>
  <c r="AV53" i="112" s="1"/>
  <c r="AN52" i="112"/>
  <c r="AR52" i="112" s="1"/>
  <c r="AS52" i="112" s="1"/>
  <c r="AT52" i="112" s="1"/>
  <c r="AU52" i="112" s="1"/>
  <c r="AV52" i="112" s="1"/>
  <c r="AN50" i="112"/>
  <c r="AR50" i="112" s="1"/>
  <c r="AS50" i="112" s="1"/>
  <c r="AT50" i="112" s="1"/>
  <c r="AU50" i="112" s="1"/>
  <c r="AV50" i="112" s="1"/>
  <c r="AN49" i="112"/>
  <c r="AR49" i="112" s="1"/>
  <c r="AS49" i="112" s="1"/>
  <c r="AT49" i="112" s="1"/>
  <c r="AU49" i="112" s="1"/>
  <c r="AV49" i="112" s="1"/>
  <c r="AN48" i="112"/>
  <c r="AR48" i="112" s="1"/>
  <c r="AS48" i="112" s="1"/>
  <c r="AT48" i="112" s="1"/>
  <c r="AU48" i="112" s="1"/>
  <c r="AV48" i="112" s="1"/>
  <c r="AN45" i="112"/>
  <c r="AR45" i="112" s="1"/>
  <c r="AS45" i="112" s="1"/>
  <c r="AT45" i="112" s="1"/>
  <c r="AU45" i="112" s="1"/>
  <c r="AV45" i="112" s="1"/>
  <c r="AN44" i="112"/>
  <c r="AR44" i="112" s="1"/>
  <c r="AS44" i="112" s="1"/>
  <c r="AT44" i="112" s="1"/>
  <c r="AU44" i="112" s="1"/>
  <c r="AV44" i="112" s="1"/>
  <c r="AN43" i="112"/>
  <c r="AR43" i="112" s="1"/>
  <c r="AS43" i="112" s="1"/>
  <c r="AT43" i="112" s="1"/>
  <c r="AU43" i="112" s="1"/>
  <c r="AV43" i="112" s="1"/>
  <c r="AN42" i="112"/>
  <c r="AR42" i="112" s="1"/>
  <c r="AS42" i="112" s="1"/>
  <c r="AT42" i="112" s="1"/>
  <c r="AU42" i="112" s="1"/>
  <c r="AV42" i="112" s="1"/>
  <c r="AN41" i="112"/>
  <c r="AR41" i="112" s="1"/>
  <c r="AS41" i="112" s="1"/>
  <c r="AT41" i="112" s="1"/>
  <c r="AU41" i="112" s="1"/>
  <c r="AV41" i="112" s="1"/>
  <c r="AN40" i="112"/>
  <c r="AR40" i="112" s="1"/>
  <c r="AS40" i="112" s="1"/>
  <c r="AT40" i="112" s="1"/>
  <c r="AU40" i="112" s="1"/>
  <c r="AV40" i="112" s="1"/>
  <c r="AN39" i="112"/>
  <c r="AR39" i="112" s="1"/>
  <c r="AS39" i="112" s="1"/>
  <c r="AT39" i="112" s="1"/>
  <c r="AU39" i="112" s="1"/>
  <c r="AV39" i="112" s="1"/>
  <c r="AN38" i="112"/>
  <c r="AR38" i="112" s="1"/>
  <c r="AS38" i="112" s="1"/>
  <c r="AT38" i="112" s="1"/>
  <c r="AU38" i="112" s="1"/>
  <c r="AV38" i="112" s="1"/>
  <c r="AN35" i="112"/>
  <c r="AR35" i="112" s="1"/>
  <c r="AS35" i="112" s="1"/>
  <c r="AT35" i="112" s="1"/>
  <c r="AU35" i="112" s="1"/>
  <c r="AV35" i="112" s="1"/>
  <c r="AN34" i="112"/>
  <c r="AR34" i="112" s="1"/>
  <c r="AS34" i="112" s="1"/>
  <c r="AT34" i="112" s="1"/>
  <c r="AU34" i="112" s="1"/>
  <c r="AV34" i="112" s="1"/>
  <c r="AN33" i="112"/>
  <c r="AR33" i="112" s="1"/>
  <c r="AS33" i="112" s="1"/>
  <c r="AT33" i="112" s="1"/>
  <c r="AU33" i="112" s="1"/>
  <c r="AV33" i="112" s="1"/>
  <c r="AN32" i="112"/>
  <c r="AR32" i="112" s="1"/>
  <c r="AS32" i="112" s="1"/>
  <c r="AT32" i="112" s="1"/>
  <c r="AU32" i="112" s="1"/>
  <c r="AV32" i="112" s="1"/>
  <c r="AN31" i="112"/>
  <c r="AR31" i="112" s="1"/>
  <c r="AS31" i="112" s="1"/>
  <c r="AT31" i="112" s="1"/>
  <c r="AU31" i="112" s="1"/>
  <c r="AV31" i="112" s="1"/>
  <c r="AN29" i="112"/>
  <c r="AR29" i="112" s="1"/>
  <c r="AS29" i="112" s="1"/>
  <c r="AT29" i="112" s="1"/>
  <c r="AU29" i="112" s="1"/>
  <c r="AV29" i="112" s="1"/>
  <c r="AN28" i="112"/>
  <c r="AR28" i="112" s="1"/>
  <c r="AS28" i="112" s="1"/>
  <c r="AT28" i="112" s="1"/>
  <c r="AU28" i="112" s="1"/>
  <c r="AV28" i="112" s="1"/>
  <c r="AN27" i="112"/>
  <c r="AR27" i="112" s="1"/>
  <c r="AS27" i="112" s="1"/>
  <c r="AT27" i="112" s="1"/>
  <c r="AU27" i="112" s="1"/>
  <c r="AV27" i="112" s="1"/>
  <c r="AN26" i="112"/>
  <c r="AR26" i="112" s="1"/>
  <c r="AS26" i="112" s="1"/>
  <c r="AT26" i="112" s="1"/>
  <c r="AU26" i="112" s="1"/>
  <c r="AV26" i="112" s="1"/>
  <c r="AN22" i="112"/>
  <c r="AR22" i="112" s="1"/>
  <c r="AS22" i="112" s="1"/>
  <c r="AT22" i="112" s="1"/>
  <c r="AU22" i="112" s="1"/>
  <c r="AV22" i="112" s="1"/>
  <c r="AN21" i="112"/>
  <c r="AN20" i="112"/>
  <c r="AR20" i="112" s="1"/>
  <c r="AS20" i="112" s="1"/>
  <c r="AT20" i="112" s="1"/>
  <c r="AU20" i="112" s="1"/>
  <c r="AV20" i="112" s="1"/>
  <c r="AN19" i="112"/>
  <c r="AR19" i="112" s="1"/>
  <c r="AS19" i="112" s="1"/>
  <c r="AT19" i="112" s="1"/>
  <c r="AU19" i="112" s="1"/>
  <c r="AV19" i="112" s="1"/>
  <c r="AN18" i="112"/>
  <c r="AR18" i="112" s="1"/>
  <c r="AS18" i="112" s="1"/>
  <c r="AT18" i="112" s="1"/>
  <c r="AU18" i="112" s="1"/>
  <c r="AV18" i="112" s="1"/>
  <c r="AN17" i="112"/>
  <c r="AR17" i="112" s="1"/>
  <c r="AS17" i="112" s="1"/>
  <c r="AT17" i="112" s="1"/>
  <c r="AU17" i="112" s="1"/>
  <c r="AV17" i="112" s="1"/>
  <c r="AN16" i="112"/>
  <c r="AR16" i="112" s="1"/>
  <c r="AS16" i="112" s="1"/>
  <c r="AT16" i="112" s="1"/>
  <c r="AU16" i="112" s="1"/>
  <c r="AV16" i="112" s="1"/>
  <c r="AN15" i="112"/>
  <c r="AR15" i="112" s="1"/>
  <c r="AS15" i="112" s="1"/>
  <c r="AT15" i="112" s="1"/>
  <c r="AU15" i="112" s="1"/>
  <c r="AV15" i="112" s="1"/>
  <c r="AN14" i="112"/>
  <c r="AR14" i="112" s="1"/>
  <c r="AS14" i="112" s="1"/>
  <c r="AT14" i="112" s="1"/>
  <c r="AU14" i="112" s="1"/>
  <c r="AV14" i="112" s="1"/>
  <c r="AN13" i="112"/>
  <c r="AR13" i="112" s="1"/>
  <c r="AS13" i="112" s="1"/>
  <c r="AT13" i="112" s="1"/>
  <c r="AU13" i="112" s="1"/>
  <c r="AV13" i="112" s="1"/>
  <c r="AN12" i="112"/>
  <c r="AR12" i="112" s="1"/>
  <c r="AS12" i="112" s="1"/>
  <c r="AT12" i="112" s="1"/>
  <c r="AU12" i="112" s="1"/>
  <c r="AV12" i="112" s="1"/>
  <c r="AN11" i="112"/>
  <c r="AR11" i="112" s="1"/>
  <c r="AS11" i="112" s="1"/>
  <c r="AT11" i="112" s="1"/>
  <c r="AU11" i="112" s="1"/>
  <c r="AV11" i="112" s="1"/>
  <c r="AN10" i="112"/>
  <c r="AR10" i="112" s="1"/>
  <c r="AS10" i="112" s="1"/>
  <c r="AT10" i="112" s="1"/>
  <c r="AU10" i="112" s="1"/>
  <c r="AV10" i="112" s="1"/>
  <c r="AN9" i="112"/>
  <c r="AR9" i="112" s="1"/>
  <c r="AS9" i="112" s="1"/>
  <c r="AT9" i="112" s="1"/>
  <c r="AU9" i="112" s="1"/>
  <c r="AV9" i="112" s="1"/>
  <c r="AN7" i="112"/>
  <c r="AR7" i="112" s="1"/>
  <c r="AS7" i="112" s="1"/>
  <c r="AT7" i="112" s="1"/>
  <c r="AU7" i="112" s="1"/>
  <c r="AV7" i="112" s="1"/>
  <c r="AB250" i="96" a="1"/>
  <c r="AB250" i="96" s="1"/>
  <c r="AB249" i="96" a="1"/>
  <c r="AB249" i="96" s="1"/>
  <c r="AB248" i="96" a="1"/>
  <c r="AB248" i="96" s="1"/>
  <c r="AE248" i="96" s="1"/>
  <c r="AH248" i="96" s="1"/>
  <c r="AI248" i="96" s="1"/>
  <c r="AJ248" i="96" s="1"/>
  <c r="AK248" i="96" s="1"/>
  <c r="AL248" i="96" s="1"/>
  <c r="AC247" i="96" a="1"/>
  <c r="AC247" i="96" s="1"/>
  <c r="AC246" i="96" a="1"/>
  <c r="AC246" i="96" s="1"/>
  <c r="AE246" i="96" s="1"/>
  <c r="AH246" i="96" s="1"/>
  <c r="AI246" i="96" s="1"/>
  <c r="AJ246" i="96" s="1"/>
  <c r="AK246" i="96" s="1"/>
  <c r="AL246" i="96" s="1"/>
  <c r="AC245" i="96" a="1"/>
  <c r="AC245" i="96" s="1"/>
  <c r="AB244" i="96" a="1"/>
  <c r="AB244" i="96" s="1"/>
  <c r="AB243" i="96" a="1"/>
  <c r="AB243" i="96" s="1"/>
  <c r="AE243" i="96" s="1"/>
  <c r="AH243" i="96" s="1"/>
  <c r="AI243" i="96" s="1"/>
  <c r="AJ243" i="96" s="1"/>
  <c r="AK243" i="96" s="1"/>
  <c r="AL243" i="96" s="1"/>
  <c r="AC242" i="96" a="1"/>
  <c r="AC242" i="96" s="1"/>
  <c r="AB242" i="96" a="1"/>
  <c r="AB242" i="96" s="1"/>
  <c r="AE242" i="96" s="1"/>
  <c r="AH242" i="96" s="1"/>
  <c r="AI242" i="96" s="1"/>
  <c r="AJ242" i="96" s="1"/>
  <c r="AK242" i="96" s="1"/>
  <c r="AL242" i="96" s="1"/>
  <c r="AC241" i="96" a="1"/>
  <c r="AC241" i="96" s="1"/>
  <c r="AB241" i="96" a="1"/>
  <c r="AB241" i="96" s="1"/>
  <c r="AC240" i="96" a="1"/>
  <c r="AC240" i="96" s="1"/>
  <c r="AB240" i="96" a="1"/>
  <c r="AB240" i="96" s="1"/>
  <c r="AE240" i="96" s="1"/>
  <c r="AH240" i="96" s="1"/>
  <c r="AI240" i="96" s="1"/>
  <c r="AJ240" i="96" s="1"/>
  <c r="AK240" i="96" s="1"/>
  <c r="AL240" i="96" s="1"/>
  <c r="AC239" i="96" a="1"/>
  <c r="AC239" i="96" s="1"/>
  <c r="AB239" i="96" a="1"/>
  <c r="AB239" i="96" s="1"/>
  <c r="AC238" i="96" a="1"/>
  <c r="AC238" i="96" s="1"/>
  <c r="AB238" i="96" a="1"/>
  <c r="AB238" i="96" s="1"/>
  <c r="AE238" i="96" s="1"/>
  <c r="AH238" i="96" s="1"/>
  <c r="AI238" i="96" s="1"/>
  <c r="AJ238" i="96" s="1"/>
  <c r="AK238" i="96" s="1"/>
  <c r="AL238" i="96" s="1"/>
  <c r="AC237" i="96" a="1"/>
  <c r="AC237" i="96" s="1"/>
  <c r="AB237" i="96" a="1"/>
  <c r="AB237" i="96" s="1"/>
  <c r="AE237" i="96" s="1"/>
  <c r="AH237" i="96" s="1"/>
  <c r="AI237" i="96" s="1"/>
  <c r="AJ237" i="96" s="1"/>
  <c r="AK237" i="96" s="1"/>
  <c r="AL237" i="96" s="1"/>
  <c r="AC236" i="96" a="1"/>
  <c r="AC236" i="96" s="1"/>
  <c r="AB236" i="96" a="1"/>
  <c r="AB236" i="96" s="1"/>
  <c r="AE236" i="96" s="1"/>
  <c r="AH236" i="96" s="1"/>
  <c r="AI236" i="96" s="1"/>
  <c r="AJ236" i="96" s="1"/>
  <c r="AK236" i="96" s="1"/>
  <c r="AL236" i="96" s="1"/>
  <c r="AC235" i="96" a="1"/>
  <c r="AC235" i="96" s="1"/>
  <c r="AB235" i="96" a="1"/>
  <c r="AB235" i="96" s="1"/>
  <c r="AE235" i="96" s="1"/>
  <c r="AH235" i="96" s="1"/>
  <c r="AI235" i="96" s="1"/>
  <c r="AJ235" i="96" s="1"/>
  <c r="AK235" i="96" s="1"/>
  <c r="AL235" i="96" s="1"/>
  <c r="AC234" i="96" a="1"/>
  <c r="AC234" i="96" s="1"/>
  <c r="AB234" i="96" a="1"/>
  <c r="AB234" i="96" s="1"/>
  <c r="AE234" i="96" s="1"/>
  <c r="AH234" i="96" s="1"/>
  <c r="AI234" i="96" s="1"/>
  <c r="AJ234" i="96" s="1"/>
  <c r="AK234" i="96" s="1"/>
  <c r="AL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E208" i="96" s="1"/>
  <c r="AH208" i="96" s="1"/>
  <c r="AI208" i="96" s="1"/>
  <c r="AJ208" i="96" s="1"/>
  <c r="AK208" i="96" s="1"/>
  <c r="AL208" i="96" s="1"/>
  <c r="AC207" i="96" a="1"/>
  <c r="AC207" i="96" s="1"/>
  <c r="AB207" i="96" a="1"/>
  <c r="AB207" i="96" s="1"/>
  <c r="AC206" i="96" a="1"/>
  <c r="AC206" i="96" s="1"/>
  <c r="AB206" i="96" a="1"/>
  <c r="AB206" i="96" s="1"/>
  <c r="AE206" i="96" s="1"/>
  <c r="AH206" i="96" s="1"/>
  <c r="AI206" i="96" s="1"/>
  <c r="AJ206" i="96" s="1"/>
  <c r="AK206" i="96" s="1"/>
  <c r="AL206" i="96" s="1"/>
  <c r="AC205" i="96" a="1"/>
  <c r="AC205" i="96" s="1"/>
  <c r="AB205" i="96" a="1"/>
  <c r="AB205" i="96" s="1"/>
  <c r="AC204" i="96" a="1"/>
  <c r="AC204" i="96" s="1"/>
  <c r="AB204" i="96" a="1"/>
  <c r="AB204" i="96" s="1"/>
  <c r="AE204" i="96" s="1"/>
  <c r="AH204" i="96" s="1"/>
  <c r="AI204" i="96" s="1"/>
  <c r="AJ204" i="96" s="1"/>
  <c r="AK204" i="96" s="1"/>
  <c r="AL204" i="96" s="1"/>
  <c r="AC203" i="96" a="1"/>
  <c r="AC203" i="96" s="1"/>
  <c r="AB203" i="96" a="1"/>
  <c r="AB203" i="96" s="1"/>
  <c r="AC201" i="96" a="1"/>
  <c r="AC201" i="96" s="1"/>
  <c r="AB201" i="96" a="1"/>
  <c r="AB201" i="96" s="1"/>
  <c r="AE201" i="96" s="1"/>
  <c r="AH201" i="96" s="1"/>
  <c r="AI201" i="96" s="1"/>
  <c r="AJ201" i="96" s="1"/>
  <c r="AK201" i="96" s="1"/>
  <c r="AL201" i="96" s="1"/>
  <c r="AC200" i="96" a="1"/>
  <c r="AC200" i="96" s="1"/>
  <c r="AB200" i="96" a="1"/>
  <c r="AB200" i="96" s="1"/>
  <c r="AE200" i="96" s="1"/>
  <c r="AH200" i="96" s="1"/>
  <c r="AI200" i="96" s="1"/>
  <c r="AJ200" i="96" s="1"/>
  <c r="AK200" i="96" s="1"/>
  <c r="AL200" i="96" s="1"/>
  <c r="AC199" i="96" a="1"/>
  <c r="AC199" i="96" s="1"/>
  <c r="AB199" i="96" a="1"/>
  <c r="AB199" i="96" s="1"/>
  <c r="AE199" i="96" s="1"/>
  <c r="AH199" i="96" s="1"/>
  <c r="AI199" i="96" s="1"/>
  <c r="AJ199" i="96" s="1"/>
  <c r="AK199" i="96" s="1"/>
  <c r="AL199" i="96" s="1"/>
  <c r="AC198" i="96" a="1"/>
  <c r="AC198" i="96" s="1"/>
  <c r="AB198" i="96" a="1"/>
  <c r="AB198" i="96" s="1"/>
  <c r="AE198" i="96" s="1"/>
  <c r="AH198" i="96" s="1"/>
  <c r="AI198" i="96" s="1"/>
  <c r="AJ198" i="96" s="1"/>
  <c r="AK198" i="96" s="1"/>
  <c r="AL198" i="96" s="1"/>
  <c r="AC197" i="96" a="1"/>
  <c r="AC197" i="96" s="1"/>
  <c r="AB197" i="96" a="1"/>
  <c r="AB197" i="96" s="1"/>
  <c r="AE197" i="96" s="1"/>
  <c r="AH197" i="96" s="1"/>
  <c r="AI197" i="96" s="1"/>
  <c r="AJ197" i="96" s="1"/>
  <c r="AK197" i="96" s="1"/>
  <c r="AL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E193" i="96" s="1"/>
  <c r="AH193" i="96" s="1"/>
  <c r="AI193" i="96" s="1"/>
  <c r="AJ193" i="96" s="1"/>
  <c r="AK193" i="96" s="1"/>
  <c r="AL193" i="96" s="1"/>
  <c r="AC192" i="96" a="1"/>
  <c r="AC192" i="96" s="1"/>
  <c r="AB192" i="96" a="1"/>
  <c r="AB192" i="96" s="1"/>
  <c r="AE192" i="96" s="1"/>
  <c r="AH192" i="96" s="1"/>
  <c r="AI192" i="96" s="1"/>
  <c r="AJ192" i="96" s="1"/>
  <c r="AK192" i="96" s="1"/>
  <c r="AL192" i="96" s="1"/>
  <c r="AC191" i="96" a="1"/>
  <c r="AC191" i="96" s="1"/>
  <c r="AB191" i="96" a="1"/>
  <c r="AB191" i="96" s="1"/>
  <c r="AE191" i="96" s="1"/>
  <c r="AH191" i="96" s="1"/>
  <c r="AI191" i="96" s="1"/>
  <c r="AJ191" i="96" s="1"/>
  <c r="AK191" i="96" s="1"/>
  <c r="AL191" i="96" s="1"/>
  <c r="AC190" i="96" a="1"/>
  <c r="AC190" i="96" s="1"/>
  <c r="AB190" i="96" a="1"/>
  <c r="AB190" i="96" s="1"/>
  <c r="AE190" i="96" s="1"/>
  <c r="AH190" i="96" s="1"/>
  <c r="AI190" i="96" s="1"/>
  <c r="AJ190" i="96" s="1"/>
  <c r="AK190" i="96" s="1"/>
  <c r="AL190" i="96" s="1"/>
  <c r="AC189" i="96" a="1"/>
  <c r="AC189" i="96" s="1"/>
  <c r="AB189" i="96" a="1"/>
  <c r="AB189" i="96" s="1"/>
  <c r="AE189" i="96" s="1"/>
  <c r="AH189" i="96" s="1"/>
  <c r="AI189" i="96" s="1"/>
  <c r="AJ189" i="96" s="1"/>
  <c r="AK189" i="96" s="1"/>
  <c r="AL189" i="96" s="1"/>
  <c r="AC187" i="96" a="1"/>
  <c r="AC187" i="96" s="1"/>
  <c r="AB187" i="96" a="1"/>
  <c r="AB187" i="96" s="1"/>
  <c r="AE187" i="96" s="1"/>
  <c r="AH187" i="96" s="1"/>
  <c r="AI187" i="96" s="1"/>
  <c r="AJ187" i="96" s="1"/>
  <c r="AK187" i="96" s="1"/>
  <c r="AL187" i="96" s="1"/>
  <c r="AC186" i="96" a="1"/>
  <c r="AC186" i="96" s="1"/>
  <c r="AB186" i="96" a="1"/>
  <c r="AB186" i="96" s="1"/>
  <c r="AE186" i="96" s="1"/>
  <c r="AH186" i="96" s="1"/>
  <c r="AI186" i="96" s="1"/>
  <c r="AJ186" i="96" s="1"/>
  <c r="AK186" i="96" s="1"/>
  <c r="AL186" i="96" s="1"/>
  <c r="AC185" i="96" a="1"/>
  <c r="AC185" i="96" s="1"/>
  <c r="AB185" i="96" a="1"/>
  <c r="AB185" i="96" s="1"/>
  <c r="AE185" i="96" s="1"/>
  <c r="AH185" i="96" s="1"/>
  <c r="AI185" i="96" s="1"/>
  <c r="AJ185" i="96" s="1"/>
  <c r="AK185" i="96" s="1"/>
  <c r="AL185" i="96" s="1"/>
  <c r="AC184" i="96" a="1"/>
  <c r="AC184" i="96" s="1"/>
  <c r="AB184" i="96" a="1"/>
  <c r="AB184" i="96" s="1"/>
  <c r="AE184" i="96" s="1"/>
  <c r="AH184" i="96" s="1"/>
  <c r="AI184" i="96" s="1"/>
  <c r="AJ184" i="96" s="1"/>
  <c r="AK184" i="96" s="1"/>
  <c r="AL184" i="96" s="1"/>
  <c r="AC183" i="96" a="1"/>
  <c r="AC183" i="96" s="1"/>
  <c r="AB183" i="96" a="1"/>
  <c r="AB183" i="96" s="1"/>
  <c r="AE183" i="96" s="1"/>
  <c r="AH183" i="96" s="1"/>
  <c r="AI183" i="96" s="1"/>
  <c r="AJ183" i="96" s="1"/>
  <c r="AK183" i="96" s="1"/>
  <c r="AL183" i="96" s="1"/>
  <c r="AC182" i="96" a="1"/>
  <c r="AC182" i="96" s="1"/>
  <c r="AB182" i="96" a="1"/>
  <c r="AB182" i="96" s="1"/>
  <c r="AE182" i="96" s="1"/>
  <c r="AH182" i="96" s="1"/>
  <c r="AI182" i="96" s="1"/>
  <c r="AJ182" i="96" s="1"/>
  <c r="AK182" i="96" s="1"/>
  <c r="AL182" i="96" s="1"/>
  <c r="AC181" i="96" a="1"/>
  <c r="AC181" i="96" s="1"/>
  <c r="AB181" i="96" a="1"/>
  <c r="AB181" i="96" s="1"/>
  <c r="AE181" i="96" s="1"/>
  <c r="AH181" i="96" s="1"/>
  <c r="AI181" i="96" s="1"/>
  <c r="AJ181" i="96" s="1"/>
  <c r="AK181" i="96" s="1"/>
  <c r="AL181" i="96" s="1"/>
  <c r="AC180" i="96" a="1"/>
  <c r="AC180" i="96" s="1"/>
  <c r="AB180" i="96" a="1"/>
  <c r="AB180" i="96" s="1"/>
  <c r="AC179" i="96" a="1"/>
  <c r="AC179" i="96" s="1"/>
  <c r="AB179" i="96" a="1"/>
  <c r="AB179" i="96" s="1"/>
  <c r="AE179" i="96" s="1"/>
  <c r="AH179" i="96" s="1"/>
  <c r="AI179" i="96" s="1"/>
  <c r="AJ179" i="96" s="1"/>
  <c r="AK179" i="96" s="1"/>
  <c r="AL179" i="96" s="1"/>
  <c r="AC177" i="96" a="1"/>
  <c r="AC177" i="96" s="1"/>
  <c r="AB177" i="96" a="1"/>
  <c r="AB177" i="96" s="1"/>
  <c r="AE177" i="96" s="1"/>
  <c r="AH177" i="96" s="1"/>
  <c r="AI177" i="96" s="1"/>
  <c r="AJ177" i="96" s="1"/>
  <c r="AK177" i="96" s="1"/>
  <c r="AL177" i="96" s="1"/>
  <c r="AC176" i="96" a="1"/>
  <c r="AC176" i="96" s="1"/>
  <c r="AB176" i="96" a="1"/>
  <c r="AB176" i="96" s="1"/>
  <c r="AE176" i="96" s="1"/>
  <c r="AH176" i="96" s="1"/>
  <c r="AI176" i="96" s="1"/>
  <c r="AJ176" i="96" s="1"/>
  <c r="AK176" i="96" s="1"/>
  <c r="AL176" i="96" s="1"/>
  <c r="AC175" i="96" a="1"/>
  <c r="AC175" i="96" s="1"/>
  <c r="AB175" i="96" a="1"/>
  <c r="AB175" i="96" s="1"/>
  <c r="AE175" i="96" s="1"/>
  <c r="AH175" i="96" s="1"/>
  <c r="AI175" i="96" s="1"/>
  <c r="AJ175" i="96" s="1"/>
  <c r="AK175" i="96" s="1"/>
  <c r="AL175" i="96" s="1"/>
  <c r="AC174" i="96" a="1"/>
  <c r="AC174" i="96" s="1"/>
  <c r="AB174" i="96" a="1"/>
  <c r="AB174" i="96" s="1"/>
  <c r="AE174" i="96" s="1"/>
  <c r="AH174" i="96" s="1"/>
  <c r="AI174" i="96" s="1"/>
  <c r="AJ174" i="96" s="1"/>
  <c r="AK174" i="96" s="1"/>
  <c r="AL174" i="96" s="1"/>
  <c r="AC173" i="96" a="1"/>
  <c r="AC173" i="96" s="1"/>
  <c r="AB173" i="96" a="1"/>
  <c r="AB173" i="96" s="1"/>
  <c r="AE173" i="96" s="1"/>
  <c r="AH173" i="96" s="1"/>
  <c r="AI173" i="96" s="1"/>
  <c r="AJ173" i="96" s="1"/>
  <c r="AK173" i="96" s="1"/>
  <c r="AL173" i="96" s="1"/>
  <c r="AC172" i="96" a="1"/>
  <c r="AC172" i="96" s="1"/>
  <c r="AB172" i="96" a="1"/>
  <c r="AB172" i="96" s="1"/>
  <c r="AE172" i="96" s="1"/>
  <c r="AH172" i="96" s="1"/>
  <c r="AI172" i="96" s="1"/>
  <c r="AJ172" i="96" s="1"/>
  <c r="AK172" i="96" s="1"/>
  <c r="AL172" i="96" s="1"/>
  <c r="AC171" i="96" a="1"/>
  <c r="AC171" i="96" s="1"/>
  <c r="AB171" i="96" a="1"/>
  <c r="AB171" i="96" s="1"/>
  <c r="AE171" i="96" s="1"/>
  <c r="AH171" i="96" s="1"/>
  <c r="AI171" i="96" s="1"/>
  <c r="AJ171" i="96" s="1"/>
  <c r="AK171" i="96" s="1"/>
  <c r="AL171" i="96" s="1"/>
  <c r="AC170" i="96" a="1"/>
  <c r="AC170" i="96" s="1"/>
  <c r="AB170" i="96" a="1"/>
  <c r="AB170" i="96" s="1"/>
  <c r="AE170" i="96" s="1"/>
  <c r="AH170" i="96" s="1"/>
  <c r="AI170" i="96" s="1"/>
  <c r="AJ170" i="96" s="1"/>
  <c r="AK170" i="96" s="1"/>
  <c r="AL170" i="96" s="1"/>
  <c r="AC169" i="96" a="1"/>
  <c r="AC169" i="96" s="1"/>
  <c r="AB169" i="96" a="1"/>
  <c r="AB169" i="96" s="1"/>
  <c r="AE169" i="96" s="1"/>
  <c r="AH169" i="96" s="1"/>
  <c r="AI169" i="96" s="1"/>
  <c r="AJ169" i="96" s="1"/>
  <c r="AK169" i="96" s="1"/>
  <c r="AL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E155" i="96" s="1"/>
  <c r="AH155" i="96" s="1"/>
  <c r="AI155" i="96" s="1"/>
  <c r="AJ155" i="96" s="1"/>
  <c r="AK155" i="96" s="1"/>
  <c r="AL155" i="96" s="1"/>
  <c r="AC154" i="96" a="1"/>
  <c r="AC154" i="96" s="1"/>
  <c r="AB154" i="96" a="1"/>
  <c r="AB154" i="96" s="1"/>
  <c r="AC153" i="96" a="1"/>
  <c r="AC153" i="96" s="1"/>
  <c r="AB153" i="96" a="1"/>
  <c r="AB153" i="96" s="1"/>
  <c r="AE153" i="96" s="1"/>
  <c r="AH153" i="96" s="1"/>
  <c r="AI153" i="96" s="1"/>
  <c r="AJ153" i="96" s="1"/>
  <c r="AK153" i="96" s="1"/>
  <c r="AL153" i="96" s="1"/>
  <c r="AC152" i="96" a="1"/>
  <c r="AC152" i="96" s="1"/>
  <c r="AB152" i="96" a="1"/>
  <c r="AB152" i="96" s="1"/>
  <c r="AC151" i="96" a="1"/>
  <c r="AC151" i="96" s="1"/>
  <c r="AB151" i="96" a="1"/>
  <c r="AB151" i="96" s="1"/>
  <c r="AE151" i="96" s="1"/>
  <c r="AH151" i="96" s="1"/>
  <c r="AI151" i="96" s="1"/>
  <c r="AJ151" i="96" s="1"/>
  <c r="AK151" i="96" s="1"/>
  <c r="AL151" i="96" s="1"/>
  <c r="AC150" i="96" a="1"/>
  <c r="AC150" i="96" s="1"/>
  <c r="AB150" i="96" a="1"/>
  <c r="AB150" i="96" s="1"/>
  <c r="AC149" i="96" a="1"/>
  <c r="AC149" i="96" s="1"/>
  <c r="AB149" i="96" a="1"/>
  <c r="AB149" i="96" s="1"/>
  <c r="AE149" i="96" s="1"/>
  <c r="AH149" i="96" s="1"/>
  <c r="AI149" i="96" s="1"/>
  <c r="AJ149" i="96" s="1"/>
  <c r="AK149" i="96" s="1"/>
  <c r="AL149" i="96" s="1"/>
  <c r="AC148" i="96" a="1"/>
  <c r="AC148" i="96" s="1"/>
  <c r="AB148" i="96" a="1"/>
  <c r="AB148" i="96" s="1"/>
  <c r="AC147" i="96" a="1"/>
  <c r="AC147" i="96" s="1"/>
  <c r="AB147" i="96" a="1"/>
  <c r="AB147" i="96" s="1"/>
  <c r="AE147" i="96" s="1"/>
  <c r="AH147" i="96" s="1"/>
  <c r="AI147" i="96" s="1"/>
  <c r="AJ147" i="96" s="1"/>
  <c r="AK147" i="96" s="1"/>
  <c r="AL147" i="96" s="1"/>
  <c r="AC146" i="96" a="1"/>
  <c r="AC146" i="96" s="1"/>
  <c r="AB146" i="96" a="1"/>
  <c r="AB146" i="96" s="1"/>
  <c r="AC144" i="96" a="1"/>
  <c r="AC144" i="96" s="1"/>
  <c r="AB144" i="96" a="1"/>
  <c r="AB144" i="96" s="1"/>
  <c r="AE144" i="96" s="1"/>
  <c r="AH144" i="96" s="1"/>
  <c r="AI144" i="96" s="1"/>
  <c r="AJ144" i="96" s="1"/>
  <c r="AK144" i="96" s="1"/>
  <c r="AL144" i="96" s="1"/>
  <c r="AC143" i="96" a="1"/>
  <c r="AC143" i="96" s="1"/>
  <c r="AB143" i="96" a="1"/>
  <c r="AB143" i="96" s="1"/>
  <c r="AE143" i="96" s="1"/>
  <c r="AH143" i="96" s="1"/>
  <c r="AI143" i="96" s="1"/>
  <c r="AJ143" i="96" s="1"/>
  <c r="AK143" i="96" s="1"/>
  <c r="AL143" i="96" s="1"/>
  <c r="AC142" i="96" a="1"/>
  <c r="AC142" i="96" s="1"/>
  <c r="AB142" i="96" a="1"/>
  <c r="AB142" i="96" s="1"/>
  <c r="AE142" i="96" s="1"/>
  <c r="AH142" i="96" s="1"/>
  <c r="AI142" i="96" s="1"/>
  <c r="AJ142" i="96" s="1"/>
  <c r="AK142" i="96" s="1"/>
  <c r="AL142" i="96" s="1"/>
  <c r="AC141" i="96" a="1"/>
  <c r="AC141" i="96" s="1"/>
  <c r="AB141" i="96" a="1"/>
  <c r="AB141" i="96" s="1"/>
  <c r="AE141" i="96" s="1"/>
  <c r="AH141" i="96" s="1"/>
  <c r="AI141" i="96" s="1"/>
  <c r="AJ141" i="96" s="1"/>
  <c r="AK141" i="96" s="1"/>
  <c r="AL141" i="96" s="1"/>
  <c r="AC140" i="96" a="1"/>
  <c r="AC140" i="96" s="1"/>
  <c r="AB140" i="96" a="1"/>
  <c r="AB140" i="96" s="1"/>
  <c r="AE140" i="96" s="1"/>
  <c r="AH140" i="96" s="1"/>
  <c r="AI140" i="96" s="1"/>
  <c r="AJ140" i="96" s="1"/>
  <c r="AK140" i="96" s="1"/>
  <c r="AL140" i="96" s="1"/>
  <c r="AC139" i="96" a="1"/>
  <c r="AC139" i="96" s="1"/>
  <c r="AB139" i="96" a="1"/>
  <c r="AB139" i="96" s="1"/>
  <c r="AE139" i="96" s="1"/>
  <c r="AH139" i="96" s="1"/>
  <c r="AI139" i="96" s="1"/>
  <c r="AJ139" i="96" s="1"/>
  <c r="AK139" i="96" s="1"/>
  <c r="AL139" i="96" s="1"/>
  <c r="AC138" i="96" a="1"/>
  <c r="AC138" i="96" s="1"/>
  <c r="AB138" i="96" a="1"/>
  <c r="AB138" i="96" s="1"/>
  <c r="AE138" i="96" s="1"/>
  <c r="AH138" i="96" s="1"/>
  <c r="AI138" i="96" s="1"/>
  <c r="AJ138" i="96" s="1"/>
  <c r="AK138" i="96" s="1"/>
  <c r="AL138" i="96" s="1"/>
  <c r="AC137" i="96" a="1"/>
  <c r="AC137" i="96" s="1"/>
  <c r="AB137" i="96" a="1"/>
  <c r="AB137" i="96" s="1"/>
  <c r="AE137" i="96" s="1"/>
  <c r="AH137" i="96" s="1"/>
  <c r="AI137" i="96" s="1"/>
  <c r="AJ137" i="96" s="1"/>
  <c r="AK137" i="96" s="1"/>
  <c r="AL137" i="96" s="1"/>
  <c r="AC136" i="96" a="1"/>
  <c r="AC136" i="96" s="1"/>
  <c r="AB136" i="96" a="1"/>
  <c r="AB136" i="96" s="1"/>
  <c r="AE136" i="96" s="1"/>
  <c r="AH136" i="96" s="1"/>
  <c r="AI136" i="96" s="1"/>
  <c r="AJ136" i="96" s="1"/>
  <c r="AK136" i="96" s="1"/>
  <c r="AL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E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E125" i="96" s="1"/>
  <c r="AH125" i="96" s="1"/>
  <c r="AI125" i="96" s="1"/>
  <c r="AJ125" i="96" s="1"/>
  <c r="AK125" i="96" s="1"/>
  <c r="AL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E121" i="96" s="1"/>
  <c r="AH121" i="96" s="1"/>
  <c r="AI121" i="96" s="1"/>
  <c r="AJ121" i="96" s="1"/>
  <c r="AK121" i="96" s="1"/>
  <c r="AL121" i="96" s="1"/>
  <c r="AC120" i="96" a="1"/>
  <c r="AC120" i="96" s="1"/>
  <c r="AB120" i="96" a="1"/>
  <c r="AB120" i="96" s="1"/>
  <c r="AE120" i="96" s="1"/>
  <c r="AH120" i="96" s="1"/>
  <c r="AI120" i="96" s="1"/>
  <c r="AJ120" i="96" s="1"/>
  <c r="AK120" i="96" s="1"/>
  <c r="AL120" i="96" s="1"/>
  <c r="AC119" i="96" a="1"/>
  <c r="AC119" i="96" s="1"/>
  <c r="AB119" i="96" a="1"/>
  <c r="AB119" i="96" s="1"/>
  <c r="AE119" i="96" s="1"/>
  <c r="AH119" i="96" s="1"/>
  <c r="AI119" i="96" s="1"/>
  <c r="AJ119" i="96" s="1"/>
  <c r="AK119" i="96" s="1"/>
  <c r="AL119" i="96" s="1"/>
  <c r="AC118" i="96" a="1"/>
  <c r="AC118" i="96" s="1"/>
  <c r="AB118" i="96" a="1"/>
  <c r="AB118" i="96" s="1"/>
  <c r="AE118" i="96" s="1"/>
  <c r="AH118" i="96" s="1"/>
  <c r="AI118" i="96" s="1"/>
  <c r="AJ118" i="96" s="1"/>
  <c r="AK118" i="96" s="1"/>
  <c r="AL118" i="96" s="1"/>
  <c r="AC117" i="96" a="1"/>
  <c r="AC117" i="96" s="1"/>
  <c r="AB117" i="96" a="1"/>
  <c r="AB117" i="96" s="1"/>
  <c r="AE117" i="96" s="1"/>
  <c r="AH117" i="96" s="1"/>
  <c r="AI117" i="96" s="1"/>
  <c r="AJ117" i="96" s="1"/>
  <c r="AK117" i="96" s="1"/>
  <c r="AL117" i="96" s="1"/>
  <c r="AC115" i="96" a="1"/>
  <c r="AC115" i="96" s="1"/>
  <c r="AB115" i="96" a="1"/>
  <c r="AB115" i="96" s="1"/>
  <c r="AE115" i="96" s="1"/>
  <c r="AH115" i="96" s="1"/>
  <c r="AI115" i="96" s="1"/>
  <c r="AJ115" i="96" s="1"/>
  <c r="AK115" i="96" s="1"/>
  <c r="AL115" i="96" s="1"/>
  <c r="AC114" i="96" a="1"/>
  <c r="AC114" i="96" s="1"/>
  <c r="AB114" i="96" a="1"/>
  <c r="AB114" i="96" s="1"/>
  <c r="AE114" i="96" s="1"/>
  <c r="AH114" i="96" s="1"/>
  <c r="AI114" i="96" s="1"/>
  <c r="AJ114" i="96" s="1"/>
  <c r="AK114" i="96" s="1"/>
  <c r="AL114" i="96" s="1"/>
  <c r="AC113" i="96" a="1"/>
  <c r="AC113" i="96" s="1"/>
  <c r="AB113" i="96" a="1"/>
  <c r="AB113" i="96" s="1"/>
  <c r="AE113" i="96" s="1"/>
  <c r="AH113" i="96" s="1"/>
  <c r="AI113" i="96" s="1"/>
  <c r="AJ113" i="96" s="1"/>
  <c r="AK113" i="96" s="1"/>
  <c r="AL113" i="96" s="1"/>
  <c r="AC112" i="96" a="1"/>
  <c r="AC112" i="96" s="1"/>
  <c r="AB112" i="96" a="1"/>
  <c r="AB112" i="96" s="1"/>
  <c r="AE112" i="96" s="1"/>
  <c r="AH112" i="96" s="1"/>
  <c r="AI112" i="96" s="1"/>
  <c r="AJ112" i="96" s="1"/>
  <c r="AK112" i="96" s="1"/>
  <c r="AL112" i="96" s="1"/>
  <c r="AC111" i="96" a="1"/>
  <c r="AC111" i="96" s="1"/>
  <c r="AB111" i="96" a="1"/>
  <c r="AB111" i="96" s="1"/>
  <c r="AE111" i="96" s="1"/>
  <c r="AH111" i="96" s="1"/>
  <c r="AI111" i="96" s="1"/>
  <c r="AJ111" i="96" s="1"/>
  <c r="AK111" i="96" s="1"/>
  <c r="AL111" i="96" s="1"/>
  <c r="AC110" i="96" a="1"/>
  <c r="AC110" i="96" s="1"/>
  <c r="AB110" i="96" a="1"/>
  <c r="AB110" i="96" s="1"/>
  <c r="AE110" i="96" s="1"/>
  <c r="AH110" i="96" s="1"/>
  <c r="AI110" i="96" s="1"/>
  <c r="AJ110" i="96" s="1"/>
  <c r="AK110" i="96" s="1"/>
  <c r="AL110" i="96" s="1"/>
  <c r="AC109" i="96" a="1"/>
  <c r="AC109" i="96" s="1"/>
  <c r="AB109" i="96" a="1"/>
  <c r="AB109" i="96" s="1"/>
  <c r="AE109" i="96" s="1"/>
  <c r="AH109" i="96" s="1"/>
  <c r="AI109" i="96" s="1"/>
  <c r="AJ109" i="96" s="1"/>
  <c r="AK109" i="96" s="1"/>
  <c r="AL109" i="96" s="1"/>
  <c r="AC108" i="96" a="1"/>
  <c r="AC108" i="96" s="1"/>
  <c r="AB108" i="96" a="1"/>
  <c r="AB108" i="96" s="1"/>
  <c r="AE108" i="96" s="1"/>
  <c r="AH108" i="96" s="1"/>
  <c r="AI108" i="96" s="1"/>
  <c r="AJ108" i="96" s="1"/>
  <c r="AK108" i="96" s="1"/>
  <c r="AL108" i="96" s="1"/>
  <c r="AC107" i="96" a="1"/>
  <c r="AC107" i="96" s="1"/>
  <c r="AB107" i="96" a="1"/>
  <c r="AB107" i="96" s="1"/>
  <c r="AE107" i="96" s="1"/>
  <c r="AH107" i="96" s="1"/>
  <c r="AI107" i="96" s="1"/>
  <c r="AJ107" i="96" s="1"/>
  <c r="AK107" i="96" s="1"/>
  <c r="AL107" i="96" s="1"/>
  <c r="AC104" i="96" a="1"/>
  <c r="AC104" i="96" s="1"/>
  <c r="AB104" i="96" a="1"/>
  <c r="AB104" i="96" s="1"/>
  <c r="AE104" i="96" s="1"/>
  <c r="AH104" i="96" s="1"/>
  <c r="AI104" i="96" s="1"/>
  <c r="AJ104" i="96" s="1"/>
  <c r="AK104" i="96" s="1"/>
  <c r="AL104" i="96" s="1"/>
  <c r="AC103" i="96" a="1"/>
  <c r="AC103" i="96" s="1"/>
  <c r="AB103" i="96" a="1"/>
  <c r="AB103" i="96" s="1"/>
  <c r="AE103" i="96" s="1"/>
  <c r="AH103" i="96" s="1"/>
  <c r="AI103" i="96" s="1"/>
  <c r="AJ103" i="96" s="1"/>
  <c r="AK103" i="96" s="1"/>
  <c r="AL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E99" i="96" s="1"/>
  <c r="AH99" i="96" s="1"/>
  <c r="AI99" i="96" s="1"/>
  <c r="AJ99" i="96" s="1"/>
  <c r="AK99" i="96" s="1"/>
  <c r="AL99" i="96" s="1"/>
  <c r="AC98" i="96" a="1"/>
  <c r="AC98" i="96" s="1"/>
  <c r="AB98" i="96" a="1"/>
  <c r="AB98" i="96" s="1"/>
  <c r="AE98" i="96" s="1"/>
  <c r="AH98" i="96" s="1"/>
  <c r="AI98" i="96" s="1"/>
  <c r="AJ98" i="96" s="1"/>
  <c r="AK98" i="96" s="1"/>
  <c r="AL98" i="96" s="1"/>
  <c r="AC97" i="96" a="1"/>
  <c r="AC97" i="96" s="1"/>
  <c r="AB97" i="96" a="1"/>
  <c r="AB97" i="96" s="1"/>
  <c r="AE97" i="96" s="1"/>
  <c r="AH97" i="96" s="1"/>
  <c r="AI97" i="96" s="1"/>
  <c r="AJ97" i="96" s="1"/>
  <c r="AK97" i="96" s="1"/>
  <c r="AL97" i="96" s="1"/>
  <c r="AC96" i="96" a="1"/>
  <c r="AC96" i="96" s="1"/>
  <c r="AB96" i="96" a="1"/>
  <c r="AB96" i="96" s="1"/>
  <c r="AE96" i="96" s="1"/>
  <c r="AH96" i="96" s="1"/>
  <c r="AI96" i="96" s="1"/>
  <c r="AJ96" i="96" s="1"/>
  <c r="AK96" i="96" s="1"/>
  <c r="AL96" i="96" s="1"/>
  <c r="AC95" i="96" a="1"/>
  <c r="AC95" i="96" s="1"/>
  <c r="AB95" i="96" a="1"/>
  <c r="AB95" i="96" s="1"/>
  <c r="AC90" i="96" a="1"/>
  <c r="AC90" i="96" s="1"/>
  <c r="AB90" i="96" a="1"/>
  <c r="AB90" i="96" s="1"/>
  <c r="AE90" i="96" s="1"/>
  <c r="AH90" i="96" s="1"/>
  <c r="AI90" i="96" s="1"/>
  <c r="AJ90" i="96" s="1"/>
  <c r="AK90" i="96" s="1"/>
  <c r="AL90" i="96" s="1"/>
  <c r="AC89" i="96" a="1"/>
  <c r="AC89" i="96" s="1"/>
  <c r="AB89" i="96" a="1"/>
  <c r="AB89" i="96" s="1"/>
  <c r="AC88" i="96" a="1"/>
  <c r="AC88" i="96" s="1"/>
  <c r="AB88" i="96" a="1"/>
  <c r="AB88" i="96" s="1"/>
  <c r="AE88" i="96" s="1"/>
  <c r="AC87" i="96" a="1"/>
  <c r="AC87" i="96" s="1"/>
  <c r="AB87" i="96" a="1"/>
  <c r="AB87" i="96" s="1"/>
  <c r="AE87" i="96" s="1"/>
  <c r="AH87" i="96" s="1"/>
  <c r="AI87" i="96" s="1"/>
  <c r="AJ87" i="96" s="1"/>
  <c r="AK87" i="96" s="1"/>
  <c r="AL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E84" i="96" s="1"/>
  <c r="AH84" i="96" s="1"/>
  <c r="AI84" i="96" s="1"/>
  <c r="AJ84" i="96" s="1"/>
  <c r="AK84" i="96" s="1"/>
  <c r="AL84" i="96" s="1"/>
  <c r="AC83" i="96" a="1"/>
  <c r="AC83" i="96" s="1"/>
  <c r="AB83" i="96" a="1"/>
  <c r="AB83" i="96" s="1"/>
  <c r="AC81" i="96" a="1"/>
  <c r="AC81" i="96" s="1"/>
  <c r="AB81" i="96" a="1"/>
  <c r="AB81" i="96" s="1"/>
  <c r="AE81" i="96" s="1"/>
  <c r="AH81" i="96" s="1"/>
  <c r="AI81" i="96" s="1"/>
  <c r="AJ81" i="96" s="1"/>
  <c r="AK81" i="96" s="1"/>
  <c r="AL81" i="96" s="1"/>
  <c r="AC80" i="96" a="1"/>
  <c r="AC80" i="96" s="1"/>
  <c r="AB80" i="96" a="1"/>
  <c r="AB80" i="96" s="1"/>
  <c r="AE80" i="96" s="1"/>
  <c r="AH80" i="96" s="1"/>
  <c r="AI80" i="96" s="1"/>
  <c r="AJ80" i="96" s="1"/>
  <c r="AK80" i="96" s="1"/>
  <c r="AL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E77" i="96" s="1"/>
  <c r="AC76" i="96" a="1"/>
  <c r="AC76" i="96" s="1"/>
  <c r="AB76" i="96" a="1"/>
  <c r="AB76" i="96" s="1"/>
  <c r="AC75" i="96" a="1"/>
  <c r="AC75" i="96" s="1"/>
  <c r="AB75" i="96" a="1"/>
  <c r="AB75" i="96" s="1"/>
  <c r="AE75" i="96" s="1"/>
  <c r="AC71" i="96" a="1"/>
  <c r="AC71" i="96" s="1"/>
  <c r="AB71" i="96" a="1"/>
  <c r="AB71" i="96" s="1"/>
  <c r="AE71" i="96" s="1"/>
  <c r="AH71" i="96" s="1"/>
  <c r="AI71" i="96" s="1"/>
  <c r="AJ71" i="96" s="1"/>
  <c r="AK71" i="96" s="1"/>
  <c r="AL71" i="96" s="1"/>
  <c r="AC70" i="96" a="1"/>
  <c r="AC70" i="96" s="1"/>
  <c r="AB70" i="96" a="1"/>
  <c r="AB70" i="96" s="1"/>
  <c r="AE70" i="96" s="1"/>
  <c r="AH70" i="96" s="1"/>
  <c r="AI70" i="96" s="1"/>
  <c r="AJ70" i="96" s="1"/>
  <c r="AK70" i="96" s="1"/>
  <c r="AL70" i="96" s="1"/>
  <c r="AC69" i="96" a="1"/>
  <c r="AC69" i="96" s="1"/>
  <c r="AB69" i="96" a="1"/>
  <c r="AB69" i="96" s="1"/>
  <c r="AE69" i="96" s="1"/>
  <c r="AH69" i="96" s="1"/>
  <c r="AI69" i="96" s="1"/>
  <c r="AJ69" i="96" s="1"/>
  <c r="AK69" i="96" s="1"/>
  <c r="AL69" i="96" s="1"/>
  <c r="AC68" i="96" a="1"/>
  <c r="AC68" i="96" s="1"/>
  <c r="AB68" i="96" a="1"/>
  <c r="AB68" i="96" s="1"/>
  <c r="AE68" i="96" s="1"/>
  <c r="AH68" i="96" s="1"/>
  <c r="AI68" i="96" s="1"/>
  <c r="AJ68" i="96" s="1"/>
  <c r="AK68" i="96" s="1"/>
  <c r="AL68" i="96" s="1"/>
  <c r="AC67" i="96" a="1"/>
  <c r="AC67" i="96" s="1"/>
  <c r="AB67" i="96" a="1"/>
  <c r="AB67" i="96" s="1"/>
  <c r="AE67" i="96" s="1"/>
  <c r="AH67" i="96" s="1"/>
  <c r="AI67" i="96" s="1"/>
  <c r="AJ67" i="96" s="1"/>
  <c r="AK67" i="96" s="1"/>
  <c r="AL67" i="96" s="1"/>
  <c r="AC66" i="96" a="1"/>
  <c r="AC66" i="96" s="1"/>
  <c r="AB66" i="96" a="1"/>
  <c r="AB66" i="96" s="1"/>
  <c r="AE66" i="96" s="1"/>
  <c r="AH66" i="96" s="1"/>
  <c r="AI66" i="96" s="1"/>
  <c r="AJ66" i="96" s="1"/>
  <c r="AK66" i="96" s="1"/>
  <c r="AL66" i="96" s="1"/>
  <c r="AC65" i="96" a="1"/>
  <c r="AC65" i="96" s="1"/>
  <c r="AB65" i="96" a="1"/>
  <c r="AB65" i="96" s="1"/>
  <c r="AE65" i="96" s="1"/>
  <c r="AH65" i="96" s="1"/>
  <c r="AI65" i="96" s="1"/>
  <c r="AJ65" i="96" s="1"/>
  <c r="AK65" i="96" s="1"/>
  <c r="AL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E57" i="96" s="1"/>
  <c r="AC56" i="96" a="1"/>
  <c r="AC56" i="96" s="1"/>
  <c r="AB56" i="96" a="1"/>
  <c r="AB56" i="96" s="1"/>
  <c r="AE56" i="96" s="1"/>
  <c r="AH56" i="96" s="1"/>
  <c r="AI56" i="96" s="1"/>
  <c r="AJ56" i="96" s="1"/>
  <c r="AK56" i="96" s="1"/>
  <c r="AL56" i="96" s="1"/>
  <c r="AC55" i="96" a="1"/>
  <c r="AC55" i="96" s="1"/>
  <c r="AB55" i="96" a="1"/>
  <c r="AB55" i="96" s="1"/>
  <c r="AE55" i="96" s="1"/>
  <c r="AH55" i="96" s="1"/>
  <c r="AI55" i="96" s="1"/>
  <c r="AJ55" i="96" s="1"/>
  <c r="AK55" i="96" s="1"/>
  <c r="AL55" i="96" s="1"/>
  <c r="AC54" i="96" a="1"/>
  <c r="AC54" i="96" s="1"/>
  <c r="AB54" i="96" a="1"/>
  <c r="AB54" i="96" s="1"/>
  <c r="AE54" i="96" s="1"/>
  <c r="AH54" i="96" s="1"/>
  <c r="AI54" i="96" s="1"/>
  <c r="AJ54" i="96" s="1"/>
  <c r="AK54" i="96" s="1"/>
  <c r="AL54" i="96" s="1"/>
  <c r="AC53" i="96" a="1"/>
  <c r="AC53" i="96" s="1"/>
  <c r="AB53" i="96" a="1"/>
  <c r="AB53" i="96" s="1"/>
  <c r="AE53" i="96" s="1"/>
  <c r="AH53" i="96" s="1"/>
  <c r="AI53" i="96" s="1"/>
  <c r="AJ53" i="96" s="1"/>
  <c r="AK53" i="96" s="1"/>
  <c r="AL53" i="96" s="1"/>
  <c r="AC50" i="96" a="1"/>
  <c r="AC50" i="96" s="1"/>
  <c r="AB50" i="96" a="1"/>
  <c r="AB50" i="96" s="1"/>
  <c r="AE50" i="96" s="1"/>
  <c r="AH50" i="96" s="1"/>
  <c r="AI50" i="96" s="1"/>
  <c r="AJ50" i="96" s="1"/>
  <c r="AK50" i="96" s="1"/>
  <c r="AL50" i="96" s="1"/>
  <c r="AC49" i="96" a="1"/>
  <c r="AC49" i="96" s="1"/>
  <c r="AB49" i="96" a="1"/>
  <c r="AB49" i="96" s="1"/>
  <c r="AC48" i="96" a="1"/>
  <c r="AC48" i="96" s="1"/>
  <c r="AB48" i="96" a="1"/>
  <c r="AB48" i="96" s="1"/>
  <c r="AE48" i="96" s="1"/>
  <c r="AH48" i="96" s="1"/>
  <c r="AI48" i="96" s="1"/>
  <c r="AJ48" i="96" s="1"/>
  <c r="AK48" i="96" s="1"/>
  <c r="AL48" i="96" s="1"/>
  <c r="AC47" i="96" a="1"/>
  <c r="AC47" i="96" s="1"/>
  <c r="AB47" i="96" a="1"/>
  <c r="AB47" i="96" s="1"/>
  <c r="AC46" i="96" a="1"/>
  <c r="AC46" i="96" s="1"/>
  <c r="AB46" i="96" a="1"/>
  <c r="AB46" i="96" s="1"/>
  <c r="AE46" i="96" s="1"/>
  <c r="AH46" i="96" s="1"/>
  <c r="AI46" i="96" s="1"/>
  <c r="AJ46" i="96" s="1"/>
  <c r="AK46" i="96" s="1"/>
  <c r="AL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E39" i="96" s="1"/>
  <c r="AH39" i="96" s="1"/>
  <c r="AI39" i="96" s="1"/>
  <c r="AJ39" i="96" s="1"/>
  <c r="AK39" i="96" s="1"/>
  <c r="AL39" i="96" s="1"/>
  <c r="AC38" i="96" a="1"/>
  <c r="AC38" i="96" s="1"/>
  <c r="AB38" i="96" a="1"/>
  <c r="AB38" i="96" s="1"/>
  <c r="AC37" i="96" a="1"/>
  <c r="AC37" i="96" s="1"/>
  <c r="AB37" i="96" a="1"/>
  <c r="AB37" i="96" s="1"/>
  <c r="AE37" i="96" s="1"/>
  <c r="AH37" i="96" s="1"/>
  <c r="AI37" i="96" s="1"/>
  <c r="AJ37" i="96" s="1"/>
  <c r="AK37" i="96" s="1"/>
  <c r="AL37" i="96" s="1"/>
  <c r="AC36" i="96" a="1"/>
  <c r="AC36" i="96" s="1"/>
  <c r="AB36" i="96" a="1"/>
  <c r="AB36" i="96" s="1"/>
  <c r="AC35" i="96" a="1"/>
  <c r="AC35" i="96" s="1"/>
  <c r="AB35" i="96" a="1"/>
  <c r="AB35" i="96" s="1"/>
  <c r="AE35" i="96" s="1"/>
  <c r="AH35" i="96" s="1"/>
  <c r="AI35" i="96" s="1"/>
  <c r="AJ35" i="96" s="1"/>
  <c r="AK35" i="96" s="1"/>
  <c r="AL35" i="96" s="1"/>
  <c r="AC32" i="96" a="1"/>
  <c r="AC32" i="96" s="1"/>
  <c r="AB32" i="96" a="1"/>
  <c r="AB32" i="96" s="1"/>
  <c r="AC31" i="96" a="1"/>
  <c r="AC31" i="96" s="1"/>
  <c r="AB31" i="96" a="1"/>
  <c r="AB31" i="96" s="1"/>
  <c r="AE31" i="96" s="1"/>
  <c r="AH31" i="96" s="1"/>
  <c r="AI31" i="96" s="1"/>
  <c r="AJ31" i="96" s="1"/>
  <c r="AK31" i="96" s="1"/>
  <c r="AL31" i="96" s="1"/>
  <c r="AC30" i="96" a="1"/>
  <c r="AC30" i="96" s="1"/>
  <c r="AB30" i="96" a="1"/>
  <c r="AB30" i="96" s="1"/>
  <c r="AE30" i="96" s="1"/>
  <c r="AH30" i="96" s="1"/>
  <c r="AI30" i="96" s="1"/>
  <c r="AJ30" i="96" s="1"/>
  <c r="AK30" i="96" s="1"/>
  <c r="AL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E27" i="96" s="1"/>
  <c r="AH27" i="96" s="1"/>
  <c r="AI27" i="96" s="1"/>
  <c r="AJ27" i="96" s="1"/>
  <c r="AK27" i="96" s="1"/>
  <c r="AL27" i="96" s="1"/>
  <c r="AC24" i="96" a="1"/>
  <c r="AC24" i="96" s="1"/>
  <c r="AB24" i="96" a="1"/>
  <c r="AB24" i="96" s="1"/>
  <c r="AE24" i="96" s="1"/>
  <c r="AH24" i="96" s="1"/>
  <c r="AI24" i="96" s="1"/>
  <c r="AJ24" i="96" s="1"/>
  <c r="AK24" i="96" s="1"/>
  <c r="AL24" i="96" s="1"/>
  <c r="AC23" i="96" a="1"/>
  <c r="AC23" i="96" s="1"/>
  <c r="AB23" i="96" a="1"/>
  <c r="AB23" i="96" s="1"/>
  <c r="AE23" i="96" s="1"/>
  <c r="AH23" i="96" s="1"/>
  <c r="AI23" i="96" s="1"/>
  <c r="AJ23" i="96" s="1"/>
  <c r="AK23" i="96" s="1"/>
  <c r="AL23" i="96" s="1"/>
  <c r="AC22" i="96" a="1"/>
  <c r="AC22" i="96" s="1"/>
  <c r="AB22" i="96" a="1"/>
  <c r="AB22" i="96" s="1"/>
  <c r="AC21" i="96" a="1"/>
  <c r="AC21" i="96" s="1"/>
  <c r="AB21" i="96" a="1"/>
  <c r="AB21" i="96" s="1"/>
  <c r="AE21" i="96" s="1"/>
  <c r="AH21" i="96" s="1"/>
  <c r="AI21" i="96" s="1"/>
  <c r="AJ21" i="96" s="1"/>
  <c r="AK21" i="96" s="1"/>
  <c r="AL21" i="96" s="1"/>
  <c r="AC20" i="96" a="1"/>
  <c r="AC20" i="96" s="1"/>
  <c r="AB20" i="96" a="1"/>
  <c r="AB20" i="96" s="1"/>
  <c r="AE20" i="96" s="1"/>
  <c r="AH20" i="96" s="1"/>
  <c r="AI20" i="96" s="1"/>
  <c r="AJ20" i="96" s="1"/>
  <c r="AK20" i="96" s="1"/>
  <c r="AL20" i="96" s="1"/>
  <c r="AC19" i="96" a="1"/>
  <c r="AC19" i="96" s="1"/>
  <c r="AB19" i="96" a="1"/>
  <c r="AB19" i="96" s="1"/>
  <c r="AE19" i="96" s="1"/>
  <c r="AH19" i="96" s="1"/>
  <c r="AI19" i="96" s="1"/>
  <c r="AJ19" i="96" s="1"/>
  <c r="AK19" i="96" s="1"/>
  <c r="AL19" i="96" s="1"/>
  <c r="AC14" i="96" a="1"/>
  <c r="AC14" i="96" s="1"/>
  <c r="AB14" i="96" a="1"/>
  <c r="AB14" i="96" s="1"/>
  <c r="AE14" i="96" s="1"/>
  <c r="AH14" i="96" s="1"/>
  <c r="AI14" i="96" s="1"/>
  <c r="AJ14" i="96" s="1"/>
  <c r="AK14" i="96" s="1"/>
  <c r="AL14" i="96" s="1"/>
  <c r="AC13" i="96" a="1"/>
  <c r="AC13" i="96" s="1"/>
  <c r="AB13" i="96" a="1"/>
  <c r="AB13" i="96" s="1"/>
  <c r="AE13" i="96" s="1"/>
  <c r="AH13" i="96" s="1"/>
  <c r="AI13" i="96" s="1"/>
  <c r="AJ13" i="96" s="1"/>
  <c r="AK13" i="96" s="1"/>
  <c r="AL13" i="96" s="1"/>
  <c r="AC12" i="96" a="1"/>
  <c r="AC12" i="96" s="1"/>
  <c r="AB12" i="96" a="1"/>
  <c r="AB12" i="96" s="1"/>
  <c r="AE12" i="96" s="1"/>
  <c r="AH12" i="96" s="1"/>
  <c r="AI12" i="96" s="1"/>
  <c r="AJ12" i="96" s="1"/>
  <c r="AK12" i="96" s="1"/>
  <c r="AL12" i="96" s="1"/>
  <c r="AC11" i="96" a="1"/>
  <c r="AC11" i="96" s="1"/>
  <c r="AB11" i="96" a="1"/>
  <c r="AB11" i="96" s="1"/>
  <c r="AE11" i="96" s="1"/>
  <c r="AH11" i="96" s="1"/>
  <c r="AI11" i="96" s="1"/>
  <c r="AJ11" i="96" s="1"/>
  <c r="AK11" i="96" s="1"/>
  <c r="AL11" i="96" s="1"/>
  <c r="AC10" i="96" a="1"/>
  <c r="AC10" i="96" s="1"/>
  <c r="AB10" i="96" a="1"/>
  <c r="AB10" i="96" s="1"/>
  <c r="AC9" i="96" a="1"/>
  <c r="AC9" i="96" s="1"/>
  <c r="AB9" i="96" a="1"/>
  <c r="AB9" i="96" s="1"/>
  <c r="AE250" i="96"/>
  <c r="AH250" i="96" s="1"/>
  <c r="AI250" i="96" s="1"/>
  <c r="AJ250" i="96" s="1"/>
  <c r="AK250" i="96" s="1"/>
  <c r="AL250" i="96" s="1"/>
  <c r="AE249" i="96"/>
  <c r="AH249" i="96" s="1"/>
  <c r="AI249" i="96" s="1"/>
  <c r="AJ249" i="96" s="1"/>
  <c r="AK249" i="96" s="1"/>
  <c r="AL249" i="96" s="1"/>
  <c r="AE247" i="96"/>
  <c r="AH247" i="96" s="1"/>
  <c r="AI247" i="96" s="1"/>
  <c r="AJ247" i="96" s="1"/>
  <c r="AK247" i="96" s="1"/>
  <c r="AL247" i="96" s="1"/>
  <c r="AE245" i="96"/>
  <c r="AH245" i="96" s="1"/>
  <c r="AI245" i="96" s="1"/>
  <c r="AJ245" i="96" s="1"/>
  <c r="AK245" i="96" s="1"/>
  <c r="AL245" i="96" s="1"/>
  <c r="AE244" i="96"/>
  <c r="AH244" i="96" s="1"/>
  <c r="AI244" i="96" s="1"/>
  <c r="AJ244" i="96" s="1"/>
  <c r="AK244" i="96" s="1"/>
  <c r="AL244" i="96" s="1"/>
  <c r="AE241" i="96"/>
  <c r="AH241" i="96" s="1"/>
  <c r="AI241" i="96" s="1"/>
  <c r="AJ241" i="96" s="1"/>
  <c r="AK241" i="96" s="1"/>
  <c r="AL241" i="96" s="1"/>
  <c r="AE239" i="96"/>
  <c r="AH239" i="96" s="1"/>
  <c r="AI239" i="96" s="1"/>
  <c r="AJ239" i="96" s="1"/>
  <c r="AK239" i="96" s="1"/>
  <c r="AL239" i="96" s="1"/>
  <c r="AE230" i="96"/>
  <c r="AH230" i="96" s="1"/>
  <c r="AI230" i="96" s="1"/>
  <c r="AJ230" i="96" s="1"/>
  <c r="AK230" i="96" s="1"/>
  <c r="AL230" i="96" s="1"/>
  <c r="AA230" i="96"/>
  <c r="AE229" i="96"/>
  <c r="AH229" i="96" s="1"/>
  <c r="AI229" i="96" s="1"/>
  <c r="AJ229" i="96" s="1"/>
  <c r="AK229" i="96" s="1"/>
  <c r="AL229" i="96" s="1"/>
  <c r="AA229" i="96"/>
  <c r="AE228" i="96"/>
  <c r="AH228" i="96" s="1"/>
  <c r="AI228" i="96" s="1"/>
  <c r="AJ228" i="96" s="1"/>
  <c r="AK228" i="96" s="1"/>
  <c r="AL228" i="96" s="1"/>
  <c r="AA228" i="96"/>
  <c r="AE227" i="96"/>
  <c r="AH227" i="96" s="1"/>
  <c r="AI227" i="96" s="1"/>
  <c r="AJ227" i="96" s="1"/>
  <c r="AK227" i="96" s="1"/>
  <c r="AL227" i="96" s="1"/>
  <c r="AE226" i="96"/>
  <c r="AH226" i="96" s="1"/>
  <c r="AI226" i="96" s="1"/>
  <c r="AJ226" i="96" s="1"/>
  <c r="AK226" i="96" s="1"/>
  <c r="AL226" i="96" s="1"/>
  <c r="AE225" i="96"/>
  <c r="AH225" i="96" s="1"/>
  <c r="AI225" i="96" s="1"/>
  <c r="AJ225" i="96" s="1"/>
  <c r="AK225" i="96" s="1"/>
  <c r="AL225" i="96" s="1"/>
  <c r="AE224" i="96"/>
  <c r="AH224" i="96" s="1"/>
  <c r="AI224" i="96" s="1"/>
  <c r="AJ224" i="96" s="1"/>
  <c r="AK224" i="96" s="1"/>
  <c r="AL224" i="96" s="1"/>
  <c r="AE223" i="96"/>
  <c r="AH223" i="96" s="1"/>
  <c r="AI223" i="96" s="1"/>
  <c r="AJ223" i="96" s="1"/>
  <c r="AK223" i="96" s="1"/>
  <c r="AL223" i="96" s="1"/>
  <c r="AE222" i="96"/>
  <c r="AH222" i="96" s="1"/>
  <c r="AI222" i="96" s="1"/>
  <c r="AJ222" i="96" s="1"/>
  <c r="AK222" i="96" s="1"/>
  <c r="AL222" i="96" s="1"/>
  <c r="AE212" i="96"/>
  <c r="AH212" i="96" s="1"/>
  <c r="AI212" i="96" s="1"/>
  <c r="AJ212" i="96" s="1"/>
  <c r="AK212" i="96" s="1"/>
  <c r="AL212" i="96" s="1"/>
  <c r="AE210" i="96"/>
  <c r="AH210" i="96" s="1"/>
  <c r="AI210" i="96" s="1"/>
  <c r="AJ210" i="96" s="1"/>
  <c r="AK210" i="96" s="1"/>
  <c r="AL210" i="96" s="1"/>
  <c r="AE202" i="96"/>
  <c r="AH202" i="96" s="1"/>
  <c r="AI202" i="96" s="1"/>
  <c r="AJ202" i="96" s="1"/>
  <c r="AK202" i="96" s="1"/>
  <c r="AL202" i="96" s="1"/>
  <c r="AE188" i="96"/>
  <c r="AH188" i="96" s="1"/>
  <c r="AI188" i="96" s="1"/>
  <c r="AJ188" i="96" s="1"/>
  <c r="AK188" i="96" s="1"/>
  <c r="AL188" i="96" s="1"/>
  <c r="AE178" i="96"/>
  <c r="AH178" i="96" s="1"/>
  <c r="AI178" i="96" s="1"/>
  <c r="AJ178" i="96" s="1"/>
  <c r="AK178" i="96" s="1"/>
  <c r="AL178" i="96" s="1"/>
  <c r="AE168" i="96"/>
  <c r="AH168" i="96" s="1"/>
  <c r="AI168" i="96" s="1"/>
  <c r="AJ168" i="96" s="1"/>
  <c r="AK168" i="96" s="1"/>
  <c r="AL168" i="96" s="1"/>
  <c r="AE167" i="96"/>
  <c r="AH167" i="96" s="1"/>
  <c r="AI167" i="96" s="1"/>
  <c r="AJ167" i="96" s="1"/>
  <c r="AK167" i="96" s="1"/>
  <c r="AL167" i="96" s="1"/>
  <c r="AE157" i="96"/>
  <c r="AH157" i="96" s="1"/>
  <c r="AI157" i="96" s="1"/>
  <c r="AJ157" i="96" s="1"/>
  <c r="AK157" i="96" s="1"/>
  <c r="AL157" i="96" s="1"/>
  <c r="AE145" i="96"/>
  <c r="AH145" i="96" s="1"/>
  <c r="AI145" i="96" s="1"/>
  <c r="AJ145" i="96" s="1"/>
  <c r="AK145" i="96" s="1"/>
  <c r="AL145" i="96" s="1"/>
  <c r="AE135" i="96"/>
  <c r="AH135" i="96" s="1"/>
  <c r="AI135" i="96" s="1"/>
  <c r="AJ135" i="96" s="1"/>
  <c r="AK135" i="96" s="1"/>
  <c r="AL135" i="96" s="1"/>
  <c r="AE116" i="96"/>
  <c r="AH116" i="96" s="1"/>
  <c r="AI116" i="96" s="1"/>
  <c r="AJ116" i="96" s="1"/>
  <c r="AK116" i="96" s="1"/>
  <c r="AL116" i="96" s="1"/>
  <c r="AE106" i="96"/>
  <c r="AH106" i="96" s="1"/>
  <c r="AI106" i="96" s="1"/>
  <c r="AJ106" i="96" s="1"/>
  <c r="AK106" i="96" s="1"/>
  <c r="AL106" i="96" s="1"/>
  <c r="AE94" i="96"/>
  <c r="AH94" i="96" s="1"/>
  <c r="AI94" i="96" s="1"/>
  <c r="AJ94" i="96" s="1"/>
  <c r="AK94" i="96" s="1"/>
  <c r="AL94" i="96" s="1"/>
  <c r="AE93" i="96"/>
  <c r="AH93" i="96" s="1"/>
  <c r="AI93" i="96" s="1"/>
  <c r="AJ93" i="96" s="1"/>
  <c r="AK93" i="96" s="1"/>
  <c r="AL93" i="96" s="1"/>
  <c r="AE92" i="96"/>
  <c r="AH92" i="96" s="1"/>
  <c r="AI92" i="96" s="1"/>
  <c r="AJ92" i="96" s="1"/>
  <c r="AK92" i="96" s="1"/>
  <c r="AL92" i="96" s="1"/>
  <c r="AE91" i="96"/>
  <c r="AH91" i="96" s="1"/>
  <c r="AI91" i="96" s="1"/>
  <c r="AJ91" i="96" s="1"/>
  <c r="AK91" i="96" s="1"/>
  <c r="AL91" i="96" s="1"/>
  <c r="AE82" i="96"/>
  <c r="AH82" i="96" s="1"/>
  <c r="AI82" i="96" s="1"/>
  <c r="AJ82" i="96" s="1"/>
  <c r="AK82" i="96" s="1"/>
  <c r="AL82" i="96" s="1"/>
  <c r="AE74" i="96"/>
  <c r="AH74" i="96" s="1"/>
  <c r="AI74" i="96" s="1"/>
  <c r="AJ74" i="96" s="1"/>
  <c r="AK74" i="96" s="1"/>
  <c r="AL74" i="96" s="1"/>
  <c r="AA74" i="96"/>
  <c r="AE73" i="96"/>
  <c r="AH73" i="96" s="1"/>
  <c r="AI73" i="96" s="1"/>
  <c r="AJ73" i="96" s="1"/>
  <c r="AK73" i="96" s="1"/>
  <c r="AL73" i="96" s="1"/>
  <c r="AA73" i="96"/>
  <c r="AE72" i="96"/>
  <c r="AH72" i="96" s="1"/>
  <c r="AI72" i="96" s="1"/>
  <c r="AJ72" i="96" s="1"/>
  <c r="AK72" i="96" s="1"/>
  <c r="AL72" i="96" s="1"/>
  <c r="AA72" i="96"/>
  <c r="AE64" i="96"/>
  <c r="AH64" i="96" s="1"/>
  <c r="AI64" i="96" s="1"/>
  <c r="AJ64" i="96" s="1"/>
  <c r="AK64" i="96" s="1"/>
  <c r="AL64" i="96" s="1"/>
  <c r="AA64" i="96"/>
  <c r="AE63" i="96"/>
  <c r="AH63" i="96" s="1"/>
  <c r="AI63" i="96" s="1"/>
  <c r="AJ63" i="96" s="1"/>
  <c r="AK63" i="96" s="1"/>
  <c r="AL63" i="96" s="1"/>
  <c r="AA63" i="96"/>
  <c r="AE52" i="96"/>
  <c r="AH52" i="96" s="1"/>
  <c r="AI52" i="96" s="1"/>
  <c r="AJ52" i="96" s="1"/>
  <c r="AK52" i="96" s="1"/>
  <c r="AL52" i="96" s="1"/>
  <c r="AA52" i="96"/>
  <c r="AE51" i="96"/>
  <c r="AH51" i="96" s="1"/>
  <c r="AI51" i="96" s="1"/>
  <c r="AJ51" i="96" s="1"/>
  <c r="AK51" i="96" s="1"/>
  <c r="AL51" i="96" s="1"/>
  <c r="AA51" i="96"/>
  <c r="AE41" i="96"/>
  <c r="AH41" i="96" s="1"/>
  <c r="AI41" i="96" s="1"/>
  <c r="AJ41" i="96" s="1"/>
  <c r="AK41" i="96" s="1"/>
  <c r="AL41" i="96" s="1"/>
  <c r="AA41" i="96"/>
  <c r="AE34" i="96"/>
  <c r="AH34" i="96" s="1"/>
  <c r="AI34" i="96" s="1"/>
  <c r="AJ34" i="96" s="1"/>
  <c r="AK34" i="96" s="1"/>
  <c r="AL34" i="96" s="1"/>
  <c r="AE33" i="96"/>
  <c r="AH33" i="96" s="1"/>
  <c r="AI33" i="96" s="1"/>
  <c r="AJ33" i="96" s="1"/>
  <c r="AK33" i="96" s="1"/>
  <c r="AL33" i="96" s="1"/>
  <c r="AE26" i="96"/>
  <c r="AH26" i="96" s="1"/>
  <c r="AI26" i="96" s="1"/>
  <c r="AJ26" i="96" s="1"/>
  <c r="AK26" i="96" s="1"/>
  <c r="AL26" i="96" s="1"/>
  <c r="AE25" i="96"/>
  <c r="AH25" i="96" s="1"/>
  <c r="AI25" i="96" s="1"/>
  <c r="AJ25" i="96" s="1"/>
  <c r="AK25" i="96" s="1"/>
  <c r="AL25" i="96" s="1"/>
  <c r="AE18" i="96"/>
  <c r="AH18" i="96" s="1"/>
  <c r="AI18" i="96" s="1"/>
  <c r="AJ18" i="96" s="1"/>
  <c r="AK18" i="96" s="1"/>
  <c r="AL18" i="96" s="1"/>
  <c r="AE17" i="96"/>
  <c r="AH17" i="96" s="1"/>
  <c r="AI17" i="96" s="1"/>
  <c r="AJ17" i="96" s="1"/>
  <c r="AK17" i="96" s="1"/>
  <c r="AL17" i="96" s="1"/>
  <c r="AE16" i="96"/>
  <c r="AH16" i="96" s="1"/>
  <c r="AI16" i="96" s="1"/>
  <c r="AJ16" i="96" s="1"/>
  <c r="AK16" i="96" s="1"/>
  <c r="AL16" i="96" s="1"/>
  <c r="AE15" i="96"/>
  <c r="AH15" i="96" s="1"/>
  <c r="AI15" i="96" s="1"/>
  <c r="AJ15" i="96" s="1"/>
  <c r="AK15" i="96" s="1"/>
  <c r="AL15" i="96" s="1"/>
  <c r="AE8" i="96"/>
  <c r="AH8" i="96" s="1"/>
  <c r="AI8" i="96" s="1"/>
  <c r="AJ8" i="96" s="1"/>
  <c r="AK8" i="96" s="1"/>
  <c r="AL8" i="96" s="1"/>
  <c r="AA8" i="96"/>
  <c r="AE7" i="96"/>
  <c r="AH7" i="96" s="1"/>
  <c r="AI7" i="96" s="1"/>
  <c r="AJ7" i="96" s="1"/>
  <c r="AK7" i="96" s="1"/>
  <c r="AL7" i="96" s="1"/>
  <c r="AA7" i="96"/>
  <c r="AE6" i="96"/>
  <c r="AH6" i="96" s="1"/>
  <c r="AI6" i="96" s="1"/>
  <c r="AJ6" i="96" s="1"/>
  <c r="AK6" i="96" s="1"/>
  <c r="AL6" i="96" s="1"/>
  <c r="AA6" i="96"/>
  <c r="AE5" i="96"/>
  <c r="AH5" i="96" s="1"/>
  <c r="AI5" i="96" s="1"/>
  <c r="AJ5" i="96" s="1"/>
  <c r="AK5" i="96" s="1"/>
  <c r="AL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E303" i="103" s="1"/>
  <c r="AH303" i="103" s="1"/>
  <c r="AI303" i="103" s="1"/>
  <c r="AJ303" i="103" s="1"/>
  <c r="AK303" i="103" s="1"/>
  <c r="AL303" i="103" s="1"/>
  <c r="AC302" i="103" a="1"/>
  <c r="AC302" i="103" s="1"/>
  <c r="AC301" i="103" a="1"/>
  <c r="AC301" i="103" s="1"/>
  <c r="AE301" i="103" s="1"/>
  <c r="AH301" i="103" s="1"/>
  <c r="AI301" i="103" s="1"/>
  <c r="AJ301" i="103" s="1"/>
  <c r="AK301" i="103" s="1"/>
  <c r="AL301" i="103" s="1"/>
  <c r="AC300" i="103" a="1"/>
  <c r="AC300" i="103" s="1"/>
  <c r="AC299" i="103" a="1"/>
  <c r="AC299" i="103" s="1"/>
  <c r="AE299" i="103" s="1"/>
  <c r="AH299" i="103" s="1"/>
  <c r="AI299" i="103" s="1"/>
  <c r="AJ299" i="103" s="1"/>
  <c r="AK299" i="103" s="1"/>
  <c r="AL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E282" i="103" s="1"/>
  <c r="AH282" i="103" s="1"/>
  <c r="AI282" i="103" s="1"/>
  <c r="AJ282" i="103" s="1"/>
  <c r="AK282" i="103" s="1"/>
  <c r="AL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E273" i="103" s="1"/>
  <c r="AH273" i="103" s="1"/>
  <c r="AI273" i="103" s="1"/>
  <c r="AJ273" i="103" s="1"/>
  <c r="AK273" i="103" s="1"/>
  <c r="AL273" i="103" s="1"/>
  <c r="AC272" i="103" a="1"/>
  <c r="AC272" i="103" s="1"/>
  <c r="AB272" i="103" a="1"/>
  <c r="AB272" i="103" s="1"/>
  <c r="AC271" i="103" a="1"/>
  <c r="AC271" i="103" s="1"/>
  <c r="AB271" i="103" a="1"/>
  <c r="AB271" i="103" s="1"/>
  <c r="AE271" i="103" s="1"/>
  <c r="AH271" i="103" s="1"/>
  <c r="AI271" i="103" s="1"/>
  <c r="AJ271" i="103" s="1"/>
  <c r="AK271" i="103" s="1"/>
  <c r="AL271" i="103" s="1"/>
  <c r="AC270" i="103" a="1"/>
  <c r="AC270" i="103" s="1"/>
  <c r="AB270" i="103" a="1"/>
  <c r="AB270" i="103" s="1"/>
  <c r="AC269" i="103" a="1"/>
  <c r="AC269" i="103" s="1"/>
  <c r="AB269" i="103" a="1"/>
  <c r="AB269" i="103" s="1"/>
  <c r="AE269" i="103" s="1"/>
  <c r="AH269" i="103" s="1"/>
  <c r="AI269" i="103" s="1"/>
  <c r="AJ269" i="103" s="1"/>
  <c r="AK269" i="103" s="1"/>
  <c r="AL269" i="103" s="1"/>
  <c r="AC268" i="103" a="1"/>
  <c r="AC268" i="103" s="1"/>
  <c r="AB268" i="103" a="1"/>
  <c r="AB268" i="103" s="1"/>
  <c r="AC267" i="103" a="1"/>
  <c r="AC267" i="103" s="1"/>
  <c r="AB267" i="103" a="1"/>
  <c r="AB267" i="103" s="1"/>
  <c r="AE267" i="103" s="1"/>
  <c r="AH267" i="103" s="1"/>
  <c r="AI267" i="103" s="1"/>
  <c r="AJ267" i="103" s="1"/>
  <c r="AK267" i="103" s="1"/>
  <c r="AL267" i="103" s="1"/>
  <c r="AC266" i="103" a="1"/>
  <c r="AC266" i="103" s="1"/>
  <c r="AB266" i="103" a="1"/>
  <c r="AB266" i="103" s="1"/>
  <c r="AC265" i="103" a="1"/>
  <c r="AC265" i="103" s="1"/>
  <c r="AB265" i="103" a="1"/>
  <c r="AB265" i="103" s="1"/>
  <c r="AE265" i="103" s="1"/>
  <c r="AH265" i="103" s="1"/>
  <c r="AI265" i="103" s="1"/>
  <c r="AJ265" i="103" s="1"/>
  <c r="AK265" i="103" s="1"/>
  <c r="AL265" i="103" s="1"/>
  <c r="AC264" i="103" a="1"/>
  <c r="AC264" i="103" s="1"/>
  <c r="AB264" i="103" a="1"/>
  <c r="AB264" i="103" s="1"/>
  <c r="AC263" i="103" a="1"/>
  <c r="AC263" i="103" s="1"/>
  <c r="AB263" i="103" a="1"/>
  <c r="AB263" i="103" s="1"/>
  <c r="AE263" i="103" s="1"/>
  <c r="AH263" i="103" s="1"/>
  <c r="AI263" i="103" s="1"/>
  <c r="AJ263" i="103" s="1"/>
  <c r="AK263" i="103" s="1"/>
  <c r="AL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E258" i="103" s="1"/>
  <c r="AH258" i="103" s="1"/>
  <c r="AI258" i="103" s="1"/>
  <c r="AJ258" i="103" s="1"/>
  <c r="AK258" i="103" s="1"/>
  <c r="AL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E253" i="103" s="1"/>
  <c r="AH253" i="103" s="1"/>
  <c r="AI253" i="103" s="1"/>
  <c r="AJ253" i="103" s="1"/>
  <c r="AK253" i="103" s="1"/>
  <c r="AL253" i="103" s="1"/>
  <c r="AC252" i="103" a="1"/>
  <c r="AC252" i="103" s="1"/>
  <c r="AB252" i="103" a="1"/>
  <c r="AB252" i="103" s="1"/>
  <c r="AE252" i="103" s="1"/>
  <c r="AH252" i="103" s="1"/>
  <c r="AI252" i="103" s="1"/>
  <c r="AJ252" i="103" s="1"/>
  <c r="AK252" i="103" s="1"/>
  <c r="AL252" i="103" s="1"/>
  <c r="AC251" i="103" a="1"/>
  <c r="AC251" i="103" s="1"/>
  <c r="AB251" i="103" a="1"/>
  <c r="AB251" i="103" s="1"/>
  <c r="AC250" i="103" a="1"/>
  <c r="AC250" i="103" s="1"/>
  <c r="AB250" i="103" a="1"/>
  <c r="AB250" i="103" s="1"/>
  <c r="AE250" i="103" s="1"/>
  <c r="AH250" i="103" s="1"/>
  <c r="AI250" i="103" s="1"/>
  <c r="AJ250" i="103" s="1"/>
  <c r="AK250" i="103" s="1"/>
  <c r="AL250" i="103" s="1"/>
  <c r="AC249" i="103" a="1"/>
  <c r="AC249" i="103" s="1"/>
  <c r="AB249" i="103" a="1"/>
  <c r="AB249" i="103" s="1"/>
  <c r="AE249" i="103" s="1"/>
  <c r="AH249" i="103" s="1"/>
  <c r="AI249" i="103" s="1"/>
  <c r="AJ249" i="103" s="1"/>
  <c r="AK249" i="103" s="1"/>
  <c r="AL249" i="103" s="1"/>
  <c r="AC248" i="103" a="1"/>
  <c r="AC248" i="103" s="1"/>
  <c r="AB248" i="103" a="1"/>
  <c r="AB248" i="103" s="1"/>
  <c r="AE248" i="103" s="1"/>
  <c r="AH248" i="103" s="1"/>
  <c r="AI248" i="103" s="1"/>
  <c r="AJ248" i="103" s="1"/>
  <c r="AK248" i="103" s="1"/>
  <c r="AL248" i="103" s="1"/>
  <c r="AC247" i="103" a="1"/>
  <c r="AC247" i="103" s="1"/>
  <c r="AB247" i="103" a="1"/>
  <c r="AB247" i="103" s="1"/>
  <c r="AC246" i="103" a="1"/>
  <c r="AC246" i="103" s="1"/>
  <c r="AB246" i="103" a="1"/>
  <c r="AB246" i="103" s="1"/>
  <c r="AE246" i="103" s="1"/>
  <c r="AH246" i="103" s="1"/>
  <c r="AI246" i="103" s="1"/>
  <c r="AJ246" i="103" s="1"/>
  <c r="AK246" i="103" s="1"/>
  <c r="AL246" i="103" s="1"/>
  <c r="AC245" i="103" a="1"/>
  <c r="AC245" i="103" s="1"/>
  <c r="AB245" i="103" a="1"/>
  <c r="AB245" i="103" s="1"/>
  <c r="AE245" i="103" s="1"/>
  <c r="AH245" i="103" s="1"/>
  <c r="AI245" i="103" s="1"/>
  <c r="AJ245" i="103" s="1"/>
  <c r="AK245" i="103" s="1"/>
  <c r="AL245" i="103" s="1"/>
  <c r="AC244" i="103" a="1"/>
  <c r="AC244" i="103" s="1"/>
  <c r="AB244" i="103" a="1"/>
  <c r="AB244" i="103" s="1"/>
  <c r="AE244" i="103" s="1"/>
  <c r="AH244" i="103" s="1"/>
  <c r="AI244" i="103" s="1"/>
  <c r="AJ244" i="103" s="1"/>
  <c r="AK244" i="103" s="1"/>
  <c r="AL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E241" i="103" s="1"/>
  <c r="AH241" i="103" s="1"/>
  <c r="AI241" i="103" s="1"/>
  <c r="AJ241" i="103" s="1"/>
  <c r="AK241" i="103" s="1"/>
  <c r="AL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E237" i="103" s="1"/>
  <c r="AH237" i="103" s="1"/>
  <c r="AI237" i="103" s="1"/>
  <c r="AJ237" i="103" s="1"/>
  <c r="AK237" i="103" s="1"/>
  <c r="AL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E233" i="103" s="1"/>
  <c r="AH233" i="103" s="1"/>
  <c r="AI233" i="103" s="1"/>
  <c r="AJ233" i="103" s="1"/>
  <c r="AK233" i="103" s="1"/>
  <c r="AL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E228" i="103" s="1"/>
  <c r="AH228" i="103" s="1"/>
  <c r="AI228" i="103" s="1"/>
  <c r="AJ228" i="103" s="1"/>
  <c r="AK228" i="103" s="1"/>
  <c r="AL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E225" i="103" s="1"/>
  <c r="AH225" i="103" s="1"/>
  <c r="AI225" i="103" s="1"/>
  <c r="AJ225" i="103" s="1"/>
  <c r="AK225" i="103" s="1"/>
  <c r="AL225" i="103" s="1"/>
  <c r="AC224" i="103" a="1"/>
  <c r="AC224" i="103" s="1"/>
  <c r="AB224" i="103" a="1"/>
  <c r="AB224" i="103" s="1"/>
  <c r="AE224" i="103" s="1"/>
  <c r="AH224" i="103" s="1"/>
  <c r="AI224" i="103" s="1"/>
  <c r="AJ224" i="103" s="1"/>
  <c r="AK224" i="103" s="1"/>
  <c r="AL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E219" i="103" s="1"/>
  <c r="AH219" i="103" s="1"/>
  <c r="AI219" i="103" s="1"/>
  <c r="AJ219" i="103" s="1"/>
  <c r="AK219" i="103" s="1"/>
  <c r="AL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E215" i="103" s="1"/>
  <c r="AH215" i="103" s="1"/>
  <c r="AI215" i="103" s="1"/>
  <c r="AJ215" i="103" s="1"/>
  <c r="AK215" i="103" s="1"/>
  <c r="AL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E180" i="103" s="1"/>
  <c r="AH180" i="103" s="1"/>
  <c r="AI180" i="103" s="1"/>
  <c r="AJ180" i="103" s="1"/>
  <c r="AK180" i="103" s="1"/>
  <c r="AL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E178" i="103" s="1"/>
  <c r="AH178" i="103" s="1"/>
  <c r="AI178" i="103" s="1"/>
  <c r="AJ178" i="103" s="1"/>
  <c r="AK178" i="103" s="1"/>
  <c r="AL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E174" i="103" s="1"/>
  <c r="AH174" i="103" s="1"/>
  <c r="AI174" i="103" s="1"/>
  <c r="AJ174" i="103" s="1"/>
  <c r="AK174" i="103" s="1"/>
  <c r="AL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E161" i="103" s="1"/>
  <c r="AH161" i="103" s="1"/>
  <c r="AI161" i="103" s="1"/>
  <c r="AJ161" i="103" s="1"/>
  <c r="AK161" i="103" s="1"/>
  <c r="AL161" i="103" s="1"/>
  <c r="AC160" i="103" a="1"/>
  <c r="AC160" i="103" s="1"/>
  <c r="AB160" i="103" a="1"/>
  <c r="AB160" i="103" s="1"/>
  <c r="AC159" i="103" a="1"/>
  <c r="AC159" i="103" s="1"/>
  <c r="AB159" i="103" a="1"/>
  <c r="AB159" i="103" s="1"/>
  <c r="AE159" i="103" s="1"/>
  <c r="AH159" i="103" s="1"/>
  <c r="AI159" i="103" s="1"/>
  <c r="AJ159" i="103" s="1"/>
  <c r="AK159" i="103" s="1"/>
  <c r="AL159" i="103" s="1"/>
  <c r="AC158" i="103" a="1"/>
  <c r="AC158" i="103" s="1"/>
  <c r="AB158" i="103" a="1"/>
  <c r="AB158" i="103" s="1"/>
  <c r="AC157" i="103" a="1"/>
  <c r="AC157" i="103" s="1"/>
  <c r="AB157" i="103" a="1"/>
  <c r="AB157" i="103" s="1"/>
  <c r="AE157" i="103" s="1"/>
  <c r="AH157" i="103" s="1"/>
  <c r="AI157" i="103" s="1"/>
  <c r="AJ157" i="103" s="1"/>
  <c r="AK157" i="103" s="1"/>
  <c r="AL157" i="103" s="1"/>
  <c r="AC156" i="103" a="1"/>
  <c r="AC156" i="103" s="1"/>
  <c r="AB156" i="103" a="1"/>
  <c r="AB156" i="103" s="1"/>
  <c r="AC155" i="103" a="1"/>
  <c r="AC155" i="103" s="1"/>
  <c r="AB155" i="103" a="1"/>
  <c r="AB155" i="103" s="1"/>
  <c r="AE155" i="103" s="1"/>
  <c r="AH155" i="103" s="1"/>
  <c r="AI155" i="103" s="1"/>
  <c r="AJ155" i="103" s="1"/>
  <c r="AK155" i="103" s="1"/>
  <c r="AL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E91" i="103" s="1"/>
  <c r="AH91" i="103" s="1"/>
  <c r="AI91" i="103" s="1"/>
  <c r="AJ91" i="103" s="1"/>
  <c r="AK91" i="103" s="1"/>
  <c r="AL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E85" i="103" s="1"/>
  <c r="AH85" i="103" s="1"/>
  <c r="AI85" i="103" s="1"/>
  <c r="AJ85" i="103" s="1"/>
  <c r="AK85" i="103" s="1"/>
  <c r="AL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E79" i="103" s="1"/>
  <c r="AH79" i="103" s="1"/>
  <c r="AI79" i="103" s="1"/>
  <c r="AJ79" i="103" s="1"/>
  <c r="AK79" i="103" s="1"/>
  <c r="AL79" i="103" s="1"/>
  <c r="AC78" i="103" a="1"/>
  <c r="AC78" i="103" s="1"/>
  <c r="AB78" i="103" a="1"/>
  <c r="AB78" i="103" s="1"/>
  <c r="AE78" i="103" s="1"/>
  <c r="AH78" i="103" s="1"/>
  <c r="AI78" i="103" s="1"/>
  <c r="AJ78" i="103" s="1"/>
  <c r="AK78" i="103" s="1"/>
  <c r="AL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E74" i="103" s="1"/>
  <c r="AH74" i="103" s="1"/>
  <c r="AI74" i="103" s="1"/>
  <c r="AJ74" i="103" s="1"/>
  <c r="AK74" i="103" s="1"/>
  <c r="AL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E71" i="103" s="1"/>
  <c r="AH71" i="103" s="1"/>
  <c r="AI71" i="103" s="1"/>
  <c r="AJ71" i="103" s="1"/>
  <c r="AK71" i="103" s="1"/>
  <c r="AL71" i="103" s="1"/>
  <c r="AC70" i="103" a="1"/>
  <c r="AC70" i="103" s="1"/>
  <c r="AB70" i="103" a="1"/>
  <c r="AB70" i="103" s="1"/>
  <c r="AE70" i="103" s="1"/>
  <c r="AH70" i="103" s="1"/>
  <c r="AI70" i="103" s="1"/>
  <c r="AJ70" i="103" s="1"/>
  <c r="AK70" i="103" s="1"/>
  <c r="AL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E67" i="103" s="1"/>
  <c r="AH67" i="103" s="1"/>
  <c r="AI67" i="103" s="1"/>
  <c r="AJ67" i="103" s="1"/>
  <c r="AK67" i="103" s="1"/>
  <c r="AL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E63" i="103" s="1"/>
  <c r="AH63" i="103" s="1"/>
  <c r="AI63" i="103" s="1"/>
  <c r="AJ63" i="103" s="1"/>
  <c r="AK63" i="103" s="1"/>
  <c r="AL63" i="103" s="1"/>
  <c r="AC62" i="103" a="1"/>
  <c r="AC62" i="103" s="1"/>
  <c r="AB62" i="103" a="1"/>
  <c r="AB62" i="103" s="1"/>
  <c r="AE62" i="103" s="1"/>
  <c r="AH62" i="103" s="1"/>
  <c r="AI62" i="103" s="1"/>
  <c r="AJ62" i="103" s="1"/>
  <c r="AK62" i="103" s="1"/>
  <c r="AL62" i="103" s="1"/>
  <c r="AC61" i="103" a="1"/>
  <c r="AC61" i="103" s="1"/>
  <c r="AB61" i="103" a="1"/>
  <c r="AB61" i="103" s="1"/>
  <c r="AC60" i="103" a="1"/>
  <c r="AC60" i="103" s="1"/>
  <c r="AB60" i="103" a="1"/>
  <c r="AB60" i="103" s="1"/>
  <c r="AE60" i="103" s="1"/>
  <c r="AH60" i="103" s="1"/>
  <c r="AI60" i="103" s="1"/>
  <c r="AJ60" i="103" s="1"/>
  <c r="AK60" i="103" s="1"/>
  <c r="AL60" i="103" s="1"/>
  <c r="AC59" i="103" a="1"/>
  <c r="AC59" i="103" s="1"/>
  <c r="AB59" i="103" a="1"/>
  <c r="AB59" i="103" s="1"/>
  <c r="AE59" i="103" s="1"/>
  <c r="AH59" i="103" s="1"/>
  <c r="AI59" i="103" s="1"/>
  <c r="AJ59" i="103" s="1"/>
  <c r="AK59" i="103" s="1"/>
  <c r="AL59" i="103" s="1"/>
  <c r="AC58" i="103" a="1"/>
  <c r="AC58" i="103" s="1"/>
  <c r="AB58" i="103" a="1"/>
  <c r="AB58" i="103" s="1"/>
  <c r="AE58" i="103" s="1"/>
  <c r="AH58" i="103" s="1"/>
  <c r="AI58" i="103" s="1"/>
  <c r="AJ58" i="103" s="1"/>
  <c r="AK58" i="103" s="1"/>
  <c r="AL58" i="103" s="1"/>
  <c r="AC57" i="103" a="1"/>
  <c r="AC57" i="103" s="1"/>
  <c r="AB57" i="103" a="1"/>
  <c r="AB57" i="103" s="1"/>
  <c r="AE57" i="103" s="1"/>
  <c r="AH57" i="103" s="1"/>
  <c r="AI57" i="103" s="1"/>
  <c r="AJ57" i="103" s="1"/>
  <c r="AK57" i="103" s="1"/>
  <c r="AL57" i="103" s="1"/>
  <c r="AC56" i="103" a="1"/>
  <c r="AC56" i="103" s="1"/>
  <c r="AB56" i="103" a="1"/>
  <c r="AB56" i="103" s="1"/>
  <c r="AE56" i="103" s="1"/>
  <c r="AH56" i="103" s="1"/>
  <c r="AI56" i="103" s="1"/>
  <c r="AJ56" i="103" s="1"/>
  <c r="AK56" i="103" s="1"/>
  <c r="AL56" i="103" s="1"/>
  <c r="AC55" i="103" a="1"/>
  <c r="AC55" i="103" s="1"/>
  <c r="AB55" i="103" a="1"/>
  <c r="AB55" i="103" s="1"/>
  <c r="AE55" i="103" s="1"/>
  <c r="AH55" i="103" s="1"/>
  <c r="AI55" i="103" s="1"/>
  <c r="AJ55" i="103" s="1"/>
  <c r="AK55" i="103" s="1"/>
  <c r="AL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E52" i="103" s="1"/>
  <c r="AH52" i="103" s="1"/>
  <c r="AI52" i="103" s="1"/>
  <c r="AJ52" i="103" s="1"/>
  <c r="AK52" i="103" s="1"/>
  <c r="AL52" i="103" s="1"/>
  <c r="AB51" i="103" a="1"/>
  <c r="AB51" i="103" s="1"/>
  <c r="AC50" i="103" a="1"/>
  <c r="AC50" i="103" s="1"/>
  <c r="AB50" i="103" a="1"/>
  <c r="AB50" i="103" s="1"/>
  <c r="AE50" i="103" s="1"/>
  <c r="AH50" i="103" s="1"/>
  <c r="AI50" i="103" s="1"/>
  <c r="AJ50" i="103" s="1"/>
  <c r="AK50" i="103" s="1"/>
  <c r="AL50" i="103" s="1"/>
  <c r="AC49" i="103" a="1"/>
  <c r="AC49" i="103" s="1"/>
  <c r="AB49" i="103" a="1"/>
  <c r="AB49" i="103" s="1"/>
  <c r="AE49" i="103" s="1"/>
  <c r="AH49" i="103" s="1"/>
  <c r="AI49" i="103" s="1"/>
  <c r="AJ49" i="103" s="1"/>
  <c r="AK49" i="103" s="1"/>
  <c r="AL49" i="103" s="1"/>
  <c r="AC48" i="103" a="1"/>
  <c r="AC48" i="103" s="1"/>
  <c r="AB48" i="103" a="1"/>
  <c r="AB48" i="103" s="1"/>
  <c r="AC47" i="103" a="1"/>
  <c r="AC47" i="103" s="1"/>
  <c r="AB47" i="103" a="1"/>
  <c r="AB47" i="103" s="1"/>
  <c r="AE47" i="103" s="1"/>
  <c r="AH47" i="103" s="1"/>
  <c r="AI47" i="103" s="1"/>
  <c r="AJ47" i="103" s="1"/>
  <c r="AK47" i="103" s="1"/>
  <c r="AL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E44" i="103" s="1"/>
  <c r="AH44" i="103" s="1"/>
  <c r="AI44" i="103" s="1"/>
  <c r="AJ44" i="103" s="1"/>
  <c r="AK44" i="103" s="1"/>
  <c r="AL44" i="103" s="1"/>
  <c r="AC43" i="103" a="1"/>
  <c r="AC43" i="103" s="1"/>
  <c r="AB43" i="103" a="1"/>
  <c r="AB43" i="103" s="1"/>
  <c r="AC42" i="103" a="1"/>
  <c r="AC42" i="103" s="1"/>
  <c r="AB42" i="103" a="1"/>
  <c r="AB42" i="103" s="1"/>
  <c r="AE42" i="103" s="1"/>
  <c r="AH42" i="103" s="1"/>
  <c r="AI42" i="103" s="1"/>
  <c r="AJ42" i="103" s="1"/>
  <c r="AK42" i="103" s="1"/>
  <c r="AL42" i="103" s="1"/>
  <c r="AC41" i="103" a="1"/>
  <c r="AC41" i="103" s="1"/>
  <c r="AB41" i="103" a="1"/>
  <c r="AB41" i="103" s="1"/>
  <c r="AC40" i="103" a="1"/>
  <c r="AC40" i="103" s="1"/>
  <c r="AB40" i="103" a="1"/>
  <c r="AB40" i="103" s="1"/>
  <c r="AE40" i="103" s="1"/>
  <c r="AH40" i="103" s="1"/>
  <c r="AI40" i="103" s="1"/>
  <c r="AJ40" i="103" s="1"/>
  <c r="AK40" i="103" s="1"/>
  <c r="AL40" i="103" s="1"/>
  <c r="AC39" i="103" a="1"/>
  <c r="AC39" i="103" s="1"/>
  <c r="AB39" i="103" a="1"/>
  <c r="AB39" i="103" s="1"/>
  <c r="AC38" i="103" a="1"/>
  <c r="AC38" i="103" s="1"/>
  <c r="AB38" i="103" a="1"/>
  <c r="AB38" i="103" s="1"/>
  <c r="AE38" i="103" s="1"/>
  <c r="AH38" i="103" s="1"/>
  <c r="AI38" i="103" s="1"/>
  <c r="AJ38" i="103" s="1"/>
  <c r="AK38" i="103" s="1"/>
  <c r="AL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/>
  <c r="AC35" i="103" a="1"/>
  <c r="AB35" i="103" a="1"/>
  <c r="AB35" i="103" s="1"/>
  <c r="AC34" i="103" a="1"/>
  <c r="AC34" i="103" s="1"/>
  <c r="AB34" i="103" a="1"/>
  <c r="AB34" i="103" s="1"/>
  <c r="AE34" i="103" s="1"/>
  <c r="AH34" i="103" s="1"/>
  <c r="AI34" i="103" s="1"/>
  <c r="AJ34" i="103" s="1"/>
  <c r="AK34" i="103" s="1"/>
  <c r="AL34" i="103" s="1"/>
  <c r="AC32" i="103" a="1"/>
  <c r="AC32" i="103" s="1"/>
  <c r="AB32" i="103" a="1"/>
  <c r="AB32" i="103" s="1"/>
  <c r="AC31" i="103" a="1"/>
  <c r="AC31" i="103" s="1"/>
  <c r="AB31" i="103" a="1"/>
  <c r="AB31" i="103" s="1"/>
  <c r="AE31" i="103" s="1"/>
  <c r="AH31" i="103" s="1"/>
  <c r="AI31" i="103" s="1"/>
  <c r="AJ31" i="103" s="1"/>
  <c r="AK31" i="103" s="1"/>
  <c r="AL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E28" i="103" s="1"/>
  <c r="AH28" i="103" s="1"/>
  <c r="AI28" i="103" s="1"/>
  <c r="AJ28" i="103" s="1"/>
  <c r="AK28" i="103" s="1"/>
  <c r="AL28" i="103" s="1"/>
  <c r="AC27" i="103" a="1"/>
  <c r="AC27" i="103" s="1"/>
  <c r="AB27" i="103" a="1"/>
  <c r="AB27" i="103" s="1"/>
  <c r="AE27" i="103" s="1"/>
  <c r="AH27" i="103" s="1"/>
  <c r="AI27" i="103" s="1"/>
  <c r="AJ27" i="103" s="1"/>
  <c r="AK27" i="103" s="1"/>
  <c r="AL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E24" i="103" s="1"/>
  <c r="AH24" i="103" s="1"/>
  <c r="AI24" i="103" s="1"/>
  <c r="AJ24" i="103" s="1"/>
  <c r="AK24" i="103" s="1"/>
  <c r="AL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E20" i="103" s="1"/>
  <c r="AH20" i="103" s="1"/>
  <c r="AI20" i="103" s="1"/>
  <c r="AJ20" i="103" s="1"/>
  <c r="AK20" i="103" s="1"/>
  <c r="AL20" i="103" s="1"/>
  <c r="AC19" i="103" a="1"/>
  <c r="AC19" i="103" s="1"/>
  <c r="AB19" i="103" a="1"/>
  <c r="AB19" i="103" s="1"/>
  <c r="AE19" i="103" s="1"/>
  <c r="AH19" i="103" s="1"/>
  <c r="AI19" i="103" s="1"/>
  <c r="AJ19" i="103" s="1"/>
  <c r="AK19" i="103" s="1"/>
  <c r="AL19" i="103" s="1"/>
  <c r="AC18" i="103" a="1"/>
  <c r="AC18" i="103" s="1"/>
  <c r="AB18" i="103" a="1"/>
  <c r="AB18" i="103" s="1"/>
  <c r="AE18" i="103" s="1"/>
  <c r="AH18" i="103" s="1"/>
  <c r="AI18" i="103" s="1"/>
  <c r="AJ18" i="103" s="1"/>
  <c r="AK18" i="103" s="1"/>
  <c r="AL18" i="103" s="1"/>
  <c r="AC17" i="103" a="1"/>
  <c r="AC17" i="103" s="1"/>
  <c r="AB17" i="103" a="1"/>
  <c r="AB17" i="103" s="1"/>
  <c r="AE17" i="103" s="1"/>
  <c r="AH17" i="103" s="1"/>
  <c r="AI17" i="103" s="1"/>
  <c r="AJ17" i="103" s="1"/>
  <c r="AK17" i="103" s="1"/>
  <c r="AL17" i="103" s="1"/>
  <c r="AC16" i="103" a="1"/>
  <c r="AC16" i="103" s="1"/>
  <c r="AB16" i="103" a="1"/>
  <c r="AB16" i="103" s="1"/>
  <c r="AE16" i="103" s="1"/>
  <c r="AH16" i="103" s="1"/>
  <c r="AI16" i="103" s="1"/>
  <c r="AJ16" i="103" s="1"/>
  <c r="AK16" i="103" s="1"/>
  <c r="AL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E316" i="103"/>
  <c r="AH316" i="103" s="1"/>
  <c r="AI316" i="103" s="1"/>
  <c r="AJ316" i="103" s="1"/>
  <c r="AK316" i="103" s="1"/>
  <c r="AL316" i="103" s="1"/>
  <c r="AE315" i="103"/>
  <c r="AH315" i="103" s="1"/>
  <c r="AI315" i="103" s="1"/>
  <c r="AJ315" i="103" s="1"/>
  <c r="AK315" i="103" s="1"/>
  <c r="AL315" i="103" s="1"/>
  <c r="AE314" i="103"/>
  <c r="AH314" i="103" s="1"/>
  <c r="AI314" i="103" s="1"/>
  <c r="AJ314" i="103" s="1"/>
  <c r="AK314" i="103" s="1"/>
  <c r="AL314" i="103" s="1"/>
  <c r="AE313" i="103"/>
  <c r="AH313" i="103" s="1"/>
  <c r="AI313" i="103" s="1"/>
  <c r="AJ313" i="103" s="1"/>
  <c r="AK313" i="103" s="1"/>
  <c r="AL313" i="103" s="1"/>
  <c r="AE312" i="103"/>
  <c r="AH312" i="103" s="1"/>
  <c r="AI312" i="103" s="1"/>
  <c r="AJ312" i="103" s="1"/>
  <c r="AK312" i="103" s="1"/>
  <c r="AL312" i="103" s="1"/>
  <c r="AE311" i="103"/>
  <c r="AH311" i="103" s="1"/>
  <c r="AI311" i="103" s="1"/>
  <c r="AJ311" i="103" s="1"/>
  <c r="AK311" i="103" s="1"/>
  <c r="AL311" i="103" s="1"/>
  <c r="AE310" i="103"/>
  <c r="AH310" i="103" s="1"/>
  <c r="AI310" i="103" s="1"/>
  <c r="AJ310" i="103" s="1"/>
  <c r="AK310" i="103" s="1"/>
  <c r="AL310" i="103" s="1"/>
  <c r="AA308" i="103"/>
  <c r="AE307" i="103"/>
  <c r="AH307" i="103" s="1"/>
  <c r="AI307" i="103" s="1"/>
  <c r="AJ307" i="103" s="1"/>
  <c r="AK307" i="103" s="1"/>
  <c r="AL307" i="103" s="1"/>
  <c r="AE306" i="103"/>
  <c r="AH306" i="103" s="1"/>
  <c r="AI306" i="103" s="1"/>
  <c r="AJ306" i="103" s="1"/>
  <c r="AK306" i="103" s="1"/>
  <c r="AL306" i="103" s="1"/>
  <c r="AE305" i="103"/>
  <c r="AH305" i="103" s="1"/>
  <c r="AI305" i="103" s="1"/>
  <c r="AJ305" i="103" s="1"/>
  <c r="AK305" i="103" s="1"/>
  <c r="AL305" i="103" s="1"/>
  <c r="AE304" i="103"/>
  <c r="AH304" i="103" s="1"/>
  <c r="AI304" i="103" s="1"/>
  <c r="AJ304" i="103" s="1"/>
  <c r="AK304" i="103" s="1"/>
  <c r="AL304" i="103" s="1"/>
  <c r="AE302" i="103"/>
  <c r="AH302" i="103" s="1"/>
  <c r="AI302" i="103" s="1"/>
  <c r="AJ302" i="103" s="1"/>
  <c r="AK302" i="103" s="1"/>
  <c r="AL302" i="103" s="1"/>
  <c r="AE300" i="103"/>
  <c r="AH300" i="103" s="1"/>
  <c r="AI300" i="103" s="1"/>
  <c r="AJ300" i="103" s="1"/>
  <c r="AK300" i="103" s="1"/>
  <c r="AL300" i="103" s="1"/>
  <c r="AE298" i="103"/>
  <c r="AH298" i="103" s="1"/>
  <c r="AI298" i="103" s="1"/>
  <c r="AJ298" i="103" s="1"/>
  <c r="AK298" i="103" s="1"/>
  <c r="AL298" i="103" s="1"/>
  <c r="AE297" i="103"/>
  <c r="AH297" i="103" s="1"/>
  <c r="AI297" i="103" s="1"/>
  <c r="AJ297" i="103" s="1"/>
  <c r="AK297" i="103" s="1"/>
  <c r="AL297" i="103" s="1"/>
  <c r="AE293" i="103"/>
  <c r="AH293" i="103" s="1"/>
  <c r="AI293" i="103" s="1"/>
  <c r="AJ293" i="103" s="1"/>
  <c r="AK293" i="103" s="1"/>
  <c r="AL293" i="103" s="1"/>
  <c r="AE291" i="103"/>
  <c r="AH291" i="103" s="1"/>
  <c r="AI291" i="103" s="1"/>
  <c r="AJ291" i="103" s="1"/>
  <c r="AK291" i="103" s="1"/>
  <c r="AL291" i="103" s="1"/>
  <c r="AE289" i="103"/>
  <c r="AH289" i="103" s="1"/>
  <c r="AI289" i="103" s="1"/>
  <c r="AJ289" i="103" s="1"/>
  <c r="AK289" i="103" s="1"/>
  <c r="AL289" i="103" s="1"/>
  <c r="AE288" i="103"/>
  <c r="AH288" i="103" s="1"/>
  <c r="AI288" i="103" s="1"/>
  <c r="AJ288" i="103" s="1"/>
  <c r="AK288" i="103" s="1"/>
  <c r="AL288" i="103" s="1"/>
  <c r="AE287" i="103"/>
  <c r="AH287" i="103" s="1"/>
  <c r="AI287" i="103" s="1"/>
  <c r="AJ287" i="103" s="1"/>
  <c r="AK287" i="103" s="1"/>
  <c r="AL287" i="103" s="1"/>
  <c r="AE286" i="103"/>
  <c r="AH286" i="103" s="1"/>
  <c r="AI286" i="103" s="1"/>
  <c r="AJ286" i="103" s="1"/>
  <c r="AK286" i="103" s="1"/>
  <c r="AL286" i="103" s="1"/>
  <c r="AE285" i="103"/>
  <c r="AH285" i="103" s="1"/>
  <c r="AI285" i="103" s="1"/>
  <c r="AJ285" i="103" s="1"/>
  <c r="AK285" i="103" s="1"/>
  <c r="AL285" i="103" s="1"/>
  <c r="AE284" i="103"/>
  <c r="AH284" i="103" s="1"/>
  <c r="AI284" i="103" s="1"/>
  <c r="AJ284" i="103" s="1"/>
  <c r="AK284" i="103" s="1"/>
  <c r="AL284" i="103" s="1"/>
  <c r="AE283" i="103"/>
  <c r="AH283" i="103" s="1"/>
  <c r="AI283" i="103" s="1"/>
  <c r="AJ283" i="103" s="1"/>
  <c r="AK283" i="103" s="1"/>
  <c r="AL283" i="103" s="1"/>
  <c r="AE281" i="103"/>
  <c r="AH281" i="103" s="1"/>
  <c r="AI281" i="103" s="1"/>
  <c r="AJ281" i="103" s="1"/>
  <c r="AK281" i="103" s="1"/>
  <c r="AL281" i="103" s="1"/>
  <c r="AE280" i="103"/>
  <c r="AH280" i="103" s="1"/>
  <c r="AI280" i="103" s="1"/>
  <c r="AJ280" i="103" s="1"/>
  <c r="AK280" i="103" s="1"/>
  <c r="AL280" i="103" s="1"/>
  <c r="AE279" i="103"/>
  <c r="AH279" i="103" s="1"/>
  <c r="AI279" i="103" s="1"/>
  <c r="AJ279" i="103" s="1"/>
  <c r="AK279" i="103" s="1"/>
  <c r="AL279" i="103" s="1"/>
  <c r="AE278" i="103"/>
  <c r="AH278" i="103" s="1"/>
  <c r="AI278" i="103" s="1"/>
  <c r="AJ278" i="103" s="1"/>
  <c r="AK278" i="103" s="1"/>
  <c r="AL278" i="103" s="1"/>
  <c r="AE277" i="103"/>
  <c r="AH277" i="103" s="1"/>
  <c r="AI277" i="103" s="1"/>
  <c r="AJ277" i="103" s="1"/>
  <c r="AK277" i="103" s="1"/>
  <c r="AL277" i="103" s="1"/>
  <c r="AE276" i="103"/>
  <c r="AH276" i="103" s="1"/>
  <c r="AI276" i="103" s="1"/>
  <c r="AJ276" i="103" s="1"/>
  <c r="AK276" i="103" s="1"/>
  <c r="AL276" i="103" s="1"/>
  <c r="AE275" i="103"/>
  <c r="AH275" i="103" s="1"/>
  <c r="AI275" i="103" s="1"/>
  <c r="AJ275" i="103" s="1"/>
  <c r="AK275" i="103" s="1"/>
  <c r="AL275" i="103" s="1"/>
  <c r="AE274" i="103"/>
  <c r="AH274" i="103" s="1"/>
  <c r="AI274" i="103" s="1"/>
  <c r="AJ274" i="103" s="1"/>
  <c r="AK274" i="103" s="1"/>
  <c r="AL274" i="103" s="1"/>
  <c r="AE272" i="103"/>
  <c r="AH272" i="103" s="1"/>
  <c r="AI272" i="103" s="1"/>
  <c r="AJ272" i="103" s="1"/>
  <c r="AK272" i="103" s="1"/>
  <c r="AL272" i="103" s="1"/>
  <c r="AE270" i="103"/>
  <c r="AH270" i="103" s="1"/>
  <c r="AI270" i="103" s="1"/>
  <c r="AJ270" i="103" s="1"/>
  <c r="AK270" i="103" s="1"/>
  <c r="AL270" i="103" s="1"/>
  <c r="AE268" i="103"/>
  <c r="AH268" i="103" s="1"/>
  <c r="AI268" i="103" s="1"/>
  <c r="AJ268" i="103" s="1"/>
  <c r="AK268" i="103" s="1"/>
  <c r="AL268" i="103" s="1"/>
  <c r="AE266" i="103"/>
  <c r="AH266" i="103" s="1"/>
  <c r="AI266" i="103" s="1"/>
  <c r="AJ266" i="103" s="1"/>
  <c r="AK266" i="103" s="1"/>
  <c r="AL266" i="103" s="1"/>
  <c r="AE264" i="103"/>
  <c r="AH264" i="103" s="1"/>
  <c r="AI264" i="103" s="1"/>
  <c r="AJ264" i="103" s="1"/>
  <c r="AK264" i="103" s="1"/>
  <c r="AL264" i="103" s="1"/>
  <c r="AE262" i="103"/>
  <c r="AH262" i="103" s="1"/>
  <c r="AI262" i="103" s="1"/>
  <c r="AJ262" i="103" s="1"/>
  <c r="AK262" i="103" s="1"/>
  <c r="AL262" i="103" s="1"/>
  <c r="AE261" i="103"/>
  <c r="AH261" i="103" s="1"/>
  <c r="AI261" i="103" s="1"/>
  <c r="AJ261" i="103" s="1"/>
  <c r="AK261" i="103" s="1"/>
  <c r="AL261" i="103" s="1"/>
  <c r="AE260" i="103"/>
  <c r="AH260" i="103" s="1"/>
  <c r="AI260" i="103" s="1"/>
  <c r="AJ260" i="103" s="1"/>
  <c r="AK260" i="103" s="1"/>
  <c r="AL260" i="103" s="1"/>
  <c r="AA260" i="103"/>
  <c r="AE259" i="103"/>
  <c r="AH259" i="103" s="1"/>
  <c r="AI259" i="103" s="1"/>
  <c r="AJ259" i="103" s="1"/>
  <c r="AK259" i="103" s="1"/>
  <c r="AL259" i="103" s="1"/>
  <c r="AE257" i="103"/>
  <c r="AH257" i="103" s="1"/>
  <c r="AI257" i="103" s="1"/>
  <c r="AJ257" i="103" s="1"/>
  <c r="AK257" i="103" s="1"/>
  <c r="AL257" i="103" s="1"/>
  <c r="AE254" i="103"/>
  <c r="AH254" i="103" s="1"/>
  <c r="AI254" i="103" s="1"/>
  <c r="AJ254" i="103" s="1"/>
  <c r="AK254" i="103" s="1"/>
  <c r="AL254" i="103" s="1"/>
  <c r="AE251" i="103"/>
  <c r="AH251" i="103" s="1"/>
  <c r="AI251" i="103" s="1"/>
  <c r="AJ251" i="103" s="1"/>
  <c r="AK251" i="103" s="1"/>
  <c r="AL251" i="103" s="1"/>
  <c r="AE247" i="103"/>
  <c r="AH247" i="103" s="1"/>
  <c r="AI247" i="103" s="1"/>
  <c r="AJ247" i="103" s="1"/>
  <c r="AK247" i="103" s="1"/>
  <c r="AL247" i="103" s="1"/>
  <c r="AE243" i="103"/>
  <c r="AH243" i="103" s="1"/>
  <c r="AI243" i="103" s="1"/>
  <c r="AJ243" i="103" s="1"/>
  <c r="AK243" i="103" s="1"/>
  <c r="AL243" i="103" s="1"/>
  <c r="AE242" i="103"/>
  <c r="AH242" i="103" s="1"/>
  <c r="AI242" i="103" s="1"/>
  <c r="AJ242" i="103" s="1"/>
  <c r="AK242" i="103" s="1"/>
  <c r="AL242" i="103" s="1"/>
  <c r="AE240" i="103"/>
  <c r="AH240" i="103" s="1"/>
  <c r="AI240" i="103" s="1"/>
  <c r="AJ240" i="103" s="1"/>
  <c r="AK240" i="103" s="1"/>
  <c r="AL240" i="103" s="1"/>
  <c r="AE239" i="103"/>
  <c r="AH239" i="103" s="1"/>
  <c r="AI239" i="103" s="1"/>
  <c r="AJ239" i="103" s="1"/>
  <c r="AK239" i="103" s="1"/>
  <c r="AL239" i="103" s="1"/>
  <c r="AE238" i="103"/>
  <c r="AH238" i="103" s="1"/>
  <c r="AI238" i="103" s="1"/>
  <c r="AJ238" i="103" s="1"/>
  <c r="AK238" i="103" s="1"/>
  <c r="AL238" i="103" s="1"/>
  <c r="AE236" i="103"/>
  <c r="AH236" i="103" s="1"/>
  <c r="AI236" i="103" s="1"/>
  <c r="AJ236" i="103" s="1"/>
  <c r="AK236" i="103" s="1"/>
  <c r="AL236" i="103" s="1"/>
  <c r="AE235" i="103"/>
  <c r="AH235" i="103" s="1"/>
  <c r="AI235" i="103" s="1"/>
  <c r="AJ235" i="103" s="1"/>
  <c r="AK235" i="103" s="1"/>
  <c r="AL235" i="103" s="1"/>
  <c r="AE234" i="103"/>
  <c r="AH234" i="103" s="1"/>
  <c r="AI234" i="103" s="1"/>
  <c r="AJ234" i="103" s="1"/>
  <c r="AK234" i="103" s="1"/>
  <c r="AL234" i="103" s="1"/>
  <c r="AE232" i="103"/>
  <c r="AH232" i="103" s="1"/>
  <c r="AI232" i="103" s="1"/>
  <c r="AJ232" i="103" s="1"/>
  <c r="AK232" i="103" s="1"/>
  <c r="AL232" i="103" s="1"/>
  <c r="AE229" i="103"/>
  <c r="AH229" i="103" s="1"/>
  <c r="AI229" i="103" s="1"/>
  <c r="AJ229" i="103" s="1"/>
  <c r="AK229" i="103" s="1"/>
  <c r="AL229" i="103" s="1"/>
  <c r="AE227" i="103"/>
  <c r="AH227" i="103" s="1"/>
  <c r="AI227" i="103" s="1"/>
  <c r="AJ227" i="103" s="1"/>
  <c r="AK227" i="103" s="1"/>
  <c r="AL227" i="103" s="1"/>
  <c r="AE226" i="103"/>
  <c r="AH226" i="103" s="1"/>
  <c r="AI226" i="103" s="1"/>
  <c r="AJ226" i="103" s="1"/>
  <c r="AK226" i="103" s="1"/>
  <c r="AL226" i="103" s="1"/>
  <c r="AE223" i="103"/>
  <c r="AH223" i="103" s="1"/>
  <c r="AI223" i="103" s="1"/>
  <c r="AJ223" i="103" s="1"/>
  <c r="AK223" i="103" s="1"/>
  <c r="AL223" i="103" s="1"/>
  <c r="AE222" i="103"/>
  <c r="AH222" i="103" s="1"/>
  <c r="AI222" i="103" s="1"/>
  <c r="AJ222" i="103" s="1"/>
  <c r="AK222" i="103" s="1"/>
  <c r="AL222" i="103" s="1"/>
  <c r="AE218" i="103"/>
  <c r="AH218" i="103" s="1"/>
  <c r="AI218" i="103" s="1"/>
  <c r="AJ218" i="103" s="1"/>
  <c r="AK218" i="103" s="1"/>
  <c r="AL218" i="103" s="1"/>
  <c r="AE217" i="103"/>
  <c r="AH217" i="103" s="1"/>
  <c r="AI217" i="103" s="1"/>
  <c r="AJ217" i="103" s="1"/>
  <c r="AK217" i="103" s="1"/>
  <c r="AL217" i="103" s="1"/>
  <c r="AE216" i="103"/>
  <c r="AH216" i="103" s="1"/>
  <c r="AI216" i="103" s="1"/>
  <c r="AJ216" i="103" s="1"/>
  <c r="AK216" i="103" s="1"/>
  <c r="AL216" i="103" s="1"/>
  <c r="AE214" i="103"/>
  <c r="AH214" i="103" s="1"/>
  <c r="AI214" i="103" s="1"/>
  <c r="AJ214" i="103" s="1"/>
  <c r="AK214" i="103" s="1"/>
  <c r="AL214" i="103" s="1"/>
  <c r="AE213" i="103"/>
  <c r="AH213" i="103" s="1"/>
  <c r="AI213" i="103" s="1"/>
  <c r="AJ213" i="103" s="1"/>
  <c r="AK213" i="103" s="1"/>
  <c r="AL213" i="103" s="1"/>
  <c r="AE212" i="103"/>
  <c r="AH212" i="103" s="1"/>
  <c r="AI212" i="103" s="1"/>
  <c r="AJ212" i="103" s="1"/>
  <c r="AK212" i="103" s="1"/>
  <c r="AL212" i="103" s="1"/>
  <c r="AE208" i="103"/>
  <c r="AH208" i="103" s="1"/>
  <c r="AI208" i="103" s="1"/>
  <c r="AJ208" i="103" s="1"/>
  <c r="AK208" i="103" s="1"/>
  <c r="AL208" i="103" s="1"/>
  <c r="AE206" i="103"/>
  <c r="AH206" i="103" s="1"/>
  <c r="AI206" i="103" s="1"/>
  <c r="AJ206" i="103" s="1"/>
  <c r="AK206" i="103" s="1"/>
  <c r="AL206" i="103" s="1"/>
  <c r="AA206" i="103"/>
  <c r="AA204" i="103"/>
  <c r="AE200" i="103"/>
  <c r="AH200" i="103" s="1"/>
  <c r="AI200" i="103" s="1"/>
  <c r="AJ200" i="103" s="1"/>
  <c r="AK200" i="103" s="1"/>
  <c r="AL200" i="103" s="1"/>
  <c r="AE198" i="103"/>
  <c r="AH198" i="103" s="1"/>
  <c r="AI198" i="103" s="1"/>
  <c r="AJ198" i="103" s="1"/>
  <c r="AK198" i="103" s="1"/>
  <c r="AL198" i="103" s="1"/>
  <c r="AE196" i="103"/>
  <c r="AH196" i="103" s="1"/>
  <c r="AI196" i="103" s="1"/>
  <c r="AJ196" i="103" s="1"/>
  <c r="AK196" i="103" s="1"/>
  <c r="AL196" i="103" s="1"/>
  <c r="AA196" i="103"/>
  <c r="AE194" i="103"/>
  <c r="AH194" i="103" s="1"/>
  <c r="AI194" i="103" s="1"/>
  <c r="AJ194" i="103" s="1"/>
  <c r="AK194" i="103" s="1"/>
  <c r="AL194" i="103" s="1"/>
  <c r="AE188" i="103"/>
  <c r="AH188" i="103" s="1"/>
  <c r="AI188" i="103" s="1"/>
  <c r="AJ188" i="103" s="1"/>
  <c r="AK188" i="103" s="1"/>
  <c r="AL188" i="103" s="1"/>
  <c r="AE186" i="103"/>
  <c r="AH186" i="103" s="1"/>
  <c r="AI186" i="103" s="1"/>
  <c r="AJ186" i="103" s="1"/>
  <c r="AK186" i="103" s="1"/>
  <c r="AL186" i="103" s="1"/>
  <c r="AA186" i="103"/>
  <c r="AA184" i="103"/>
  <c r="AA182" i="103"/>
  <c r="AA168" i="103"/>
  <c r="AA166" i="103"/>
  <c r="AE36" i="103"/>
  <c r="AH36" i="103" s="1"/>
  <c r="AI36" i="103" s="1"/>
  <c r="AJ36" i="103" s="1"/>
  <c r="AK36" i="103" s="1"/>
  <c r="AL36" i="103" s="1"/>
  <c r="AJ15" i="102"/>
  <c r="AK15" i="102" s="1"/>
  <c r="AL15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 s="1"/>
  <c r="AL61" i="102" s="1"/>
  <c r="AJ62" i="102"/>
  <c r="AK62" i="102" s="1"/>
  <c r="AL62" i="102" s="1"/>
  <c r="AB222" i="102" a="1"/>
  <c r="AB222" i="102" s="1"/>
  <c r="AA222" i="102" a="1"/>
  <c r="AA222" i="102" s="1"/>
  <c r="AD222" i="102" s="1"/>
  <c r="AB210" i="102" a="1"/>
  <c r="AB210" i="102" s="1"/>
  <c r="AA210" i="102" a="1"/>
  <c r="AA210" i="102" s="1"/>
  <c r="AD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D175" i="102" s="1"/>
  <c r="AB165" i="102" a="1"/>
  <c r="AB165" i="102" s="1"/>
  <c r="AA165" i="102" a="1"/>
  <c r="AA165" i="102" s="1"/>
  <c r="AD165" i="102" s="1"/>
  <c r="AB155" i="102" a="1"/>
  <c r="AB155" i="102" s="1"/>
  <c r="AA155" i="102" a="1"/>
  <c r="AA155" i="102" s="1"/>
  <c r="AB145" i="102" a="1"/>
  <c r="AB145" i="102" s="1"/>
  <c r="AA145" i="102" a="1"/>
  <c r="AA145" i="102" s="1"/>
  <c r="AD145" i="102" s="1"/>
  <c r="AB134" i="102" a="1"/>
  <c r="AB134" i="102" s="1"/>
  <c r="AA134" i="102" a="1"/>
  <c r="AA134" i="102" s="1"/>
  <c r="AD134" i="102" s="1"/>
  <c r="AB123" i="102" a="1"/>
  <c r="AB123" i="102" s="1"/>
  <c r="AA123" i="102" a="1"/>
  <c r="AA123" i="102" s="1"/>
  <c r="AD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D93" i="102" s="1"/>
  <c r="AB83" i="102" a="1"/>
  <c r="AB83" i="102" s="1"/>
  <c r="AA83" i="102" a="1"/>
  <c r="AA83" i="102" s="1"/>
  <c r="AD83" i="102" s="1"/>
  <c r="AB73" i="102" a="1"/>
  <c r="AB73" i="102" s="1"/>
  <c r="AA73" i="102" a="1"/>
  <c r="AA73" i="102" s="1"/>
  <c r="AB63" i="102" a="1"/>
  <c r="AB63" i="102" s="1"/>
  <c r="AA63" i="102" a="1"/>
  <c r="AA63" i="102" s="1"/>
  <c r="AD63" i="102" s="1"/>
  <c r="AB55" i="102" a="1"/>
  <c r="AB55" i="102" s="1"/>
  <c r="AA55" i="102" a="1"/>
  <c r="AA55" i="102" s="1"/>
  <c r="AD55" i="102" s="1"/>
  <c r="AB52" i="102" a="1"/>
  <c r="AB52" i="102" s="1"/>
  <c r="AA52" i="102" a="1"/>
  <c r="AA52" i="102" s="1"/>
  <c r="AD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D40" i="102" s="1"/>
  <c r="AB36" i="102" a="1"/>
  <c r="AB36" i="102" s="1"/>
  <c r="AA36" i="102" a="1"/>
  <c r="AA36" i="102" s="1"/>
  <c r="AD36" i="102" s="1"/>
  <c r="AB30" i="102" a="1"/>
  <c r="AB30" i="102" s="1"/>
  <c r="AA30" i="102" a="1"/>
  <c r="AA30" i="102" s="1"/>
  <c r="AB25" i="102" a="1"/>
  <c r="AB25" i="102" s="1"/>
  <c r="AA25" i="102" a="1"/>
  <c r="AA25" i="102" s="1"/>
  <c r="AD25" i="102" s="1"/>
  <c r="AB22" i="102" a="1"/>
  <c r="AB22" i="102" s="1"/>
  <c r="AA22" i="102" a="1"/>
  <c r="AA22" i="102" s="1"/>
  <c r="AD22" i="102" s="1"/>
  <c r="AB16" i="102" a="1"/>
  <c r="AB16" i="102" s="1"/>
  <c r="AA16" i="102" a="1"/>
  <c r="AA16" i="102" s="1"/>
  <c r="AD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D12" i="102" s="1"/>
  <c r="AJ12" i="102" s="1"/>
  <c r="AK12" i="102" s="1"/>
  <c r="AL12" i="102" s="1"/>
  <c r="AB11" i="102" a="1"/>
  <c r="AB11" i="102" s="1"/>
  <c r="AA11" i="102" a="1"/>
  <c r="AA11" i="102" s="1"/>
  <c r="AD11" i="102" s="1"/>
  <c r="AJ11" i="102" s="1"/>
  <c r="AK11" i="102" s="1"/>
  <c r="AL11" i="102" s="1"/>
  <c r="AB10" i="102" a="1"/>
  <c r="AB10" i="102" s="1"/>
  <c r="AA10" i="102" a="1"/>
  <c r="AA10" i="102" s="1"/>
  <c r="AB9" i="102" a="1"/>
  <c r="AB9" i="102" s="1"/>
  <c r="AA9" i="102" a="1"/>
  <c r="AA9" i="102" s="1"/>
  <c r="AD9" i="102" s="1"/>
  <c r="AJ9" i="102" s="1"/>
  <c r="AK9" i="102" s="1"/>
  <c r="AL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J55" i="102" l="1"/>
  <c r="AK55" i="102" s="1"/>
  <c r="AL55" i="102" s="1"/>
  <c r="AD56" i="102"/>
  <c r="AJ56" i="102" s="1"/>
  <c r="AK56" i="102" s="1"/>
  <c r="AL56" i="102" s="1"/>
  <c r="AJ93" i="102"/>
  <c r="AK93" i="102" s="1"/>
  <c r="AL93" i="102" s="1"/>
  <c r="AD97" i="102"/>
  <c r="AJ97" i="102" s="1"/>
  <c r="AK97" i="102" s="1"/>
  <c r="AL97" i="102" s="1"/>
  <c r="AD98" i="102"/>
  <c r="AJ98" i="102" s="1"/>
  <c r="AK98" i="102" s="1"/>
  <c r="AL98" i="102" s="1"/>
  <c r="AD99" i="102"/>
  <c r="AJ99" i="102" s="1"/>
  <c r="AK99" i="102" s="1"/>
  <c r="AL99" i="102" s="1"/>
  <c r="AD100" i="102"/>
  <c r="AJ100" i="102" s="1"/>
  <c r="AK100" i="102" s="1"/>
  <c r="AL100" i="102" s="1"/>
  <c r="AD101" i="102"/>
  <c r="AJ101" i="102" s="1"/>
  <c r="AK101" i="102" s="1"/>
  <c r="AL101" i="102" s="1"/>
  <c r="AD102" i="102"/>
  <c r="AJ102" i="102" s="1"/>
  <c r="AK102" i="102" s="1"/>
  <c r="AL102" i="102" s="1"/>
  <c r="AD95" i="102"/>
  <c r="AJ95" i="102" s="1"/>
  <c r="AK95" i="102" s="1"/>
  <c r="AL95" i="102" s="1"/>
  <c r="AD94" i="102"/>
  <c r="AJ94" i="102" s="1"/>
  <c r="AK94" i="102" s="1"/>
  <c r="AL94" i="102" s="1"/>
  <c r="AD96" i="102"/>
  <c r="AJ96" i="102" s="1"/>
  <c r="AK96" i="102" s="1"/>
  <c r="AL96" i="102" s="1"/>
  <c r="AJ134" i="102"/>
  <c r="AK134" i="102" s="1"/>
  <c r="AL134" i="102" s="1"/>
  <c r="AD137" i="102"/>
  <c r="AJ137" i="102" s="1"/>
  <c r="AK137" i="102" s="1"/>
  <c r="AL137" i="102" s="1"/>
  <c r="AD135" i="102"/>
  <c r="AJ135" i="102" s="1"/>
  <c r="AK135" i="102" s="1"/>
  <c r="AL135" i="102" s="1"/>
  <c r="AD138" i="102"/>
  <c r="AJ138" i="102" s="1"/>
  <c r="AK138" i="102" s="1"/>
  <c r="AL138" i="102" s="1"/>
  <c r="AD139" i="102"/>
  <c r="AJ139" i="102" s="1"/>
  <c r="AK139" i="102" s="1"/>
  <c r="AL139" i="102" s="1"/>
  <c r="AD140" i="102"/>
  <c r="AJ140" i="102" s="1"/>
  <c r="AK140" i="102" s="1"/>
  <c r="AL140" i="102" s="1"/>
  <c r="AD141" i="102"/>
  <c r="AJ141" i="102" s="1"/>
  <c r="AK141" i="102" s="1"/>
  <c r="AL141" i="102" s="1"/>
  <c r="AD142" i="102"/>
  <c r="AJ142" i="102" s="1"/>
  <c r="AK142" i="102" s="1"/>
  <c r="AL142" i="102" s="1"/>
  <c r="AD143" i="102"/>
  <c r="AJ143" i="102" s="1"/>
  <c r="AK143" i="102" s="1"/>
  <c r="AL143" i="102" s="1"/>
  <c r="AD136" i="102"/>
  <c r="AJ136" i="102" s="1"/>
  <c r="AK136" i="102" s="1"/>
  <c r="AL136" i="102" s="1"/>
  <c r="AD144" i="102"/>
  <c r="AJ144" i="102" s="1"/>
  <c r="AK144" i="102" s="1"/>
  <c r="AL144" i="102" s="1"/>
  <c r="AJ175" i="102"/>
  <c r="AK175" i="102" s="1"/>
  <c r="AL175" i="102" s="1"/>
  <c r="AD184" i="102"/>
  <c r="AJ184" i="102" s="1"/>
  <c r="AK184" i="102" s="1"/>
  <c r="AL184" i="102" s="1"/>
  <c r="AD177" i="102"/>
  <c r="AJ177" i="102" s="1"/>
  <c r="AK177" i="102" s="1"/>
  <c r="AL177" i="102" s="1"/>
  <c r="AD185" i="102"/>
  <c r="AJ185" i="102" s="1"/>
  <c r="AK185" i="102" s="1"/>
  <c r="AL185" i="102" s="1"/>
  <c r="AD178" i="102"/>
  <c r="AJ178" i="102" s="1"/>
  <c r="AK178" i="102" s="1"/>
  <c r="AL178" i="102" s="1"/>
  <c r="AD176" i="102"/>
  <c r="AJ176" i="102" s="1"/>
  <c r="AK176" i="102" s="1"/>
  <c r="AL176" i="102" s="1"/>
  <c r="AD179" i="102"/>
  <c r="AJ179" i="102" s="1"/>
  <c r="AK179" i="102" s="1"/>
  <c r="AL179" i="102" s="1"/>
  <c r="AD180" i="102"/>
  <c r="AJ180" i="102" s="1"/>
  <c r="AK180" i="102" s="1"/>
  <c r="AL180" i="102" s="1"/>
  <c r="AD181" i="102"/>
  <c r="AJ181" i="102" s="1"/>
  <c r="AK181" i="102" s="1"/>
  <c r="AL181" i="102" s="1"/>
  <c r="AD182" i="102"/>
  <c r="AJ182" i="102" s="1"/>
  <c r="AK182" i="102" s="1"/>
  <c r="AL182" i="102" s="1"/>
  <c r="AD183" i="102"/>
  <c r="AJ183" i="102" s="1"/>
  <c r="AK183" i="102" s="1"/>
  <c r="AL183" i="102" s="1"/>
  <c r="AJ222" i="102"/>
  <c r="AK222" i="102" s="1"/>
  <c r="AL222" i="102" s="1"/>
  <c r="AD229" i="102"/>
  <c r="AJ229" i="102" s="1"/>
  <c r="AK229" i="102" s="1"/>
  <c r="AL229" i="102" s="1"/>
  <c r="AD230" i="102"/>
  <c r="AJ230" i="102" s="1"/>
  <c r="AK230" i="102" s="1"/>
  <c r="AL230" i="102" s="1"/>
  <c r="AD231" i="102"/>
  <c r="AJ231" i="102" s="1"/>
  <c r="AK231" i="102" s="1"/>
  <c r="AL231" i="102" s="1"/>
  <c r="AD224" i="102"/>
  <c r="AJ224" i="102" s="1"/>
  <c r="AK224" i="102" s="1"/>
  <c r="AL224" i="102" s="1"/>
  <c r="AD232" i="102"/>
  <c r="AJ232" i="102" s="1"/>
  <c r="AK232" i="102" s="1"/>
  <c r="AL232" i="102" s="1"/>
  <c r="AD225" i="102"/>
  <c r="AJ225" i="102" s="1"/>
  <c r="AK225" i="102" s="1"/>
  <c r="AL225" i="102" s="1"/>
  <c r="AD233" i="102"/>
  <c r="AJ233" i="102" s="1"/>
  <c r="AK233" i="102" s="1"/>
  <c r="AL233" i="102" s="1"/>
  <c r="AD226" i="102"/>
  <c r="AJ226" i="102" s="1"/>
  <c r="AK226" i="102" s="1"/>
  <c r="AL226" i="102" s="1"/>
  <c r="AD223" i="102"/>
  <c r="AJ223" i="102" s="1"/>
  <c r="AK223" i="102" s="1"/>
  <c r="AL223" i="102" s="1"/>
  <c r="AD227" i="102"/>
  <c r="AJ227" i="102" s="1"/>
  <c r="AK227" i="102" s="1"/>
  <c r="AL227" i="102" s="1"/>
  <c r="AD228" i="102"/>
  <c r="AJ228" i="102" s="1"/>
  <c r="AK228" i="102" s="1"/>
  <c r="AL228" i="102" s="1"/>
  <c r="AJ63" i="102"/>
  <c r="AK63" i="102" s="1"/>
  <c r="AL63" i="102" s="1"/>
  <c r="AD64" i="102"/>
  <c r="AJ145" i="102"/>
  <c r="AK145" i="102" s="1"/>
  <c r="AL145" i="102" s="1"/>
  <c r="AD152" i="102"/>
  <c r="AJ152" i="102" s="1"/>
  <c r="AK152" i="102" s="1"/>
  <c r="AL152" i="102" s="1"/>
  <c r="AD153" i="102"/>
  <c r="AJ153" i="102" s="1"/>
  <c r="AK153" i="102" s="1"/>
  <c r="AL153" i="102" s="1"/>
  <c r="AD154" i="102"/>
  <c r="AJ154" i="102" s="1"/>
  <c r="AK154" i="102" s="1"/>
  <c r="AL154" i="102" s="1"/>
  <c r="AD147" i="102"/>
  <c r="AJ147" i="102" s="1"/>
  <c r="AK147" i="102" s="1"/>
  <c r="AL147" i="102" s="1"/>
  <c r="AD146" i="102"/>
  <c r="AJ146" i="102" s="1"/>
  <c r="AK146" i="102" s="1"/>
  <c r="AL146" i="102" s="1"/>
  <c r="AD148" i="102"/>
  <c r="AJ148" i="102" s="1"/>
  <c r="AK148" i="102" s="1"/>
  <c r="AL148" i="102" s="1"/>
  <c r="AD149" i="102"/>
  <c r="AJ149" i="102" s="1"/>
  <c r="AK149" i="102" s="1"/>
  <c r="AL149" i="102" s="1"/>
  <c r="AD150" i="102"/>
  <c r="AJ150" i="102" s="1"/>
  <c r="AK150" i="102" s="1"/>
  <c r="AL150" i="102" s="1"/>
  <c r="AD151" i="102"/>
  <c r="AJ151" i="102" s="1"/>
  <c r="AK151" i="102" s="1"/>
  <c r="AL151" i="102" s="1"/>
  <c r="AJ52" i="102"/>
  <c r="AK52" i="102" s="1"/>
  <c r="AL52" i="102" s="1"/>
  <c r="AD54" i="102"/>
  <c r="AJ54" i="102" s="1"/>
  <c r="AK54" i="102" s="1"/>
  <c r="AL54" i="102" s="1"/>
  <c r="AD53" i="102"/>
  <c r="AJ53" i="102" s="1"/>
  <c r="AK53" i="102" s="1"/>
  <c r="AL53" i="102" s="1"/>
  <c r="AJ83" i="102"/>
  <c r="AK83" i="102" s="1"/>
  <c r="AL83" i="102" s="1"/>
  <c r="AD92" i="102"/>
  <c r="AJ92" i="102" s="1"/>
  <c r="AK92" i="102" s="1"/>
  <c r="AL92" i="102" s="1"/>
  <c r="AD85" i="102"/>
  <c r="AJ85" i="102" s="1"/>
  <c r="AK85" i="102" s="1"/>
  <c r="AL85" i="102" s="1"/>
  <c r="AD84" i="102"/>
  <c r="AJ84" i="102" s="1"/>
  <c r="AK84" i="102" s="1"/>
  <c r="AL84" i="102" s="1"/>
  <c r="AD86" i="102"/>
  <c r="AJ86" i="102" s="1"/>
  <c r="AK86" i="102" s="1"/>
  <c r="AL86" i="102" s="1"/>
  <c r="AD87" i="102"/>
  <c r="AJ87" i="102" s="1"/>
  <c r="AK87" i="102" s="1"/>
  <c r="AL87" i="102" s="1"/>
  <c r="AD88" i="102"/>
  <c r="AJ88" i="102" s="1"/>
  <c r="AK88" i="102" s="1"/>
  <c r="AL88" i="102" s="1"/>
  <c r="AD89" i="102"/>
  <c r="AJ89" i="102" s="1"/>
  <c r="AK89" i="102" s="1"/>
  <c r="AL89" i="102" s="1"/>
  <c r="AD90" i="102"/>
  <c r="AJ90" i="102" s="1"/>
  <c r="AK90" i="102" s="1"/>
  <c r="AL90" i="102" s="1"/>
  <c r="AD91" i="102"/>
  <c r="AJ91" i="102" s="1"/>
  <c r="AK91" i="102" s="1"/>
  <c r="AL91" i="102" s="1"/>
  <c r="AJ123" i="102"/>
  <c r="AK123" i="102" s="1"/>
  <c r="AL123" i="102" s="1"/>
  <c r="AD129" i="102"/>
  <c r="AJ129" i="102" s="1"/>
  <c r="AK129" i="102" s="1"/>
  <c r="AL129" i="102" s="1"/>
  <c r="AD130" i="102"/>
  <c r="AJ130" i="102" s="1"/>
  <c r="AK130" i="102" s="1"/>
  <c r="AL130" i="102" s="1"/>
  <c r="AD131" i="102"/>
  <c r="AJ131" i="102" s="1"/>
  <c r="AK131" i="102" s="1"/>
  <c r="AL131" i="102" s="1"/>
  <c r="AD132" i="102"/>
  <c r="AJ132" i="102" s="1"/>
  <c r="AK132" i="102" s="1"/>
  <c r="AL132" i="102" s="1"/>
  <c r="AD125" i="102"/>
  <c r="AJ125" i="102" s="1"/>
  <c r="AK125" i="102" s="1"/>
  <c r="AL125" i="102" s="1"/>
  <c r="AD133" i="102"/>
  <c r="AJ133" i="102" s="1"/>
  <c r="AK133" i="102" s="1"/>
  <c r="AL133" i="102" s="1"/>
  <c r="AD126" i="102"/>
  <c r="AJ126" i="102" s="1"/>
  <c r="AK126" i="102" s="1"/>
  <c r="AL126" i="102" s="1"/>
  <c r="AD124" i="102"/>
  <c r="AJ124" i="102" s="1"/>
  <c r="AK124" i="102" s="1"/>
  <c r="AL124" i="102" s="1"/>
  <c r="AD127" i="102"/>
  <c r="AJ127" i="102" s="1"/>
  <c r="AK127" i="102" s="1"/>
  <c r="AL127" i="102" s="1"/>
  <c r="AD128" i="102"/>
  <c r="AJ128" i="102" s="1"/>
  <c r="AK128" i="102" s="1"/>
  <c r="AL128" i="102" s="1"/>
  <c r="AJ165" i="102"/>
  <c r="AK165" i="102" s="1"/>
  <c r="AL165" i="102" s="1"/>
  <c r="AD170" i="102"/>
  <c r="AJ170" i="102" s="1"/>
  <c r="AK170" i="102" s="1"/>
  <c r="AL170" i="102" s="1"/>
  <c r="AD171" i="102"/>
  <c r="AJ171" i="102" s="1"/>
  <c r="AK171" i="102" s="1"/>
  <c r="AL171" i="102" s="1"/>
  <c r="AD172" i="102"/>
  <c r="AJ172" i="102" s="1"/>
  <c r="AK172" i="102" s="1"/>
  <c r="AL172" i="102" s="1"/>
  <c r="AD173" i="102"/>
  <c r="AJ173" i="102" s="1"/>
  <c r="AK173" i="102" s="1"/>
  <c r="AL173" i="102" s="1"/>
  <c r="AD174" i="102"/>
  <c r="AJ174" i="102" s="1"/>
  <c r="AK174" i="102" s="1"/>
  <c r="AL174" i="102" s="1"/>
  <c r="AD167" i="102"/>
  <c r="AJ167" i="102" s="1"/>
  <c r="AK167" i="102" s="1"/>
  <c r="AL167" i="102" s="1"/>
  <c r="AD166" i="102"/>
  <c r="AJ166" i="102" s="1"/>
  <c r="AK166" i="102" s="1"/>
  <c r="AL166" i="102" s="1"/>
  <c r="AD168" i="102"/>
  <c r="AJ168" i="102" s="1"/>
  <c r="AK168" i="102" s="1"/>
  <c r="AL168" i="102" s="1"/>
  <c r="AD169" i="102"/>
  <c r="AJ169" i="102" s="1"/>
  <c r="AK169" i="102" s="1"/>
  <c r="AL169" i="102" s="1"/>
  <c r="AJ210" i="102"/>
  <c r="AK210" i="102" s="1"/>
  <c r="AL210" i="102" s="1"/>
  <c r="AD214" i="102"/>
  <c r="AJ214" i="102" s="1"/>
  <c r="AK214" i="102" s="1"/>
  <c r="AL214" i="102" s="1"/>
  <c r="AD211" i="102"/>
  <c r="AJ211" i="102" s="1"/>
  <c r="AK211" i="102" s="1"/>
  <c r="AL211" i="102" s="1"/>
  <c r="AD215" i="102"/>
  <c r="AJ215" i="102" s="1"/>
  <c r="AK215" i="102" s="1"/>
  <c r="AL215" i="102" s="1"/>
  <c r="AD216" i="102"/>
  <c r="AJ216" i="102" s="1"/>
  <c r="AK216" i="102" s="1"/>
  <c r="AL216" i="102" s="1"/>
  <c r="AD217" i="102"/>
  <c r="AJ217" i="102" s="1"/>
  <c r="AK217" i="102" s="1"/>
  <c r="AL217" i="102" s="1"/>
  <c r="AD218" i="102"/>
  <c r="AJ218" i="102" s="1"/>
  <c r="AK218" i="102" s="1"/>
  <c r="AL218" i="102" s="1"/>
  <c r="AD219" i="102"/>
  <c r="AJ219" i="102" s="1"/>
  <c r="AK219" i="102" s="1"/>
  <c r="AL219" i="102" s="1"/>
  <c r="AD212" i="102"/>
  <c r="AJ212" i="102" s="1"/>
  <c r="AK212" i="102" s="1"/>
  <c r="AL212" i="102" s="1"/>
  <c r="AD220" i="102"/>
  <c r="AJ220" i="102" s="1"/>
  <c r="AK220" i="102" s="1"/>
  <c r="AL220" i="102" s="1"/>
  <c r="AD213" i="102"/>
  <c r="AJ213" i="102" s="1"/>
  <c r="AK213" i="102" s="1"/>
  <c r="AL213" i="102" s="1"/>
  <c r="AD221" i="102"/>
  <c r="AJ221" i="102" s="1"/>
  <c r="AK221" i="102" s="1"/>
  <c r="AL221" i="102" s="1"/>
  <c r="AH131" i="96"/>
  <c r="AI131" i="96" s="1"/>
  <c r="AJ131" i="96" s="1"/>
  <c r="AK131" i="96" s="1"/>
  <c r="AL131" i="96" s="1"/>
  <c r="AE132" i="96"/>
  <c r="AH132" i="96" s="1"/>
  <c r="AI132" i="96" s="1"/>
  <c r="AJ132" i="96" s="1"/>
  <c r="AK132" i="96" s="1"/>
  <c r="AL132" i="96" s="1"/>
  <c r="AH75" i="96"/>
  <c r="AI75" i="96" s="1"/>
  <c r="AJ75" i="96" s="1"/>
  <c r="AK75" i="96" s="1"/>
  <c r="AL75" i="96" s="1"/>
  <c r="AE76" i="96"/>
  <c r="AH76" i="96" s="1"/>
  <c r="AI76" i="96" s="1"/>
  <c r="AJ76" i="96" s="1"/>
  <c r="AK76" i="96" s="1"/>
  <c r="AL76" i="96" s="1"/>
  <c r="AH88" i="96"/>
  <c r="AI88" i="96" s="1"/>
  <c r="AJ88" i="96" s="1"/>
  <c r="AK88" i="96" s="1"/>
  <c r="AL88" i="96" s="1"/>
  <c r="AE89" i="96"/>
  <c r="AH89" i="96" s="1"/>
  <c r="AI89" i="96" s="1"/>
  <c r="AJ89" i="96" s="1"/>
  <c r="AK89" i="96" s="1"/>
  <c r="AL89" i="96" s="1"/>
  <c r="AH77" i="96"/>
  <c r="AI77" i="96" s="1"/>
  <c r="AJ77" i="96" s="1"/>
  <c r="AK77" i="96" s="1"/>
  <c r="AL77" i="96" s="1"/>
  <c r="AE78" i="96"/>
  <c r="AH78" i="96" s="1"/>
  <c r="AI78" i="96" s="1"/>
  <c r="AJ78" i="96" s="1"/>
  <c r="AK78" i="96" s="1"/>
  <c r="AL78" i="96" s="1"/>
  <c r="AH57" i="96"/>
  <c r="AI57" i="96" s="1"/>
  <c r="AJ57" i="96" s="1"/>
  <c r="AK57" i="96" s="1"/>
  <c r="AL57" i="96" s="1"/>
  <c r="AE58" i="96"/>
  <c r="AH58" i="96" s="1"/>
  <c r="AI58" i="96" s="1"/>
  <c r="AJ58" i="96" s="1"/>
  <c r="AK58" i="96" s="1"/>
  <c r="AL58" i="96" s="1"/>
  <c r="AJ25" i="102"/>
  <c r="AK25" i="102" s="1"/>
  <c r="AL25" i="102" s="1"/>
  <c r="AD26" i="102"/>
  <c r="AJ22" i="102"/>
  <c r="AK22" i="102" s="1"/>
  <c r="AL22" i="102" s="1"/>
  <c r="AD24" i="102"/>
  <c r="AJ24" i="102" s="1"/>
  <c r="AK24" i="102" s="1"/>
  <c r="AL24" i="102" s="1"/>
  <c r="AD23" i="102"/>
  <c r="AJ23" i="102" s="1"/>
  <c r="AK23" i="102" s="1"/>
  <c r="AL23" i="102" s="1"/>
  <c r="AJ40" i="102"/>
  <c r="AK40" i="102" s="1"/>
  <c r="AL40" i="102" s="1"/>
  <c r="AD42" i="102"/>
  <c r="AJ42" i="102" s="1"/>
  <c r="AK42" i="102" s="1"/>
  <c r="AL42" i="102" s="1"/>
  <c r="AD41" i="102"/>
  <c r="AJ41" i="102" s="1"/>
  <c r="AK41" i="102" s="1"/>
  <c r="AL41" i="102" s="1"/>
  <c r="AJ16" i="102"/>
  <c r="AD17" i="102"/>
  <c r="AJ36" i="102"/>
  <c r="AK36" i="102" s="1"/>
  <c r="AL36" i="102" s="1"/>
  <c r="AD38" i="102"/>
  <c r="AJ38" i="102" s="1"/>
  <c r="AK38" i="102" s="1"/>
  <c r="AL38" i="102" s="1"/>
  <c r="AD39" i="102"/>
  <c r="AJ39" i="102" s="1"/>
  <c r="AK39" i="102" s="1"/>
  <c r="AL39" i="102" s="1"/>
  <c r="AD37" i="102"/>
  <c r="AJ37" i="102" s="1"/>
  <c r="AK37" i="102" s="1"/>
  <c r="AL37" i="102" s="1"/>
  <c r="AK16" i="102"/>
  <c r="AL16" i="102" s="1"/>
  <c r="D6" i="102"/>
  <c r="AK6" i="102" s="1"/>
  <c r="AL6" i="102" s="1"/>
  <c r="AR5" i="102" a="1"/>
  <c r="BA2" i="102" s="1"/>
  <c r="AR21" i="112"/>
  <c r="AS21" i="112" s="1"/>
  <c r="AT21" i="112" s="1"/>
  <c r="AU21" i="112" s="1"/>
  <c r="AV21" i="112" s="1"/>
  <c r="AA190" i="103"/>
  <c r="AA200" i="103"/>
  <c r="AA164" i="103"/>
  <c r="AA309" i="103"/>
  <c r="AN146" i="112"/>
  <c r="AR146" i="112" s="1"/>
  <c r="AS146" i="112" s="1"/>
  <c r="AT146" i="112" s="1"/>
  <c r="AU146" i="112" s="1"/>
  <c r="AV146" i="112" s="1"/>
  <c r="AK283" i="112"/>
  <c r="AN98" i="112"/>
  <c r="AR98" i="112" s="1"/>
  <c r="AS98" i="112" s="1"/>
  <c r="AT98" i="112" s="1"/>
  <c r="AU98" i="112" s="1"/>
  <c r="AV98" i="112" s="1"/>
  <c r="AN102" i="112"/>
  <c r="AR102" i="112" s="1"/>
  <c r="AS102" i="112" s="1"/>
  <c r="AT102" i="112" s="1"/>
  <c r="AU102" i="112" s="1"/>
  <c r="AV102" i="112" s="1"/>
  <c r="AN106" i="112"/>
  <c r="AR106" i="112" s="1"/>
  <c r="AS106" i="112" s="1"/>
  <c r="AT106" i="112" s="1"/>
  <c r="AU106" i="112" s="1"/>
  <c r="AV106" i="112" s="1"/>
  <c r="AN118" i="112"/>
  <c r="AR118" i="112" s="1"/>
  <c r="AS118" i="112" s="1"/>
  <c r="AT118" i="112" s="1"/>
  <c r="AU118" i="112" s="1"/>
  <c r="AV118" i="112" s="1"/>
  <c r="AN164" i="112"/>
  <c r="AR164" i="112" s="1"/>
  <c r="AS164" i="112" s="1"/>
  <c r="AT164" i="112" s="1"/>
  <c r="AU164" i="112" s="1"/>
  <c r="AV164" i="112" s="1"/>
  <c r="AN192" i="112"/>
  <c r="AR192" i="112" s="1"/>
  <c r="AS192" i="112" s="1"/>
  <c r="AT192" i="112" s="1"/>
  <c r="AU192" i="112" s="1"/>
  <c r="AV192" i="112" s="1"/>
  <c r="AN240" i="112"/>
  <c r="AR240" i="112" s="1"/>
  <c r="AS240" i="112" s="1"/>
  <c r="AT240" i="112" s="1"/>
  <c r="AU240" i="112" s="1"/>
  <c r="AV240" i="112" s="1"/>
  <c r="AN242" i="112"/>
  <c r="AR242" i="112" s="1"/>
  <c r="AS242" i="112" s="1"/>
  <c r="AT242" i="112" s="1"/>
  <c r="AU242" i="112" s="1"/>
  <c r="AV242" i="112" s="1"/>
  <c r="AN166" i="112"/>
  <c r="AR166" i="112" s="1"/>
  <c r="AS166" i="112" s="1"/>
  <c r="AT166" i="112" s="1"/>
  <c r="AU166" i="112" s="1"/>
  <c r="AV166" i="112" s="1"/>
  <c r="AN170" i="112"/>
  <c r="AR170" i="112" s="1"/>
  <c r="AS170" i="112" s="1"/>
  <c r="AT170" i="112" s="1"/>
  <c r="AU170" i="112" s="1"/>
  <c r="AV170" i="112" s="1"/>
  <c r="AN211" i="112"/>
  <c r="AR211" i="112" s="1"/>
  <c r="AS211" i="112" s="1"/>
  <c r="AT211" i="112" s="1"/>
  <c r="AU211" i="112" s="1"/>
  <c r="AV211" i="112" s="1"/>
  <c r="AN247" i="112"/>
  <c r="AR247" i="112" s="1"/>
  <c r="AS247" i="112" s="1"/>
  <c r="AT247" i="112" s="1"/>
  <c r="AU247" i="112" s="1"/>
  <c r="AV247" i="112" s="1"/>
  <c r="AN8" i="112"/>
  <c r="AR8" i="112" s="1"/>
  <c r="AS8" i="112" s="1"/>
  <c r="AT8" i="112" s="1"/>
  <c r="AU8" i="112" s="1"/>
  <c r="AV8" i="112" s="1"/>
  <c r="AN100" i="112"/>
  <c r="AR100" i="112" s="1"/>
  <c r="AS100" i="112" s="1"/>
  <c r="AT100" i="112" s="1"/>
  <c r="AU100" i="112" s="1"/>
  <c r="AV100" i="112" s="1"/>
  <c r="AN104" i="112"/>
  <c r="AR104" i="112" s="1"/>
  <c r="AS104" i="112" s="1"/>
  <c r="AT104" i="112" s="1"/>
  <c r="AU104" i="112" s="1"/>
  <c r="AV104" i="112" s="1"/>
  <c r="AN150" i="112"/>
  <c r="AR150" i="112" s="1"/>
  <c r="AS150" i="112" s="1"/>
  <c r="AT150" i="112" s="1"/>
  <c r="AU150" i="112" s="1"/>
  <c r="AV150" i="112" s="1"/>
  <c r="AN210" i="112"/>
  <c r="AR210" i="112" s="1"/>
  <c r="AS210" i="112" s="1"/>
  <c r="AT210" i="112" s="1"/>
  <c r="AU210" i="112" s="1"/>
  <c r="AV210" i="112" s="1"/>
  <c r="AN239" i="112"/>
  <c r="AR239" i="112" s="1"/>
  <c r="AS239" i="112" s="1"/>
  <c r="AT239" i="112" s="1"/>
  <c r="AU239" i="112" s="1"/>
  <c r="AV239" i="112" s="1"/>
  <c r="AN241" i="112"/>
  <c r="AR241" i="112" s="1"/>
  <c r="AS241" i="112" s="1"/>
  <c r="AT241" i="112" s="1"/>
  <c r="AU241" i="112" s="1"/>
  <c r="AV241" i="112" s="1"/>
  <c r="AN246" i="112"/>
  <c r="AR246" i="112" s="1"/>
  <c r="AS246" i="112" s="1"/>
  <c r="AT246" i="112" s="1"/>
  <c r="AU246" i="112" s="1"/>
  <c r="AV246" i="112" s="1"/>
  <c r="AE22" i="96"/>
  <c r="AH22" i="96" s="1"/>
  <c r="AI22" i="96" s="1"/>
  <c r="AJ22" i="96" s="1"/>
  <c r="AK22" i="96" s="1"/>
  <c r="AL22" i="96" s="1"/>
  <c r="AE49" i="96"/>
  <c r="AH49" i="96" s="1"/>
  <c r="AI49" i="96" s="1"/>
  <c r="AJ49" i="96" s="1"/>
  <c r="AK49" i="96" s="1"/>
  <c r="AL49" i="96" s="1"/>
  <c r="AE85" i="96"/>
  <c r="AE42" i="96"/>
  <c r="AE61" i="96"/>
  <c r="AE10" i="96"/>
  <c r="AH10" i="96" s="1"/>
  <c r="AI10" i="96" s="1"/>
  <c r="AJ10" i="96" s="1"/>
  <c r="AK10" i="96" s="1"/>
  <c r="AL10" i="96" s="1"/>
  <c r="AE29" i="96"/>
  <c r="AH29" i="96" s="1"/>
  <c r="AI29" i="96" s="1"/>
  <c r="AJ29" i="96" s="1"/>
  <c r="AK29" i="96" s="1"/>
  <c r="AL29" i="96" s="1"/>
  <c r="AE32" i="96"/>
  <c r="AH32" i="96" s="1"/>
  <c r="AI32" i="96" s="1"/>
  <c r="AJ32" i="96" s="1"/>
  <c r="AK32" i="96" s="1"/>
  <c r="AL32" i="96" s="1"/>
  <c r="AE47" i="96"/>
  <c r="AH47" i="96" s="1"/>
  <c r="AI47" i="96" s="1"/>
  <c r="AJ47" i="96" s="1"/>
  <c r="AK47" i="96" s="1"/>
  <c r="AL47" i="96" s="1"/>
  <c r="AB252" i="96"/>
  <c r="AE9" i="96"/>
  <c r="AH9" i="96" s="1"/>
  <c r="AI9" i="96" s="1"/>
  <c r="AJ9" i="96" s="1"/>
  <c r="AK9" i="96" s="1"/>
  <c r="AL9" i="96" s="1"/>
  <c r="AE28" i="96"/>
  <c r="AH28" i="96" s="1"/>
  <c r="AI28" i="96" s="1"/>
  <c r="AJ28" i="96" s="1"/>
  <c r="AK28" i="96" s="1"/>
  <c r="AL28" i="96" s="1"/>
  <c r="AE79" i="96"/>
  <c r="AH79" i="96" s="1"/>
  <c r="AI79" i="96" s="1"/>
  <c r="AJ79" i="96" s="1"/>
  <c r="AK79" i="96" s="1"/>
  <c r="AL79" i="96" s="1"/>
  <c r="AE83" i="96"/>
  <c r="AH83" i="96" s="1"/>
  <c r="AI83" i="96" s="1"/>
  <c r="AJ83" i="96" s="1"/>
  <c r="AK83" i="96" s="1"/>
  <c r="AL83" i="96" s="1"/>
  <c r="AE36" i="96"/>
  <c r="AH36" i="96" s="1"/>
  <c r="AI36" i="96" s="1"/>
  <c r="AJ36" i="96" s="1"/>
  <c r="AK36" i="96" s="1"/>
  <c r="AL36" i="96" s="1"/>
  <c r="AE40" i="96"/>
  <c r="AH40" i="96" s="1"/>
  <c r="AI40" i="96" s="1"/>
  <c r="AJ40" i="96" s="1"/>
  <c r="AK40" i="96" s="1"/>
  <c r="AL40" i="96" s="1"/>
  <c r="AE100" i="96"/>
  <c r="AH100" i="96" s="1"/>
  <c r="AI100" i="96" s="1"/>
  <c r="AJ100" i="96" s="1"/>
  <c r="AK100" i="96" s="1"/>
  <c r="AL100" i="96" s="1"/>
  <c r="AE159" i="96"/>
  <c r="AH159" i="96" s="1"/>
  <c r="AI159" i="96" s="1"/>
  <c r="AJ159" i="96" s="1"/>
  <c r="AK159" i="96" s="1"/>
  <c r="AL159" i="96" s="1"/>
  <c r="AE161" i="96"/>
  <c r="AH161" i="96" s="1"/>
  <c r="AI161" i="96" s="1"/>
  <c r="AJ161" i="96" s="1"/>
  <c r="AK161" i="96" s="1"/>
  <c r="AL161" i="96" s="1"/>
  <c r="AE163" i="96"/>
  <c r="AH163" i="96" s="1"/>
  <c r="AI163" i="96" s="1"/>
  <c r="AJ163" i="96" s="1"/>
  <c r="AK163" i="96" s="1"/>
  <c r="AL163" i="96" s="1"/>
  <c r="AE165" i="96"/>
  <c r="AH165" i="96" s="1"/>
  <c r="AI165" i="96" s="1"/>
  <c r="AJ165" i="96" s="1"/>
  <c r="AK165" i="96" s="1"/>
  <c r="AL165" i="96" s="1"/>
  <c r="AE214" i="96"/>
  <c r="AH214" i="96" s="1"/>
  <c r="AI214" i="96" s="1"/>
  <c r="AJ214" i="96" s="1"/>
  <c r="AK214" i="96" s="1"/>
  <c r="AL214" i="96" s="1"/>
  <c r="AE216" i="96"/>
  <c r="AH216" i="96" s="1"/>
  <c r="AI216" i="96" s="1"/>
  <c r="AJ216" i="96" s="1"/>
  <c r="AK216" i="96" s="1"/>
  <c r="AL216" i="96" s="1"/>
  <c r="AE218" i="96"/>
  <c r="AH218" i="96" s="1"/>
  <c r="AI218" i="96" s="1"/>
  <c r="AJ218" i="96" s="1"/>
  <c r="AK218" i="96" s="1"/>
  <c r="AL218" i="96" s="1"/>
  <c r="AE220" i="96"/>
  <c r="AH220" i="96" s="1"/>
  <c r="AI220" i="96" s="1"/>
  <c r="AJ220" i="96" s="1"/>
  <c r="AK220" i="96" s="1"/>
  <c r="AL220" i="96" s="1"/>
  <c r="AE232" i="96"/>
  <c r="AH232" i="96" s="1"/>
  <c r="AI232" i="96" s="1"/>
  <c r="AJ232" i="96" s="1"/>
  <c r="AK232" i="96" s="1"/>
  <c r="AL232" i="96" s="1"/>
  <c r="AE146" i="96"/>
  <c r="AH146" i="96" s="1"/>
  <c r="AI146" i="96" s="1"/>
  <c r="AJ146" i="96" s="1"/>
  <c r="AK146" i="96" s="1"/>
  <c r="AL146" i="96" s="1"/>
  <c r="AE150" i="96"/>
  <c r="AH150" i="96" s="1"/>
  <c r="AI150" i="96" s="1"/>
  <c r="AJ150" i="96" s="1"/>
  <c r="AK150" i="96" s="1"/>
  <c r="AL150" i="96" s="1"/>
  <c r="AE154" i="96"/>
  <c r="AH154" i="96" s="1"/>
  <c r="AI154" i="96" s="1"/>
  <c r="AJ154" i="96" s="1"/>
  <c r="AK154" i="96" s="1"/>
  <c r="AL154" i="96" s="1"/>
  <c r="AE205" i="96"/>
  <c r="AH205" i="96" s="1"/>
  <c r="AI205" i="96" s="1"/>
  <c r="AJ205" i="96" s="1"/>
  <c r="AK205" i="96" s="1"/>
  <c r="AL205" i="96" s="1"/>
  <c r="AE209" i="96"/>
  <c r="AH209" i="96" s="1"/>
  <c r="AI209" i="96" s="1"/>
  <c r="AJ209" i="96" s="1"/>
  <c r="AK209" i="96" s="1"/>
  <c r="AL209" i="96" s="1"/>
  <c r="AE122" i="96"/>
  <c r="AE133" i="96"/>
  <c r="AE38" i="96"/>
  <c r="AH38" i="96" s="1"/>
  <c r="AI38" i="96" s="1"/>
  <c r="AJ38" i="96" s="1"/>
  <c r="AK38" i="96" s="1"/>
  <c r="AL38" i="96" s="1"/>
  <c r="AE44" i="96"/>
  <c r="AE59" i="96"/>
  <c r="AE158" i="96"/>
  <c r="AH158" i="96" s="1"/>
  <c r="AI158" i="96" s="1"/>
  <c r="AJ158" i="96" s="1"/>
  <c r="AK158" i="96" s="1"/>
  <c r="AL158" i="96" s="1"/>
  <c r="AE160" i="96"/>
  <c r="AH160" i="96" s="1"/>
  <c r="AI160" i="96" s="1"/>
  <c r="AJ160" i="96" s="1"/>
  <c r="AK160" i="96" s="1"/>
  <c r="AL160" i="96" s="1"/>
  <c r="AE162" i="96"/>
  <c r="AH162" i="96" s="1"/>
  <c r="AI162" i="96" s="1"/>
  <c r="AJ162" i="96" s="1"/>
  <c r="AK162" i="96" s="1"/>
  <c r="AL162" i="96" s="1"/>
  <c r="AE164" i="96"/>
  <c r="AH164" i="96" s="1"/>
  <c r="AI164" i="96" s="1"/>
  <c r="AJ164" i="96" s="1"/>
  <c r="AK164" i="96" s="1"/>
  <c r="AL164" i="96" s="1"/>
  <c r="AE166" i="96"/>
  <c r="AH166" i="96" s="1"/>
  <c r="AI166" i="96" s="1"/>
  <c r="AJ166" i="96" s="1"/>
  <c r="AK166" i="96" s="1"/>
  <c r="AL166" i="96" s="1"/>
  <c r="AE213" i="96"/>
  <c r="AH213" i="96" s="1"/>
  <c r="AI213" i="96" s="1"/>
  <c r="AJ213" i="96" s="1"/>
  <c r="AK213" i="96" s="1"/>
  <c r="AL213" i="96" s="1"/>
  <c r="AE215" i="96"/>
  <c r="AH215" i="96" s="1"/>
  <c r="AI215" i="96" s="1"/>
  <c r="AJ215" i="96" s="1"/>
  <c r="AK215" i="96" s="1"/>
  <c r="AL215" i="96" s="1"/>
  <c r="AE217" i="96"/>
  <c r="AH217" i="96" s="1"/>
  <c r="AI217" i="96" s="1"/>
  <c r="AJ217" i="96" s="1"/>
  <c r="AK217" i="96" s="1"/>
  <c r="AL217" i="96" s="1"/>
  <c r="AE219" i="96"/>
  <c r="AH219" i="96" s="1"/>
  <c r="AI219" i="96" s="1"/>
  <c r="AJ219" i="96" s="1"/>
  <c r="AK219" i="96" s="1"/>
  <c r="AL219" i="96" s="1"/>
  <c r="AE221" i="96"/>
  <c r="AH221" i="96" s="1"/>
  <c r="AI221" i="96" s="1"/>
  <c r="AJ221" i="96" s="1"/>
  <c r="AK221" i="96" s="1"/>
  <c r="AL221" i="96" s="1"/>
  <c r="AE231" i="96"/>
  <c r="AH231" i="96" s="1"/>
  <c r="AI231" i="96" s="1"/>
  <c r="AJ231" i="96" s="1"/>
  <c r="AK231" i="96" s="1"/>
  <c r="AL231" i="96" s="1"/>
  <c r="AE95" i="96"/>
  <c r="AH95" i="96" s="1"/>
  <c r="AI95" i="96" s="1"/>
  <c r="AJ95" i="96" s="1"/>
  <c r="AK95" i="96" s="1"/>
  <c r="AL95" i="96" s="1"/>
  <c r="AE102" i="96"/>
  <c r="AH102" i="96" s="1"/>
  <c r="AI102" i="96" s="1"/>
  <c r="AJ102" i="96" s="1"/>
  <c r="AK102" i="96" s="1"/>
  <c r="AL102" i="96" s="1"/>
  <c r="AE129" i="96"/>
  <c r="AE148" i="96"/>
  <c r="AH148" i="96" s="1"/>
  <c r="AI148" i="96" s="1"/>
  <c r="AJ148" i="96" s="1"/>
  <c r="AK148" i="96" s="1"/>
  <c r="AL148" i="96" s="1"/>
  <c r="AE152" i="96"/>
  <c r="AH152" i="96" s="1"/>
  <c r="AI152" i="96" s="1"/>
  <c r="AJ152" i="96" s="1"/>
  <c r="AK152" i="96" s="1"/>
  <c r="AL152" i="96" s="1"/>
  <c r="AE156" i="96"/>
  <c r="AH156" i="96" s="1"/>
  <c r="AI156" i="96" s="1"/>
  <c r="AJ156" i="96" s="1"/>
  <c r="AK156" i="96" s="1"/>
  <c r="AL156" i="96" s="1"/>
  <c r="AE194" i="96"/>
  <c r="AH194" i="96" s="1"/>
  <c r="AI194" i="96" s="1"/>
  <c r="AJ194" i="96" s="1"/>
  <c r="AK194" i="96" s="1"/>
  <c r="AL194" i="96" s="1"/>
  <c r="AE203" i="96"/>
  <c r="AH203" i="96" s="1"/>
  <c r="AI203" i="96" s="1"/>
  <c r="AJ203" i="96" s="1"/>
  <c r="AK203" i="96" s="1"/>
  <c r="AL203" i="96" s="1"/>
  <c r="AE207" i="96"/>
  <c r="AH207" i="96" s="1"/>
  <c r="AI207" i="96" s="1"/>
  <c r="AJ207" i="96" s="1"/>
  <c r="AK207" i="96" s="1"/>
  <c r="AL207" i="96" s="1"/>
  <c r="AE211" i="96"/>
  <c r="AH211" i="96" s="1"/>
  <c r="AI211" i="96" s="1"/>
  <c r="AJ211" i="96" s="1"/>
  <c r="AK211" i="96" s="1"/>
  <c r="AL211" i="96" s="1"/>
  <c r="AE101" i="96"/>
  <c r="AH101" i="96" s="1"/>
  <c r="AI101" i="96" s="1"/>
  <c r="AJ101" i="96" s="1"/>
  <c r="AK101" i="96" s="1"/>
  <c r="AL101" i="96" s="1"/>
  <c r="AE126" i="96"/>
  <c r="AE180" i="96"/>
  <c r="AH180" i="96" s="1"/>
  <c r="AI180" i="96" s="1"/>
  <c r="AJ180" i="96" s="1"/>
  <c r="AK180" i="96" s="1"/>
  <c r="AL180" i="96" s="1"/>
  <c r="AC317" i="103"/>
  <c r="AE7" i="103"/>
  <c r="AH7" i="103" s="1"/>
  <c r="AI7" i="103" s="1"/>
  <c r="AJ7" i="103" s="1"/>
  <c r="AK7" i="103" s="1"/>
  <c r="AL7" i="103" s="1"/>
  <c r="AE9" i="103"/>
  <c r="AH9" i="103" s="1"/>
  <c r="AI9" i="103" s="1"/>
  <c r="AJ9" i="103" s="1"/>
  <c r="AK9" i="103" s="1"/>
  <c r="AL9" i="103" s="1"/>
  <c r="AE12" i="103"/>
  <c r="AH12" i="103" s="1"/>
  <c r="AI12" i="103" s="1"/>
  <c r="AJ12" i="103" s="1"/>
  <c r="AK12" i="103" s="1"/>
  <c r="AL12" i="103" s="1"/>
  <c r="AE25" i="103"/>
  <c r="AH25" i="103" s="1"/>
  <c r="AI25" i="103" s="1"/>
  <c r="AJ25" i="103" s="1"/>
  <c r="AK25" i="103" s="1"/>
  <c r="AL25" i="103" s="1"/>
  <c r="AE14" i="103"/>
  <c r="AH14" i="103" s="1"/>
  <c r="AI14" i="103" s="1"/>
  <c r="AJ14" i="103" s="1"/>
  <c r="AK14" i="103" s="1"/>
  <c r="AL14" i="103" s="1"/>
  <c r="AE6" i="103"/>
  <c r="AH6" i="103" s="1"/>
  <c r="AI6" i="103" s="1"/>
  <c r="AJ6" i="103" s="1"/>
  <c r="AK6" i="103" s="1"/>
  <c r="AL6" i="103" s="1"/>
  <c r="AE11" i="103"/>
  <c r="AH11" i="103" s="1"/>
  <c r="AI11" i="103" s="1"/>
  <c r="AJ11" i="103" s="1"/>
  <c r="AK11" i="103" s="1"/>
  <c r="AL11" i="103" s="1"/>
  <c r="AE23" i="103"/>
  <c r="AH23" i="103" s="1"/>
  <c r="AI23" i="103" s="1"/>
  <c r="AJ23" i="103" s="1"/>
  <c r="AK23" i="103" s="1"/>
  <c r="AL23" i="103" s="1"/>
  <c r="AE32" i="103"/>
  <c r="AH32" i="103" s="1"/>
  <c r="AI32" i="103" s="1"/>
  <c r="AJ32" i="103" s="1"/>
  <c r="AK32" i="103" s="1"/>
  <c r="AL32" i="103" s="1"/>
  <c r="AE35" i="103"/>
  <c r="AH35" i="103" s="1"/>
  <c r="AI35" i="103" s="1"/>
  <c r="AJ35" i="103" s="1"/>
  <c r="AK35" i="103" s="1"/>
  <c r="AL35" i="103" s="1"/>
  <c r="AE37" i="103"/>
  <c r="AH37" i="103" s="1"/>
  <c r="AI37" i="103" s="1"/>
  <c r="AJ37" i="103" s="1"/>
  <c r="AK37" i="103" s="1"/>
  <c r="AL37" i="103" s="1"/>
  <c r="AE39" i="103"/>
  <c r="AH39" i="103" s="1"/>
  <c r="AI39" i="103" s="1"/>
  <c r="AJ39" i="103" s="1"/>
  <c r="AK39" i="103" s="1"/>
  <c r="AL39" i="103" s="1"/>
  <c r="AE41" i="103"/>
  <c r="AH41" i="103" s="1"/>
  <c r="AI41" i="103" s="1"/>
  <c r="AJ41" i="103" s="1"/>
  <c r="AK41" i="103" s="1"/>
  <c r="AL41" i="103" s="1"/>
  <c r="AE43" i="103"/>
  <c r="AH43" i="103" s="1"/>
  <c r="AI43" i="103" s="1"/>
  <c r="AJ43" i="103" s="1"/>
  <c r="AK43" i="103" s="1"/>
  <c r="AL43" i="103" s="1"/>
  <c r="AE45" i="103"/>
  <c r="AH45" i="103" s="1"/>
  <c r="AI45" i="103" s="1"/>
  <c r="AJ45" i="103" s="1"/>
  <c r="AK45" i="103" s="1"/>
  <c r="AL45" i="103" s="1"/>
  <c r="AE54" i="103"/>
  <c r="AH54" i="103" s="1"/>
  <c r="AI54" i="103" s="1"/>
  <c r="AJ54" i="103" s="1"/>
  <c r="AK54" i="103" s="1"/>
  <c r="AL54" i="103" s="1"/>
  <c r="AE13" i="103"/>
  <c r="AH13" i="103" s="1"/>
  <c r="AI13" i="103" s="1"/>
  <c r="AJ13" i="103" s="1"/>
  <c r="AK13" i="103" s="1"/>
  <c r="AL13" i="103" s="1"/>
  <c r="AE53" i="103"/>
  <c r="AH53" i="103" s="1"/>
  <c r="AI53" i="103" s="1"/>
  <c r="AJ53" i="103" s="1"/>
  <c r="AK53" i="103" s="1"/>
  <c r="AL53" i="103" s="1"/>
  <c r="AE65" i="103"/>
  <c r="AH65" i="103" s="1"/>
  <c r="AI65" i="103" s="1"/>
  <c r="AJ65" i="103" s="1"/>
  <c r="AK65" i="103" s="1"/>
  <c r="AL65" i="103" s="1"/>
  <c r="AE69" i="103"/>
  <c r="AH69" i="103" s="1"/>
  <c r="AI69" i="103" s="1"/>
  <c r="AJ69" i="103" s="1"/>
  <c r="AK69" i="103" s="1"/>
  <c r="AL69" i="103" s="1"/>
  <c r="AE77" i="103"/>
  <c r="AH77" i="103" s="1"/>
  <c r="AI77" i="103" s="1"/>
  <c r="AJ77" i="103" s="1"/>
  <c r="AK77" i="103" s="1"/>
  <c r="AL77" i="103" s="1"/>
  <c r="AE88" i="103"/>
  <c r="AH88" i="103" s="1"/>
  <c r="AI88" i="103" s="1"/>
  <c r="AJ88" i="103" s="1"/>
  <c r="AK88" i="103" s="1"/>
  <c r="AL88" i="103" s="1"/>
  <c r="AE96" i="103"/>
  <c r="AH96" i="103" s="1"/>
  <c r="AI96" i="103" s="1"/>
  <c r="AJ96" i="103" s="1"/>
  <c r="AK96" i="103" s="1"/>
  <c r="AL96" i="103" s="1"/>
  <c r="AE98" i="103"/>
  <c r="AH98" i="103" s="1"/>
  <c r="AI98" i="103" s="1"/>
  <c r="AJ98" i="103" s="1"/>
  <c r="AK98" i="103" s="1"/>
  <c r="AL98" i="103" s="1"/>
  <c r="AE100" i="103"/>
  <c r="AH100" i="103" s="1"/>
  <c r="AI100" i="103" s="1"/>
  <c r="AJ100" i="103" s="1"/>
  <c r="AK100" i="103" s="1"/>
  <c r="AL100" i="103" s="1"/>
  <c r="AE102" i="103"/>
  <c r="AH102" i="103" s="1"/>
  <c r="AI102" i="103" s="1"/>
  <c r="AJ102" i="103" s="1"/>
  <c r="AK102" i="103" s="1"/>
  <c r="AL102" i="103" s="1"/>
  <c r="AE105" i="103"/>
  <c r="AH105" i="103" s="1"/>
  <c r="AI105" i="103" s="1"/>
  <c r="AJ105" i="103" s="1"/>
  <c r="AK105" i="103" s="1"/>
  <c r="AL105" i="103" s="1"/>
  <c r="AE107" i="103"/>
  <c r="AH107" i="103" s="1"/>
  <c r="AI107" i="103" s="1"/>
  <c r="AJ107" i="103" s="1"/>
  <c r="AK107" i="103" s="1"/>
  <c r="AL107" i="103" s="1"/>
  <c r="AE109" i="103"/>
  <c r="AH109" i="103" s="1"/>
  <c r="AI109" i="103" s="1"/>
  <c r="AJ109" i="103" s="1"/>
  <c r="AK109" i="103" s="1"/>
  <c r="AL109" i="103" s="1"/>
  <c r="AE114" i="103"/>
  <c r="AH114" i="103" s="1"/>
  <c r="AI114" i="103" s="1"/>
  <c r="AJ114" i="103" s="1"/>
  <c r="AK114" i="103" s="1"/>
  <c r="AL114" i="103" s="1"/>
  <c r="AE135" i="103"/>
  <c r="AH135" i="103" s="1"/>
  <c r="AI135" i="103" s="1"/>
  <c r="AJ135" i="103" s="1"/>
  <c r="AK135" i="103" s="1"/>
  <c r="AL135" i="103" s="1"/>
  <c r="AE137" i="103"/>
  <c r="AH137" i="103" s="1"/>
  <c r="AI137" i="103" s="1"/>
  <c r="AJ137" i="103" s="1"/>
  <c r="AK137" i="103" s="1"/>
  <c r="AL137" i="103" s="1"/>
  <c r="AE139" i="103"/>
  <c r="AH139" i="103" s="1"/>
  <c r="AI139" i="103" s="1"/>
  <c r="AJ139" i="103" s="1"/>
  <c r="AK139" i="103" s="1"/>
  <c r="AL139" i="103" s="1"/>
  <c r="AE141" i="103"/>
  <c r="AH141" i="103" s="1"/>
  <c r="AI141" i="103" s="1"/>
  <c r="AJ141" i="103" s="1"/>
  <c r="AK141" i="103" s="1"/>
  <c r="AL141" i="103" s="1"/>
  <c r="AE145" i="103"/>
  <c r="AH145" i="103" s="1"/>
  <c r="AI145" i="103" s="1"/>
  <c r="AJ145" i="103" s="1"/>
  <c r="AK145" i="103" s="1"/>
  <c r="AL145" i="103" s="1"/>
  <c r="AE147" i="103"/>
  <c r="AH147" i="103" s="1"/>
  <c r="AI147" i="103" s="1"/>
  <c r="AJ147" i="103" s="1"/>
  <c r="AK147" i="103" s="1"/>
  <c r="AL147" i="103" s="1"/>
  <c r="AE149" i="103"/>
  <c r="AH149" i="103" s="1"/>
  <c r="AI149" i="103" s="1"/>
  <c r="AJ149" i="103" s="1"/>
  <c r="AK149" i="103" s="1"/>
  <c r="AL149" i="103" s="1"/>
  <c r="AE151" i="103"/>
  <c r="AH151" i="103" s="1"/>
  <c r="AI151" i="103" s="1"/>
  <c r="AJ151" i="103" s="1"/>
  <c r="AK151" i="103" s="1"/>
  <c r="AL151" i="103" s="1"/>
  <c r="AE158" i="103"/>
  <c r="AH158" i="103" s="1"/>
  <c r="AI158" i="103" s="1"/>
  <c r="AJ158" i="103" s="1"/>
  <c r="AK158" i="103" s="1"/>
  <c r="AL158" i="103" s="1"/>
  <c r="AE166" i="103"/>
  <c r="AH166" i="103" s="1"/>
  <c r="AI166" i="103" s="1"/>
  <c r="AJ166" i="103" s="1"/>
  <c r="AK166" i="103" s="1"/>
  <c r="AL166" i="103" s="1"/>
  <c r="AE93" i="103"/>
  <c r="AH93" i="103" s="1"/>
  <c r="AI93" i="103" s="1"/>
  <c r="AJ93" i="103" s="1"/>
  <c r="AK93" i="103" s="1"/>
  <c r="AL93" i="103" s="1"/>
  <c r="AE160" i="103"/>
  <c r="AH160" i="103" s="1"/>
  <c r="AI160" i="103" s="1"/>
  <c r="AJ160" i="103" s="1"/>
  <c r="AK160" i="103" s="1"/>
  <c r="AL160" i="103" s="1"/>
  <c r="AE82" i="103"/>
  <c r="AH82" i="103" s="1"/>
  <c r="AI82" i="103" s="1"/>
  <c r="AJ82" i="103" s="1"/>
  <c r="AK82" i="103" s="1"/>
  <c r="AL82" i="103" s="1"/>
  <c r="AE64" i="103"/>
  <c r="AH64" i="103" s="1"/>
  <c r="AI64" i="103" s="1"/>
  <c r="AJ64" i="103" s="1"/>
  <c r="AK64" i="103" s="1"/>
  <c r="AL64" i="103" s="1"/>
  <c r="AE76" i="103"/>
  <c r="AH76" i="103" s="1"/>
  <c r="AI76" i="103" s="1"/>
  <c r="AJ76" i="103" s="1"/>
  <c r="AK76" i="103" s="1"/>
  <c r="AL76" i="103" s="1"/>
  <c r="AE168" i="103"/>
  <c r="AH168" i="103" s="1"/>
  <c r="AI168" i="103" s="1"/>
  <c r="AJ168" i="103" s="1"/>
  <c r="AK168" i="103" s="1"/>
  <c r="AL168" i="103" s="1"/>
  <c r="AE73" i="103"/>
  <c r="AH73" i="103" s="1"/>
  <c r="AI73" i="103" s="1"/>
  <c r="AJ73" i="103" s="1"/>
  <c r="AK73" i="103" s="1"/>
  <c r="AL73" i="103" s="1"/>
  <c r="AE81" i="103"/>
  <c r="AH81" i="103" s="1"/>
  <c r="AI81" i="103" s="1"/>
  <c r="AJ81" i="103" s="1"/>
  <c r="AK81" i="103" s="1"/>
  <c r="AL81" i="103" s="1"/>
  <c r="AE95" i="103"/>
  <c r="AH95" i="103" s="1"/>
  <c r="AI95" i="103" s="1"/>
  <c r="AJ95" i="103" s="1"/>
  <c r="AK95" i="103" s="1"/>
  <c r="AL95" i="103" s="1"/>
  <c r="AE97" i="103"/>
  <c r="AH97" i="103" s="1"/>
  <c r="AI97" i="103" s="1"/>
  <c r="AJ97" i="103" s="1"/>
  <c r="AK97" i="103" s="1"/>
  <c r="AL97" i="103" s="1"/>
  <c r="AE99" i="103"/>
  <c r="AH99" i="103" s="1"/>
  <c r="AI99" i="103" s="1"/>
  <c r="AJ99" i="103" s="1"/>
  <c r="AK99" i="103" s="1"/>
  <c r="AL99" i="103" s="1"/>
  <c r="AE101" i="103"/>
  <c r="AH101" i="103" s="1"/>
  <c r="AI101" i="103" s="1"/>
  <c r="AJ101" i="103" s="1"/>
  <c r="AK101" i="103" s="1"/>
  <c r="AL101" i="103" s="1"/>
  <c r="AE104" i="103"/>
  <c r="AH104" i="103" s="1"/>
  <c r="AI104" i="103" s="1"/>
  <c r="AJ104" i="103" s="1"/>
  <c r="AK104" i="103" s="1"/>
  <c r="AL104" i="103" s="1"/>
  <c r="AE106" i="103"/>
  <c r="AH106" i="103" s="1"/>
  <c r="AI106" i="103" s="1"/>
  <c r="AJ106" i="103" s="1"/>
  <c r="AK106" i="103" s="1"/>
  <c r="AL106" i="103" s="1"/>
  <c r="AE108" i="103"/>
  <c r="AH108" i="103" s="1"/>
  <c r="AI108" i="103" s="1"/>
  <c r="AJ108" i="103" s="1"/>
  <c r="AK108" i="103" s="1"/>
  <c r="AL108" i="103" s="1"/>
  <c r="AE110" i="103"/>
  <c r="AH110" i="103" s="1"/>
  <c r="AI110" i="103" s="1"/>
  <c r="AJ110" i="103" s="1"/>
  <c r="AK110" i="103" s="1"/>
  <c r="AL110" i="103" s="1"/>
  <c r="AE134" i="103"/>
  <c r="AH134" i="103" s="1"/>
  <c r="AI134" i="103" s="1"/>
  <c r="AJ134" i="103" s="1"/>
  <c r="AK134" i="103" s="1"/>
  <c r="AL134" i="103" s="1"/>
  <c r="AE136" i="103"/>
  <c r="AH136" i="103" s="1"/>
  <c r="AI136" i="103" s="1"/>
  <c r="AJ136" i="103" s="1"/>
  <c r="AK136" i="103" s="1"/>
  <c r="AL136" i="103" s="1"/>
  <c r="AE138" i="103"/>
  <c r="AH138" i="103" s="1"/>
  <c r="AI138" i="103" s="1"/>
  <c r="AJ138" i="103" s="1"/>
  <c r="AK138" i="103" s="1"/>
  <c r="AL138" i="103" s="1"/>
  <c r="AE140" i="103"/>
  <c r="AH140" i="103" s="1"/>
  <c r="AI140" i="103" s="1"/>
  <c r="AJ140" i="103" s="1"/>
  <c r="AK140" i="103" s="1"/>
  <c r="AL140" i="103" s="1"/>
  <c r="AE144" i="103"/>
  <c r="AH144" i="103" s="1"/>
  <c r="AI144" i="103" s="1"/>
  <c r="AJ144" i="103" s="1"/>
  <c r="AK144" i="103" s="1"/>
  <c r="AL144" i="103" s="1"/>
  <c r="AE146" i="103"/>
  <c r="AH146" i="103" s="1"/>
  <c r="AI146" i="103" s="1"/>
  <c r="AJ146" i="103" s="1"/>
  <c r="AK146" i="103" s="1"/>
  <c r="AL146" i="103" s="1"/>
  <c r="AE148" i="103"/>
  <c r="AH148" i="103" s="1"/>
  <c r="AI148" i="103" s="1"/>
  <c r="AJ148" i="103" s="1"/>
  <c r="AK148" i="103" s="1"/>
  <c r="AL148" i="103" s="1"/>
  <c r="AE150" i="103"/>
  <c r="AH150" i="103" s="1"/>
  <c r="AI150" i="103" s="1"/>
  <c r="AJ150" i="103" s="1"/>
  <c r="AK150" i="103" s="1"/>
  <c r="AL150" i="103" s="1"/>
  <c r="AE154" i="103"/>
  <c r="AH154" i="103" s="1"/>
  <c r="AI154" i="103" s="1"/>
  <c r="AJ154" i="103" s="1"/>
  <c r="AK154" i="103" s="1"/>
  <c r="AL154" i="103" s="1"/>
  <c r="AA172" i="103"/>
  <c r="AE182" i="103"/>
  <c r="AH182" i="103" s="1"/>
  <c r="AI182" i="103" s="1"/>
  <c r="AJ182" i="103" s="1"/>
  <c r="AK182" i="103" s="1"/>
  <c r="AL182" i="103" s="1"/>
  <c r="AE164" i="103"/>
  <c r="AH164" i="103" s="1"/>
  <c r="AI164" i="103" s="1"/>
  <c r="AJ164" i="103" s="1"/>
  <c r="AK164" i="103" s="1"/>
  <c r="AL164" i="103" s="1"/>
  <c r="AE176" i="103"/>
  <c r="AH176" i="103" s="1"/>
  <c r="AI176" i="103" s="1"/>
  <c r="AJ176" i="103" s="1"/>
  <c r="AK176" i="103" s="1"/>
  <c r="AL176" i="103" s="1"/>
  <c r="AE190" i="103"/>
  <c r="AH190" i="103" s="1"/>
  <c r="AI190" i="103" s="1"/>
  <c r="AJ190" i="103" s="1"/>
  <c r="AK190" i="103" s="1"/>
  <c r="AL190" i="103" s="1"/>
  <c r="AE204" i="103"/>
  <c r="AH204" i="103" s="1"/>
  <c r="AI204" i="103" s="1"/>
  <c r="AJ204" i="103" s="1"/>
  <c r="AK204" i="103" s="1"/>
  <c r="AL204" i="103" s="1"/>
  <c r="AE75" i="103"/>
  <c r="AH75" i="103" s="1"/>
  <c r="AI75" i="103" s="1"/>
  <c r="AJ75" i="103" s="1"/>
  <c r="AK75" i="103" s="1"/>
  <c r="AL75" i="103" s="1"/>
  <c r="AE156" i="103"/>
  <c r="AH156" i="103" s="1"/>
  <c r="AI156" i="103" s="1"/>
  <c r="AJ156" i="103" s="1"/>
  <c r="AK156" i="103" s="1"/>
  <c r="AL156" i="103" s="1"/>
  <c r="AA180" i="103"/>
  <c r="AB317" i="103"/>
  <c r="AE5" i="103"/>
  <c r="AH5" i="103" s="1"/>
  <c r="AI5" i="103" s="1"/>
  <c r="AJ5" i="103" s="1"/>
  <c r="AK5" i="103" s="1"/>
  <c r="AL5" i="103" s="1"/>
  <c r="AE72" i="103"/>
  <c r="AH72" i="103" s="1"/>
  <c r="AI72" i="103" s="1"/>
  <c r="AJ72" i="103" s="1"/>
  <c r="AK72" i="103" s="1"/>
  <c r="AL72" i="103" s="1"/>
  <c r="AE80" i="103"/>
  <c r="AH80" i="103" s="1"/>
  <c r="AI80" i="103" s="1"/>
  <c r="AJ80" i="103" s="1"/>
  <c r="AK80" i="103" s="1"/>
  <c r="AL80" i="103" s="1"/>
  <c r="AE170" i="103"/>
  <c r="AH170" i="103" s="1"/>
  <c r="AI170" i="103" s="1"/>
  <c r="AJ170" i="103" s="1"/>
  <c r="AK170" i="103" s="1"/>
  <c r="AL170" i="103" s="1"/>
  <c r="AE172" i="103"/>
  <c r="AH172" i="103" s="1"/>
  <c r="AI172" i="103" s="1"/>
  <c r="AJ172" i="103" s="1"/>
  <c r="AK172" i="103" s="1"/>
  <c r="AL172" i="103" s="1"/>
  <c r="AE184" i="103"/>
  <c r="AH184" i="103" s="1"/>
  <c r="AI184" i="103" s="1"/>
  <c r="AJ184" i="103" s="1"/>
  <c r="AK184" i="103" s="1"/>
  <c r="AL184" i="103" s="1"/>
  <c r="AE192" i="103"/>
  <c r="AH192" i="103" s="1"/>
  <c r="AI192" i="103" s="1"/>
  <c r="AJ192" i="103" s="1"/>
  <c r="AK192" i="103" s="1"/>
  <c r="AL192" i="103" s="1"/>
  <c r="AA210" i="103"/>
  <c r="AE296" i="103"/>
  <c r="AH296" i="103" s="1"/>
  <c r="AI296" i="103" s="1"/>
  <c r="AJ296" i="103" s="1"/>
  <c r="AK296" i="103" s="1"/>
  <c r="AL296" i="103" s="1"/>
  <c r="AA202" i="103"/>
  <c r="AE210" i="103"/>
  <c r="AH210" i="103" s="1"/>
  <c r="AI210" i="103" s="1"/>
  <c r="AJ210" i="103" s="1"/>
  <c r="AK210" i="103" s="1"/>
  <c r="AL210" i="103" s="1"/>
  <c r="AE202" i="103"/>
  <c r="AH202" i="103" s="1"/>
  <c r="AI202" i="103" s="1"/>
  <c r="AJ202" i="103" s="1"/>
  <c r="AK202" i="103" s="1"/>
  <c r="AL202" i="103" s="1"/>
  <c r="AE256" i="103"/>
  <c r="AH256" i="103" s="1"/>
  <c r="AI256" i="103" s="1"/>
  <c r="AJ256" i="103" s="1"/>
  <c r="AK256" i="103" s="1"/>
  <c r="AL256" i="103" s="1"/>
  <c r="AE290" i="103"/>
  <c r="AH290" i="103" s="1"/>
  <c r="AI290" i="103" s="1"/>
  <c r="AJ290" i="103" s="1"/>
  <c r="AK290" i="103" s="1"/>
  <c r="AL290" i="103" s="1"/>
  <c r="AA208" i="103"/>
  <c r="AE255" i="103"/>
  <c r="AH255" i="103" s="1"/>
  <c r="AI255" i="103" s="1"/>
  <c r="AJ255" i="103" s="1"/>
  <c r="AK255" i="103" s="1"/>
  <c r="AL255" i="103" s="1"/>
  <c r="AE292" i="103"/>
  <c r="AH292" i="103" s="1"/>
  <c r="AI292" i="103" s="1"/>
  <c r="AJ292" i="103" s="1"/>
  <c r="AK292" i="103" s="1"/>
  <c r="AL292" i="103" s="1"/>
  <c r="AD10" i="102"/>
  <c r="AJ10" i="102" s="1"/>
  <c r="AK10" i="102" s="1"/>
  <c r="AL10" i="102" s="1"/>
  <c r="AD30" i="102"/>
  <c r="AD73" i="102"/>
  <c r="AD155" i="102"/>
  <c r="AD14" i="102"/>
  <c r="AJ14" i="102" s="1"/>
  <c r="AK14" i="102" s="1"/>
  <c r="AL14" i="102" s="1"/>
  <c r="AD46" i="102"/>
  <c r="AD115" i="102"/>
  <c r="AD198" i="102"/>
  <c r="AA307" i="102"/>
  <c r="AD5" i="102"/>
  <c r="AJ5" i="102" s="1"/>
  <c r="AK5" i="102" s="1"/>
  <c r="AL5" i="102" s="1"/>
  <c r="AD13" i="102"/>
  <c r="AJ13" i="102" s="1"/>
  <c r="AK13" i="102" s="1"/>
  <c r="AL13" i="102" s="1"/>
  <c r="AD43" i="102"/>
  <c r="AD103" i="102"/>
  <c r="AD186" i="102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F5" i="112" s="1" a="1"/>
  <c r="BF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AN211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AU5" i="103" a="1"/>
  <c r="AU5" i="103" s="1"/>
  <c r="AH35" i="102"/>
  <c r="AH34" i="102"/>
  <c r="AH33" i="102"/>
  <c r="AH32" i="102"/>
  <c r="AH31" i="102"/>
  <c r="I30" i="102"/>
  <c r="H30" i="102"/>
  <c r="AH24" i="102"/>
  <c r="AH23" i="102"/>
  <c r="I22" i="102"/>
  <c r="H22" i="102"/>
  <c r="AC22" i="102" s="1"/>
  <c r="AH29" i="102"/>
  <c r="AH28" i="102"/>
  <c r="AH27" i="102"/>
  <c r="AH26" i="102"/>
  <c r="I25" i="102"/>
  <c r="H25" i="102"/>
  <c r="AC25" i="102" s="1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H45" i="102"/>
  <c r="AH44" i="102"/>
  <c r="I43" i="102"/>
  <c r="H43" i="102"/>
  <c r="AC43" i="102" s="1"/>
  <c r="AH42" i="102"/>
  <c r="AH41" i="102"/>
  <c r="I40" i="102"/>
  <c r="H40" i="102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C55" i="102" s="1"/>
  <c r="AC56" i="102" s="1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C73" i="102" s="1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C115" i="102" s="1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C123" i="102" s="1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C134" i="102" s="1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C155" i="102" s="1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C210" i="102" s="1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AC13" i="102" s="1"/>
  <c r="I12" i="102"/>
  <c r="H12" i="102"/>
  <c r="AC12" i="102" s="1"/>
  <c r="I11" i="102"/>
  <c r="H11" i="102"/>
  <c r="I10" i="102"/>
  <c r="H10" i="102"/>
  <c r="I9" i="102"/>
  <c r="H9" i="102"/>
  <c r="AC9" i="102" s="1"/>
  <c r="H8" i="102"/>
  <c r="AC8" i="102" s="1"/>
  <c r="H7" i="102"/>
  <c r="AC7" i="102" s="1"/>
  <c r="I6" i="102"/>
  <c r="AC6" i="102" s="1"/>
  <c r="H5" i="102"/>
  <c r="AC11" i="102" l="1"/>
  <c r="AC186" i="102"/>
  <c r="AC187" i="102" s="1"/>
  <c r="AC188" i="102" s="1"/>
  <c r="AC189" i="102" s="1"/>
  <c r="AC190" i="102" s="1"/>
  <c r="AC191" i="102" s="1"/>
  <c r="AC192" i="102" s="1"/>
  <c r="AC193" i="102" s="1"/>
  <c r="AC194" i="102" s="1"/>
  <c r="AC195" i="102" s="1"/>
  <c r="AC196" i="102" s="1"/>
  <c r="AC197" i="102" s="1"/>
  <c r="AC93" i="102"/>
  <c r="AC102" i="102" s="1"/>
  <c r="AC40" i="102"/>
  <c r="AC42" i="102" s="1"/>
  <c r="AC36" i="102"/>
  <c r="AC37" i="102" s="1"/>
  <c r="AC222" i="102"/>
  <c r="AC165" i="102"/>
  <c r="AC63" i="102"/>
  <c r="AC46" i="102"/>
  <c r="AD65" i="102"/>
  <c r="AJ64" i="102"/>
  <c r="AK64" i="102" s="1"/>
  <c r="AL64" i="102" s="1"/>
  <c r="AC119" i="102"/>
  <c r="AC120" i="102"/>
  <c r="AC121" i="102"/>
  <c r="AC122" i="102"/>
  <c r="AC116" i="102"/>
  <c r="AC117" i="102"/>
  <c r="AC118" i="102"/>
  <c r="AJ198" i="102"/>
  <c r="AK198" i="102" s="1"/>
  <c r="AL198" i="102" s="1"/>
  <c r="AD203" i="102"/>
  <c r="AJ203" i="102" s="1"/>
  <c r="AK203" i="102" s="1"/>
  <c r="AL203" i="102" s="1"/>
  <c r="AD204" i="102"/>
  <c r="AJ204" i="102" s="1"/>
  <c r="AK204" i="102" s="1"/>
  <c r="AL204" i="102" s="1"/>
  <c r="AD205" i="102"/>
  <c r="AJ205" i="102" s="1"/>
  <c r="AK205" i="102" s="1"/>
  <c r="AL205" i="102" s="1"/>
  <c r="AD206" i="102"/>
  <c r="AJ206" i="102" s="1"/>
  <c r="AK206" i="102" s="1"/>
  <c r="AL206" i="102" s="1"/>
  <c r="AD207" i="102"/>
  <c r="AJ207" i="102" s="1"/>
  <c r="AK207" i="102" s="1"/>
  <c r="AL207" i="102" s="1"/>
  <c r="AD200" i="102"/>
  <c r="AJ200" i="102" s="1"/>
  <c r="AK200" i="102" s="1"/>
  <c r="AL200" i="102" s="1"/>
  <c r="AD208" i="102"/>
  <c r="AJ208" i="102" s="1"/>
  <c r="AK208" i="102" s="1"/>
  <c r="AL208" i="102" s="1"/>
  <c r="AD201" i="102"/>
  <c r="AJ201" i="102" s="1"/>
  <c r="AK201" i="102" s="1"/>
  <c r="AL201" i="102" s="1"/>
  <c r="AD209" i="102"/>
  <c r="AJ209" i="102" s="1"/>
  <c r="AK209" i="102" s="1"/>
  <c r="AL209" i="102" s="1"/>
  <c r="AD202" i="102"/>
  <c r="AJ202" i="102" s="1"/>
  <c r="AK202" i="102" s="1"/>
  <c r="AL202" i="102" s="1"/>
  <c r="AD199" i="102"/>
  <c r="AJ199" i="102" s="1"/>
  <c r="AK199" i="102" s="1"/>
  <c r="AL199" i="102" s="1"/>
  <c r="AC140" i="102"/>
  <c r="AC141" i="102"/>
  <c r="AC142" i="102"/>
  <c r="AC143" i="102"/>
  <c r="AC136" i="102"/>
  <c r="AC144" i="102"/>
  <c r="AC137" i="102"/>
  <c r="AC135" i="102"/>
  <c r="AC138" i="102"/>
  <c r="AC139" i="102"/>
  <c r="AC198" i="102"/>
  <c r="AC103" i="102"/>
  <c r="AC83" i="102"/>
  <c r="AJ115" i="102"/>
  <c r="AK115" i="102" s="1"/>
  <c r="AL115" i="102" s="1"/>
  <c r="AD119" i="102"/>
  <c r="AJ119" i="102" s="1"/>
  <c r="AK119" i="102" s="1"/>
  <c r="AL119" i="102" s="1"/>
  <c r="AD120" i="102"/>
  <c r="AJ120" i="102" s="1"/>
  <c r="AK120" i="102" s="1"/>
  <c r="AL120" i="102" s="1"/>
  <c r="AD121" i="102"/>
  <c r="AJ121" i="102" s="1"/>
  <c r="AK121" i="102" s="1"/>
  <c r="AL121" i="102" s="1"/>
  <c r="AD122" i="102"/>
  <c r="AJ122" i="102" s="1"/>
  <c r="AK122" i="102" s="1"/>
  <c r="AL122" i="102" s="1"/>
  <c r="AD116" i="102"/>
  <c r="AJ116" i="102" s="1"/>
  <c r="AK116" i="102" s="1"/>
  <c r="AL116" i="102" s="1"/>
  <c r="AD117" i="102"/>
  <c r="AJ117" i="102" s="1"/>
  <c r="AK117" i="102" s="1"/>
  <c r="AL117" i="102" s="1"/>
  <c r="AD118" i="102"/>
  <c r="AJ118" i="102" s="1"/>
  <c r="AK118" i="102" s="1"/>
  <c r="AL118" i="102" s="1"/>
  <c r="AJ186" i="102"/>
  <c r="AK186" i="102" s="1"/>
  <c r="AL186" i="102" s="1"/>
  <c r="AD193" i="102"/>
  <c r="AJ193" i="102" s="1"/>
  <c r="AK193" i="102" s="1"/>
  <c r="AL193" i="102" s="1"/>
  <c r="AD194" i="102"/>
  <c r="AJ194" i="102" s="1"/>
  <c r="AK194" i="102" s="1"/>
  <c r="AL194" i="102" s="1"/>
  <c r="AD195" i="102"/>
  <c r="AJ195" i="102" s="1"/>
  <c r="AK195" i="102" s="1"/>
  <c r="AL195" i="102" s="1"/>
  <c r="AD188" i="102"/>
  <c r="AJ188" i="102" s="1"/>
  <c r="AK188" i="102" s="1"/>
  <c r="AL188" i="102" s="1"/>
  <c r="AD196" i="102"/>
  <c r="AJ196" i="102" s="1"/>
  <c r="AK196" i="102" s="1"/>
  <c r="AL196" i="102" s="1"/>
  <c r="AD189" i="102"/>
  <c r="AJ189" i="102" s="1"/>
  <c r="AK189" i="102" s="1"/>
  <c r="AL189" i="102" s="1"/>
  <c r="AD197" i="102"/>
  <c r="AJ197" i="102" s="1"/>
  <c r="AK197" i="102" s="1"/>
  <c r="AL197" i="102" s="1"/>
  <c r="AD190" i="102"/>
  <c r="AJ190" i="102" s="1"/>
  <c r="AK190" i="102" s="1"/>
  <c r="AL190" i="102" s="1"/>
  <c r="AD187" i="102"/>
  <c r="AJ187" i="102" s="1"/>
  <c r="AK187" i="102" s="1"/>
  <c r="AL187" i="102" s="1"/>
  <c r="AD191" i="102"/>
  <c r="AJ191" i="102" s="1"/>
  <c r="AK191" i="102" s="1"/>
  <c r="AL191" i="102" s="1"/>
  <c r="AD192" i="102"/>
  <c r="AJ192" i="102" s="1"/>
  <c r="AK192" i="102" s="1"/>
  <c r="AL192" i="102" s="1"/>
  <c r="AJ46" i="102"/>
  <c r="AK46" i="102" s="1"/>
  <c r="AL46" i="102" s="1"/>
  <c r="AD48" i="102"/>
  <c r="AJ48" i="102" s="1"/>
  <c r="AK48" i="102" s="1"/>
  <c r="AL48" i="102" s="1"/>
  <c r="AD49" i="102"/>
  <c r="AJ49" i="102" s="1"/>
  <c r="AK49" i="102" s="1"/>
  <c r="AL49" i="102" s="1"/>
  <c r="AD51" i="102"/>
  <c r="AJ51" i="102" s="1"/>
  <c r="AK51" i="102" s="1"/>
  <c r="AL51" i="102" s="1"/>
  <c r="AD47" i="102"/>
  <c r="AJ47" i="102" s="1"/>
  <c r="AK47" i="102" s="1"/>
  <c r="AL47" i="102" s="1"/>
  <c r="AD50" i="102"/>
  <c r="AJ50" i="102" s="1"/>
  <c r="AK50" i="102" s="1"/>
  <c r="AL50" i="102" s="1"/>
  <c r="AC45" i="102"/>
  <c r="AC44" i="102"/>
  <c r="AC175" i="102"/>
  <c r="AC52" i="102"/>
  <c r="AJ103" i="102"/>
  <c r="AK103" i="102" s="1"/>
  <c r="AL103" i="102" s="1"/>
  <c r="AD112" i="102"/>
  <c r="AJ112" i="102" s="1"/>
  <c r="AK112" i="102" s="1"/>
  <c r="AL112" i="102" s="1"/>
  <c r="AD105" i="102"/>
  <c r="AJ105" i="102" s="1"/>
  <c r="AK105" i="102" s="1"/>
  <c r="AL105" i="102" s="1"/>
  <c r="AD113" i="102"/>
  <c r="AJ113" i="102" s="1"/>
  <c r="AK113" i="102" s="1"/>
  <c r="AL113" i="102" s="1"/>
  <c r="AD106" i="102"/>
  <c r="AJ106" i="102" s="1"/>
  <c r="AK106" i="102" s="1"/>
  <c r="AL106" i="102" s="1"/>
  <c r="AD114" i="102"/>
  <c r="AJ114" i="102" s="1"/>
  <c r="AK114" i="102" s="1"/>
  <c r="AL114" i="102" s="1"/>
  <c r="AD107" i="102"/>
  <c r="AJ107" i="102" s="1"/>
  <c r="AK107" i="102" s="1"/>
  <c r="AL107" i="102" s="1"/>
  <c r="AD104" i="102"/>
  <c r="AJ104" i="102" s="1"/>
  <c r="AK104" i="102" s="1"/>
  <c r="AL104" i="102" s="1"/>
  <c r="AD108" i="102"/>
  <c r="AJ108" i="102" s="1"/>
  <c r="AK108" i="102" s="1"/>
  <c r="AL108" i="102" s="1"/>
  <c r="AD109" i="102"/>
  <c r="AJ109" i="102" s="1"/>
  <c r="AK109" i="102" s="1"/>
  <c r="AL109" i="102" s="1"/>
  <c r="AD110" i="102"/>
  <c r="AJ110" i="102" s="1"/>
  <c r="AK110" i="102" s="1"/>
  <c r="AL110" i="102" s="1"/>
  <c r="AD111" i="102"/>
  <c r="AJ111" i="102" s="1"/>
  <c r="AK111" i="102" s="1"/>
  <c r="AL111" i="102" s="1"/>
  <c r="AC218" i="102"/>
  <c r="AC219" i="102"/>
  <c r="AC212" i="102"/>
  <c r="AC220" i="102"/>
  <c r="AC213" i="102"/>
  <c r="AC221" i="102"/>
  <c r="AC214" i="102"/>
  <c r="AC211" i="102"/>
  <c r="AC215" i="102"/>
  <c r="AC216" i="102"/>
  <c r="AC217" i="102"/>
  <c r="AC132" i="102"/>
  <c r="AC125" i="102"/>
  <c r="AC133" i="102"/>
  <c r="AC126" i="102"/>
  <c r="AC124" i="102"/>
  <c r="AC127" i="102"/>
  <c r="AC128" i="102"/>
  <c r="AC129" i="102"/>
  <c r="AC130" i="102"/>
  <c r="AC131" i="102"/>
  <c r="AC159" i="102"/>
  <c r="AC160" i="102"/>
  <c r="AC161" i="102"/>
  <c r="AC162" i="102"/>
  <c r="AC163" i="102"/>
  <c r="AC164" i="102"/>
  <c r="AC157" i="102"/>
  <c r="AC156" i="102"/>
  <c r="AC158" i="102"/>
  <c r="AC81" i="102"/>
  <c r="AC74" i="102"/>
  <c r="AC82" i="102"/>
  <c r="AC75" i="102"/>
  <c r="AC76" i="102"/>
  <c r="AC77" i="102"/>
  <c r="AC78" i="102"/>
  <c r="AC79" i="102"/>
  <c r="AC80" i="102"/>
  <c r="AJ43" i="102"/>
  <c r="AK43" i="102" s="1"/>
  <c r="AL43" i="102" s="1"/>
  <c r="AD45" i="102"/>
  <c r="AJ45" i="102" s="1"/>
  <c r="AK45" i="102" s="1"/>
  <c r="AL45" i="102" s="1"/>
  <c r="AD44" i="102"/>
  <c r="AJ44" i="102" s="1"/>
  <c r="AK44" i="102" s="1"/>
  <c r="AL44" i="102" s="1"/>
  <c r="AJ155" i="102"/>
  <c r="AK155" i="102" s="1"/>
  <c r="AL155" i="102" s="1"/>
  <c r="AD157" i="102"/>
  <c r="AJ157" i="102" s="1"/>
  <c r="AK157" i="102" s="1"/>
  <c r="AL157" i="102" s="1"/>
  <c r="AD156" i="102"/>
  <c r="AJ156" i="102" s="1"/>
  <c r="AK156" i="102" s="1"/>
  <c r="AL156" i="102" s="1"/>
  <c r="AD158" i="102"/>
  <c r="AJ158" i="102" s="1"/>
  <c r="AK158" i="102" s="1"/>
  <c r="AL158" i="102" s="1"/>
  <c r="AD159" i="102"/>
  <c r="AJ159" i="102" s="1"/>
  <c r="AK159" i="102" s="1"/>
  <c r="AL159" i="102" s="1"/>
  <c r="AD160" i="102"/>
  <c r="AJ160" i="102" s="1"/>
  <c r="AK160" i="102" s="1"/>
  <c r="AL160" i="102" s="1"/>
  <c r="AD161" i="102"/>
  <c r="AJ161" i="102" s="1"/>
  <c r="AK161" i="102" s="1"/>
  <c r="AL161" i="102" s="1"/>
  <c r="AD162" i="102"/>
  <c r="AJ162" i="102" s="1"/>
  <c r="AK162" i="102" s="1"/>
  <c r="AL162" i="102" s="1"/>
  <c r="AD163" i="102"/>
  <c r="AJ163" i="102" s="1"/>
  <c r="AK163" i="102" s="1"/>
  <c r="AL163" i="102" s="1"/>
  <c r="AD164" i="102"/>
  <c r="AJ164" i="102" s="1"/>
  <c r="AK164" i="102" s="1"/>
  <c r="AL164" i="102" s="1"/>
  <c r="AC145" i="102"/>
  <c r="AJ73" i="102"/>
  <c r="AK73" i="102" s="1"/>
  <c r="AL73" i="102" s="1"/>
  <c r="AD80" i="102"/>
  <c r="AJ80" i="102" s="1"/>
  <c r="AK80" i="102" s="1"/>
  <c r="AL80" i="102" s="1"/>
  <c r="AD81" i="102"/>
  <c r="AJ81" i="102" s="1"/>
  <c r="AK81" i="102" s="1"/>
  <c r="AL81" i="102" s="1"/>
  <c r="AD82" i="102"/>
  <c r="AJ82" i="102" s="1"/>
  <c r="AK82" i="102" s="1"/>
  <c r="AL82" i="102" s="1"/>
  <c r="AD75" i="102"/>
  <c r="AJ75" i="102" s="1"/>
  <c r="AK75" i="102" s="1"/>
  <c r="AL75" i="102" s="1"/>
  <c r="AD74" i="102"/>
  <c r="AJ74" i="102" s="1"/>
  <c r="AK74" i="102" s="1"/>
  <c r="AL74" i="102" s="1"/>
  <c r="AD76" i="102"/>
  <c r="AJ76" i="102" s="1"/>
  <c r="AK76" i="102" s="1"/>
  <c r="AL76" i="102" s="1"/>
  <c r="AD78" i="102"/>
  <c r="AJ78" i="102" s="1"/>
  <c r="AK78" i="102" s="1"/>
  <c r="AL78" i="102" s="1"/>
  <c r="AD77" i="102"/>
  <c r="AJ77" i="102" s="1"/>
  <c r="AK77" i="102" s="1"/>
  <c r="AL77" i="102" s="1"/>
  <c r="AD79" i="102"/>
  <c r="AJ79" i="102" s="1"/>
  <c r="AK79" i="102" s="1"/>
  <c r="AL79" i="102" s="1"/>
  <c r="AH122" i="96"/>
  <c r="AI122" i="96" s="1"/>
  <c r="AJ122" i="96" s="1"/>
  <c r="AK122" i="96" s="1"/>
  <c r="AL122" i="96" s="1"/>
  <c r="AE124" i="96"/>
  <c r="AH124" i="96" s="1"/>
  <c r="AI124" i="96" s="1"/>
  <c r="AJ124" i="96" s="1"/>
  <c r="AK124" i="96" s="1"/>
  <c r="AL124" i="96" s="1"/>
  <c r="AE123" i="96"/>
  <c r="AH123" i="96" s="1"/>
  <c r="AI123" i="96" s="1"/>
  <c r="AJ123" i="96" s="1"/>
  <c r="AK123" i="96" s="1"/>
  <c r="AL123" i="96" s="1"/>
  <c r="AH133" i="96"/>
  <c r="AI133" i="96" s="1"/>
  <c r="AJ133" i="96" s="1"/>
  <c r="AK133" i="96" s="1"/>
  <c r="AL133" i="96" s="1"/>
  <c r="AE134" i="96"/>
  <c r="AH134" i="96" s="1"/>
  <c r="AI134" i="96" s="1"/>
  <c r="AJ134" i="96" s="1"/>
  <c r="AK134" i="96" s="1"/>
  <c r="AL134" i="96" s="1"/>
  <c r="AH126" i="96"/>
  <c r="AI126" i="96" s="1"/>
  <c r="AJ126" i="96" s="1"/>
  <c r="AK126" i="96" s="1"/>
  <c r="AL126" i="96" s="1"/>
  <c r="AE128" i="96"/>
  <c r="AH128" i="96" s="1"/>
  <c r="AI128" i="96" s="1"/>
  <c r="AJ128" i="96" s="1"/>
  <c r="AK128" i="96" s="1"/>
  <c r="AL128" i="96" s="1"/>
  <c r="AE127" i="96"/>
  <c r="AH127" i="96" s="1"/>
  <c r="AI127" i="96" s="1"/>
  <c r="AJ127" i="96" s="1"/>
  <c r="AK127" i="96" s="1"/>
  <c r="AL127" i="96" s="1"/>
  <c r="AH129" i="96"/>
  <c r="AI129" i="96" s="1"/>
  <c r="AJ129" i="96" s="1"/>
  <c r="AK129" i="96" s="1"/>
  <c r="AL129" i="96" s="1"/>
  <c r="AE130" i="96"/>
  <c r="AH130" i="96" s="1"/>
  <c r="AI130" i="96" s="1"/>
  <c r="AJ130" i="96" s="1"/>
  <c r="AK130" i="96" s="1"/>
  <c r="AL130" i="96" s="1"/>
  <c r="AH85" i="96"/>
  <c r="AI85" i="96" s="1"/>
  <c r="AJ85" i="96" s="1"/>
  <c r="AK85" i="96" s="1"/>
  <c r="AL85" i="96" s="1"/>
  <c r="AE86" i="96"/>
  <c r="AH86" i="96" s="1"/>
  <c r="AI86" i="96" s="1"/>
  <c r="AJ86" i="96" s="1"/>
  <c r="AK86" i="96" s="1"/>
  <c r="AL86" i="96" s="1"/>
  <c r="AU5" i="96" a="1"/>
  <c r="AU5" i="96" s="1"/>
  <c r="AH61" i="96"/>
  <c r="AI61" i="96" s="1"/>
  <c r="AJ61" i="96" s="1"/>
  <c r="AK61" i="96" s="1"/>
  <c r="AL61" i="96" s="1"/>
  <c r="AE62" i="96"/>
  <c r="AH62" i="96" s="1"/>
  <c r="AI62" i="96" s="1"/>
  <c r="AJ62" i="96" s="1"/>
  <c r="AK62" i="96" s="1"/>
  <c r="AL62" i="96" s="1"/>
  <c r="AH59" i="96"/>
  <c r="AI59" i="96" s="1"/>
  <c r="AJ59" i="96" s="1"/>
  <c r="AK59" i="96" s="1"/>
  <c r="AL59" i="96" s="1"/>
  <c r="AE60" i="96"/>
  <c r="AH60" i="96" s="1"/>
  <c r="AI60" i="96" s="1"/>
  <c r="AJ60" i="96" s="1"/>
  <c r="AK60" i="96" s="1"/>
  <c r="AL60" i="96" s="1"/>
  <c r="AH42" i="96"/>
  <c r="AI42" i="96" s="1"/>
  <c r="AJ42" i="96" s="1"/>
  <c r="AK42" i="96" s="1"/>
  <c r="AL42" i="96" s="1"/>
  <c r="AE43" i="96"/>
  <c r="AH43" i="96" s="1"/>
  <c r="AI43" i="96" s="1"/>
  <c r="AJ43" i="96" s="1"/>
  <c r="AK43" i="96" s="1"/>
  <c r="AL43" i="96" s="1"/>
  <c r="AH44" i="96"/>
  <c r="AI44" i="96" s="1"/>
  <c r="AJ44" i="96" s="1"/>
  <c r="AK44" i="96" s="1"/>
  <c r="AL44" i="96" s="1"/>
  <c r="AE45" i="96"/>
  <c r="AH45" i="96" s="1"/>
  <c r="AI45" i="96" s="1"/>
  <c r="AJ45" i="96" s="1"/>
  <c r="AK45" i="96" s="1"/>
  <c r="AL45" i="96" s="1"/>
  <c r="AJ30" i="102"/>
  <c r="AK30" i="102" s="1"/>
  <c r="AL30" i="102" s="1"/>
  <c r="AD31" i="102"/>
  <c r="AC24" i="102"/>
  <c r="AC23" i="102"/>
  <c r="AV5" i="102" a="1"/>
  <c r="AV5" i="102" s="1"/>
  <c r="AC5" i="102"/>
  <c r="AC28" i="102"/>
  <c r="AC27" i="102"/>
  <c r="AC29" i="102"/>
  <c r="AC26" i="102"/>
  <c r="AC16" i="102"/>
  <c r="AC10" i="102"/>
  <c r="AC14" i="102"/>
  <c r="AC30" i="102"/>
  <c r="AD18" i="102"/>
  <c r="AJ17" i="102"/>
  <c r="AK17" i="102" s="1"/>
  <c r="AL17" i="102" s="1"/>
  <c r="AD27" i="102"/>
  <c r="AJ26" i="102"/>
  <c r="AK26" i="102" s="1"/>
  <c r="AL26" i="102" s="1"/>
  <c r="AR5" i="102"/>
  <c r="AK4" i="96"/>
  <c r="AN4" i="103"/>
  <c r="AM4" i="103"/>
  <c r="AK4" i="103"/>
  <c r="AX4" i="112"/>
  <c r="AW4" i="112"/>
  <c r="AU4" i="112"/>
  <c r="AC39" i="102" l="1"/>
  <c r="AC38" i="102"/>
  <c r="AC41" i="102"/>
  <c r="AC94" i="102"/>
  <c r="AC95" i="102"/>
  <c r="AC101" i="102"/>
  <c r="AC100" i="102"/>
  <c r="AC98" i="102"/>
  <c r="AC99" i="102"/>
  <c r="AC97" i="102"/>
  <c r="AC96" i="102"/>
  <c r="AC86" i="102"/>
  <c r="AC87" i="102"/>
  <c r="AC88" i="102"/>
  <c r="AC89" i="102"/>
  <c r="AC90" i="102"/>
  <c r="AC91" i="102"/>
  <c r="AC92" i="102"/>
  <c r="AC85" i="102"/>
  <c r="AC84" i="102"/>
  <c r="AC154" i="102"/>
  <c r="AC147" i="102"/>
  <c r="AC146" i="102"/>
  <c r="AC148" i="102"/>
  <c r="AC149" i="102"/>
  <c r="AC150" i="102"/>
  <c r="AC151" i="102"/>
  <c r="AC152" i="102"/>
  <c r="AC153" i="102"/>
  <c r="AC108" i="102"/>
  <c r="AC109" i="102"/>
  <c r="AC110" i="102"/>
  <c r="AC111" i="102"/>
  <c r="AC112" i="102"/>
  <c r="AC105" i="102"/>
  <c r="AC113" i="102"/>
  <c r="AC106" i="102"/>
  <c r="AC114" i="102"/>
  <c r="AC107" i="102"/>
  <c r="AC104" i="102"/>
  <c r="AD66" i="102"/>
  <c r="AJ65" i="102"/>
  <c r="AK65" i="102" s="1"/>
  <c r="AL65" i="102" s="1"/>
  <c r="AC53" i="102"/>
  <c r="AC54" i="102"/>
  <c r="AC207" i="102"/>
  <c r="AC200" i="102"/>
  <c r="AC208" i="102"/>
  <c r="AC201" i="102"/>
  <c r="AC209" i="102"/>
  <c r="AC202" i="102"/>
  <c r="AC199" i="102"/>
  <c r="AC203" i="102"/>
  <c r="AC204" i="102"/>
  <c r="AC205" i="102"/>
  <c r="AC206" i="102"/>
  <c r="AC48" i="102"/>
  <c r="AC49" i="102"/>
  <c r="AC50" i="102"/>
  <c r="AC47" i="102"/>
  <c r="AC51" i="102"/>
  <c r="AC179" i="102"/>
  <c r="AC180" i="102"/>
  <c r="AC181" i="102"/>
  <c r="AC182" i="102"/>
  <c r="AC183" i="102"/>
  <c r="AC184" i="102"/>
  <c r="AC177" i="102"/>
  <c r="AC185" i="102"/>
  <c r="AC178" i="102"/>
  <c r="AC176" i="102"/>
  <c r="AC68" i="102"/>
  <c r="AC69" i="102"/>
  <c r="AC70" i="102"/>
  <c r="AC71" i="102"/>
  <c r="AC72" i="102"/>
  <c r="AC65" i="102"/>
  <c r="AC64" i="102"/>
  <c r="AC66" i="102"/>
  <c r="AC67" i="102"/>
  <c r="AC172" i="102"/>
  <c r="AC173" i="102"/>
  <c r="AC174" i="102"/>
  <c r="AC167" i="102"/>
  <c r="AC166" i="102"/>
  <c r="AC168" i="102"/>
  <c r="AC169" i="102"/>
  <c r="AC170" i="102"/>
  <c r="AC171" i="102"/>
  <c r="AC226" i="102"/>
  <c r="AC223" i="102"/>
  <c r="AC227" i="102"/>
  <c r="AC228" i="102"/>
  <c r="AC229" i="102"/>
  <c r="AC230" i="102"/>
  <c r="AC231" i="102"/>
  <c r="AC224" i="102"/>
  <c r="AC232" i="102"/>
  <c r="AC225" i="102"/>
  <c r="AC233" i="102"/>
  <c r="AN4" i="96"/>
  <c r="AM4" i="96"/>
  <c r="AC19" i="102"/>
  <c r="AC20" i="102"/>
  <c r="AC21" i="102"/>
  <c r="AC17" i="102"/>
  <c r="AC18" i="102"/>
  <c r="AD32" i="102"/>
  <c r="AJ31" i="102"/>
  <c r="AK31" i="102" s="1"/>
  <c r="AL31" i="102" s="1"/>
  <c r="AD28" i="102"/>
  <c r="AJ27" i="102"/>
  <c r="AK27" i="102" s="1"/>
  <c r="AL27" i="102" s="1"/>
  <c r="AD19" i="102"/>
  <c r="AJ18" i="102"/>
  <c r="AK18" i="102" s="1"/>
  <c r="AL18" i="102" s="1"/>
  <c r="AC32" i="102"/>
  <c r="AC34" i="102"/>
  <c r="AC33" i="102"/>
  <c r="AC35" i="102"/>
  <c r="AC31" i="102"/>
  <c r="B8" i="146"/>
  <c r="H2" i="146" s="1"/>
  <c r="C3" i="149" s="1"/>
  <c r="AM211" i="103"/>
  <c r="AO211" i="103" s="1"/>
  <c r="AD67" i="102" l="1"/>
  <c r="AJ66" i="102"/>
  <c r="AK66" i="102" s="1"/>
  <c r="AL66" i="102" s="1"/>
  <c r="AD33" i="102"/>
  <c r="AJ32" i="102"/>
  <c r="AK32" i="102" s="1"/>
  <c r="AL32" i="102" s="1"/>
  <c r="AD29" i="102"/>
  <c r="AJ29" i="102" s="1"/>
  <c r="AK29" i="102" s="1"/>
  <c r="AL29" i="102" s="1"/>
  <c r="AJ28" i="102"/>
  <c r="AK28" i="102" s="1"/>
  <c r="AL28" i="102" s="1"/>
  <c r="AD20" i="102"/>
  <c r="AJ19" i="102"/>
  <c r="AK19" i="102" s="1"/>
  <c r="AL19" i="102" s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Z40" i="102" s="1"/>
  <c r="AH40" i="102" s="1"/>
  <c r="F21" i="144" a="1"/>
  <c r="F21" i="144" s="1"/>
  <c r="X134" i="102" s="1"/>
  <c r="Z134" i="102" s="1"/>
  <c r="AH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F15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67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Z210" i="102" s="1"/>
  <c r="AH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X8" i="102" s="1"/>
  <c r="Z8" i="102" s="1"/>
  <c r="AH8" i="102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Y6" i="102" s="1"/>
  <c r="Z6" i="102" s="1"/>
  <c r="AH6" i="102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Z13" i="102" s="1"/>
  <c r="AH13" i="102" s="1"/>
  <c r="D7" i="144" a="1"/>
  <c r="D7" i="144" s="1"/>
  <c r="X12" i="102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223" i="145"/>
  <c r="N223" i="145"/>
  <c r="M223" i="145"/>
  <c r="G38" i="145"/>
  <c r="O223" i="144"/>
  <c r="N223" i="144"/>
  <c r="M223" i="144"/>
  <c r="G38" i="144"/>
  <c r="D35" i="133" a="1"/>
  <c r="D35" i="133" s="1"/>
  <c r="E35" i="133" a="1"/>
  <c r="E35" i="133" s="1"/>
  <c r="F35" i="133" a="1"/>
  <c r="F35" i="133" s="1"/>
  <c r="D36" i="133" a="1"/>
  <c r="D36" i="133" s="1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AA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AA215" i="103" s="1"/>
  <c r="F167" i="143" a="1"/>
  <c r="F167" i="143" s="1"/>
  <c r="Y137" i="103" s="1"/>
  <c r="P164" i="143" a="1"/>
  <c r="P164" i="143" s="1"/>
  <c r="Y212" i="103" s="1"/>
  <c r="AA212" i="103" s="1"/>
  <c r="F164" i="143" a="1"/>
  <c r="F164" i="143" s="1"/>
  <c r="Y134" i="103" s="1"/>
  <c r="AA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AA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AA95" i="103" s="1"/>
  <c r="F96" i="143" a="1"/>
  <c r="F96" i="143" s="1"/>
  <c r="Y110" i="103" s="1"/>
  <c r="P93" i="143" a="1"/>
  <c r="P93" i="143" s="1"/>
  <c r="Y89" i="103" s="1"/>
  <c r="F93" i="143" a="1"/>
  <c r="F93" i="143" s="1"/>
  <c r="Y107" i="103" s="1"/>
  <c r="AA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AA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AA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AA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AA252" i="103" s="1"/>
  <c r="P36" i="143" a="1"/>
  <c r="P36" i="143" s="1"/>
  <c r="Y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AA257" i="103" s="1"/>
  <c r="F30" i="143" a="1"/>
  <c r="F30" i="143" s="1"/>
  <c r="Y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AA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AA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AA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AA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O181" i="143" a="1"/>
  <c r="O181" i="143" s="1"/>
  <c r="Y229" i="103" s="1"/>
  <c r="AA229" i="103" s="1"/>
  <c r="E181" i="143" a="1"/>
  <c r="E181" i="143" s="1"/>
  <c r="Y151" i="103" s="1"/>
  <c r="AA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AA139" i="103" s="1"/>
  <c r="O166" i="143" a="1"/>
  <c r="O166" i="143" s="1"/>
  <c r="Y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AA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AA97" i="103" s="1"/>
  <c r="E98" i="143" a="1"/>
  <c r="E98" i="143" s="1"/>
  <c r="Y264" i="103" s="1"/>
  <c r="O95" i="143" a="1"/>
  <c r="O95" i="143" s="1"/>
  <c r="Y93" i="103" s="1"/>
  <c r="AA93" i="103" s="1"/>
  <c r="E95" i="143" a="1"/>
  <c r="E95" i="143" s="1"/>
  <c r="Y109" i="103" s="1"/>
  <c r="AA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AA284" i="103" s="1"/>
  <c r="E44" i="143" a="1"/>
  <c r="E44" i="143" s="1"/>
  <c r="Y242" i="103" s="1"/>
  <c r="O41" i="143" a="1"/>
  <c r="O41" i="143" s="1"/>
  <c r="Y281" i="103" s="1"/>
  <c r="AA281" i="103" s="1"/>
  <c r="E41" i="143" a="1"/>
  <c r="E41" i="143" s="1"/>
  <c r="Y291" i="103" s="1"/>
  <c r="AA291" i="103" s="1"/>
  <c r="O38" i="143" a="1"/>
  <c r="O38" i="143" s="1"/>
  <c r="Y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O29" i="143" a="1"/>
  <c r="O29" i="143" s="1"/>
  <c r="Y256" i="103" s="1"/>
  <c r="AA256" i="103" s="1"/>
  <c r="E29" i="143" a="1"/>
  <c r="E29" i="143" s="1"/>
  <c r="Y233" i="103" s="1"/>
  <c r="AA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D346" i="143" a="1"/>
  <c r="D346" i="143" s="1"/>
  <c r="Y49" i="103" s="1"/>
  <c r="AA49" i="103" s="1"/>
  <c r="N343" i="143" a="1"/>
  <c r="N343" i="143" s="1"/>
  <c r="Y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D320" i="143" a="1"/>
  <c r="D320" i="143" s="1"/>
  <c r="Y7" i="103" s="1"/>
  <c r="N317" i="143" a="1"/>
  <c r="N317" i="143" s="1"/>
  <c r="D317" i="143" a="1"/>
  <c r="D317" i="143" s="1"/>
  <c r="Y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N171" i="143" a="1"/>
  <c r="N171" i="143" s="1"/>
  <c r="Y219" i="103" s="1"/>
  <c r="AA219" i="103" s="1"/>
  <c r="D171" i="143" a="1"/>
  <c r="D171" i="143" s="1"/>
  <c r="Y141" i="103" s="1"/>
  <c r="N168" i="143" a="1"/>
  <c r="N168" i="143" s="1"/>
  <c r="Y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N100" i="143" a="1"/>
  <c r="N100" i="143" s="1"/>
  <c r="Y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N43" i="143" a="1"/>
  <c r="N43" i="143" s="1"/>
  <c r="Y283" i="103" s="1"/>
  <c r="AA283" i="103" s="1"/>
  <c r="D43" i="143" a="1"/>
  <c r="D43" i="143" s="1"/>
  <c r="Y241" i="103" s="1"/>
  <c r="N40" i="143" a="1"/>
  <c r="N40" i="143" s="1"/>
  <c r="Y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 s="1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F408" i="141" a="1"/>
  <c r="F408" i="141" s="1"/>
  <c r="Y58" i="96" s="1"/>
  <c r="N405" i="141" a="1"/>
  <c r="N405" i="141" s="1"/>
  <c r="Y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AA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AA162" i="96" s="1"/>
  <c r="F344" i="141" a="1"/>
  <c r="F344" i="141" s="1"/>
  <c r="Y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F338" i="141" a="1"/>
  <c r="F338" i="141" s="1"/>
  <c r="Y80" i="96" s="1"/>
  <c r="AA80" i="96" s="1"/>
  <c r="N335" i="141" a="1"/>
  <c r="N335" i="141" s="1"/>
  <c r="Y140" i="96" s="1"/>
  <c r="F335" i="141" a="1"/>
  <c r="F335" i="141" s="1"/>
  <c r="Y76" i="96" s="1"/>
  <c r="N332" i="141" a="1"/>
  <c r="N332" i="141" s="1"/>
  <c r="Y137" i="96" s="1"/>
  <c r="AA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F326" i="141" a="1"/>
  <c r="F326" i="141" s="1"/>
  <c r="Y66" i="96" s="1"/>
  <c r="AA66" i="96" s="1"/>
  <c r="N323" i="141" a="1"/>
  <c r="N323" i="141" s="1"/>
  <c r="Y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E407" i="141" a="1"/>
  <c r="E407" i="141" s="1"/>
  <c r="Y60" i="96" s="1"/>
  <c r="M404" i="141" a="1"/>
  <c r="M404" i="141" s="1"/>
  <c r="Y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E392" i="141" a="1"/>
  <c r="E392" i="141" s="1"/>
  <c r="M389" i="141" a="1"/>
  <c r="M389" i="141" s="1"/>
  <c r="Y27" i="96" s="1"/>
  <c r="AA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E337" i="141" a="1"/>
  <c r="E337" i="141" s="1"/>
  <c r="Y79" i="96" s="1"/>
  <c r="AA79" i="96" s="1"/>
  <c r="M334" i="141" a="1"/>
  <c r="M334" i="141" s="1"/>
  <c r="Y139" i="96" s="1"/>
  <c r="E334" i="141" a="1"/>
  <c r="E334" i="141" s="1"/>
  <c r="Y75" i="96" s="1"/>
  <c r="M331" i="141" a="1"/>
  <c r="M331" i="141" s="1"/>
  <c r="Y136" i="96" s="1"/>
  <c r="AA136" i="96" s="1"/>
  <c r="E331" i="141" a="1"/>
  <c r="E331" i="141" s="1"/>
  <c r="Y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E325" i="141" a="1"/>
  <c r="E325" i="141" s="1"/>
  <c r="Y65" i="96" s="1"/>
  <c r="AA65" i="96" s="1"/>
  <c r="M322" i="141" a="1"/>
  <c r="M322" i="141" s="1"/>
  <c r="Y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AA67" i="96" s="1"/>
  <c r="L324" i="141" a="1"/>
  <c r="L324" i="141" s="1"/>
  <c r="Y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 s="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F82" i="139" a="1"/>
  <c r="F82" i="139" s="1"/>
  <c r="AH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AJ242" i="112" s="1"/>
  <c r="O121" i="139" a="1"/>
  <c r="O121" i="139" s="1"/>
  <c r="E121" i="139" a="1"/>
  <c r="E121" i="139" s="1"/>
  <c r="AH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AJ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AJ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AJ239" i="112" s="1"/>
  <c r="D123" i="139" a="1"/>
  <c r="D123" i="139" s="1"/>
  <c r="AH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D86" i="139" a="1"/>
  <c r="D86" i="139" s="1"/>
  <c r="N83" i="139" a="1"/>
  <c r="N83" i="139" s="1"/>
  <c r="AH223" i="112" s="1"/>
  <c r="D83" i="139" a="1"/>
  <c r="D83" i="139" s="1"/>
  <c r="AH172" i="112" s="1"/>
  <c r="AJ172" i="112" s="1"/>
  <c r="N80" i="139" a="1"/>
  <c r="N80" i="139" s="1"/>
  <c r="AH106" i="112" s="1"/>
  <c r="AJ106" i="112" s="1"/>
  <c r="D80" i="139" a="1"/>
  <c r="D80" i="139" s="1"/>
  <c r="AH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D74" i="139" a="1"/>
  <c r="D74" i="139" s="1"/>
  <c r="AH169" i="112" s="1"/>
  <c r="AJ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223" i="133"/>
  <c r="N223" i="133"/>
  <c r="M223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Z16" i="102" l="1"/>
  <c r="AH16" i="102" s="1"/>
  <c r="AD68" i="102"/>
  <c r="AJ67" i="102"/>
  <c r="AK67" i="102" s="1"/>
  <c r="AL67" i="102" s="1"/>
  <c r="X5" i="102"/>
  <c r="P67" i="133"/>
  <c r="Z36" i="102"/>
  <c r="AH36" i="102" s="1"/>
  <c r="AJ248" i="112"/>
  <c r="AJ213" i="112"/>
  <c r="AJ99" i="112"/>
  <c r="AJ174" i="112"/>
  <c r="AJ119" i="112"/>
  <c r="AJ104" i="112"/>
  <c r="AJ170" i="112"/>
  <c r="AJ168" i="112"/>
  <c r="AJ37" i="112"/>
  <c r="AJ232" i="112"/>
  <c r="AJ199" i="112"/>
  <c r="AJ192" i="112"/>
  <c r="AJ101" i="112"/>
  <c r="AJ51" i="112"/>
  <c r="AJ171" i="112"/>
  <c r="AJ216" i="112"/>
  <c r="AJ103" i="112"/>
  <c r="AA161" i="96"/>
  <c r="AA190" i="96"/>
  <c r="AA44" i="96"/>
  <c r="AA110" i="96"/>
  <c r="AA172" i="96"/>
  <c r="AA88" i="96"/>
  <c r="AA155" i="96"/>
  <c r="AA129" i="96"/>
  <c r="AA71" i="96"/>
  <c r="AA120" i="96"/>
  <c r="AA121" i="96"/>
  <c r="AA213" i="96"/>
  <c r="AA182" i="96"/>
  <c r="AA111" i="96"/>
  <c r="AA48" i="96"/>
  <c r="AA138" i="96"/>
  <c r="AA109" i="96"/>
  <c r="AA29" i="96"/>
  <c r="AA9" i="96"/>
  <c r="AA54" i="96"/>
  <c r="AA24" i="96"/>
  <c r="AA166" i="96"/>
  <c r="AA110" i="103"/>
  <c r="AA137" i="103"/>
  <c r="AA274" i="103"/>
  <c r="AA286" i="103"/>
  <c r="AA73" i="103"/>
  <c r="AA60" i="103"/>
  <c r="AA222" i="103"/>
  <c r="AA262" i="103"/>
  <c r="AA277" i="103"/>
  <c r="AA255" i="103"/>
  <c r="AA9" i="103"/>
  <c r="AA59" i="103"/>
  <c r="AA216" i="103"/>
  <c r="AA228" i="103"/>
  <c r="AA54" i="103"/>
  <c r="AA278" i="103"/>
  <c r="AA102" i="103"/>
  <c r="AA88" i="103"/>
  <c r="AA71" i="103"/>
  <c r="AA214" i="103"/>
  <c r="AA276" i="103"/>
  <c r="AA101" i="103"/>
  <c r="AA241" i="103"/>
  <c r="AA105" i="103"/>
  <c r="AA269" i="103"/>
  <c r="AA141" i="103"/>
  <c r="AA155" i="103"/>
  <c r="AA23" i="103"/>
  <c r="AA114" i="103"/>
  <c r="AD21" i="102"/>
  <c r="AJ21" i="102" s="1"/>
  <c r="AK21" i="102" s="1"/>
  <c r="AL21" i="102" s="1"/>
  <c r="AJ20" i="102"/>
  <c r="AK20" i="102" s="1"/>
  <c r="AL20" i="102" s="1"/>
  <c r="Z11" i="102"/>
  <c r="AH11" i="102" s="1"/>
  <c r="Z103" i="102"/>
  <c r="AH103" i="102" s="1"/>
  <c r="Z22" i="102"/>
  <c r="AH22" i="102" s="1"/>
  <c r="Z73" i="102"/>
  <c r="AH73" i="102" s="1"/>
  <c r="Z186" i="102"/>
  <c r="AH186" i="102" s="1"/>
  <c r="Z52" i="102"/>
  <c r="AH52" i="102" s="1"/>
  <c r="Z55" i="102"/>
  <c r="AH55" i="102" s="1"/>
  <c r="AD34" i="102"/>
  <c r="AJ33" i="102"/>
  <c r="AK33" i="102" s="1"/>
  <c r="AL33" i="102" s="1"/>
  <c r="Z30" i="102"/>
  <c r="AH30" i="102" s="1"/>
  <c r="Z83" i="102"/>
  <c r="AH83" i="102" s="1"/>
  <c r="Z9" i="102"/>
  <c r="AH9" i="102" s="1"/>
  <c r="Z175" i="102"/>
  <c r="AH175" i="102" s="1"/>
  <c r="Z46" i="102"/>
  <c r="AH46" i="102" s="1"/>
  <c r="Z14" i="102"/>
  <c r="AH14" i="102" s="1"/>
  <c r="Z198" i="102"/>
  <c r="AH198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96" i="103"/>
  <c r="AA76" i="103"/>
  <c r="AA213" i="103"/>
  <c r="AA36" i="103"/>
  <c r="AA62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AA148" i="103"/>
  <c r="Y154" i="103"/>
  <c r="AA154" i="103" s="1"/>
  <c r="Z154" i="103"/>
  <c r="AJ210" i="112"/>
  <c r="AJ241" i="112"/>
  <c r="AA122" i="96"/>
  <c r="AA289" i="103"/>
  <c r="AA280" i="103"/>
  <c r="AA261" i="103"/>
  <c r="AA82" i="103"/>
  <c r="AA99" i="103"/>
  <c r="AA79" i="103"/>
  <c r="AA37" i="103"/>
  <c r="AA63" i="103"/>
  <c r="AA85" i="103"/>
  <c r="AA47" i="103"/>
  <c r="E76" i="133"/>
  <c r="AJ25" i="112"/>
  <c r="BH5" i="112" a="1"/>
  <c r="AJ187" i="112"/>
  <c r="AJ163" i="112"/>
  <c r="AJ8" i="112"/>
  <c r="AJ153" i="112"/>
  <c r="AJ36" i="112"/>
  <c r="AJ231" i="112"/>
  <c r="AJ179" i="112"/>
  <c r="AA42" i="96"/>
  <c r="AA57" i="96"/>
  <c r="AA11" i="103"/>
  <c r="AA296" i="103"/>
  <c r="AA19" i="103"/>
  <c r="AA159" i="103"/>
  <c r="AA35" i="103"/>
  <c r="Z222" i="102"/>
  <c r="AH222" i="102" s="1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Y311" i="103"/>
  <c r="AA310" i="103" s="1"/>
  <c r="AA40" i="103"/>
  <c r="AA55" i="103"/>
  <c r="AA68" i="103"/>
  <c r="AA224" i="103"/>
  <c r="AA52" i="103"/>
  <c r="AJ164" i="112"/>
  <c r="AJ230" i="112"/>
  <c r="AJ245" i="112"/>
  <c r="AI6" i="112"/>
  <c r="AJ6" i="112" s="1"/>
  <c r="AJ167" i="112"/>
  <c r="AJ228" i="112"/>
  <c r="AJ233" i="112"/>
  <c r="AA203" i="96"/>
  <c r="AA216" i="96"/>
  <c r="AA185" i="96"/>
  <c r="AA231" i="96"/>
  <c r="AA114" i="96"/>
  <c r="AA149" i="96"/>
  <c r="AA141" i="96"/>
  <c r="AA146" i="96"/>
  <c r="AA12" i="96"/>
  <c r="AA147" i="96"/>
  <c r="AA139" i="96"/>
  <c r="AA32" i="96"/>
  <c r="AA30" i="96"/>
  <c r="AA10" i="96"/>
  <c r="AA148" i="96"/>
  <c r="AA140" i="96"/>
  <c r="AA11" i="96"/>
  <c r="AA238" i="103"/>
  <c r="AA244" i="103"/>
  <c r="AA253" i="103"/>
  <c r="AA108" i="103"/>
  <c r="AA145" i="103"/>
  <c r="AA5" i="103"/>
  <c r="AA236" i="103"/>
  <c r="AA242" i="103"/>
  <c r="AA264" i="103"/>
  <c r="AA156" i="103"/>
  <c r="AA12" i="103"/>
  <c r="AA24" i="103"/>
  <c r="AA42" i="103"/>
  <c r="AA234" i="103"/>
  <c r="AA149" i="103"/>
  <c r="AA64" i="103"/>
  <c r="O67" i="145"/>
  <c r="AJ152" i="112"/>
  <c r="AJ180" i="112"/>
  <c r="AA194" i="96"/>
  <c r="AA81" i="96"/>
  <c r="AW5" i="96" a="1"/>
  <c r="AA131" i="96"/>
  <c r="AA91" i="103"/>
  <c r="AA58" i="103"/>
  <c r="AA279" i="103"/>
  <c r="AA227" i="103"/>
  <c r="AA22" i="103"/>
  <c r="AA53" i="103"/>
  <c r="AW5" i="103" a="1"/>
  <c r="AA20" i="103"/>
  <c r="P44" i="133"/>
  <c r="Z5" i="102"/>
  <c r="AX5" i="102" a="1"/>
  <c r="AJ165" i="112"/>
  <c r="AJ247" i="112"/>
  <c r="AJ23" i="112"/>
  <c r="AJ246" i="112"/>
  <c r="AA206" i="96"/>
  <c r="AA219" i="96"/>
  <c r="AA242" i="96"/>
  <c r="AA236" i="96"/>
  <c r="AA55" i="96"/>
  <c r="AA152" i="96"/>
  <c r="AA144" i="96"/>
  <c r="AA36" i="96"/>
  <c r="AA150" i="96"/>
  <c r="AA142" i="96"/>
  <c r="AA13" i="96"/>
  <c r="AA232" i="96"/>
  <c r="AA151" i="96"/>
  <c r="AA143" i="96"/>
  <c r="AA35" i="96"/>
  <c r="AA14" i="96"/>
  <c r="AA135" i="103"/>
  <c r="AA160" i="103"/>
  <c r="AA7" i="103"/>
  <c r="AA239" i="103"/>
  <c r="AA245" i="103"/>
  <c r="AA272" i="103"/>
  <c r="AA267" i="103"/>
  <c r="AA146" i="103"/>
  <c r="AA158" i="103"/>
  <c r="AA28" i="103"/>
  <c r="AA45" i="103"/>
  <c r="AA237" i="103"/>
  <c r="AA243" i="103"/>
  <c r="AA265" i="103"/>
  <c r="AA80" i="103"/>
  <c r="AA140" i="103"/>
  <c r="AA41" i="103"/>
  <c r="AA56" i="103"/>
  <c r="AA69" i="103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Y294" i="103" s="1"/>
  <c r="AA294" i="103" s="1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212" i="145"/>
  <c r="P31" i="145"/>
  <c r="O60" i="145"/>
  <c r="O15" i="145"/>
  <c r="E76" i="145"/>
  <c r="F76" i="145"/>
  <c r="P15" i="145"/>
  <c r="P60" i="145"/>
  <c r="D31" i="145"/>
  <c r="D57" i="145"/>
  <c r="E214" i="145"/>
  <c r="N31" i="145"/>
  <c r="E57" i="145"/>
  <c r="E211" i="145"/>
  <c r="N31" i="144"/>
  <c r="E214" i="144"/>
  <c r="D76" i="144"/>
  <c r="D15" i="144"/>
  <c r="E31" i="144"/>
  <c r="E57" i="144"/>
  <c r="N67" i="144"/>
  <c r="E211" i="144"/>
  <c r="E15" i="144"/>
  <c r="O31" i="144"/>
  <c r="F57" i="144"/>
  <c r="E212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212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214" i="133"/>
  <c r="E211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AD69" i="102" l="1"/>
  <c r="AJ68" i="102"/>
  <c r="AK68" i="102" s="1"/>
  <c r="AL68" i="102" s="1"/>
  <c r="BD2" i="96"/>
  <c r="BA2" i="96"/>
  <c r="BD2" i="103"/>
  <c r="F7" i="146" s="1"/>
  <c r="BA2" i="103"/>
  <c r="BN2" i="112"/>
  <c r="F5" i="146" s="1"/>
  <c r="BK2" i="112"/>
  <c r="BE2" i="102"/>
  <c r="F8" i="146" s="1"/>
  <c r="BB2" i="102"/>
  <c r="BF2" i="102" s="1"/>
  <c r="F6" i="146"/>
  <c r="AJ283" i="112"/>
  <c r="AA252" i="96"/>
  <c r="AD35" i="102"/>
  <c r="AJ35" i="102" s="1"/>
  <c r="AK35" i="102" s="1"/>
  <c r="AL35" i="102" s="1"/>
  <c r="AJ34" i="102"/>
  <c r="AK34" i="102" s="1"/>
  <c r="AL34" i="102" s="1"/>
  <c r="BH5" i="112"/>
  <c r="AX5" i="102"/>
  <c r="N573" i="143"/>
  <c r="Q573" i="143" s="1"/>
  <c r="Z307" i="102"/>
  <c r="AH5" i="102"/>
  <c r="AH306" i="102" s="1"/>
  <c r="D560" i="143"/>
  <c r="AW5" i="96"/>
  <c r="AA317" i="103"/>
  <c r="AW5" i="103"/>
  <c r="L16" i="141"/>
  <c r="Q574" i="132"/>
  <c r="E215" i="145"/>
  <c r="F212" i="145" s="1"/>
  <c r="E215" i="144"/>
  <c r="F214" i="144" s="1"/>
  <c r="E215" i="133"/>
  <c r="F214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AD70" i="102" l="1"/>
  <c r="AJ69" i="102"/>
  <c r="AK69" i="102" s="1"/>
  <c r="AL69" i="102" s="1"/>
  <c r="J2" i="146"/>
  <c r="C5" i="149" s="1"/>
  <c r="BB2" i="103"/>
  <c r="BC2" i="103" s="1"/>
  <c r="C7" i="146"/>
  <c r="D7" i="146" s="1"/>
  <c r="E7" i="146" s="1"/>
  <c r="C8" i="146"/>
  <c r="D8" i="146" s="1"/>
  <c r="E8" i="146" s="1"/>
  <c r="BC2" i="102"/>
  <c r="BD2" i="102" s="1"/>
  <c r="BL2" i="112"/>
  <c r="BM2" i="112" s="1"/>
  <c r="C5" i="146"/>
  <c r="BB2" i="96"/>
  <c r="BC2" i="96" s="1"/>
  <c r="C6" i="146"/>
  <c r="D6" i="146" s="1"/>
  <c r="E6" i="146" s="1"/>
  <c r="N579" i="143"/>
  <c r="N579" i="142"/>
  <c r="Q579" i="142" s="1"/>
  <c r="Q581" i="142" s="1"/>
  <c r="Q579" i="143"/>
  <c r="Q581" i="143" s="1"/>
  <c r="F214" i="145"/>
  <c r="F211" i="145"/>
  <c r="F215" i="145" s="1"/>
  <c r="F211" i="144"/>
  <c r="F215" i="144" s="1"/>
  <c r="F212" i="144"/>
  <c r="F211" i="133"/>
  <c r="F215" i="133" s="1"/>
  <c r="F212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AD71" i="102" l="1"/>
  <c r="AJ70" i="102"/>
  <c r="AK70" i="102" s="1"/>
  <c r="AL70" i="102" s="1"/>
  <c r="I2" i="146"/>
  <c r="D5" i="146"/>
  <c r="E5" i="146" s="1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AD72" i="102" l="1"/>
  <c r="AJ72" i="102" s="1"/>
  <c r="AK72" i="102" s="1"/>
  <c r="AL72" i="102" s="1"/>
  <c r="AJ71" i="102"/>
  <c r="AK71" i="102" s="1"/>
  <c r="AL71" i="102" s="1"/>
  <c r="C2" i="149"/>
  <c r="K2" i="146"/>
  <c r="C4" i="149" s="1"/>
  <c r="L2" i="146"/>
  <c r="G561" i="142"/>
  <c r="G561" i="132"/>
  <c r="AN4" i="102" l="1"/>
  <c r="AM4" i="102"/>
  <c r="AO4" i="102"/>
  <c r="M2" i="146"/>
  <c r="H6" i="113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61" i="95" l="1"/>
  <c r="G67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<sst xmlns="http://schemas.openxmlformats.org/spreadsheetml/2006/main" count="64187" uniqueCount="11124">
  <si>
    <t>7층 전송 및 고객 랙별 부하 사용내역</t>
    <phoneticPr fontId="14" type="noConversion"/>
  </si>
  <si>
    <t>2023년 기준</t>
    <phoneticPr fontId="14" type="noConversion"/>
  </si>
  <si>
    <t>구분</t>
  </si>
  <si>
    <t>DEKR
NO.</t>
    <phoneticPr fontId="14" type="noConversion"/>
  </si>
  <si>
    <t>BAY
NAME</t>
  </si>
  <si>
    <t>RACK
NAME</t>
  </si>
  <si>
    <t>전원구성</t>
  </si>
  <si>
    <t>차단기 정보(수정)</t>
    <phoneticPr fontId="14" type="noConversion"/>
  </si>
  <si>
    <t>Fuse/차단기 정보</t>
    <phoneticPr fontId="14" type="noConversion"/>
  </si>
  <si>
    <t>IPD/2차분전반
사용정보</t>
    <phoneticPr fontId="14" type="noConversion"/>
  </si>
  <si>
    <t>2차 분전반/정류기
정보</t>
    <phoneticPr fontId="14" type="noConversion"/>
  </si>
  <si>
    <t>1차 분전반 사용정보</t>
    <phoneticPr fontId="14" type="noConversion"/>
  </si>
  <si>
    <t>1차 분전반 정보</t>
    <phoneticPr fontId="14" type="noConversion"/>
  </si>
  <si>
    <t>배전반 정보</t>
    <phoneticPr fontId="14" type="noConversion"/>
  </si>
  <si>
    <t>TR 정보</t>
    <phoneticPr fontId="14" type="noConversion"/>
  </si>
  <si>
    <t>RACK별 장비명</t>
  </si>
  <si>
    <t>비고</t>
  </si>
  <si>
    <t>AC</t>
  </si>
  <si>
    <t>DC</t>
  </si>
  <si>
    <t>A</t>
    <phoneticPr fontId="14" type="noConversion"/>
  </si>
  <si>
    <t>B</t>
    <phoneticPr fontId="14" type="noConversion"/>
  </si>
  <si>
    <t>A전원</t>
    <phoneticPr fontId="14" type="noConversion"/>
  </si>
  <si>
    <t>B전원</t>
    <phoneticPr fontId="14" type="noConversion"/>
  </si>
  <si>
    <t>합계</t>
    <phoneticPr fontId="14" type="noConversion"/>
  </si>
  <si>
    <t>SJT</t>
    <phoneticPr fontId="14" type="noConversion"/>
  </si>
  <si>
    <t>정류기실</t>
    <phoneticPr fontId="14" type="noConversion"/>
  </si>
  <si>
    <t>SJT 정류기1</t>
    <phoneticPr fontId="14" type="noConversion"/>
  </si>
  <si>
    <t>○</t>
  </si>
  <si>
    <t>7-1-A4-06 / 4P 225A</t>
    <phoneticPr fontId="14" type="noConversion"/>
  </si>
  <si>
    <t>7-1-A4
(4P 400A)</t>
    <phoneticPr fontId="14" type="noConversion"/>
  </si>
  <si>
    <t>LV-7A #06 / 3P 320A
(U7-6A)</t>
    <phoneticPr fontId="14" type="noConversion"/>
  </si>
  <si>
    <t>TR-7A 1000kVA</t>
    <phoneticPr fontId="14" type="noConversion"/>
  </si>
  <si>
    <t>SJT 정류기2</t>
    <phoneticPr fontId="14" type="noConversion"/>
  </si>
  <si>
    <t>7-1-B4-01 / 3P 150A</t>
    <phoneticPr fontId="14" type="noConversion"/>
  </si>
  <si>
    <t>7-1-B4
(4P 400A)</t>
    <phoneticPr fontId="14" type="noConversion"/>
  </si>
  <si>
    <t>LV-7B #07 / 3P 320A
(U7-7B)</t>
    <phoneticPr fontId="14" type="noConversion"/>
  </si>
  <si>
    <t>TR-7B 1000kVA</t>
    <phoneticPr fontId="14" type="noConversion"/>
  </si>
  <si>
    <t>1열</t>
  </si>
  <si>
    <t>B625</t>
    <phoneticPr fontId="14" type="noConversion"/>
  </si>
  <si>
    <t>111 BAY</t>
  </si>
  <si>
    <t>111B_ZTE325</t>
  </si>
  <si>
    <t>A-2</t>
  </si>
  <si>
    <t>B-2</t>
  </si>
  <si>
    <t>IPD A-2-57 / 35A</t>
    <phoneticPr fontId="14" type="noConversion"/>
  </si>
  <si>
    <t>IPD B-2-57 / 35A</t>
    <phoneticPr fontId="14" type="noConversion"/>
  </si>
  <si>
    <t>IPD A-2</t>
    <phoneticPr fontId="14" type="noConversion"/>
  </si>
  <si>
    <t>IPD B-2</t>
    <phoneticPr fontId="14" type="noConversion"/>
  </si>
  <si>
    <t>정류기 A
-48V 1400A</t>
    <phoneticPr fontId="14" type="noConversion"/>
  </si>
  <si>
    <t>정류기 B
-48V 1400A</t>
    <phoneticPr fontId="14" type="noConversion"/>
  </si>
  <si>
    <t>UPS 출력
배전반A,
#06 
4P 225A</t>
    <phoneticPr fontId="14" type="noConversion"/>
  </si>
  <si>
    <t>UPS 출력
배전반B,
 #01
3P 150A</t>
    <phoneticPr fontId="14" type="noConversion"/>
  </si>
  <si>
    <t>UPS 출력
배전반A,
4P 400A</t>
    <phoneticPr fontId="14" type="noConversion"/>
  </si>
  <si>
    <t>UPS 출력
배전반B,
4P 400A</t>
    <phoneticPr fontId="14" type="noConversion"/>
  </si>
  <si>
    <t>B624</t>
    <phoneticPr fontId="14" type="noConversion"/>
  </si>
  <si>
    <t>112 BAY</t>
  </si>
  <si>
    <t>112B_ZTE325</t>
  </si>
  <si>
    <t>IPD A-2-54 / 35A</t>
    <phoneticPr fontId="14" type="noConversion"/>
  </si>
  <si>
    <t>IPD B-2-54 / 35A</t>
    <phoneticPr fontId="14" type="noConversion"/>
  </si>
  <si>
    <t>B623</t>
    <phoneticPr fontId="14" type="noConversion"/>
  </si>
  <si>
    <t>113 BAY</t>
  </si>
  <si>
    <t>113B_ZTE325</t>
  </si>
  <si>
    <t>IPD A-2-55 / 35A</t>
    <phoneticPr fontId="14" type="noConversion"/>
  </si>
  <si>
    <t>IPD B-2-55 / 35A</t>
    <phoneticPr fontId="14" type="noConversion"/>
  </si>
  <si>
    <t>B622</t>
    <phoneticPr fontId="14" type="noConversion"/>
  </si>
  <si>
    <t>114 BAY</t>
  </si>
  <si>
    <t>114B_ZTE325</t>
  </si>
  <si>
    <t>IPD A-2-56 / 35A</t>
    <phoneticPr fontId="14" type="noConversion"/>
  </si>
  <si>
    <t>IPD B-2-56 / 35A</t>
    <phoneticPr fontId="14" type="noConversion"/>
  </si>
  <si>
    <t>B621</t>
    <phoneticPr fontId="14" type="noConversion"/>
  </si>
  <si>
    <t>115 BAY</t>
  </si>
  <si>
    <t>115B_ZTE325</t>
  </si>
  <si>
    <t>IPD A-2-59 / 35A</t>
    <phoneticPr fontId="14" type="noConversion"/>
  </si>
  <si>
    <t>IPD B-2-59 / 35A</t>
    <phoneticPr fontId="14" type="noConversion"/>
  </si>
  <si>
    <t>B620</t>
    <phoneticPr fontId="14" type="noConversion"/>
  </si>
  <si>
    <t>116 BAY</t>
  </si>
  <si>
    <t>116B_ZTE385</t>
  </si>
  <si>
    <t>IPD A-2-61 / 35A</t>
    <phoneticPr fontId="14" type="noConversion"/>
  </si>
  <si>
    <t>IPD B-2-61 / 35A</t>
    <phoneticPr fontId="14" type="noConversion"/>
  </si>
  <si>
    <t>B619</t>
    <phoneticPr fontId="14" type="noConversion"/>
  </si>
  <si>
    <t>117 BAY</t>
  </si>
  <si>
    <t>117B_ZTE385</t>
  </si>
  <si>
    <t>IPD A-2-60 / 35A</t>
    <phoneticPr fontId="14" type="noConversion"/>
  </si>
  <si>
    <t>IPD B-2-60 / 35A</t>
    <phoneticPr fontId="14" type="noConversion"/>
  </si>
  <si>
    <t>B618</t>
    <phoneticPr fontId="14" type="noConversion"/>
  </si>
  <si>
    <t>118 BAY</t>
  </si>
  <si>
    <t>118B_ZTE385</t>
  </si>
  <si>
    <t>IPD A-2-64 / 50A</t>
    <phoneticPr fontId="14" type="noConversion"/>
  </si>
  <si>
    <t>IPD B-2-64 / 50A</t>
    <phoneticPr fontId="14" type="noConversion"/>
  </si>
  <si>
    <t>B617</t>
    <phoneticPr fontId="14" type="noConversion"/>
  </si>
  <si>
    <t>119 BAY</t>
  </si>
  <si>
    <t>119B_우리넷</t>
  </si>
  <si>
    <t>IPD A-2-65 / 35A</t>
    <phoneticPr fontId="14" type="noConversion"/>
  </si>
  <si>
    <t>IPD B-2-65 / 35A</t>
    <phoneticPr fontId="14" type="noConversion"/>
  </si>
  <si>
    <t>B616</t>
    <phoneticPr fontId="14" type="noConversion"/>
  </si>
  <si>
    <t>120 BAY</t>
  </si>
  <si>
    <t>120B_ZTE325</t>
  </si>
  <si>
    <t>IPD A-2-67 / 50A</t>
    <phoneticPr fontId="14" type="noConversion"/>
  </si>
  <si>
    <t>IPD B-2-67 / 50A</t>
    <phoneticPr fontId="14" type="noConversion"/>
  </si>
  <si>
    <t>B615</t>
    <phoneticPr fontId="14" type="noConversion"/>
  </si>
  <si>
    <t>121 BAY</t>
  </si>
  <si>
    <t>121B_ZTE325</t>
  </si>
  <si>
    <t>IPD A-2-66 / 50A</t>
    <phoneticPr fontId="14" type="noConversion"/>
  </si>
  <si>
    <t>IPD B-2-66 / 50A</t>
    <phoneticPr fontId="14" type="noConversion"/>
  </si>
  <si>
    <t>2열</t>
  </si>
  <si>
    <t>C409</t>
    <phoneticPr fontId="14" type="noConversion"/>
  </si>
  <si>
    <t>202 BAY</t>
  </si>
  <si>
    <t>U3-7A-32 / 2P 30A</t>
    <phoneticPr fontId="14" type="noConversion"/>
  </si>
  <si>
    <t>U3-7B-32 / 2P 30A</t>
  </si>
  <si>
    <t>U3-7A
(U7-5A)
4P 300A</t>
    <phoneticPr fontId="14" type="noConversion"/>
  </si>
  <si>
    <t>U3-7B
(U7-6B)
4P 300A</t>
    <phoneticPr fontId="14" type="noConversion"/>
  </si>
  <si>
    <t>LV-7A #05 / 3P 320A
(U7-5A)</t>
    <phoneticPr fontId="14" type="noConversion"/>
  </si>
  <si>
    <t>LV-7B #06 / 3P 320A
(U7-6B)</t>
  </si>
  <si>
    <t>'23.07. 31  전기투입/세종요청 1랙 증설</t>
  </si>
  <si>
    <t>C408</t>
    <phoneticPr fontId="14" type="noConversion"/>
  </si>
  <si>
    <t>203 BAY</t>
  </si>
  <si>
    <t>세종 긴급청약</t>
    <phoneticPr fontId="14" type="noConversion"/>
  </si>
  <si>
    <t>22.07.14 구성 및 전기투입</t>
    <phoneticPr fontId="34" type="noConversion"/>
  </si>
  <si>
    <t>C407</t>
    <phoneticPr fontId="14" type="noConversion"/>
  </si>
  <si>
    <t>204 BAY</t>
  </si>
  <si>
    <t>U3-7A-25 / 2P 30A</t>
    <phoneticPr fontId="14" type="noConversion"/>
  </si>
  <si>
    <t>U3-7B-25 / 2P 30A</t>
    <phoneticPr fontId="14" type="noConversion"/>
  </si>
  <si>
    <t>인터넷팀 장비</t>
  </si>
  <si>
    <t>C406</t>
    <phoneticPr fontId="14" type="noConversion"/>
  </si>
  <si>
    <t>205 BAY</t>
  </si>
  <si>
    <t>U3-7A-23 / 2P 30A</t>
    <phoneticPr fontId="14" type="noConversion"/>
  </si>
  <si>
    <t>U3-7B-23 / 2P 30A</t>
    <phoneticPr fontId="14" type="noConversion"/>
  </si>
  <si>
    <t>C405</t>
    <phoneticPr fontId="14" type="noConversion"/>
  </si>
  <si>
    <t>206 BAY</t>
  </si>
  <si>
    <t>U3-7A-21 / 2P 30A</t>
    <phoneticPr fontId="14" type="noConversion"/>
  </si>
  <si>
    <t>U3-7B-21 / 2P 30A</t>
    <phoneticPr fontId="14" type="noConversion"/>
  </si>
  <si>
    <t>C404</t>
    <phoneticPr fontId="14" type="noConversion"/>
  </si>
  <si>
    <t>207 BAY</t>
  </si>
  <si>
    <t>U3-7A-19 / 2P 30A</t>
    <phoneticPr fontId="14" type="noConversion"/>
  </si>
  <si>
    <t>U3-7B-19 / 2P 30A</t>
    <phoneticPr fontId="14" type="noConversion"/>
  </si>
  <si>
    <t>C403</t>
    <phoneticPr fontId="14" type="noConversion"/>
  </si>
  <si>
    <t>208 BAY</t>
  </si>
  <si>
    <t>U3-7A-17 / 2P 30A</t>
    <phoneticPr fontId="14" type="noConversion"/>
  </si>
  <si>
    <t>U3-7B-17 / 2P 30A</t>
    <phoneticPr fontId="14" type="noConversion"/>
  </si>
  <si>
    <t>U3-7A-27 / 2P 30A</t>
    <phoneticPr fontId="14" type="noConversion"/>
  </si>
  <si>
    <t>U3-7B-27 / 2P 30A</t>
    <phoneticPr fontId="14" type="noConversion"/>
  </si>
  <si>
    <t>C402</t>
    <phoneticPr fontId="14" type="noConversion"/>
  </si>
  <si>
    <t>209 BAY</t>
  </si>
  <si>
    <t>U3-7A-11 / 2P 30A</t>
    <phoneticPr fontId="14" type="noConversion"/>
  </si>
  <si>
    <t>U3-7B-11 / 2P 30A</t>
    <phoneticPr fontId="14" type="noConversion"/>
  </si>
  <si>
    <t>AC 콘센트 라벨 : 409Bay-A &amp; 409Bay-B</t>
    <phoneticPr fontId="34" type="noConversion"/>
  </si>
  <si>
    <t>C401</t>
    <phoneticPr fontId="14" type="noConversion"/>
  </si>
  <si>
    <t>210 BAY</t>
  </si>
  <si>
    <t>U3-7A-13 / 2P 30A</t>
    <phoneticPr fontId="14" type="noConversion"/>
  </si>
  <si>
    <t>U3-7B-13 / 2P 30A</t>
    <phoneticPr fontId="14" type="noConversion"/>
  </si>
  <si>
    <t>AC 콘센트 라벨 : 410Bay-A &amp; 410Bay-B</t>
    <phoneticPr fontId="34" type="noConversion"/>
  </si>
  <si>
    <t>B524</t>
    <phoneticPr fontId="14" type="noConversion"/>
  </si>
  <si>
    <t>212 BAY</t>
  </si>
  <si>
    <t>212B_코위버155M</t>
  </si>
  <si>
    <t>IPD A-2-12 / 50A</t>
    <phoneticPr fontId="14" type="noConversion"/>
  </si>
  <si>
    <t>IPD B-2-12 / 50A</t>
    <phoneticPr fontId="14" type="noConversion"/>
  </si>
  <si>
    <t>213 BAY</t>
  </si>
  <si>
    <t>214 BAY</t>
  </si>
  <si>
    <t>215 BAY</t>
  </si>
  <si>
    <t>216 BAY</t>
  </si>
  <si>
    <t>B517</t>
    <phoneticPr fontId="14" type="noConversion"/>
  </si>
  <si>
    <t>217 BAY</t>
  </si>
  <si>
    <t>DEKR, Network Rack#1</t>
    <phoneticPr fontId="14" type="noConversion"/>
  </si>
  <si>
    <t>U3-7A-16 / 2P 30A</t>
    <phoneticPr fontId="14" type="noConversion"/>
  </si>
  <si>
    <t>U3-7B-16 / 2P 30A</t>
    <phoneticPr fontId="14" type="noConversion"/>
  </si>
  <si>
    <t>U3-7A(U7-5A)
4P 300A</t>
    <phoneticPr fontId="14" type="noConversion"/>
  </si>
  <si>
    <t>U3-7B(U7-6B)
4P 300A</t>
  </si>
  <si>
    <t>2022.01.12 전기투입</t>
    <phoneticPr fontId="14" type="noConversion"/>
  </si>
  <si>
    <t>B516</t>
    <phoneticPr fontId="14" type="noConversion"/>
  </si>
  <si>
    <t>218 BAY</t>
  </si>
  <si>
    <t>DEKR, Network Rack#2</t>
  </si>
  <si>
    <t>U3-7A-14 / 2P 30A</t>
    <phoneticPr fontId="14" type="noConversion"/>
  </si>
  <si>
    <t>U3-7B-14 / 2P 30A</t>
    <phoneticPr fontId="14" type="noConversion"/>
  </si>
  <si>
    <t>2022.01.12 전기투입</t>
  </si>
  <si>
    <t>B515</t>
    <phoneticPr fontId="14" type="noConversion"/>
  </si>
  <si>
    <t>219 BAY</t>
  </si>
  <si>
    <t>219B_코위버PTN</t>
  </si>
  <si>
    <t>IPD A-2-22 / 50A</t>
    <phoneticPr fontId="14" type="noConversion"/>
  </si>
  <si>
    <t>IPD B-2-22 / 50A</t>
    <phoneticPr fontId="14" type="noConversion"/>
  </si>
  <si>
    <t>B510</t>
    <phoneticPr fontId="14" type="noConversion"/>
  </si>
  <si>
    <t>223 BAY</t>
  </si>
  <si>
    <t>223B_코위버155M</t>
  </si>
  <si>
    <t>A-3</t>
  </si>
  <si>
    <t>B-3</t>
  </si>
  <si>
    <t>IPD A-3-18 / 35A</t>
    <phoneticPr fontId="14" type="noConversion"/>
  </si>
  <si>
    <t>IPD B-3-18 / 35A</t>
    <phoneticPr fontId="14" type="noConversion"/>
  </si>
  <si>
    <t>IPD A-3</t>
    <phoneticPr fontId="14" type="noConversion"/>
  </si>
  <si>
    <t>IPD B-3</t>
    <phoneticPr fontId="14" type="noConversion"/>
  </si>
  <si>
    <t>B509</t>
    <phoneticPr fontId="14" type="noConversion"/>
  </si>
  <si>
    <t>224 BAY</t>
  </si>
  <si>
    <t>224B_우리넷</t>
  </si>
  <si>
    <t>IPD A-3-19 / 35A</t>
    <phoneticPr fontId="14" type="noConversion"/>
  </si>
  <si>
    <t>IPD B-3-19 / 50A</t>
    <phoneticPr fontId="14" type="noConversion"/>
  </si>
  <si>
    <t>B508</t>
    <phoneticPr fontId="14" type="noConversion"/>
  </si>
  <si>
    <t>225 BAY</t>
  </si>
  <si>
    <t>225B_코위버622M</t>
  </si>
  <si>
    <t>IPD A-3-52 / 35A</t>
    <phoneticPr fontId="14" type="noConversion"/>
  </si>
  <si>
    <t>IPD B-3-23 / 35A</t>
    <phoneticPr fontId="14" type="noConversion"/>
  </si>
  <si>
    <t>PDP 2개</t>
  </si>
  <si>
    <t>IPD A-3-55 / 35A</t>
    <phoneticPr fontId="14" type="noConversion"/>
  </si>
  <si>
    <t>IPD B-3-54 / 35A</t>
    <phoneticPr fontId="14" type="noConversion"/>
  </si>
  <si>
    <t>B507</t>
    <phoneticPr fontId="14" type="noConversion"/>
  </si>
  <si>
    <t>226 BAY</t>
  </si>
  <si>
    <t>226B_코위버155M</t>
  </si>
  <si>
    <t>IPD A-3-20 / 35A</t>
    <phoneticPr fontId="14" type="noConversion"/>
  </si>
  <si>
    <t>IPD B-3-20 / 50A</t>
    <phoneticPr fontId="14" type="noConversion"/>
  </si>
  <si>
    <t>B506</t>
    <phoneticPr fontId="14" type="noConversion"/>
  </si>
  <si>
    <t>227 BAY</t>
  </si>
  <si>
    <t>227B_ZTE385</t>
  </si>
  <si>
    <t>IPD A-3-21 / 50A</t>
    <phoneticPr fontId="14" type="noConversion"/>
  </si>
  <si>
    <t>IPD B-3-21 / 50A</t>
    <phoneticPr fontId="14" type="noConversion"/>
  </si>
  <si>
    <t>B505</t>
    <phoneticPr fontId="14" type="noConversion"/>
  </si>
  <si>
    <t>228 BAY</t>
  </si>
  <si>
    <t>228B_ZTE385</t>
  </si>
  <si>
    <t>IPD A-3-49 / 50A</t>
    <phoneticPr fontId="14" type="noConversion"/>
  </si>
  <si>
    <t>IPD B-3-49 / 35A</t>
    <phoneticPr fontId="14" type="noConversion"/>
  </si>
  <si>
    <t>B504</t>
    <phoneticPr fontId="14" type="noConversion"/>
  </si>
  <si>
    <t>229 BAY</t>
  </si>
  <si>
    <t>229B_ZTE385</t>
  </si>
  <si>
    <t>IPD A-3-50 / 35A</t>
    <phoneticPr fontId="14" type="noConversion"/>
  </si>
  <si>
    <t>IPD B-3-50 / 35A</t>
    <phoneticPr fontId="14" type="noConversion"/>
  </si>
  <si>
    <t>B503</t>
    <phoneticPr fontId="14" type="noConversion"/>
  </si>
  <si>
    <t>230 BAY</t>
  </si>
  <si>
    <t>230B_ZTE385</t>
  </si>
  <si>
    <t>IPD A-3-51 / 35A</t>
    <phoneticPr fontId="14" type="noConversion"/>
  </si>
  <si>
    <t>IPD B-3-51 / 35A</t>
    <phoneticPr fontId="14" type="noConversion"/>
  </si>
  <si>
    <t>B502</t>
    <phoneticPr fontId="14" type="noConversion"/>
  </si>
  <si>
    <t>231 BAY</t>
  </si>
  <si>
    <t>231B_ZTE385</t>
  </si>
  <si>
    <t>IPD A-3-22 / 35A</t>
    <phoneticPr fontId="14" type="noConversion"/>
  </si>
  <si>
    <t>IPD B-3-22 / 35A</t>
    <phoneticPr fontId="14" type="noConversion"/>
  </si>
  <si>
    <t>A510</t>
    <phoneticPr fontId="14" type="noConversion"/>
  </si>
  <si>
    <t>236 BAY</t>
  </si>
  <si>
    <t>236B_CN4200</t>
  </si>
  <si>
    <t>A-4</t>
  </si>
  <si>
    <t>B-4</t>
  </si>
  <si>
    <t>IPD A-4-53 / 35A</t>
    <phoneticPr fontId="14" type="noConversion"/>
  </si>
  <si>
    <t>IPD B-4-53 / 35A</t>
    <phoneticPr fontId="14" type="noConversion"/>
  </si>
  <si>
    <t>IPD A-4</t>
    <phoneticPr fontId="14" type="noConversion"/>
  </si>
  <si>
    <t>IPD B-4</t>
    <phoneticPr fontId="14" type="noConversion"/>
  </si>
  <si>
    <t>A509</t>
    <phoneticPr fontId="14" type="noConversion"/>
  </si>
  <si>
    <t>237 BAY</t>
  </si>
  <si>
    <t>237B_CN4200</t>
  </si>
  <si>
    <t>IPD A-4-52 / 35A</t>
    <phoneticPr fontId="14" type="noConversion"/>
  </si>
  <si>
    <t>IPD B-4-52 / 35A</t>
    <phoneticPr fontId="14" type="noConversion"/>
  </si>
  <si>
    <t>A508</t>
    <phoneticPr fontId="14" type="noConversion"/>
  </si>
  <si>
    <t>238 BAY</t>
  </si>
  <si>
    <t>238B_동원DWDM</t>
  </si>
  <si>
    <t>IPD A-4-45 / 50A</t>
    <phoneticPr fontId="14" type="noConversion"/>
  </si>
  <si>
    <t>IPD B-4-51 / 50A</t>
    <phoneticPr fontId="14" type="noConversion"/>
  </si>
  <si>
    <t>A507</t>
    <phoneticPr fontId="14" type="noConversion"/>
  </si>
  <si>
    <t>239 BAY</t>
  </si>
  <si>
    <t>239B_OSN7500</t>
  </si>
  <si>
    <t>IPD A-4-10 / 50A</t>
    <phoneticPr fontId="14" type="noConversion"/>
  </si>
  <si>
    <t>IPD B-4-43 / 50A</t>
    <phoneticPr fontId="14" type="noConversion"/>
  </si>
  <si>
    <t>IPD 3개</t>
  </si>
  <si>
    <t>IPD A-4-11 / 50A</t>
    <phoneticPr fontId="14" type="noConversion"/>
  </si>
  <si>
    <t>IPD B-4-44 / 50A</t>
    <phoneticPr fontId="14" type="noConversion"/>
  </si>
  <si>
    <t>IPD A-4-18 / 50A</t>
    <phoneticPr fontId="14" type="noConversion"/>
  </si>
  <si>
    <t>IPD B-4-45 / 50A</t>
    <phoneticPr fontId="14" type="noConversion"/>
  </si>
  <si>
    <t>A506</t>
    <phoneticPr fontId="14" type="noConversion"/>
  </si>
  <si>
    <t>240 BAY</t>
  </si>
  <si>
    <t>240B_코위버CWDM</t>
  </si>
  <si>
    <t>IPD A-4-27 / 50A</t>
    <phoneticPr fontId="14" type="noConversion"/>
  </si>
  <si>
    <t>IPD B-4-57 / 50A</t>
    <phoneticPr fontId="14" type="noConversion"/>
  </si>
  <si>
    <t>IPD A-4-33 / 50A</t>
    <phoneticPr fontId="14" type="noConversion"/>
  </si>
  <si>
    <t>IPD B-4-33 / 50A</t>
    <phoneticPr fontId="14" type="noConversion"/>
  </si>
  <si>
    <t>A505</t>
    <phoneticPr fontId="14" type="noConversion"/>
  </si>
  <si>
    <t>241 BAY</t>
  </si>
  <si>
    <t>U3-7A-07 / 2P 30A</t>
    <phoneticPr fontId="14" type="noConversion"/>
  </si>
  <si>
    <t>U3-7B-07 / 2P 30A</t>
    <phoneticPr fontId="14" type="noConversion"/>
  </si>
  <si>
    <t>A504</t>
    <phoneticPr fontId="14" type="noConversion"/>
  </si>
  <si>
    <t>242 BAY</t>
  </si>
  <si>
    <t>U3-7A-09 / 2P 30A</t>
    <phoneticPr fontId="14" type="noConversion"/>
  </si>
  <si>
    <t>U3-7B-09 / 2P 30A</t>
    <phoneticPr fontId="14" type="noConversion"/>
  </si>
  <si>
    <t>A503</t>
    <phoneticPr fontId="14" type="noConversion"/>
  </si>
  <si>
    <t>243 BAY</t>
  </si>
  <si>
    <t>243B_코위버CWDM</t>
  </si>
  <si>
    <t>IPD A-4-28 / 50A</t>
    <phoneticPr fontId="14" type="noConversion"/>
  </si>
  <si>
    <t>IPD B-4-28 / 50A</t>
    <phoneticPr fontId="14" type="noConversion"/>
  </si>
  <si>
    <t>A502</t>
    <phoneticPr fontId="14" type="noConversion"/>
  </si>
  <si>
    <t>244 BAY</t>
  </si>
  <si>
    <t>244B_코위버CWDM</t>
  </si>
  <si>
    <t>IPD A-4-26 / 50A</t>
    <phoneticPr fontId="14" type="noConversion"/>
  </si>
  <si>
    <t>IPD B-4-26 / 50A</t>
    <phoneticPr fontId="14" type="noConversion"/>
  </si>
  <si>
    <t>3열</t>
  </si>
  <si>
    <t>C310</t>
    <phoneticPr fontId="14" type="noConversion"/>
  </si>
  <si>
    <t>301 BAY</t>
  </si>
  <si>
    <t>U3-7A-30 / 2P 30A</t>
    <phoneticPr fontId="14" type="noConversion"/>
  </si>
  <si>
    <t>U3-7B-30 / 2P 30A</t>
    <phoneticPr fontId="14" type="noConversion"/>
  </si>
  <si>
    <t>LV-7B #06 / 3P 320A
(U7-6B)</t>
    <phoneticPr fontId="14" type="noConversion"/>
  </si>
  <si>
    <t>C309</t>
    <phoneticPr fontId="14" type="noConversion"/>
  </si>
  <si>
    <t>302 BAY</t>
  </si>
  <si>
    <t>302B_SKB</t>
    <phoneticPr fontId="14" type="noConversion"/>
  </si>
  <si>
    <t>A-1</t>
  </si>
  <si>
    <t>B-1</t>
  </si>
  <si>
    <t>IPD A-1-23 / 100A</t>
    <phoneticPr fontId="14" type="noConversion"/>
  </si>
  <si>
    <t>IPD B-1-23 / 100A</t>
    <phoneticPr fontId="14" type="noConversion"/>
  </si>
  <si>
    <t>IPD A-1</t>
    <phoneticPr fontId="14" type="noConversion"/>
  </si>
  <si>
    <t>IPD B-1</t>
    <phoneticPr fontId="14" type="noConversion"/>
  </si>
  <si>
    <t>C308</t>
    <phoneticPr fontId="14" type="noConversion"/>
  </si>
  <si>
    <t>303 BAY</t>
  </si>
  <si>
    <t>303B_NDCS</t>
  </si>
  <si>
    <t>IPD A-1-18 / 100A</t>
    <phoneticPr fontId="14" type="noConversion"/>
  </si>
  <si>
    <t>IPD B-1-18 / 100A</t>
    <phoneticPr fontId="14" type="noConversion"/>
  </si>
  <si>
    <t>C307</t>
    <phoneticPr fontId="14" type="noConversion"/>
  </si>
  <si>
    <t>304 BAY</t>
  </si>
  <si>
    <t>304B_KT장비</t>
  </si>
  <si>
    <t>IPD A-1-21 / 50A</t>
    <phoneticPr fontId="14" type="noConversion"/>
  </si>
  <si>
    <t>IPD B-1-21 / 50A</t>
    <phoneticPr fontId="14" type="noConversion"/>
  </si>
  <si>
    <t>KT장비</t>
  </si>
  <si>
    <t>C306</t>
    <phoneticPr fontId="14" type="noConversion"/>
  </si>
  <si>
    <t>305 BAY</t>
  </si>
  <si>
    <t>305B_LGU+장비</t>
  </si>
  <si>
    <t>IPD A-1-57 / 50A</t>
    <phoneticPr fontId="14" type="noConversion"/>
  </si>
  <si>
    <t>IPD B-1-57 / 50A</t>
    <phoneticPr fontId="14" type="noConversion"/>
  </si>
  <si>
    <t>LGU+장비</t>
  </si>
  <si>
    <t>C305</t>
    <phoneticPr fontId="14" type="noConversion"/>
  </si>
  <si>
    <t>306 BAY</t>
  </si>
  <si>
    <t>306B_SKB장비</t>
  </si>
  <si>
    <t>IPD A-1-07 / 100A</t>
    <phoneticPr fontId="14" type="noConversion"/>
  </si>
  <si>
    <t>IPD B-1-07 / 100A</t>
    <phoneticPr fontId="14" type="noConversion"/>
  </si>
  <si>
    <t>SKB장비</t>
  </si>
  <si>
    <t>C304</t>
    <phoneticPr fontId="14" type="noConversion"/>
  </si>
  <si>
    <t>307 BAY</t>
  </si>
  <si>
    <t>LGU+PDP</t>
    <phoneticPr fontId="14" type="noConversion"/>
  </si>
  <si>
    <t>IPD A-1-24 / 100A</t>
    <phoneticPr fontId="14" type="noConversion"/>
  </si>
  <si>
    <t>IPD B-1-24 / 100A</t>
    <phoneticPr fontId="14" type="noConversion"/>
  </si>
  <si>
    <t>LGU+ POP 장비</t>
    <phoneticPr fontId="14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</si>
  <si>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</si>
  <si>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</si>
  <si>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</si>
  <si>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</si>
  <si>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</si>
  <si>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</si>
  <si>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</si>
  <si>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</si>
  <si>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4" type="noConversion"/>
  </si>
  <si>
    <t>313 BAY</t>
  </si>
  <si>
    <t>U3-7A-28 / 2P 30A</t>
    <phoneticPr fontId="14" type="noConversion"/>
  </si>
  <si>
    <t>U3-7B-28 / 2P 30A</t>
    <phoneticPr fontId="14" type="noConversion"/>
  </si>
  <si>
    <t>전기투입 : '22.02.24</t>
    <phoneticPr fontId="14" type="noConversion"/>
  </si>
  <si>
    <t>DEKR Networks Cabinet('22.02.09)</t>
    <phoneticPr fontId="14" type="noConversion"/>
  </si>
  <si>
    <t>B420</t>
    <phoneticPr fontId="14" type="noConversion"/>
  </si>
  <si>
    <t>314 BAY</t>
  </si>
  <si>
    <t>U3-7A-26 / 2P 30A</t>
    <phoneticPr fontId="14" type="noConversion"/>
  </si>
  <si>
    <t>U3-7B-26 / 2P 30A</t>
    <phoneticPr fontId="14" type="noConversion"/>
  </si>
  <si>
    <t>전기투입 : '22.02.24</t>
  </si>
  <si>
    <t>DEKR Networks Cabinet('22.02.09)</t>
  </si>
  <si>
    <t>B419</t>
    <phoneticPr fontId="14" type="noConversion"/>
  </si>
  <si>
    <t>315 BAY</t>
  </si>
  <si>
    <t>U3-7A-24 / 2P 30A</t>
    <phoneticPr fontId="14" type="noConversion"/>
  </si>
  <si>
    <t>U3-7B-24 / 2P 30A</t>
    <phoneticPr fontId="14" type="noConversion"/>
  </si>
  <si>
    <t>B418</t>
    <phoneticPr fontId="14" type="noConversion"/>
  </si>
  <si>
    <t>316 BAY</t>
  </si>
  <si>
    <t>U3-7A-22 / 2P 30A</t>
    <phoneticPr fontId="14" type="noConversion"/>
  </si>
  <si>
    <t>U3-7B-22 / 2P 30A</t>
    <phoneticPr fontId="14" type="noConversion"/>
  </si>
  <si>
    <t>B417</t>
    <phoneticPr fontId="14" type="noConversion"/>
  </si>
  <si>
    <t>317 BAY</t>
  </si>
  <si>
    <t>U3-7A-20 / 2P 30A</t>
    <phoneticPr fontId="14" type="noConversion"/>
  </si>
  <si>
    <t>U3-7B-20 / 2P 30A</t>
    <phoneticPr fontId="14" type="noConversion"/>
  </si>
  <si>
    <t>B416</t>
    <phoneticPr fontId="14" type="noConversion"/>
  </si>
  <si>
    <t>318 BAY</t>
  </si>
  <si>
    <t>U3-7A-18 / 2P 30A</t>
    <phoneticPr fontId="14" type="noConversion"/>
  </si>
  <si>
    <t>U3-7B-18 / 2P 30A</t>
    <phoneticPr fontId="14" type="noConversion"/>
  </si>
  <si>
    <t>B415</t>
    <phoneticPr fontId="14" type="noConversion"/>
  </si>
  <si>
    <t>B411</t>
    <phoneticPr fontId="14" type="noConversion"/>
  </si>
  <si>
    <t>322 BAY</t>
  </si>
  <si>
    <t>U3-7A-29 / 2P 30A</t>
    <phoneticPr fontId="14" type="noConversion"/>
  </si>
  <si>
    <t>PTN 7200 UTP PATCH 예정</t>
  </si>
  <si>
    <t>B410</t>
    <phoneticPr fontId="14" type="noConversion"/>
  </si>
  <si>
    <t>323 BAY</t>
  </si>
  <si>
    <t>B409</t>
    <phoneticPr fontId="14" type="noConversion"/>
  </si>
  <si>
    <t>324 BAY</t>
  </si>
  <si>
    <t>B408</t>
    <phoneticPr fontId="14" type="noConversion"/>
  </si>
  <si>
    <t>325 BAY</t>
  </si>
  <si>
    <t>325B_코위버CWDM</t>
  </si>
  <si>
    <t>IPD A-3-59 / 100A</t>
    <phoneticPr fontId="14" type="noConversion"/>
  </si>
  <si>
    <t>IPD B-3-59 / 100A</t>
    <phoneticPr fontId="14" type="noConversion"/>
  </si>
  <si>
    <t>2012.02.09 설치</t>
  </si>
  <si>
    <t>B407</t>
    <phoneticPr fontId="14" type="noConversion"/>
  </si>
  <si>
    <t>326 BAY</t>
  </si>
  <si>
    <t>326B_코위버1664</t>
  </si>
  <si>
    <t>IPD A-3-23 / 35A</t>
    <phoneticPr fontId="14" type="noConversion"/>
  </si>
  <si>
    <t>IPD B-3-24 / 35A</t>
    <phoneticPr fontId="14" type="noConversion"/>
  </si>
  <si>
    <t>B406</t>
    <phoneticPr fontId="14" type="noConversion"/>
  </si>
  <si>
    <t>327 BAY</t>
  </si>
  <si>
    <t>327B_ZTE385</t>
  </si>
  <si>
    <t>IPD A-3-17 / 50A</t>
    <phoneticPr fontId="14" type="noConversion"/>
  </si>
  <si>
    <t>IPD B-3-17 / 50A</t>
    <phoneticPr fontId="14" type="noConversion"/>
  </si>
  <si>
    <t>B405</t>
    <phoneticPr fontId="14" type="noConversion"/>
  </si>
  <si>
    <t>328 BAY</t>
  </si>
  <si>
    <t>328B_ZTE385</t>
  </si>
  <si>
    <t>IPD A-3-16 / 50A</t>
    <phoneticPr fontId="14" type="noConversion"/>
  </si>
  <si>
    <t>IPD B-3-16 / 50A</t>
    <phoneticPr fontId="14" type="noConversion"/>
  </si>
  <si>
    <t>B404</t>
    <phoneticPr fontId="14" type="noConversion"/>
  </si>
  <si>
    <t>329 BAY</t>
  </si>
  <si>
    <t>329B_ZTE385</t>
  </si>
  <si>
    <t>IPD A-3-15 / 50A</t>
    <phoneticPr fontId="14" type="noConversion"/>
  </si>
  <si>
    <t>IPD B-3-15 / 50A</t>
    <phoneticPr fontId="14" type="noConversion"/>
  </si>
  <si>
    <t>B403</t>
    <phoneticPr fontId="14" type="noConversion"/>
  </si>
  <si>
    <t>330 BAY</t>
  </si>
  <si>
    <t>코위버 ROADM</t>
    <phoneticPr fontId="14" type="noConversion"/>
  </si>
  <si>
    <t>IPD A-3-28 / 100A</t>
    <phoneticPr fontId="14" type="noConversion"/>
  </si>
  <si>
    <t>IPD B-3-28 / 100A</t>
    <phoneticPr fontId="14" type="noConversion"/>
  </si>
  <si>
    <t>2022.02.10 전기구성</t>
    <phoneticPr fontId="14" type="noConversion"/>
  </si>
  <si>
    <t>B402</t>
    <phoneticPr fontId="14" type="noConversion"/>
  </si>
  <si>
    <t>331 BAY</t>
  </si>
  <si>
    <t>IPD A-3-60 / 100A</t>
    <phoneticPr fontId="14" type="noConversion"/>
  </si>
  <si>
    <t>IPD B-3-60 / 100A</t>
    <phoneticPr fontId="14" type="noConversion"/>
  </si>
  <si>
    <t>A411</t>
    <phoneticPr fontId="14" type="noConversion"/>
  </si>
  <si>
    <t>334 BAY</t>
  </si>
  <si>
    <t>334B_CN4200</t>
  </si>
  <si>
    <t>IPD A-4-54 / 35A</t>
    <phoneticPr fontId="14" type="noConversion"/>
  </si>
  <si>
    <t>IPD B-4-54 / 35A</t>
    <phoneticPr fontId="14" type="noConversion"/>
  </si>
  <si>
    <t>A410</t>
    <phoneticPr fontId="14" type="noConversion"/>
  </si>
  <si>
    <t>335 BAY</t>
  </si>
  <si>
    <t>335B_CN4200</t>
  </si>
  <si>
    <t>IPD A-4-46 / 50A</t>
    <phoneticPr fontId="14" type="noConversion"/>
  </si>
  <si>
    <t>IPD B-4-49 / 50A</t>
    <phoneticPr fontId="14" type="noConversion"/>
  </si>
  <si>
    <t>A409</t>
    <phoneticPr fontId="14" type="noConversion"/>
  </si>
  <si>
    <t>336 BAY</t>
  </si>
  <si>
    <t>336B_CN4200</t>
  </si>
  <si>
    <t>IPD A-4-50 / 35A</t>
    <phoneticPr fontId="14" type="noConversion"/>
  </si>
  <si>
    <t>IPD B-4-50 / 35A</t>
    <phoneticPr fontId="14" type="noConversion"/>
  </si>
  <si>
    <t>A408</t>
    <phoneticPr fontId="14" type="noConversion"/>
  </si>
  <si>
    <t>337 BAY</t>
  </si>
  <si>
    <t>IPD A-4-44 / 35A</t>
    <phoneticPr fontId="14" type="noConversion"/>
  </si>
  <si>
    <t>IPD B-4-48 / 35A</t>
    <phoneticPr fontId="14" type="noConversion"/>
  </si>
  <si>
    <t>U3-7B-08 / 2P 30A</t>
    <phoneticPr fontId="14" type="noConversion"/>
  </si>
  <si>
    <t>A407</t>
    <phoneticPr fontId="14" type="noConversion"/>
  </si>
  <si>
    <t>338 BAY</t>
  </si>
  <si>
    <t>IPD A-4-43 / 35A</t>
    <phoneticPr fontId="14" type="noConversion"/>
  </si>
  <si>
    <t>IPD B-4-47 / 50A</t>
    <phoneticPr fontId="14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</si>
  <si>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</si>
  <si>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</si>
  <si>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</si>
  <si>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</si>
  <si>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4" type="noConversion"/>
  </si>
  <si>
    <t>340Bay에서 1개 전원 인출사용 중</t>
    <phoneticPr fontId="14" type="noConversion"/>
  </si>
  <si>
    <t>A406</t>
    <phoneticPr fontId="14" type="noConversion"/>
  </si>
  <si>
    <t>339 BAY</t>
  </si>
  <si>
    <t>339B_CN4200</t>
  </si>
  <si>
    <t>IPD B-4-46 / 35A</t>
    <phoneticPr fontId="14" type="noConversion"/>
  </si>
  <si>
    <t>IPD A-4-42 / 35A</t>
    <phoneticPr fontId="14" type="noConversion"/>
  </si>
  <si>
    <t>A405</t>
    <phoneticPr fontId="14" type="noConversion"/>
  </si>
  <si>
    <t>340 BAY</t>
  </si>
  <si>
    <t>UPS A1-25 / 2P 20A</t>
    <phoneticPr fontId="14" type="noConversion"/>
  </si>
  <si>
    <t>UPS A1-20 / 2P 30A</t>
    <phoneticPr fontId="14" type="noConversion"/>
  </si>
  <si>
    <t>UPS 출력분전반 A1 #25</t>
    <phoneticPr fontId="14" type="noConversion"/>
  </si>
  <si>
    <t>UPS 출력분전반 A1 #20</t>
    <phoneticPr fontId="14" type="noConversion"/>
  </si>
  <si>
    <t>UPS 출력
분전반A1,
4P 400A</t>
    <phoneticPr fontId="14" type="noConversion"/>
  </si>
  <si>
    <t>UPS 출력
분전반A, #01
4P 225A</t>
    <phoneticPr fontId="14" type="noConversion"/>
  </si>
  <si>
    <t>UPS 출력
배전반A,
4P 400A</t>
  </si>
  <si>
    <t>인터넷운영팀 MAN Rack #2, A &amp; B전원</t>
    <phoneticPr fontId="14" type="noConversion"/>
  </si>
  <si>
    <t>A404</t>
    <phoneticPr fontId="14" type="noConversion"/>
  </si>
  <si>
    <t>341 BAY</t>
  </si>
  <si>
    <t>UPS A1-40 / 2P 30A</t>
    <phoneticPr fontId="14" type="noConversion"/>
  </si>
  <si>
    <t>UPS B1-38 / 2P 30A</t>
    <phoneticPr fontId="14" type="noConversion"/>
  </si>
  <si>
    <t>UPS 출력분전반 A1 #40</t>
    <phoneticPr fontId="14" type="noConversion"/>
  </si>
  <si>
    <t>UPS 출력분전반 B1 #38</t>
    <phoneticPr fontId="14" type="noConversion"/>
  </si>
  <si>
    <t>UPS 출력
분전반B1,
4P 400A</t>
    <phoneticPr fontId="14" type="noConversion"/>
  </si>
  <si>
    <t>UPS 출력
분전반B, #02
3P 150A</t>
    <phoneticPr fontId="14" type="noConversion"/>
  </si>
  <si>
    <t>UPS 출력
분전반B
4P 400A</t>
    <phoneticPr fontId="14" type="noConversion"/>
  </si>
  <si>
    <t>인터넷팀 장비(MAN POP)</t>
    <phoneticPr fontId="14" type="noConversion"/>
  </si>
  <si>
    <t>A403</t>
    <phoneticPr fontId="14" type="noConversion"/>
  </si>
  <si>
    <t>342 BAY</t>
  </si>
  <si>
    <t>U3-7B-03 / 2P 30A</t>
    <phoneticPr fontId="14" type="noConversion"/>
  </si>
  <si>
    <t>U3-7A-05 / 2P 30A</t>
    <phoneticPr fontId="14" type="noConversion"/>
  </si>
  <si>
    <t>A402</t>
    <phoneticPr fontId="14" type="noConversion"/>
  </si>
  <si>
    <t>343 BAY</t>
  </si>
  <si>
    <t>IPD A-4-41 / 50A</t>
    <phoneticPr fontId="14" type="noConversion"/>
  </si>
  <si>
    <t>IPD B-4-41 / 50A</t>
    <phoneticPr fontId="14" type="noConversion"/>
  </si>
  <si>
    <t>DC 전원 미사용</t>
  </si>
  <si>
    <t>U3-7A-05 / 2P 30A (342Bay 인출)</t>
    <phoneticPr fontId="14" type="noConversion"/>
  </si>
  <si>
    <t>342Bay에서 1개 전원 인출사용 중</t>
    <phoneticPr fontId="14" type="noConversion"/>
  </si>
  <si>
    <t>4열</t>
  </si>
  <si>
    <t>C208</t>
    <phoneticPr fontId="14" type="noConversion"/>
  </si>
  <si>
    <t>403 BAY</t>
  </si>
  <si>
    <t>라벨 없음(B1 PNL에서 인출 추정)</t>
    <phoneticPr fontId="14" type="noConversion"/>
  </si>
  <si>
    <t>C207</t>
    <phoneticPr fontId="14" type="noConversion"/>
  </si>
  <si>
    <t>404 BAY</t>
  </si>
  <si>
    <t>C206</t>
    <phoneticPr fontId="14" type="noConversion"/>
  </si>
  <si>
    <t>405 BAY</t>
  </si>
  <si>
    <t>UPS B1-09 / 2P 20A</t>
    <phoneticPr fontId="14" type="noConversion"/>
  </si>
  <si>
    <t>U3-7A-08 / 2P 30A</t>
    <phoneticPr fontId="14" type="noConversion"/>
  </si>
  <si>
    <t>UPS 출력분전반 B1 #09</t>
    <phoneticPr fontId="14" type="noConversion"/>
  </si>
  <si>
    <t>C205</t>
    <phoneticPr fontId="14" type="noConversion"/>
  </si>
  <si>
    <t>406 BAY</t>
  </si>
  <si>
    <t>IPD A-1-43 / 35A</t>
    <phoneticPr fontId="14" type="noConversion"/>
  </si>
  <si>
    <t>IPD B-1-05 / 35A</t>
    <phoneticPr fontId="14" type="noConversion"/>
  </si>
  <si>
    <t>UPS A1-08 / 2P 30A</t>
    <phoneticPr fontId="14" type="noConversion"/>
  </si>
  <si>
    <t>UPS B1-13 / 2P 20A</t>
    <phoneticPr fontId="14" type="noConversion"/>
  </si>
  <si>
    <t>UPS 출력분전반 A1 #08</t>
    <phoneticPr fontId="14" type="noConversion"/>
  </si>
  <si>
    <t>UPS 출력분전반 B1 #13</t>
    <phoneticPr fontId="14" type="noConversion"/>
  </si>
  <si>
    <t>C204</t>
    <phoneticPr fontId="14" type="noConversion"/>
  </si>
  <si>
    <t>407 BAY</t>
  </si>
  <si>
    <t>IPD A-1-44 / 35A</t>
    <phoneticPr fontId="14" type="noConversion"/>
  </si>
  <si>
    <t>IPD B-1-06 / 35A</t>
    <phoneticPr fontId="14" type="noConversion"/>
  </si>
  <si>
    <t>UPS A1-10 / 2P 30A</t>
    <phoneticPr fontId="14" type="noConversion"/>
  </si>
  <si>
    <t>UPS B1-15 / 2P 20A</t>
    <phoneticPr fontId="14" type="noConversion"/>
  </si>
  <si>
    <t>UPS 출력분전반 A1 #10</t>
    <phoneticPr fontId="14" type="noConversion"/>
  </si>
  <si>
    <t>UPS 출력분전반 B1 #15</t>
    <phoneticPr fontId="14" type="noConversion"/>
  </si>
  <si>
    <t>C203</t>
    <phoneticPr fontId="14" type="noConversion"/>
  </si>
  <si>
    <t>408 BAY</t>
  </si>
  <si>
    <t>UPS A1-12 / 2P 30A</t>
    <phoneticPr fontId="14" type="noConversion"/>
  </si>
  <si>
    <t>UPS B1-17 / 2P 20A</t>
    <phoneticPr fontId="14" type="noConversion"/>
  </si>
  <si>
    <t>UPS 출력분전반 A1 #12</t>
    <phoneticPr fontId="14" type="noConversion"/>
  </si>
  <si>
    <t>UPS 출력분전반 B1 #17</t>
    <phoneticPr fontId="14" type="noConversion"/>
  </si>
  <si>
    <t>C202</t>
    <phoneticPr fontId="14" type="noConversion"/>
  </si>
  <si>
    <t>409 BAY</t>
  </si>
  <si>
    <t>UPS A1-12 / 2P 30A (408Bay 인출)</t>
    <phoneticPr fontId="14" type="noConversion"/>
  </si>
  <si>
    <t>UPS B1-17 / 2P 20A (408Bay 인출)</t>
    <phoneticPr fontId="14" type="noConversion"/>
  </si>
  <si>
    <t>408Bay에서 멀티탭 2개 연결 사용 중</t>
    <phoneticPr fontId="14" type="noConversion"/>
  </si>
  <si>
    <t>C201</t>
    <phoneticPr fontId="14" type="noConversion"/>
  </si>
  <si>
    <t>410 BAY</t>
  </si>
  <si>
    <t>UPS A1-32 / 2P 30A</t>
    <phoneticPr fontId="14" type="noConversion"/>
  </si>
  <si>
    <t>UPS B1-26 / 2P 30A</t>
    <phoneticPr fontId="14" type="noConversion"/>
  </si>
  <si>
    <t>UPS 출력분전반 A1 #32</t>
    <phoneticPr fontId="14" type="noConversion"/>
  </si>
  <si>
    <t>UPS 출력분전반 B1 #26</t>
    <phoneticPr fontId="14" type="noConversion"/>
  </si>
  <si>
    <t>UPS 출력분전반B
4P 400A</t>
  </si>
  <si>
    <t>PBX 교환기</t>
    <phoneticPr fontId="14" type="noConversion"/>
  </si>
  <si>
    <t>B323</t>
    <phoneticPr fontId="14" type="noConversion"/>
  </si>
  <si>
    <t>413 BAY</t>
  </si>
  <si>
    <t>U3-7A-08 / 2P 30A (405Bay 인출)</t>
    <phoneticPr fontId="14" type="noConversion"/>
  </si>
  <si>
    <t>7F-5F UTP PATCH</t>
  </si>
  <si>
    <t>405Bay에서 1회로 연결 사용 중</t>
    <phoneticPr fontId="14" type="noConversion"/>
  </si>
  <si>
    <t>B322</t>
    <phoneticPr fontId="14" type="noConversion"/>
  </si>
  <si>
    <t>414 BAY</t>
  </si>
  <si>
    <t>414B_드림라인</t>
  </si>
  <si>
    <t>IPD A-2-10 / 35A</t>
    <phoneticPr fontId="14" type="noConversion"/>
  </si>
  <si>
    <t>IPD B-2-10 / 35A</t>
    <phoneticPr fontId="14" type="noConversion"/>
  </si>
  <si>
    <t>드림라인 장비</t>
  </si>
  <si>
    <t>B320</t>
    <phoneticPr fontId="14" type="noConversion"/>
  </si>
  <si>
    <t>415 BAY</t>
  </si>
  <si>
    <t>415B_Patch</t>
  </si>
  <si>
    <t>X</t>
  </si>
  <si>
    <t>7F-5F OJC PATCH</t>
  </si>
  <si>
    <t>B319</t>
    <phoneticPr fontId="14" type="noConversion"/>
  </si>
  <si>
    <t>416 BAY</t>
  </si>
  <si>
    <t>416B_Patch</t>
  </si>
  <si>
    <t>B317</t>
    <phoneticPr fontId="14" type="noConversion"/>
  </si>
  <si>
    <t>418 BAY</t>
  </si>
  <si>
    <t>418B_SKB장비</t>
  </si>
  <si>
    <t>IPD A-2-49 / 35A</t>
    <phoneticPr fontId="14" type="noConversion"/>
  </si>
  <si>
    <t>IPD B-2-49 / 35A</t>
    <phoneticPr fontId="14" type="noConversion"/>
  </si>
  <si>
    <t>B316</t>
    <phoneticPr fontId="14" type="noConversion"/>
  </si>
  <si>
    <t>419 BAY</t>
  </si>
  <si>
    <t>IPD A-2-52 / 35A</t>
    <phoneticPr fontId="14" type="noConversion"/>
  </si>
  <si>
    <t>IPD B-2-52 / 35A</t>
    <phoneticPr fontId="14" type="noConversion"/>
  </si>
  <si>
    <t>1회로 사용(차단기 정보 조사 실패</t>
    <phoneticPr fontId="14" type="noConversion"/>
  </si>
  <si>
    <t>1회로. 차단기 정보 파악 불가</t>
    <phoneticPr fontId="14" type="noConversion"/>
  </si>
  <si>
    <t>B315</t>
    <phoneticPr fontId="14" type="noConversion"/>
  </si>
  <si>
    <t>420 BAY</t>
  </si>
  <si>
    <t>420B_DOTS</t>
  </si>
  <si>
    <t>IPD A-3-53 / 35A</t>
    <phoneticPr fontId="14" type="noConversion"/>
  </si>
  <si>
    <t>IPD B-3-52 / 35A</t>
    <phoneticPr fontId="14" type="noConversion"/>
  </si>
  <si>
    <t>B310</t>
    <phoneticPr fontId="14" type="noConversion"/>
  </si>
  <si>
    <t>423 BAY</t>
  </si>
  <si>
    <t>423B_코위버1664</t>
  </si>
  <si>
    <t>IPD A-3-26 / 50A</t>
    <phoneticPr fontId="14" type="noConversion"/>
  </si>
  <si>
    <t>IPD B-3-26 / 50A</t>
    <phoneticPr fontId="14" type="noConversion"/>
  </si>
  <si>
    <t>B309</t>
    <phoneticPr fontId="14" type="noConversion"/>
  </si>
  <si>
    <t>424 BAY</t>
  </si>
  <si>
    <t>424B_ZTE385</t>
  </si>
  <si>
    <t>IPD A-3-27 / 50A</t>
    <phoneticPr fontId="14" type="noConversion"/>
  </si>
  <si>
    <t>IPD B-3-27 / 50A</t>
    <phoneticPr fontId="14" type="noConversion"/>
  </si>
  <si>
    <t>B308</t>
    <phoneticPr fontId="14" type="noConversion"/>
  </si>
  <si>
    <t>425 BAY</t>
  </si>
  <si>
    <t>425B_ZTE POTN</t>
  </si>
  <si>
    <t>IPD A-3-42 / 50A</t>
    <phoneticPr fontId="14" type="noConversion"/>
  </si>
  <si>
    <t>IPD B-3-42 / 50A</t>
    <phoneticPr fontId="14" type="noConversion"/>
  </si>
  <si>
    <t>IPD 2개</t>
  </si>
  <si>
    <t>IPD A-3-43 / 50A</t>
    <phoneticPr fontId="14" type="noConversion"/>
  </si>
  <si>
    <t>IPD B-3-43 / 50A</t>
    <phoneticPr fontId="14" type="noConversion"/>
  </si>
  <si>
    <t>B307</t>
    <phoneticPr fontId="14" type="noConversion"/>
  </si>
  <si>
    <t>426 BAY</t>
  </si>
  <si>
    <t>426B_ZTE POTN</t>
  </si>
  <si>
    <t>IPD A-3-01 / 100A</t>
    <phoneticPr fontId="14" type="noConversion"/>
  </si>
  <si>
    <t>IPD B-3-01 / 100A</t>
    <phoneticPr fontId="14" type="noConversion"/>
  </si>
  <si>
    <t>IPD A-3-02 / 100A</t>
    <phoneticPr fontId="14" type="noConversion"/>
  </si>
  <si>
    <t>IPD B-3-02 / 100A</t>
    <phoneticPr fontId="14" type="noConversion"/>
  </si>
  <si>
    <t>IPD A-3-03 / 50A</t>
    <phoneticPr fontId="14" type="noConversion"/>
  </si>
  <si>
    <t>IPD B-3-03 / 50A</t>
    <phoneticPr fontId="14" type="noConversion"/>
  </si>
  <si>
    <t>B306</t>
    <phoneticPr fontId="14" type="noConversion"/>
  </si>
  <si>
    <t>427 BAY</t>
  </si>
  <si>
    <t>427B_ZTE POTN</t>
  </si>
  <si>
    <t>IPD A-3-57 / 50A</t>
    <phoneticPr fontId="14" type="noConversion"/>
  </si>
  <si>
    <t>IPD B-3-57 / 50A</t>
    <phoneticPr fontId="14" type="noConversion"/>
  </si>
  <si>
    <t>IPD A-3-58 / 50A</t>
    <phoneticPr fontId="14" type="noConversion"/>
  </si>
  <si>
    <t>IPD B-3-58 / 50A</t>
    <phoneticPr fontId="14" type="noConversion"/>
  </si>
  <si>
    <t>A310</t>
    <phoneticPr fontId="14" type="noConversion"/>
  </si>
  <si>
    <t>436 BAY</t>
  </si>
  <si>
    <t>436B_코위버P7200</t>
  </si>
  <si>
    <t>IPD A-4-03 / 100A</t>
    <phoneticPr fontId="14" type="noConversion"/>
  </si>
  <si>
    <t>IPD B-4-03 / 100A</t>
    <phoneticPr fontId="14" type="noConversion"/>
  </si>
  <si>
    <t>A309</t>
    <phoneticPr fontId="14" type="noConversion"/>
  </si>
  <si>
    <t>437 BAY</t>
  </si>
  <si>
    <t>437B(上)_코위버P7200</t>
    <phoneticPr fontId="14" type="noConversion"/>
  </si>
  <si>
    <t>IPD A-4-29 / 100A</t>
    <phoneticPr fontId="14" type="noConversion"/>
  </si>
  <si>
    <t>IPD B-4-29 / 100A</t>
    <phoneticPr fontId="14" type="noConversion"/>
  </si>
  <si>
    <t>코위버P7200</t>
    <phoneticPr fontId="14" type="noConversion"/>
  </si>
  <si>
    <t>437B(下)_텔레필드_FM700</t>
    <phoneticPr fontId="14" type="noConversion"/>
  </si>
  <si>
    <t>IPD A-4-34 / 35A</t>
    <phoneticPr fontId="14" type="noConversion"/>
  </si>
  <si>
    <t>IPD B-4-34 / 35A</t>
    <phoneticPr fontId="14" type="noConversion"/>
  </si>
  <si>
    <t>텔레필드_FM700</t>
    <phoneticPr fontId="14" type="noConversion"/>
  </si>
  <si>
    <t>2021/06/10 전원신규 구성 및 투입</t>
    <phoneticPr fontId="14" type="noConversion"/>
  </si>
  <si>
    <t>A308</t>
    <phoneticPr fontId="14" type="noConversion"/>
  </si>
  <si>
    <t>439 BAY</t>
  </si>
  <si>
    <t>439B_CN6500</t>
  </si>
  <si>
    <t>IPD B-4-30 / 100A</t>
    <phoneticPr fontId="14" type="noConversion"/>
  </si>
  <si>
    <t>IPD A-4-30 / 100A</t>
    <phoneticPr fontId="14" type="noConversion"/>
  </si>
  <si>
    <t>A307</t>
    <phoneticPr fontId="14" type="noConversion"/>
  </si>
  <si>
    <t>440 BAY</t>
  </si>
  <si>
    <t>440B_CN6500</t>
  </si>
  <si>
    <t>IPD B-4-31 / 100A</t>
    <phoneticPr fontId="14" type="noConversion"/>
  </si>
  <si>
    <t>IPD A-4-31 / 100A</t>
    <phoneticPr fontId="14" type="noConversion"/>
  </si>
  <si>
    <t>441 BAY</t>
  </si>
  <si>
    <t>442 BAY</t>
  </si>
  <si>
    <t>443 BAY</t>
  </si>
  <si>
    <t>5열</t>
  </si>
  <si>
    <t>C110</t>
    <phoneticPr fontId="14" type="noConversion"/>
  </si>
  <si>
    <t>501 BAY</t>
  </si>
  <si>
    <t>501B_LGU+장비</t>
  </si>
  <si>
    <t>IPD A-1-19 / 100A</t>
    <phoneticPr fontId="14" type="noConversion"/>
  </si>
  <si>
    <t>IPD B-1-19 / 100A</t>
    <phoneticPr fontId="14" type="noConversion"/>
  </si>
  <si>
    <t>C109</t>
    <phoneticPr fontId="14" type="noConversion"/>
  </si>
  <si>
    <t>502 BAY</t>
  </si>
  <si>
    <t>502B_KT장비</t>
  </si>
  <si>
    <t>IPD A-1-56 / 50A</t>
    <phoneticPr fontId="14" type="noConversion"/>
  </si>
  <si>
    <t>IPD B-1-56 / 50A</t>
    <phoneticPr fontId="14" type="noConversion"/>
  </si>
  <si>
    <t>C108</t>
    <phoneticPr fontId="14" type="noConversion"/>
  </si>
  <si>
    <t>503 BAY</t>
  </si>
  <si>
    <t>503B_KT장비</t>
  </si>
  <si>
    <t>IPD A-1-17 / 50A</t>
    <phoneticPr fontId="14" type="noConversion"/>
  </si>
  <si>
    <t>IPD B-1-17 / 50A</t>
    <phoneticPr fontId="14" type="noConversion"/>
  </si>
  <si>
    <t>C107</t>
    <phoneticPr fontId="14" type="noConversion"/>
  </si>
  <si>
    <t>504 BAY</t>
  </si>
  <si>
    <t>504B_KT장비</t>
  </si>
  <si>
    <t>IPD B-1-16 / 35A</t>
    <phoneticPr fontId="14" type="noConversion"/>
  </si>
  <si>
    <t>IPD A-1-16 / 35A</t>
    <phoneticPr fontId="14" type="noConversion"/>
  </si>
  <si>
    <t>505 BAY</t>
  </si>
  <si>
    <t>C105</t>
    <phoneticPr fontId="14" type="noConversion"/>
  </si>
  <si>
    <t>506 BAY</t>
  </si>
  <si>
    <t>506B_KT장비</t>
  </si>
  <si>
    <t>11(1)</t>
  </si>
  <si>
    <t>14(1)</t>
  </si>
  <si>
    <t>IPD A-1-11(1) / 35A</t>
    <phoneticPr fontId="14" type="noConversion"/>
  </si>
  <si>
    <t>IPD B-1-14(1) / 35A</t>
    <phoneticPr fontId="14" type="noConversion"/>
  </si>
  <si>
    <t>15(2)</t>
  </si>
  <si>
    <t>IPD A-1-15(2) / 35A</t>
    <phoneticPr fontId="14" type="noConversion"/>
  </si>
  <si>
    <t>IPD B-1-15(2) / 35A</t>
    <phoneticPr fontId="14" type="noConversion"/>
  </si>
  <si>
    <t>C104</t>
    <phoneticPr fontId="14" type="noConversion"/>
  </si>
  <si>
    <t>507 BAY</t>
  </si>
  <si>
    <t>IPD A-1-20 / 50A</t>
    <phoneticPr fontId="14" type="noConversion"/>
  </si>
  <si>
    <t>IPD B-1-20 / 50A</t>
    <phoneticPr fontId="14" type="noConversion"/>
  </si>
  <si>
    <t>미상(A-E1 ??)</t>
    <phoneticPr fontId="14" type="noConversion"/>
  </si>
  <si>
    <t>미상(UPS분전반(B) / E-20 ??)</t>
    <phoneticPr fontId="14" type="noConversion"/>
  </si>
  <si>
    <t>랙 상부 위치 / 미사용 전원</t>
    <phoneticPr fontId="14" type="noConversion"/>
  </si>
  <si>
    <t>508 BAY</t>
  </si>
  <si>
    <t>B225</t>
    <phoneticPr fontId="14" type="noConversion"/>
  </si>
  <si>
    <t>511 BAY</t>
  </si>
  <si>
    <t>511B_LGU+장비</t>
  </si>
  <si>
    <t>IPD A-2-62 / 35A</t>
    <phoneticPr fontId="14" type="noConversion"/>
  </si>
  <si>
    <t>IPD B-2-62</t>
  </si>
  <si>
    <t>PDP 1개, 장비직결 1개</t>
  </si>
  <si>
    <t>IPD A-2-63 / 35A</t>
    <phoneticPr fontId="14" type="noConversion"/>
  </si>
  <si>
    <t>IPD B-2-63</t>
  </si>
  <si>
    <t>B224</t>
    <phoneticPr fontId="14" type="noConversion"/>
  </si>
  <si>
    <t>512 BAY</t>
  </si>
  <si>
    <t>회로 조사 실패, B1 PNL 의심 / 413Bay 상부에서 숨어버림</t>
    <phoneticPr fontId="14" type="noConversion"/>
  </si>
  <si>
    <t>B223</t>
    <phoneticPr fontId="14" type="noConversion"/>
  </si>
  <si>
    <t>513 BAY</t>
  </si>
  <si>
    <t>513B_SKB장비</t>
  </si>
  <si>
    <t>IPD A-2-07 / 50A</t>
    <phoneticPr fontId="14" type="noConversion"/>
  </si>
  <si>
    <t>IPD B-2-07</t>
  </si>
  <si>
    <t>B222</t>
    <phoneticPr fontId="14" type="noConversion"/>
  </si>
  <si>
    <t>514 BAY</t>
  </si>
  <si>
    <t>514B_LGU+장비</t>
  </si>
  <si>
    <t>IPD A-2-23 / 50A</t>
    <phoneticPr fontId="14" type="noConversion"/>
  </si>
  <si>
    <t>IPD B-2-23</t>
  </si>
  <si>
    <t>B219</t>
    <phoneticPr fontId="14" type="noConversion"/>
  </si>
  <si>
    <t>IPD A-2-58 / 35A</t>
    <phoneticPr fontId="14" type="noConversion"/>
  </si>
  <si>
    <t>IPD B-2-58</t>
  </si>
  <si>
    <t>UPS A1-07 / 2P 20A</t>
    <phoneticPr fontId="14" type="noConversion"/>
  </si>
  <si>
    <t>UPS 출력분전반 A1 #07</t>
    <phoneticPr fontId="14" type="noConversion"/>
  </si>
  <si>
    <t>B218</t>
    <phoneticPr fontId="14" type="noConversion"/>
  </si>
  <si>
    <t>IPD A-2-44 / 16A</t>
    <phoneticPr fontId="14" type="noConversion"/>
  </si>
  <si>
    <t>IPD B-2-46 / 16A</t>
    <phoneticPr fontId="14" type="noConversion"/>
  </si>
  <si>
    <t>UPS A1-07 / 2P 20A
(517Bay에서 인출)</t>
    <phoneticPr fontId="14" type="noConversion"/>
  </si>
  <si>
    <t>B217</t>
    <phoneticPr fontId="14" type="noConversion"/>
  </si>
  <si>
    <t>IPD A-2-47 / 35A</t>
    <phoneticPr fontId="14" type="noConversion"/>
  </si>
  <si>
    <t>IPD B-2-47 / 35A</t>
    <phoneticPr fontId="14" type="noConversion"/>
  </si>
  <si>
    <t>SKT/SKB장비</t>
  </si>
  <si>
    <t>PDP 2개 ??</t>
  </si>
  <si>
    <t>UPS A1-07 / 2P 20A
(518Bay에서 인출)</t>
    <phoneticPr fontId="14" type="noConversion"/>
  </si>
  <si>
    <t>IPD A-2-53 / 35A</t>
    <phoneticPr fontId="14" type="noConversion"/>
  </si>
  <si>
    <t>IPD B-2-53 / 35A</t>
    <phoneticPr fontId="14" type="noConversion"/>
  </si>
  <si>
    <t>B216</t>
    <phoneticPr fontId="14" type="noConversion"/>
  </si>
  <si>
    <t>IPD A-2-48 / 50A</t>
    <phoneticPr fontId="14" type="noConversion"/>
  </si>
  <si>
    <t>IPD B-2-48 / 50A</t>
    <phoneticPr fontId="14" type="noConversion"/>
  </si>
  <si>
    <t>B211</t>
    <phoneticPr fontId="14" type="noConversion"/>
  </si>
  <si>
    <t>523 BAY</t>
  </si>
  <si>
    <t>523B_코위버3264</t>
  </si>
  <si>
    <t>IPD A-3-05 / 50A</t>
    <phoneticPr fontId="14" type="noConversion"/>
  </si>
  <si>
    <t>IPD B-3-05 / 50A</t>
    <phoneticPr fontId="14" type="noConversion"/>
  </si>
  <si>
    <t>B210</t>
    <phoneticPr fontId="14" type="noConversion"/>
  </si>
  <si>
    <t>524 BAY</t>
  </si>
  <si>
    <t>524B_코위버1664</t>
  </si>
  <si>
    <t>IPD A-3-06 / 50A</t>
    <phoneticPr fontId="14" type="noConversion"/>
  </si>
  <si>
    <t>IPD B-3-06 / 50A</t>
    <phoneticPr fontId="14" type="noConversion"/>
  </si>
  <si>
    <t>B209</t>
    <phoneticPr fontId="14" type="noConversion"/>
  </si>
  <si>
    <t>525 BAY</t>
  </si>
  <si>
    <t>525B_코위버1664</t>
  </si>
  <si>
    <t>IPD A-3-07 / 50A</t>
    <phoneticPr fontId="14" type="noConversion"/>
  </si>
  <si>
    <t>IPD B-3-07 / 50A</t>
    <phoneticPr fontId="14" type="noConversion"/>
  </si>
  <si>
    <t>B208</t>
    <phoneticPr fontId="14" type="noConversion"/>
  </si>
  <si>
    <t>526 BAY</t>
  </si>
  <si>
    <t>526B_코위버1664</t>
  </si>
  <si>
    <t>IPD A-3-10 / 50A</t>
    <phoneticPr fontId="14" type="noConversion"/>
  </si>
  <si>
    <t>IPD B-3-10 / 50A</t>
    <phoneticPr fontId="14" type="noConversion"/>
  </si>
  <si>
    <t>B207</t>
    <phoneticPr fontId="14" type="noConversion"/>
  </si>
  <si>
    <t>527 BAY</t>
  </si>
  <si>
    <t>527B_코위버1664</t>
  </si>
  <si>
    <t>IPD A-3-41 / 50A</t>
    <phoneticPr fontId="14" type="noConversion"/>
  </si>
  <si>
    <t>IPD B-3-41 / 50A</t>
    <phoneticPr fontId="14" type="noConversion"/>
  </si>
  <si>
    <t>B204</t>
    <phoneticPr fontId="14" type="noConversion"/>
  </si>
  <si>
    <t>530 BAY</t>
  </si>
  <si>
    <t>530B_코위버1664</t>
  </si>
  <si>
    <t>IPD A-3-44 / 50A</t>
    <phoneticPr fontId="14" type="noConversion"/>
  </si>
  <si>
    <t>IPD B-3-44 / 50A</t>
    <phoneticPr fontId="14" type="noConversion"/>
  </si>
  <si>
    <t>B203</t>
    <phoneticPr fontId="14" type="noConversion"/>
  </si>
  <si>
    <t>531 BAY</t>
  </si>
  <si>
    <t>531B_코위버1664</t>
  </si>
  <si>
    <t>IPD A-3-46 / 50A</t>
    <phoneticPr fontId="14" type="noConversion"/>
  </si>
  <si>
    <t>IPD B-3-46 / 50A</t>
    <phoneticPr fontId="14" type="noConversion"/>
  </si>
  <si>
    <t>B202</t>
    <phoneticPr fontId="14" type="noConversion"/>
  </si>
  <si>
    <t>532 BAY</t>
  </si>
  <si>
    <t>532B_코위버1664</t>
  </si>
  <si>
    <t>IPD A-3-47 / 50A</t>
    <phoneticPr fontId="14" type="noConversion"/>
  </si>
  <si>
    <t>IPD B-3-47 / 50A</t>
    <phoneticPr fontId="14" type="noConversion"/>
  </si>
  <si>
    <t>A210</t>
    <phoneticPr fontId="14" type="noConversion"/>
  </si>
  <si>
    <t>535 BAY</t>
    <phoneticPr fontId="14" type="noConversion"/>
  </si>
  <si>
    <t>536B_NOKIA1830, PSS-8</t>
    <phoneticPr fontId="14" type="noConversion"/>
  </si>
  <si>
    <t>IPD A-4-25 / 50A</t>
    <phoneticPr fontId="14" type="noConversion"/>
  </si>
  <si>
    <t>IPD B-4-25 / 50A</t>
    <phoneticPr fontId="14" type="noConversion"/>
  </si>
  <si>
    <t>노키아1830_PSS 8 ('21.09.14 전기투입)</t>
  </si>
  <si>
    <t>A209</t>
    <phoneticPr fontId="14" type="noConversion"/>
  </si>
  <si>
    <t>536 BAY</t>
  </si>
  <si>
    <t>536B_NOKIA1830</t>
  </si>
  <si>
    <t>IPD A-4-59 / 50A</t>
    <phoneticPr fontId="14" type="noConversion"/>
  </si>
  <si>
    <t>IPD B-4-59 / 50A</t>
    <phoneticPr fontId="14" type="noConversion"/>
  </si>
  <si>
    <t>A208</t>
    <phoneticPr fontId="14" type="noConversion"/>
  </si>
  <si>
    <t>537 BAY</t>
  </si>
  <si>
    <t>537B_NOKIA1830</t>
  </si>
  <si>
    <t>IPD A-4-56 / 100A</t>
    <phoneticPr fontId="14" type="noConversion"/>
  </si>
  <si>
    <t>IPD B-4-56 / 35A</t>
    <phoneticPr fontId="14" type="noConversion"/>
  </si>
  <si>
    <t>A207</t>
    <phoneticPr fontId="14" type="noConversion"/>
  </si>
  <si>
    <t>538 BAY</t>
  </si>
  <si>
    <t>538B_NOKIA1830</t>
  </si>
  <si>
    <t>IPD A-4-58 / 100A</t>
    <phoneticPr fontId="14" type="noConversion"/>
  </si>
  <si>
    <t>IPD B-4-58 / 100A</t>
    <phoneticPr fontId="14" type="noConversion"/>
  </si>
  <si>
    <t>회의실</t>
    <phoneticPr fontId="14" type="noConversion"/>
  </si>
  <si>
    <t>TEST_BED</t>
  </si>
  <si>
    <t>IPD A-4-32 / 35A</t>
    <phoneticPr fontId="14" type="noConversion"/>
  </si>
  <si>
    <t>IPD B-4-32 / 35A</t>
    <phoneticPr fontId="14" type="noConversion"/>
  </si>
  <si>
    <t>UPS 출력
배전반B,
 #01
3P 150A</t>
  </si>
  <si>
    <t>TEST_BED 장비</t>
  </si>
  <si>
    <t>U3-7A-37 / 2P 30A</t>
    <phoneticPr fontId="14" type="noConversion"/>
  </si>
  <si>
    <t>U3-7B-37 / 2P 30A</t>
    <phoneticPr fontId="14" type="noConversion"/>
  </si>
  <si>
    <t>TEST_BED 계측기/노트북 전원</t>
    <phoneticPr fontId="14" type="noConversion"/>
  </si>
  <si>
    <t>G열</t>
  </si>
  <si>
    <t>C501</t>
    <phoneticPr fontId="14" type="noConversion"/>
  </si>
  <si>
    <t>G10</t>
  </si>
  <si>
    <t>○</t>
    <phoneticPr fontId="14" type="noConversion"/>
  </si>
  <si>
    <t>UPS A1-19 (A1-L-10) / 2P 20A</t>
    <phoneticPr fontId="14" type="noConversion"/>
  </si>
  <si>
    <t>UPS B1-10 (B1-R-5) / 2P 30A</t>
    <phoneticPr fontId="14" type="noConversion"/>
  </si>
  <si>
    <t>UPS 출력분전반 A1 #19</t>
    <phoneticPr fontId="14" type="noConversion"/>
  </si>
  <si>
    <t>UPS 출력분전반 B1 #10</t>
    <phoneticPr fontId="14" type="noConversion"/>
  </si>
  <si>
    <t>IDC 고객 (신한금융투자)</t>
    <phoneticPr fontId="14" type="noConversion"/>
  </si>
  <si>
    <t>C502</t>
    <phoneticPr fontId="14" type="noConversion"/>
  </si>
  <si>
    <t>G09</t>
  </si>
  <si>
    <t>U3-7A-44 / 2P 30A</t>
    <phoneticPr fontId="14" type="noConversion"/>
  </si>
  <si>
    <t>U3-7B-44 / 2P 30A</t>
    <phoneticPr fontId="14" type="noConversion"/>
  </si>
  <si>
    <t>U3-7B(U7-6B)
4P 300A</t>
    <phoneticPr fontId="14" type="noConversion"/>
  </si>
  <si>
    <t>C503</t>
    <phoneticPr fontId="14" type="noConversion"/>
  </si>
  <si>
    <t>G08</t>
  </si>
  <si>
    <t>U3-7A-02 / 2P 30A</t>
    <phoneticPr fontId="14" type="noConversion"/>
  </si>
  <si>
    <t>U3-7B-02 / 2P 30A</t>
    <phoneticPr fontId="14" type="noConversion"/>
  </si>
  <si>
    <t>쿼드마이너(미정)</t>
    <phoneticPr fontId="14" type="noConversion"/>
  </si>
  <si>
    <t>C504</t>
    <phoneticPr fontId="14" type="noConversion"/>
  </si>
  <si>
    <t>G07</t>
  </si>
  <si>
    <t>7F-G07 랙</t>
    <phoneticPr fontId="14" type="noConversion"/>
  </si>
  <si>
    <t>IPD A-1-50 / 35A</t>
    <phoneticPr fontId="14" type="noConversion"/>
  </si>
  <si>
    <t>IPD B-1-47 / 50A</t>
    <phoneticPr fontId="14" type="noConversion"/>
  </si>
  <si>
    <t>DC FUSE 제거/미사용</t>
  </si>
  <si>
    <t>U3-7A-46 / 2P 30A</t>
    <phoneticPr fontId="14" type="noConversion"/>
  </si>
  <si>
    <t>U3-7B-46 / 2P 30A</t>
    <phoneticPr fontId="14" type="noConversion"/>
  </si>
  <si>
    <t>C505</t>
    <phoneticPr fontId="14" type="noConversion"/>
  </si>
  <si>
    <t>G06</t>
  </si>
  <si>
    <t>UPS B1-18 / 2P 30A</t>
    <phoneticPr fontId="14" type="noConversion"/>
  </si>
  <si>
    <t>UPS A1-24 / 2P 30A</t>
    <phoneticPr fontId="14" type="noConversion"/>
  </si>
  <si>
    <t>UPS 출력분전반 B1 #18</t>
    <phoneticPr fontId="14" type="noConversion"/>
  </si>
  <si>
    <t>UPS 출력분전반 A1 #24</t>
    <phoneticPr fontId="14" type="noConversion"/>
  </si>
  <si>
    <t>IDC 고객 (NTT #5)</t>
    <phoneticPr fontId="14" type="noConversion"/>
  </si>
  <si>
    <t>C506</t>
    <phoneticPr fontId="14" type="noConversion"/>
  </si>
  <si>
    <t>G05</t>
  </si>
  <si>
    <t>UPS B1-29 / 2P 20A</t>
    <phoneticPr fontId="14" type="noConversion"/>
  </si>
  <si>
    <t>UPS A1-33 / 2P 20A</t>
    <phoneticPr fontId="14" type="noConversion"/>
  </si>
  <si>
    <t>UPS 출력분전반 B1 #29</t>
    <phoneticPr fontId="14" type="noConversion"/>
  </si>
  <si>
    <t>UPS 출력분전반 A1 #33</t>
    <phoneticPr fontId="14" type="noConversion"/>
  </si>
  <si>
    <t>IDC 고객 (NTT #6)</t>
    <phoneticPr fontId="14" type="noConversion"/>
  </si>
  <si>
    <t>C507</t>
    <phoneticPr fontId="14" type="noConversion"/>
  </si>
  <si>
    <t>G04</t>
  </si>
  <si>
    <t>UPS B1-16 / 2P 30A</t>
    <phoneticPr fontId="14" type="noConversion"/>
  </si>
  <si>
    <t>UPS A1-22 / 2P 30A</t>
    <phoneticPr fontId="14" type="noConversion"/>
  </si>
  <si>
    <t>UPS 출력분전반 B1 #16</t>
    <phoneticPr fontId="14" type="noConversion"/>
  </si>
  <si>
    <t>UPS 출력분전반 A1 #22</t>
    <phoneticPr fontId="14" type="noConversion"/>
  </si>
  <si>
    <t>IDC 고객 (NTT #7)</t>
    <phoneticPr fontId="14" type="noConversion"/>
  </si>
  <si>
    <t>C508</t>
    <phoneticPr fontId="14" type="noConversion"/>
  </si>
  <si>
    <t>G03</t>
  </si>
  <si>
    <t>U3-7A-01 / 2P 30A</t>
    <phoneticPr fontId="14" type="noConversion"/>
  </si>
  <si>
    <t>U3-7B-01 / 2P 30A</t>
    <phoneticPr fontId="14" type="noConversion"/>
  </si>
  <si>
    <t>IDC 고객 (NTT #8)</t>
    <phoneticPr fontId="14" type="noConversion"/>
  </si>
  <si>
    <t>U3-7A-12 / 2P 30A</t>
    <phoneticPr fontId="14" type="noConversion"/>
  </si>
  <si>
    <t>U3-7B-12 / 2P 30A</t>
    <phoneticPr fontId="14" type="noConversion"/>
  </si>
  <si>
    <t>C509</t>
    <phoneticPr fontId="14" type="noConversion"/>
  </si>
  <si>
    <t>G02</t>
  </si>
  <si>
    <t>7F-G02 랙</t>
    <phoneticPr fontId="14" type="noConversion"/>
  </si>
  <si>
    <t>UPS A1-39 / 2P 20A</t>
    <phoneticPr fontId="14" type="noConversion"/>
  </si>
  <si>
    <t>UPS 출력분전반 A1 #39</t>
    <phoneticPr fontId="14" type="noConversion"/>
  </si>
  <si>
    <t>미사용 랙 (빈 랙)</t>
  </si>
  <si>
    <t>AC 전원 철거</t>
    <phoneticPr fontId="14" type="noConversion"/>
  </si>
  <si>
    <t>C510</t>
    <phoneticPr fontId="14" type="noConversion"/>
  </si>
  <si>
    <t>G01</t>
  </si>
  <si>
    <t>7F-G01 랙</t>
    <phoneticPr fontId="14" type="noConversion"/>
  </si>
  <si>
    <t>UPS A1-35 / 2P 20A</t>
    <phoneticPr fontId="14" type="noConversion"/>
  </si>
  <si>
    <t>UPS 출력분전반 A1 #35</t>
    <phoneticPr fontId="14" type="noConversion"/>
  </si>
  <si>
    <t>LG HELLOVISION (빈 랙)</t>
    <phoneticPr fontId="14" type="noConversion"/>
  </si>
  <si>
    <t>F열</t>
  </si>
  <si>
    <t>C601</t>
    <phoneticPr fontId="14" type="noConversion"/>
  </si>
  <si>
    <t>C602</t>
    <phoneticPr fontId="14" type="noConversion"/>
  </si>
  <si>
    <t>F09</t>
  </si>
  <si>
    <t>UPS B1-40 / 2P 30A</t>
    <phoneticPr fontId="14" type="noConversion"/>
  </si>
  <si>
    <t>UPS 출력분전반 B1 #40</t>
    <phoneticPr fontId="14" type="noConversion"/>
  </si>
  <si>
    <t>미사용 랙 (빈 랙)</t>
    <phoneticPr fontId="14" type="noConversion"/>
  </si>
  <si>
    <t>C603</t>
    <phoneticPr fontId="14" type="noConversion"/>
  </si>
  <si>
    <t>F08</t>
  </si>
  <si>
    <t>B-5</t>
  </si>
  <si>
    <t>A-5</t>
  </si>
  <si>
    <t>IPD B-5-F40 
(구 IPD A) / 35A</t>
    <phoneticPr fontId="14" type="noConversion"/>
  </si>
  <si>
    <t>IPD A-5-F41
(구 IPD B) / 35A</t>
    <phoneticPr fontId="14" type="noConversion"/>
  </si>
  <si>
    <t>IPD B-5
(구 IPD A)</t>
    <phoneticPr fontId="14" type="noConversion"/>
  </si>
  <si>
    <t>IPD A-5
(구 IPD B)</t>
    <phoneticPr fontId="14" type="noConversion"/>
  </si>
  <si>
    <t>DC FUSE 삽입상태 /DC PDP 미사용 중</t>
  </si>
  <si>
    <t>UPS B1-34 / 2P 30A</t>
    <phoneticPr fontId="14" type="noConversion"/>
  </si>
  <si>
    <t>UPS 출력분전반 B1 #34</t>
    <phoneticPr fontId="14" type="noConversion"/>
  </si>
  <si>
    <t>C604</t>
    <phoneticPr fontId="14" type="noConversion"/>
  </si>
  <si>
    <t>F07</t>
  </si>
  <si>
    <t>UPS A1-18 / 2P 30A</t>
    <phoneticPr fontId="14" type="noConversion"/>
  </si>
  <si>
    <t>U3-7B-29 / 2P 30A</t>
    <phoneticPr fontId="14" type="noConversion"/>
  </si>
  <si>
    <t>UPS 출력분전반 A1 #18</t>
    <phoneticPr fontId="14" type="noConversion"/>
  </si>
  <si>
    <t>C605</t>
    <phoneticPr fontId="14" type="noConversion"/>
  </si>
  <si>
    <t>F06</t>
  </si>
  <si>
    <t>UPS B1-36 / 2P 30A</t>
    <phoneticPr fontId="14" type="noConversion"/>
  </si>
  <si>
    <t>UPS 출력분전반 B1 #36</t>
    <phoneticPr fontId="14" type="noConversion"/>
  </si>
  <si>
    <t>IDC 고객 (델피콤)</t>
    <phoneticPr fontId="14" type="noConversion"/>
  </si>
  <si>
    <t>C606</t>
    <phoneticPr fontId="14" type="noConversion"/>
  </si>
  <si>
    <t>F05</t>
  </si>
  <si>
    <t>U3-7A-03 / 2P 30A</t>
    <phoneticPr fontId="14" type="noConversion"/>
  </si>
  <si>
    <t>UPS A1-16 / 2P 30A</t>
    <phoneticPr fontId="14" type="noConversion"/>
  </si>
  <si>
    <t>UPS 출력분전반 A1 #16</t>
    <phoneticPr fontId="14" type="noConversion"/>
  </si>
  <si>
    <t>C607</t>
    <phoneticPr fontId="14" type="noConversion"/>
  </si>
  <si>
    <t>F04</t>
  </si>
  <si>
    <t>C608</t>
    <phoneticPr fontId="14" type="noConversion"/>
  </si>
  <si>
    <t>F03</t>
  </si>
  <si>
    <t>7F-F03 랙</t>
  </si>
  <si>
    <t>UPS 출력분전반 B1 #20</t>
    <phoneticPr fontId="14" type="noConversion"/>
  </si>
  <si>
    <t>UPS 출력분전반 A1 #26</t>
    <phoneticPr fontId="14" type="noConversion"/>
  </si>
  <si>
    <t>TR-7A 1000kVA</t>
  </si>
  <si>
    <t>C609</t>
    <phoneticPr fontId="14" type="noConversion"/>
  </si>
  <si>
    <t>F02</t>
  </si>
  <si>
    <t>7F-F02 랙</t>
  </si>
  <si>
    <t>IPD A-1-52</t>
  </si>
  <si>
    <t>IPD B-1-52</t>
  </si>
  <si>
    <t>IDC 고객 (NTT)</t>
    <phoneticPr fontId="14" type="noConversion"/>
  </si>
  <si>
    <t>DC FUSE 제거/미사용(2021.01.19)</t>
  </si>
  <si>
    <t>C610</t>
    <phoneticPr fontId="14" type="noConversion"/>
  </si>
  <si>
    <t>F01</t>
  </si>
  <si>
    <t>7F-F01 랙</t>
  </si>
  <si>
    <t>IPD A-1-51 / 35A</t>
    <phoneticPr fontId="14" type="noConversion"/>
  </si>
  <si>
    <t>IPD B-1-51 / 35A</t>
    <phoneticPr fontId="14" type="noConversion"/>
  </si>
  <si>
    <t>E열</t>
  </si>
  <si>
    <t>C701</t>
    <phoneticPr fontId="14" type="noConversion"/>
  </si>
  <si>
    <t>C702</t>
    <phoneticPr fontId="14" type="noConversion"/>
  </si>
  <si>
    <t>E09</t>
  </si>
  <si>
    <t>UPS B1-30 / 2P 30A</t>
    <phoneticPr fontId="14" type="noConversion"/>
  </si>
  <si>
    <t>UPS A1-36 / 2P 30A</t>
    <phoneticPr fontId="14" type="noConversion"/>
  </si>
  <si>
    <t>UPS 출력분전반 B1 #30</t>
    <phoneticPr fontId="14" type="noConversion"/>
  </si>
  <si>
    <t>UPS 출력분전반 A1 #36</t>
    <phoneticPr fontId="14" type="noConversion"/>
  </si>
  <si>
    <t>IDC 고객 (르네트)</t>
    <phoneticPr fontId="14" type="noConversion"/>
  </si>
  <si>
    <t>C703</t>
    <phoneticPr fontId="14" type="noConversion"/>
  </si>
  <si>
    <t>E08</t>
  </si>
  <si>
    <t>UPS B1-27 / 2P 20A</t>
    <phoneticPr fontId="14" type="noConversion"/>
  </si>
  <si>
    <t>UPS A1-14 / 2P 30A</t>
    <phoneticPr fontId="14" type="noConversion"/>
  </si>
  <si>
    <t>UPS 출력분전반 B1 #27</t>
    <phoneticPr fontId="14" type="noConversion"/>
  </si>
  <si>
    <t>UPS 출력분전반 A1 #14</t>
    <phoneticPr fontId="14" type="noConversion"/>
  </si>
  <si>
    <t>IDC 고객 (엑사넷)</t>
    <phoneticPr fontId="14" type="noConversion"/>
  </si>
  <si>
    <t>C704</t>
    <phoneticPr fontId="14" type="noConversion"/>
  </si>
  <si>
    <t>E07</t>
  </si>
  <si>
    <t>UPS B1-25 / 2P 20A</t>
    <phoneticPr fontId="14" type="noConversion"/>
  </si>
  <si>
    <t>UPS 출력분전반 B1 #25</t>
    <phoneticPr fontId="14" type="noConversion"/>
  </si>
  <si>
    <t>C705</t>
    <phoneticPr fontId="14" type="noConversion"/>
  </si>
  <si>
    <t>E06</t>
  </si>
  <si>
    <t>UPS B1-23 / 2P 20A</t>
    <phoneticPr fontId="14" type="noConversion"/>
  </si>
  <si>
    <t>UPS 출력분전반 B1 #23</t>
    <phoneticPr fontId="14" type="noConversion"/>
  </si>
  <si>
    <t>C706</t>
    <phoneticPr fontId="14" type="noConversion"/>
  </si>
  <si>
    <t>E05</t>
  </si>
  <si>
    <t>UPS B1-21 / 2P 20A</t>
    <phoneticPr fontId="14" type="noConversion"/>
  </si>
  <si>
    <t>UPS 출력분전반 B1 #21</t>
    <phoneticPr fontId="14" type="noConversion"/>
  </si>
  <si>
    <t>IDC 고객 (니즈텔레콤)</t>
    <phoneticPr fontId="14" type="noConversion"/>
  </si>
  <si>
    <t>C707</t>
    <phoneticPr fontId="14" type="noConversion"/>
  </si>
  <si>
    <t>E04</t>
  </si>
  <si>
    <t>UPS A1-04 / 2P 30A</t>
    <phoneticPr fontId="14" type="noConversion"/>
  </si>
  <si>
    <t>UPS 출력분전반 A1 #04</t>
    <phoneticPr fontId="14" type="noConversion"/>
  </si>
  <si>
    <t>IDC 고객 (넷피플)</t>
    <phoneticPr fontId="14" type="noConversion"/>
  </si>
  <si>
    <t>C708</t>
    <phoneticPr fontId="14" type="noConversion"/>
  </si>
  <si>
    <t>E03</t>
  </si>
  <si>
    <t>UPS A1-06 / 2P 30A</t>
    <phoneticPr fontId="14" type="noConversion"/>
  </si>
  <si>
    <t>UPS 출력분전반 A1 #06</t>
    <phoneticPr fontId="14" type="noConversion"/>
  </si>
  <si>
    <t>C709</t>
    <phoneticPr fontId="14" type="noConversion"/>
  </si>
  <si>
    <t>E02</t>
  </si>
  <si>
    <t>UPS B1-19 / 2P 20A</t>
    <phoneticPr fontId="14" type="noConversion"/>
  </si>
  <si>
    <t>UPS 출력분전반 B1 #19</t>
    <phoneticPr fontId="14" type="noConversion"/>
  </si>
  <si>
    <t>C710</t>
    <phoneticPr fontId="14" type="noConversion"/>
  </si>
  <si>
    <t>E01</t>
  </si>
  <si>
    <t>7F-E01 랙</t>
  </si>
  <si>
    <t>IDC / 압류장비</t>
    <phoneticPr fontId="14" type="noConversion"/>
  </si>
  <si>
    <t>D열</t>
  </si>
  <si>
    <t>C801</t>
    <phoneticPr fontId="14" type="noConversion"/>
  </si>
  <si>
    <t>C802</t>
    <phoneticPr fontId="14" type="noConversion"/>
  </si>
  <si>
    <t>D07</t>
    <phoneticPr fontId="14" type="noConversion"/>
  </si>
  <si>
    <t>UPS A1-11 / 2P 20A</t>
    <phoneticPr fontId="14" type="noConversion"/>
  </si>
  <si>
    <t>UPS 출력분전반 A1 #11</t>
    <phoneticPr fontId="14" type="noConversion"/>
  </si>
  <si>
    <t>UPS B1-32 / 2P 30A</t>
    <phoneticPr fontId="14" type="noConversion"/>
  </si>
  <si>
    <t>UPS A1-38 / 2P 30A</t>
    <phoneticPr fontId="14" type="noConversion"/>
  </si>
  <si>
    <t>UPS 출력분전반 B1 #32</t>
    <phoneticPr fontId="14" type="noConversion"/>
  </si>
  <si>
    <t>UPS 출력분전반 A1 #38</t>
    <phoneticPr fontId="14" type="noConversion"/>
  </si>
  <si>
    <t>C803</t>
    <phoneticPr fontId="14" type="noConversion"/>
  </si>
  <si>
    <t>D06</t>
    <phoneticPr fontId="14" type="noConversion"/>
  </si>
  <si>
    <t>UPS B1-28 / 2P 30A</t>
    <phoneticPr fontId="14" type="noConversion"/>
  </si>
  <si>
    <t>UPS A1-34 / 2P 30A</t>
    <phoneticPr fontId="14" type="noConversion"/>
  </si>
  <si>
    <t>UPS 출력분전반 B1 #28</t>
    <phoneticPr fontId="14" type="noConversion"/>
  </si>
  <si>
    <t>IDC 고객 (??)</t>
    <phoneticPr fontId="14" type="noConversion"/>
  </si>
  <si>
    <t>C804</t>
    <phoneticPr fontId="14" type="noConversion"/>
  </si>
  <si>
    <t>D05</t>
    <phoneticPr fontId="14" type="noConversion"/>
  </si>
  <si>
    <t>U3-7A-06 / 2P 30A</t>
    <phoneticPr fontId="14" type="noConversion"/>
  </si>
  <si>
    <t>U3-7B-06 / 2P 30A</t>
    <phoneticPr fontId="14" type="noConversion"/>
  </si>
  <si>
    <t>U3-7A-54 / 2P 30A</t>
    <phoneticPr fontId="14" type="noConversion"/>
  </si>
  <si>
    <t>U3-7B-53 / 2P 30A</t>
    <phoneticPr fontId="14" type="noConversion"/>
  </si>
  <si>
    <t>C805</t>
    <phoneticPr fontId="14" type="noConversion"/>
  </si>
  <si>
    <t>D04</t>
    <phoneticPr fontId="14" type="noConversion"/>
  </si>
  <si>
    <t>UPS A2-02 / 2P 50A</t>
    <phoneticPr fontId="14" type="noConversion"/>
  </si>
  <si>
    <t>UPS B2-02 / 2P 50A</t>
    <phoneticPr fontId="14" type="noConversion"/>
  </si>
  <si>
    <t>UPS 출력분전반 A2 #02</t>
    <phoneticPr fontId="14" type="noConversion"/>
  </si>
  <si>
    <t>UPS 출력분전반 B2 #01</t>
  </si>
  <si>
    <t>UPS 출력
분전반A2,
4P 225A</t>
    <phoneticPr fontId="14" type="noConversion"/>
  </si>
  <si>
    <t>UPS 출력
분전반B2,
4P 225A</t>
    <phoneticPr fontId="14" type="noConversion"/>
  </si>
  <si>
    <t>UPS 출력
배전반A, #03
4P 225A</t>
    <phoneticPr fontId="14" type="noConversion"/>
  </si>
  <si>
    <t>UPS 출력
배전반B, #04
3P 150A</t>
    <phoneticPr fontId="14" type="noConversion"/>
  </si>
  <si>
    <t>IDC 고객 (NTT_스미세이)</t>
    <phoneticPr fontId="14" type="noConversion"/>
  </si>
  <si>
    <t>C806</t>
    <phoneticPr fontId="14" type="noConversion"/>
  </si>
  <si>
    <t>D03</t>
    <phoneticPr fontId="14" type="noConversion"/>
  </si>
  <si>
    <t>UPS B1-14 / 2P 30A</t>
    <phoneticPr fontId="14" type="noConversion"/>
  </si>
  <si>
    <t>UPS 출력분전반 B1 #14</t>
    <phoneticPr fontId="14" type="noConversion"/>
  </si>
  <si>
    <t>IDC 고객 (유엔시스)</t>
    <phoneticPr fontId="14" type="noConversion"/>
  </si>
  <si>
    <t>C807</t>
    <phoneticPr fontId="14" type="noConversion"/>
  </si>
  <si>
    <t>D02</t>
    <phoneticPr fontId="14" type="noConversion"/>
  </si>
  <si>
    <t>1회로 구성(미사용), 차단기 파악 실패. A1 또는 B1 PNL 의심</t>
    <phoneticPr fontId="14" type="noConversion"/>
  </si>
  <si>
    <t>1회로 구성(미사용)</t>
    <phoneticPr fontId="14" type="noConversion"/>
  </si>
  <si>
    <t>C808</t>
    <phoneticPr fontId="14" type="noConversion"/>
  </si>
  <si>
    <t>D01</t>
    <phoneticPr fontId="14" type="noConversion"/>
  </si>
  <si>
    <t>U3-7A-04 / 2P 30A</t>
    <phoneticPr fontId="14" type="noConversion"/>
  </si>
  <si>
    <t>U3-7B-04 / 2P 30A</t>
    <phoneticPr fontId="14" type="noConversion"/>
  </si>
  <si>
    <t>U3-7A
4P 300A</t>
    <phoneticPr fontId="14" type="noConversion"/>
  </si>
  <si>
    <t>QDF</t>
    <phoneticPr fontId="14" type="noConversion"/>
  </si>
  <si>
    <t>C열</t>
  </si>
  <si>
    <t>C901</t>
    <phoneticPr fontId="14" type="noConversion"/>
  </si>
  <si>
    <t>C902</t>
    <phoneticPr fontId="14" type="noConversion"/>
  </si>
  <si>
    <t>C08</t>
    <phoneticPr fontId="14" type="noConversion"/>
  </si>
  <si>
    <t>UPS A1-23 / 2P 20A</t>
  </si>
  <si>
    <t>UPS B1-12 / 2P 30A</t>
    <phoneticPr fontId="14" type="noConversion"/>
  </si>
  <si>
    <t>UPS 출력분전반 A1 #23</t>
    <phoneticPr fontId="14" type="noConversion"/>
  </si>
  <si>
    <t>UPS 출력분전반 B1 #12</t>
    <phoneticPr fontId="14" type="noConversion"/>
  </si>
  <si>
    <t>UPS 출력배전반A,
4P 400A</t>
    <phoneticPr fontId="14" type="noConversion"/>
  </si>
  <si>
    <t>UPS 출력분전반B
4P 400A</t>
    <phoneticPr fontId="14" type="noConversion"/>
  </si>
  <si>
    <t>IDC 고객(IT Train - 사조2차)</t>
    <phoneticPr fontId="14" type="noConversion"/>
  </si>
  <si>
    <t>C903</t>
    <phoneticPr fontId="14" type="noConversion"/>
  </si>
  <si>
    <t>C07</t>
  </si>
  <si>
    <t>UPS A1-37 / 2P 20A</t>
    <phoneticPr fontId="14" type="noConversion"/>
  </si>
  <si>
    <t>UPS B1-08 / 2P 30A</t>
  </si>
  <si>
    <t>UPS 출력분전반 A1 #37</t>
    <phoneticPr fontId="14" type="noConversion"/>
  </si>
  <si>
    <t>UPS 출력분전반 B1 #08</t>
  </si>
  <si>
    <t>C904</t>
    <phoneticPr fontId="14" type="noConversion"/>
  </si>
  <si>
    <t>C06</t>
    <phoneticPr fontId="14" type="noConversion"/>
  </si>
  <si>
    <t>U3-7A-10 / 2P 30A</t>
    <phoneticPr fontId="14" type="noConversion"/>
  </si>
  <si>
    <t>U3-7B-10 / 2P 30A</t>
    <phoneticPr fontId="14" type="noConversion"/>
  </si>
  <si>
    <t>LV-7A #05 / 3P 320A
(U3-7A)</t>
    <phoneticPr fontId="14" type="noConversion"/>
  </si>
  <si>
    <t>C905</t>
  </si>
  <si>
    <t>U3-7A-42 / 2P 30A</t>
    <phoneticPr fontId="14" type="noConversion"/>
  </si>
  <si>
    <t>U3-7B-42 / 2P 30A</t>
    <phoneticPr fontId="14" type="noConversion"/>
  </si>
  <si>
    <t>C907</t>
    <phoneticPr fontId="14" type="noConversion"/>
  </si>
  <si>
    <t>C04</t>
    <phoneticPr fontId="14" type="noConversion"/>
  </si>
  <si>
    <t>7F-C04 랙</t>
    <phoneticPr fontId="14" type="noConversion"/>
  </si>
  <si>
    <t>미설치 (랙 없음)</t>
    <phoneticPr fontId="14" type="noConversion"/>
  </si>
  <si>
    <t>C908</t>
    <phoneticPr fontId="14" type="noConversion"/>
  </si>
  <si>
    <t>C03</t>
    <phoneticPr fontId="14" type="noConversion"/>
  </si>
  <si>
    <t>7F-C03 랙</t>
    <phoneticPr fontId="14" type="noConversion"/>
  </si>
  <si>
    <t>C909</t>
    <phoneticPr fontId="14" type="noConversion"/>
  </si>
  <si>
    <t>C02</t>
  </si>
  <si>
    <t>U3-7A-34 / 2P 30A</t>
    <phoneticPr fontId="14" type="noConversion"/>
  </si>
  <si>
    <t>U3-7B-34 / 2P 30A</t>
    <phoneticPr fontId="14" type="noConversion"/>
  </si>
  <si>
    <t>IDC 고객(타타커뮤니케이션즈)</t>
    <phoneticPr fontId="14" type="noConversion"/>
  </si>
  <si>
    <t>C910</t>
    <phoneticPr fontId="14" type="noConversion"/>
  </si>
  <si>
    <t>C01</t>
  </si>
  <si>
    <t>IPD B-5-F48
(구 IPD A) / 100A</t>
    <phoneticPr fontId="14" type="noConversion"/>
  </si>
  <si>
    <t>IPD B-1-41 / 100A</t>
    <phoneticPr fontId="14" type="noConversion"/>
  </si>
  <si>
    <t>DC전원 장비직결</t>
  </si>
  <si>
    <t>U3-7A-15 / 2P 30A</t>
    <phoneticPr fontId="14" type="noConversion"/>
  </si>
  <si>
    <t>U3-7B-15 / 2P 30A</t>
    <phoneticPr fontId="14" type="noConversion"/>
  </si>
  <si>
    <t>B열</t>
  </si>
  <si>
    <t>C1001</t>
    <phoneticPr fontId="14" type="noConversion"/>
  </si>
  <si>
    <t>C1002</t>
    <phoneticPr fontId="14" type="noConversion"/>
  </si>
  <si>
    <t>B08</t>
    <phoneticPr fontId="14" type="noConversion"/>
  </si>
  <si>
    <t>U3-7A-35 / 2P 30A</t>
    <phoneticPr fontId="14" type="noConversion"/>
  </si>
  <si>
    <t>U3-7B-35 / 2P 30A</t>
    <phoneticPr fontId="14" type="noConversion"/>
  </si>
  <si>
    <t>세종 인터넷(클라우드이음)</t>
    <phoneticPr fontId="14" type="noConversion"/>
  </si>
  <si>
    <t>신규 구성중</t>
  </si>
  <si>
    <t>C1003</t>
    <phoneticPr fontId="14" type="noConversion"/>
  </si>
  <si>
    <t>B07</t>
    <phoneticPr fontId="14" type="noConversion"/>
  </si>
  <si>
    <t>U3-7A-33 / 2P 30A</t>
    <phoneticPr fontId="14" type="noConversion"/>
  </si>
  <si>
    <t>U3-7B-33 / 2P 30A</t>
    <phoneticPr fontId="14" type="noConversion"/>
  </si>
  <si>
    <t>C1004</t>
    <phoneticPr fontId="14" type="noConversion"/>
  </si>
  <si>
    <t>B06</t>
    <phoneticPr fontId="14" type="noConversion"/>
  </si>
  <si>
    <t>U3-7A-31 / 2P 30A</t>
    <phoneticPr fontId="14" type="noConversion"/>
  </si>
  <si>
    <t>U3-7B-31 / 2P 30A</t>
    <phoneticPr fontId="14" type="noConversion"/>
  </si>
  <si>
    <t>C1005</t>
    <phoneticPr fontId="14" type="noConversion"/>
  </si>
  <si>
    <t>B05</t>
    <phoneticPr fontId="14" type="noConversion"/>
  </si>
  <si>
    <t>U3-7A-39 / 2P 30A</t>
    <phoneticPr fontId="14" type="noConversion"/>
  </si>
  <si>
    <t>U3-7B-39 / 2P 30A</t>
    <phoneticPr fontId="14" type="noConversion"/>
  </si>
  <si>
    <t>C1006</t>
    <phoneticPr fontId="14" type="noConversion"/>
  </si>
  <si>
    <t>B04</t>
    <phoneticPr fontId="14" type="noConversion"/>
  </si>
  <si>
    <t>7F-B04 랙</t>
    <phoneticPr fontId="14" type="noConversion"/>
  </si>
  <si>
    <t>C1007</t>
    <phoneticPr fontId="14" type="noConversion"/>
  </si>
  <si>
    <t>B03</t>
    <phoneticPr fontId="14" type="noConversion"/>
  </si>
  <si>
    <t>7F-B03 랙</t>
    <phoneticPr fontId="14" type="noConversion"/>
  </si>
  <si>
    <t>C1008</t>
    <phoneticPr fontId="14" type="noConversion"/>
  </si>
  <si>
    <t>B02</t>
    <phoneticPr fontId="14" type="noConversion"/>
  </si>
  <si>
    <t>7F-B02 랙</t>
    <phoneticPr fontId="14" type="noConversion"/>
  </si>
  <si>
    <t>C1009</t>
    <phoneticPr fontId="14" type="noConversion"/>
  </si>
  <si>
    <t>B01</t>
    <phoneticPr fontId="14" type="noConversion"/>
  </si>
  <si>
    <t>7F-B01 랙</t>
    <phoneticPr fontId="14" type="noConversion"/>
  </si>
  <si>
    <t>A열</t>
  </si>
  <si>
    <t>C1101</t>
    <phoneticPr fontId="14" type="noConversion"/>
  </si>
  <si>
    <t>C1102</t>
    <phoneticPr fontId="14" type="noConversion"/>
  </si>
  <si>
    <t>A08</t>
    <phoneticPr fontId="14" type="noConversion"/>
  </si>
  <si>
    <t>UPS A2-08 / 2P 50A</t>
    <phoneticPr fontId="14" type="noConversion"/>
  </si>
  <si>
    <t>UPS B2-08 / 2P 50A</t>
    <phoneticPr fontId="14" type="noConversion"/>
  </si>
  <si>
    <t>UPS 출력분전반 A2 #08</t>
    <phoneticPr fontId="14" type="noConversion"/>
  </si>
  <si>
    <t>UPS 출력분전반 B2 #08</t>
    <phoneticPr fontId="14" type="noConversion"/>
  </si>
  <si>
    <t>IDC 고객(LG HELLOVISION)</t>
    <phoneticPr fontId="14" type="noConversion"/>
  </si>
  <si>
    <t>C1103</t>
    <phoneticPr fontId="14" type="noConversion"/>
  </si>
  <si>
    <t>A07</t>
    <phoneticPr fontId="14" type="noConversion"/>
  </si>
  <si>
    <t>UPS A2-06 / 2P 50A</t>
    <phoneticPr fontId="14" type="noConversion"/>
  </si>
  <si>
    <t>UPS B2-06 / 2P 50A</t>
    <phoneticPr fontId="14" type="noConversion"/>
  </si>
  <si>
    <t>UPS 출력분전반 A2 #06</t>
    <phoneticPr fontId="14" type="noConversion"/>
  </si>
  <si>
    <t>UPS 출력분전반 B2 #06</t>
    <phoneticPr fontId="14" type="noConversion"/>
  </si>
  <si>
    <t>C1104</t>
    <phoneticPr fontId="14" type="noConversion"/>
  </si>
  <si>
    <t>A06</t>
    <phoneticPr fontId="14" type="noConversion"/>
  </si>
  <si>
    <t>UPS A2-10 / 2P 50A</t>
    <phoneticPr fontId="14" type="noConversion"/>
  </si>
  <si>
    <t>UPS B2-10 / 2P 50A</t>
    <phoneticPr fontId="14" type="noConversion"/>
  </si>
  <si>
    <t>UPS 출력분전반 A2 #10</t>
    <phoneticPr fontId="14" type="noConversion"/>
  </si>
  <si>
    <t>UPS 출력분전반 B2 #10</t>
    <phoneticPr fontId="14" type="noConversion"/>
  </si>
  <si>
    <t>C1105</t>
    <phoneticPr fontId="14" type="noConversion"/>
  </si>
  <si>
    <t>A05</t>
    <phoneticPr fontId="14" type="noConversion"/>
  </si>
  <si>
    <t>UPS A2-09 / 2P 50A</t>
    <phoneticPr fontId="14" type="noConversion"/>
  </si>
  <si>
    <t>UPS B2-09 / 2P 50A</t>
    <phoneticPr fontId="14" type="noConversion"/>
  </si>
  <si>
    <t>UPS 출력분전반 A2 #09</t>
    <phoneticPr fontId="14" type="noConversion"/>
  </si>
  <si>
    <t>UPS 출력분전반 B2 #09</t>
    <phoneticPr fontId="14" type="noConversion"/>
  </si>
  <si>
    <t>C1106</t>
    <phoneticPr fontId="14" type="noConversion"/>
  </si>
  <si>
    <t>A04</t>
    <phoneticPr fontId="14" type="noConversion"/>
  </si>
  <si>
    <t>IPD B-5-F42(1)
(구 IPD A) / 35A</t>
    <phoneticPr fontId="14" type="noConversion"/>
  </si>
  <si>
    <t>IPD A-5-F42(1)
(구 IPD B) / 35A</t>
    <phoneticPr fontId="14" type="noConversion"/>
  </si>
  <si>
    <t>IPD B-5-F43(2)
(구 IPD A) / 35A</t>
    <phoneticPr fontId="14" type="noConversion"/>
  </si>
  <si>
    <t>IPD A-5-F43(2)
(구 IPD B) / 35A</t>
    <phoneticPr fontId="14" type="noConversion"/>
  </si>
  <si>
    <t>UPS A2-07 / 2P 50A</t>
    <phoneticPr fontId="14" type="noConversion"/>
  </si>
  <si>
    <t>UPS B2-07 / 2P 50A</t>
    <phoneticPr fontId="14" type="noConversion"/>
  </si>
  <si>
    <t>UPS 출력분전반 A2 #07</t>
    <phoneticPr fontId="14" type="noConversion"/>
  </si>
  <si>
    <t>UPS 출력분전반 B2 #07</t>
    <phoneticPr fontId="14" type="noConversion"/>
  </si>
  <si>
    <t>C1107</t>
    <phoneticPr fontId="14" type="noConversion"/>
  </si>
  <si>
    <t>A03</t>
    <phoneticPr fontId="14" type="noConversion"/>
  </si>
  <si>
    <t>UPS A2-05 / 2P 50A</t>
    <phoneticPr fontId="14" type="noConversion"/>
  </si>
  <si>
    <t>UPS B2-05 / 2P 50A</t>
    <phoneticPr fontId="14" type="noConversion"/>
  </si>
  <si>
    <t>UPS 출력분전반 A2 #05</t>
    <phoneticPr fontId="14" type="noConversion"/>
  </si>
  <si>
    <t>UPS 출력분전반 B2 #05</t>
    <phoneticPr fontId="14" type="noConversion"/>
  </si>
  <si>
    <t>C1108</t>
    <phoneticPr fontId="14" type="noConversion"/>
  </si>
  <si>
    <t>A02</t>
    <phoneticPr fontId="14" type="noConversion"/>
  </si>
  <si>
    <t>UPS A2-03 / 2P 50A</t>
    <phoneticPr fontId="14" type="noConversion"/>
  </si>
  <si>
    <t>UPS B2-03 / 2P 50A</t>
    <phoneticPr fontId="14" type="noConversion"/>
  </si>
  <si>
    <t>UPS 출력분전반 A2 #03</t>
    <phoneticPr fontId="14" type="noConversion"/>
  </si>
  <si>
    <t>UPS 출력분전반 B2 #03</t>
    <phoneticPr fontId="14" type="noConversion"/>
  </si>
  <si>
    <t>C1109</t>
    <phoneticPr fontId="14" type="noConversion"/>
  </si>
  <si>
    <t>A01</t>
    <phoneticPr fontId="14" type="noConversion"/>
  </si>
  <si>
    <t>UPS A2-01 / 2P 50A</t>
    <phoneticPr fontId="14" type="noConversion"/>
  </si>
  <si>
    <t>UPS B2-01 / 2P 50A</t>
    <phoneticPr fontId="14" type="noConversion"/>
  </si>
  <si>
    <t>UPS 출력분전반 A2 #01</t>
    <phoneticPr fontId="14" type="noConversion"/>
  </si>
  <si>
    <t>UPS 출력분전반 B2 #01</t>
    <phoneticPr fontId="14" type="noConversion"/>
  </si>
  <si>
    <t>신규BMS(20F TPS실) Rack</t>
  </si>
  <si>
    <t>U3-7B-49 / 2P 30A</t>
    <phoneticPr fontId="14" type="noConversion"/>
  </si>
  <si>
    <t>신규BMS(7F TPS실) Rack</t>
  </si>
  <si>
    <t>U3-7B-51 / 2P 30A</t>
    <phoneticPr fontId="14" type="noConversion"/>
  </si>
  <si>
    <t>8층 Office 분전반(창고)</t>
  </si>
  <si>
    <t>누락
회로
파악
불가</t>
    <phoneticPr fontId="14" type="noConversion"/>
  </si>
  <si>
    <t>UPS A1-01 / 2P 20A</t>
    <phoneticPr fontId="14" type="noConversion"/>
  </si>
  <si>
    <t>UPS 출력분전반 A1 #01</t>
    <phoneticPr fontId="14" type="noConversion"/>
  </si>
  <si>
    <t>W-DCS 8000</t>
  </si>
  <si>
    <t>UPS A1-02 / 2P 30A</t>
    <phoneticPr fontId="14" type="noConversion"/>
  </si>
  <si>
    <t>UPS 출력분전반 A1 #02</t>
    <phoneticPr fontId="14" type="noConversion"/>
  </si>
  <si>
    <t>TO 8F 보안실 UPS항온항습기 모니터용PC</t>
    <phoneticPr fontId="14" type="noConversion"/>
  </si>
  <si>
    <t>UPS A1-03 / 2P 20A</t>
    <phoneticPr fontId="14" type="noConversion"/>
  </si>
  <si>
    <t>UPS 출력분전반 A1 #03</t>
    <phoneticPr fontId="14" type="noConversion"/>
  </si>
  <si>
    <t>?? (전송)</t>
    <phoneticPr fontId="14" type="noConversion"/>
  </si>
  <si>
    <t>UPS A1-05 / 2P 20A</t>
    <phoneticPr fontId="14" type="noConversion"/>
  </si>
  <si>
    <t>UPS 출력분전반 A1 #05</t>
    <phoneticPr fontId="14" type="noConversion"/>
  </si>
  <si>
    <t>UPS A1-09 / 2P 20A</t>
    <phoneticPr fontId="14" type="noConversion"/>
  </si>
  <si>
    <t>UPS 출력분전반 A1 #09</t>
    <phoneticPr fontId="14" type="noConversion"/>
  </si>
  <si>
    <t>IDC (Voice사업팀 MMS용-B)</t>
    <phoneticPr fontId="14" type="noConversion"/>
  </si>
  <si>
    <t>UPS A1-13 / 2P 20A</t>
    <phoneticPr fontId="14" type="noConversion"/>
  </si>
  <si>
    <t>UPS 출력분전반 A1 #13</t>
    <phoneticPr fontId="14" type="noConversion"/>
  </si>
  <si>
    <t>ONS1064 SERVER</t>
  </si>
  <si>
    <t>UPS A1-15 / 2P 20A</t>
    <phoneticPr fontId="14" type="noConversion"/>
  </si>
  <si>
    <t>UPS 출력분전반 A1 #15</t>
    <phoneticPr fontId="14" type="noConversion"/>
  </si>
  <si>
    <t>NTT 하-1</t>
  </si>
  <si>
    <t>UPS A1-17 / 2P 20A</t>
    <phoneticPr fontId="14" type="noConversion"/>
  </si>
  <si>
    <t>UPS 출력분전반 A1 #17</t>
    <phoneticPr fontId="14" type="noConversion"/>
  </si>
  <si>
    <t>8층 보안실 CCTV 모니터</t>
  </si>
  <si>
    <t>UPS A1-27 / 2P 20A</t>
    <phoneticPr fontId="14" type="noConversion"/>
  </si>
  <si>
    <t>UPS 출력분전반 A1 #27</t>
    <phoneticPr fontId="14" type="noConversion"/>
  </si>
  <si>
    <t>전송 (NMS B-15)</t>
    <phoneticPr fontId="14" type="noConversion"/>
  </si>
  <si>
    <t>UPS A1-28 / 2P 30A</t>
    <phoneticPr fontId="14" type="noConversion"/>
  </si>
  <si>
    <t>UPS 출력분전반 A1 #28</t>
    <phoneticPr fontId="14" type="noConversion"/>
  </si>
  <si>
    <t>운용실콘센트</t>
  </si>
  <si>
    <t>UPS A1-29 / 2P 20A</t>
    <phoneticPr fontId="14" type="noConversion"/>
  </si>
  <si>
    <t>UPS 출력분전반 A1 #29</t>
    <phoneticPr fontId="14" type="noConversion"/>
  </si>
  <si>
    <t>전송 (NMS B-16)</t>
    <phoneticPr fontId="14" type="noConversion"/>
  </si>
  <si>
    <t>UPS A1-30 / 2P 30A</t>
    <phoneticPr fontId="14" type="noConversion"/>
  </si>
  <si>
    <t>UPS 출력분전반 A1 #30</t>
    <phoneticPr fontId="14" type="noConversion"/>
  </si>
  <si>
    <t>운용실콘센트 창가1열</t>
  </si>
  <si>
    <t>UPS A1-31 / 2P 20A</t>
    <phoneticPr fontId="14" type="noConversion"/>
  </si>
  <si>
    <t>UPS 출력분전반 A1 #31</t>
    <phoneticPr fontId="14" type="noConversion"/>
  </si>
  <si>
    <t>전송 (??)</t>
    <phoneticPr fontId="14" type="noConversion"/>
  </si>
  <si>
    <t>U3-7B-50 / 2P 30A</t>
    <phoneticPr fontId="14" type="noConversion"/>
  </si>
  <si>
    <t>7층 출입카드(전층 출입통제)</t>
    <phoneticPr fontId="14" type="noConversion"/>
  </si>
  <si>
    <t>U3-7B-52 / 2P 30A</t>
    <phoneticPr fontId="14" type="noConversion"/>
  </si>
  <si>
    <t>20F MAIN (FMS)</t>
  </si>
  <si>
    <t>U3-7B-54 / 2P 30A</t>
    <phoneticPr fontId="14" type="noConversion"/>
  </si>
  <si>
    <t>7F MAIN (FMS)</t>
  </si>
  <si>
    <t>U3-7A-52 / 2P 30A</t>
    <phoneticPr fontId="14" type="noConversion"/>
  </si>
  <si>
    <t>7F NTT CCTV 전원</t>
  </si>
  <si>
    <t>UPS B1-01 / 2P 20A</t>
    <phoneticPr fontId="14" type="noConversion"/>
  </si>
  <si>
    <t>UPS 출력분전반 B1 #01</t>
    <phoneticPr fontId="14" type="noConversion"/>
  </si>
  <si>
    <t>강남방향 창가열 콘센트</t>
  </si>
  <si>
    <t>UPS B1-02 / 2P 30A</t>
    <phoneticPr fontId="14" type="noConversion"/>
  </si>
  <si>
    <t>UPS 출력분전반 B1 #02</t>
    <phoneticPr fontId="14" type="noConversion"/>
  </si>
  <si>
    <t>정면창가 콘센트</t>
  </si>
  <si>
    <t>UPS B1-03 / 2P 20A</t>
    <phoneticPr fontId="14" type="noConversion"/>
  </si>
  <si>
    <t>UPS 출력분전반 B1 #03</t>
    <phoneticPr fontId="14" type="noConversion"/>
  </si>
  <si>
    <t>??</t>
  </si>
  <si>
    <t>UPS B1-06 / 2P 30A</t>
    <phoneticPr fontId="14" type="noConversion"/>
  </si>
  <si>
    <t>UPS 출력분전반 B1 #08</t>
    <phoneticPr fontId="14" type="noConversion"/>
  </si>
  <si>
    <t>전송 (GAINS)</t>
    <phoneticPr fontId="14" type="noConversion"/>
  </si>
  <si>
    <t>UPS B1-07 / 2P 20A</t>
    <phoneticPr fontId="14" type="noConversion"/>
  </si>
  <si>
    <t>UPS 출력분전반 B1 #07</t>
    <phoneticPr fontId="14" type="noConversion"/>
  </si>
  <si>
    <t>C2C DWDM 
EMS RACK</t>
  </si>
  <si>
    <t>UPS B1-11 / 2P 20A</t>
    <phoneticPr fontId="14" type="noConversion"/>
  </si>
  <si>
    <t>UPS 출력분전반 B1 #11</t>
    <phoneticPr fontId="14" type="noConversion"/>
  </si>
  <si>
    <t>전송 (ONS1064 SERVER)</t>
    <phoneticPr fontId="14" type="noConversion"/>
  </si>
  <si>
    <t>UPS B1-22 / 2P 30A</t>
    <phoneticPr fontId="14" type="noConversion"/>
  </si>
  <si>
    <t>UPS 출력분전반 B1 #22</t>
    <phoneticPr fontId="14" type="noConversion"/>
  </si>
  <si>
    <t>운용실 바닥콘센트</t>
  </si>
  <si>
    <t>UPS B1-24 / 2P 30A</t>
    <phoneticPr fontId="14" type="noConversion"/>
  </si>
  <si>
    <t>UPS 출력분전반 B1 #24</t>
    <phoneticPr fontId="14" type="noConversion"/>
  </si>
  <si>
    <t>운용실 콘센트 창가1열</t>
  </si>
  <si>
    <t>UPS B1-35 / 2P 20A</t>
    <phoneticPr fontId="14" type="noConversion"/>
  </si>
  <si>
    <t>UPS 출력분전반 B1 #35</t>
    <phoneticPr fontId="14" type="noConversion"/>
  </si>
  <si>
    <t>7F NMS A-18</t>
  </si>
  <si>
    <t>UPS B1-37 / 2P 20A</t>
    <phoneticPr fontId="14" type="noConversion"/>
  </si>
  <si>
    <t>UPS 출력분전반 B1 #37</t>
    <phoneticPr fontId="14" type="noConversion"/>
  </si>
  <si>
    <t>7F NMS A-19</t>
  </si>
  <si>
    <t>IDC MAN POP</t>
  </si>
  <si>
    <t>UPS B1-39 / 2P 20A</t>
    <phoneticPr fontId="14" type="noConversion"/>
  </si>
  <si>
    <t>UPS 출력분전반 B1 #39</t>
    <phoneticPr fontId="14" type="noConversion"/>
  </si>
  <si>
    <t>7F NMS A-20</t>
  </si>
  <si>
    <t>6층 랙별  전기공급계통</t>
    <phoneticPr fontId="14" type="noConversion"/>
  </si>
  <si>
    <t>층/분전반명/차단기용량/차단기번호</t>
    <phoneticPr fontId="14" type="noConversion"/>
  </si>
  <si>
    <t>DEKR No.</t>
    <phoneticPr fontId="14" type="noConversion"/>
  </si>
  <si>
    <t>랙 No.</t>
    <phoneticPr fontId="14" type="noConversion"/>
  </si>
  <si>
    <t>고객명</t>
    <phoneticPr fontId="14" type="noConversion"/>
  </si>
  <si>
    <t>리셉터클 Name</t>
  </si>
  <si>
    <t>차단기 정보</t>
    <phoneticPr fontId="14" type="noConversion"/>
  </si>
  <si>
    <t>분전반 정보</t>
    <phoneticPr fontId="14" type="noConversion"/>
  </si>
  <si>
    <t>비 고</t>
    <phoneticPr fontId="14" type="noConversion"/>
  </si>
  <si>
    <t>B7-32-1</t>
    <phoneticPr fontId="14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</si>
  <si>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</si>
  <si>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</si>
  <si>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</si>
  <si>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</si>
  <si>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</si>
  <si>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</si>
  <si>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</si>
  <si>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</si>
  <si>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</si>
  <si>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</si>
  <si>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</si>
  <si>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</si>
  <si>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</si>
  <si>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</si>
  <si>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</si>
  <si>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</si>
  <si>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</si>
  <si>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</si>
  <si>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</si>
  <si>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</si>
  <si>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</si>
  <si>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</si>
  <si>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</si>
  <si>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</si>
  <si>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</si>
  <si>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</si>
  <si>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</si>
  <si>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</si>
  <si>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</si>
  <si>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</si>
  <si>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</si>
  <si>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</si>
  <si>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</si>
  <si>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</si>
  <si>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</si>
  <si>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</si>
  <si>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</si>
  <si>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</si>
  <si>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</si>
  <si>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</si>
  <si>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</si>
  <si>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</si>
  <si>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</si>
  <si>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</si>
  <si>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</si>
  <si>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</si>
  <si>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</si>
  <si>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</si>
  <si>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</si>
  <si>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</si>
  <si>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</si>
  <si>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</si>
  <si>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</si>
  <si>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</si>
  <si>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</si>
  <si>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4" type="noConversion"/>
  </si>
  <si>
    <t>A3-23-1</t>
    <phoneticPr fontId="14" type="noConversion"/>
  </si>
  <si>
    <t>B3-23-1</t>
    <phoneticPr fontId="14" type="noConversion"/>
  </si>
  <si>
    <t>U-A3-20 / 2P 30A</t>
    <phoneticPr fontId="14" type="noConversion"/>
  </si>
  <si>
    <t>U-B3-20 / 2P 30A</t>
    <phoneticPr fontId="14" type="noConversion"/>
  </si>
  <si>
    <t>U-A3
4P 200A</t>
    <phoneticPr fontId="14" type="noConversion"/>
  </si>
  <si>
    <t>U-B3
4P 200A</t>
    <phoneticPr fontId="14" type="noConversion"/>
  </si>
  <si>
    <t>UPS 출력배전반(A)
#03, 4P 200A</t>
    <phoneticPr fontId="14" type="noConversion"/>
  </si>
  <si>
    <t>UPS 출력배전반(B)
#03, 4P 200A</t>
    <phoneticPr fontId="14" type="noConversion"/>
  </si>
  <si>
    <t>TR-6A
1000kVA</t>
    <phoneticPr fontId="14" type="noConversion"/>
  </si>
  <si>
    <t>TR-6B
1000kVA</t>
    <phoneticPr fontId="14" type="noConversion"/>
  </si>
  <si>
    <t>C503</t>
  </si>
  <si>
    <t>6F-K12</t>
    <phoneticPr fontId="14" type="noConversion"/>
  </si>
  <si>
    <t>A3-23-2</t>
  </si>
  <si>
    <t>B3-23-2</t>
  </si>
  <si>
    <t>U-A3-22 / 2P 30A</t>
    <phoneticPr fontId="14" type="noConversion"/>
  </si>
  <si>
    <t>U-B3-22 / 2P 30A</t>
    <phoneticPr fontId="14" type="noConversion"/>
  </si>
  <si>
    <t>C504</t>
  </si>
  <si>
    <t>6F-K13</t>
    <phoneticPr fontId="14" type="noConversion"/>
  </si>
  <si>
    <t>A3-23-3</t>
  </si>
  <si>
    <t>B3-23-3</t>
  </si>
  <si>
    <t>U-A3-24 / 2P 30A</t>
    <phoneticPr fontId="14" type="noConversion"/>
  </si>
  <si>
    <t>U-B3-48 / 2P 30A</t>
    <phoneticPr fontId="14" type="noConversion"/>
  </si>
  <si>
    <t>C505</t>
  </si>
  <si>
    <t>6F-K14</t>
    <phoneticPr fontId="14" type="noConversion"/>
  </si>
  <si>
    <t>A3-23-4</t>
  </si>
  <si>
    <t>B3-23-4</t>
  </si>
  <si>
    <t>U-A3-26 / 2P 30A</t>
    <phoneticPr fontId="14" type="noConversion"/>
  </si>
  <si>
    <t>U-B3-26 / 2P 30A</t>
    <phoneticPr fontId="14" type="noConversion"/>
  </si>
  <si>
    <t>C506</t>
  </si>
  <si>
    <t>6F-K15</t>
    <phoneticPr fontId="14" type="noConversion"/>
  </si>
  <si>
    <t>A3-23-5</t>
  </si>
  <si>
    <t>B3-23-5</t>
  </si>
  <si>
    <t>U-A3-28 / 2P 30A</t>
    <phoneticPr fontId="14" type="noConversion"/>
  </si>
  <si>
    <t>U-B3-28 / 2P 30A</t>
    <phoneticPr fontId="14" type="noConversion"/>
  </si>
  <si>
    <t>C507</t>
  </si>
  <si>
    <t>6F-K16</t>
    <phoneticPr fontId="14" type="noConversion"/>
  </si>
  <si>
    <t>A3-23-6</t>
  </si>
  <si>
    <t>B3-23-6</t>
  </si>
  <si>
    <t>U-A3-30 / 2P 30A</t>
    <phoneticPr fontId="14" type="noConversion"/>
  </si>
  <si>
    <t>U-B3-30 / 2P 30A</t>
    <phoneticPr fontId="14" type="noConversion"/>
  </si>
  <si>
    <t>C508</t>
  </si>
  <si>
    <t>6F-K17</t>
    <phoneticPr fontId="14" type="noConversion"/>
  </si>
  <si>
    <t>A3-23-7</t>
  </si>
  <si>
    <t>B3-23-7</t>
  </si>
  <si>
    <t>U-A3-32 / 2P 30A</t>
    <phoneticPr fontId="14" type="noConversion"/>
  </si>
  <si>
    <t>U-B3-32 / 2P 30A</t>
    <phoneticPr fontId="14" type="noConversion"/>
  </si>
  <si>
    <t>C509</t>
  </si>
  <si>
    <t>6F-K18</t>
    <phoneticPr fontId="14" type="noConversion"/>
  </si>
  <si>
    <t>A3-23-8</t>
  </si>
  <si>
    <t>B3-23-8</t>
  </si>
  <si>
    <t>U-A3-34 / 2P 30A</t>
    <phoneticPr fontId="14" type="noConversion"/>
  </si>
  <si>
    <t>U-B3-34 / 2P 30A</t>
    <phoneticPr fontId="14" type="noConversion"/>
  </si>
  <si>
    <t>C510</t>
  </si>
  <si>
    <t>6F-K19</t>
    <phoneticPr fontId="14" type="noConversion"/>
  </si>
  <si>
    <t>A3-23-9</t>
  </si>
  <si>
    <t>B3-23-9</t>
  </si>
  <si>
    <t>U-A3-36 / 2P 30A</t>
    <phoneticPr fontId="14" type="noConversion"/>
  </si>
  <si>
    <t>U-B3-36 / 2P 30A</t>
    <phoneticPr fontId="14" type="noConversion"/>
  </si>
  <si>
    <t>C402</t>
  </si>
  <si>
    <t>6F-L11</t>
    <phoneticPr fontId="14" type="noConversion"/>
  </si>
  <si>
    <t>A3-22-1</t>
    <phoneticPr fontId="14" type="noConversion"/>
  </si>
  <si>
    <t>B3-22-1</t>
    <phoneticPr fontId="14" type="noConversion"/>
  </si>
  <si>
    <t>U-A3-02 / 2P 30A</t>
    <phoneticPr fontId="14" type="noConversion"/>
  </si>
  <si>
    <t>U-B3-02 / 2P 30A</t>
    <phoneticPr fontId="14" type="noConversion"/>
  </si>
  <si>
    <t>C403</t>
  </si>
  <si>
    <t>6F-L12</t>
    <phoneticPr fontId="14" type="noConversion"/>
  </si>
  <si>
    <t>A3-22-2</t>
  </si>
  <si>
    <t>B3-22-2</t>
  </si>
  <si>
    <t>U-A3-04 / 2P 30A</t>
    <phoneticPr fontId="14" type="noConversion"/>
  </si>
  <si>
    <t>U-B3-04 / 2P 30A</t>
    <phoneticPr fontId="14" type="noConversion"/>
  </si>
  <si>
    <t>C404</t>
  </si>
  <si>
    <t>6F-L13</t>
    <phoneticPr fontId="14" type="noConversion"/>
  </si>
  <si>
    <t>A3-22-3</t>
  </si>
  <si>
    <t>B3-22-3</t>
  </si>
  <si>
    <t>U-A3-06 / 2P 30A</t>
    <phoneticPr fontId="14" type="noConversion"/>
  </si>
  <si>
    <t>U-B3-06 / 2P 30A</t>
    <phoneticPr fontId="14" type="noConversion"/>
  </si>
  <si>
    <t>C405</t>
  </si>
  <si>
    <t>6F-L14</t>
    <phoneticPr fontId="14" type="noConversion"/>
  </si>
  <si>
    <t>A3-22-4</t>
  </si>
  <si>
    <t>B3-22-4</t>
  </si>
  <si>
    <t>U-A3-08 / 2P 30A</t>
    <phoneticPr fontId="14" type="noConversion"/>
  </si>
  <si>
    <t>U-B3-08 / 2P 30A</t>
    <phoneticPr fontId="14" type="noConversion"/>
  </si>
  <si>
    <t>제로투세븐(메타넷) 이동 및 현위치 철거 예정(4/15)</t>
    <phoneticPr fontId="14" type="noConversion"/>
  </si>
  <si>
    <t>C406</t>
  </si>
  <si>
    <t>6F-L15</t>
    <phoneticPr fontId="14" type="noConversion"/>
  </si>
  <si>
    <t>A3-22-5</t>
  </si>
  <si>
    <t>B3-22-5</t>
  </si>
  <si>
    <t>U-A3-10 / 2P 30A</t>
    <phoneticPr fontId="14" type="noConversion"/>
  </si>
  <si>
    <t>U-B3-10 / 2P 30A</t>
    <phoneticPr fontId="14" type="noConversion"/>
  </si>
  <si>
    <t>C407</t>
  </si>
  <si>
    <t>6F-L16</t>
    <phoneticPr fontId="14" type="noConversion"/>
  </si>
  <si>
    <t>A3-22-6</t>
  </si>
  <si>
    <t>B3-22-6</t>
  </si>
  <si>
    <t>U-A3-12 / 2P 30A</t>
    <phoneticPr fontId="14" type="noConversion"/>
  </si>
  <si>
    <t>U-B3-12 / 2P 30A</t>
    <phoneticPr fontId="14" type="noConversion"/>
  </si>
  <si>
    <t>C408</t>
  </si>
  <si>
    <t>6F-L17</t>
    <phoneticPr fontId="14" type="noConversion"/>
  </si>
  <si>
    <t>A3-22-7</t>
  </si>
  <si>
    <t>B3-22-7</t>
  </si>
  <si>
    <t>U-A3-14 / 2P 30A</t>
    <phoneticPr fontId="14" type="noConversion"/>
  </si>
  <si>
    <t>U-B3-14 / 2P 30A</t>
    <phoneticPr fontId="14" type="noConversion"/>
  </si>
  <si>
    <t>C409</t>
  </si>
  <si>
    <t>6F-L18</t>
    <phoneticPr fontId="14" type="noConversion"/>
  </si>
  <si>
    <t>A3-22-8</t>
  </si>
  <si>
    <t>B3-22-8</t>
  </si>
  <si>
    <t>U-A3-16 / 2P 30A</t>
    <phoneticPr fontId="14" type="noConversion"/>
  </si>
  <si>
    <t>U-B3-16 / 2P 30A</t>
    <phoneticPr fontId="14" type="noConversion"/>
  </si>
  <si>
    <t>철거완료(9/1)</t>
  </si>
  <si>
    <t>C410</t>
  </si>
  <si>
    <t>6F-L19</t>
    <phoneticPr fontId="14" type="noConversion"/>
  </si>
  <si>
    <t>A3-22-9</t>
  </si>
  <si>
    <t>B3-22-9</t>
  </si>
  <si>
    <t>U-A3-18 / 2P 30A</t>
    <phoneticPr fontId="14" type="noConversion"/>
  </si>
  <si>
    <t>U-B3-18 / 2P 30A</t>
    <phoneticPr fontId="14" type="noConversion"/>
  </si>
  <si>
    <t>C301</t>
    <phoneticPr fontId="14" type="noConversion"/>
  </si>
  <si>
    <t>C302</t>
  </si>
  <si>
    <t>6F-M11</t>
    <phoneticPr fontId="14" type="noConversion"/>
  </si>
  <si>
    <t>A3-21-1</t>
    <phoneticPr fontId="14" type="noConversion"/>
  </si>
  <si>
    <t>B3-21-1</t>
    <phoneticPr fontId="14" type="noConversion"/>
  </si>
  <si>
    <t>U-A3-01 / 2P 30A</t>
    <phoneticPr fontId="14" type="noConversion"/>
  </si>
  <si>
    <t>U-B3-01 / 2P 30A</t>
    <phoneticPr fontId="14" type="noConversion"/>
  </si>
  <si>
    <t>C303</t>
  </si>
  <si>
    <t>6F-M12</t>
    <phoneticPr fontId="14" type="noConversion"/>
  </si>
  <si>
    <t>A3-21-2</t>
  </si>
  <si>
    <t>B3-21-2</t>
  </si>
  <si>
    <t>U-A3-03 / 2P 30A</t>
    <phoneticPr fontId="14" type="noConversion"/>
  </si>
  <si>
    <t>U-B3-03 / 2P 30A</t>
    <phoneticPr fontId="14" type="noConversion"/>
  </si>
  <si>
    <t>C304</t>
  </si>
  <si>
    <t>6F-M13</t>
    <phoneticPr fontId="14" type="noConversion"/>
  </si>
  <si>
    <t>A3-21-3</t>
  </si>
  <si>
    <t>B3-21-3</t>
  </si>
  <si>
    <t>U-A3-05 / 2P 30A</t>
    <phoneticPr fontId="14" type="noConversion"/>
  </si>
  <si>
    <t>U-B3-05 / 2P 30A</t>
    <phoneticPr fontId="14" type="noConversion"/>
  </si>
  <si>
    <t>A7-21-3(2)</t>
    <phoneticPr fontId="14" type="noConversion"/>
  </si>
  <si>
    <t>B7-21-3(2)</t>
    <phoneticPr fontId="14" type="noConversion"/>
  </si>
  <si>
    <t>U6-A7-32 / 2P 30A</t>
    <phoneticPr fontId="14" type="noConversion"/>
  </si>
  <si>
    <t>U6-B7-34 / 2P 30A</t>
    <phoneticPr fontId="14" type="noConversion"/>
  </si>
  <si>
    <t>U6-A7
4P 300A</t>
    <phoneticPr fontId="14" type="noConversion"/>
  </si>
  <si>
    <t>U6-B7
4P 300A</t>
    <phoneticPr fontId="14" type="noConversion"/>
  </si>
  <si>
    <t>LV-6A
#07, 3P 320A</t>
    <phoneticPr fontId="14" type="noConversion"/>
  </si>
  <si>
    <t>LV-6B
#03, 3P 320A</t>
    <phoneticPr fontId="14" type="noConversion"/>
  </si>
  <si>
    <t>A7-21-3(3)</t>
    <phoneticPr fontId="14" type="noConversion"/>
  </si>
  <si>
    <t>B7-21-3(3)</t>
    <phoneticPr fontId="14" type="noConversion"/>
  </si>
  <si>
    <t>U6-A7-30 / 2P 30A</t>
    <phoneticPr fontId="14" type="noConversion"/>
  </si>
  <si>
    <t>U6-B7-30 / 2P 30A</t>
    <phoneticPr fontId="14" type="noConversion"/>
  </si>
  <si>
    <t>6F-M14</t>
    <phoneticPr fontId="14" type="noConversion"/>
  </si>
  <si>
    <t>A3-21-4</t>
  </si>
  <si>
    <t>B3-21-4</t>
  </si>
  <si>
    <t>U-A3-07 / 2P 30A</t>
    <phoneticPr fontId="14" type="noConversion"/>
  </si>
  <si>
    <t>U-B3-07 / 2P 30A</t>
    <phoneticPr fontId="14" type="noConversion"/>
  </si>
  <si>
    <t>A7-21-4(2)</t>
    <phoneticPr fontId="14" type="noConversion"/>
  </si>
  <si>
    <t>B7-21-4(2)</t>
    <phoneticPr fontId="14" type="noConversion"/>
  </si>
  <si>
    <t>U6-A7-34 / 2P 30A</t>
    <phoneticPr fontId="14" type="noConversion"/>
  </si>
  <si>
    <t>U6-B7-32 / 2P 30A</t>
    <phoneticPr fontId="14" type="noConversion"/>
  </si>
  <si>
    <t>A7-21-4(3)</t>
    <phoneticPr fontId="14" type="noConversion"/>
  </si>
  <si>
    <t>B7-21-4(3)</t>
    <phoneticPr fontId="14" type="noConversion"/>
  </si>
  <si>
    <t>U6-A7-28 / 2P 30A</t>
    <phoneticPr fontId="14" type="noConversion"/>
  </si>
  <si>
    <t>U6-B7-28 / 2P 30A</t>
    <phoneticPr fontId="14" type="noConversion"/>
  </si>
  <si>
    <t>6F-M15</t>
    <phoneticPr fontId="14" type="noConversion"/>
  </si>
  <si>
    <t>A3-21-5</t>
  </si>
  <si>
    <t>B3-21-5</t>
  </si>
  <si>
    <t>U-A3-09 / 2P 30A</t>
    <phoneticPr fontId="14" type="noConversion"/>
  </si>
  <si>
    <t>U-B3-09 / 2P 30A</t>
    <phoneticPr fontId="14" type="noConversion"/>
  </si>
  <si>
    <t>2022/07/01, 알렉스엔 증설예정</t>
  </si>
  <si>
    <t>C307</t>
  </si>
  <si>
    <t>6F-M16</t>
    <phoneticPr fontId="14" type="noConversion"/>
  </si>
  <si>
    <t>A3-21-6</t>
  </si>
  <si>
    <t>B3-21-6</t>
  </si>
  <si>
    <t>U-A3-11 / 2P 30A</t>
    <phoneticPr fontId="14" type="noConversion"/>
  </si>
  <si>
    <t>U-B3-11 / 2P 30A</t>
    <phoneticPr fontId="14" type="noConversion"/>
  </si>
  <si>
    <t>C308</t>
  </si>
  <si>
    <t>6F-M17</t>
    <phoneticPr fontId="14" type="noConversion"/>
  </si>
  <si>
    <t>A3-21-7</t>
  </si>
  <si>
    <t>B3-21-7</t>
  </si>
  <si>
    <t>U-A3-13 / 2P 30A</t>
    <phoneticPr fontId="14" type="noConversion"/>
  </si>
  <si>
    <t>U-B3-13 / 2P 30A</t>
    <phoneticPr fontId="14" type="noConversion"/>
  </si>
  <si>
    <t>C309</t>
  </si>
  <si>
    <t>6F-M18</t>
    <phoneticPr fontId="14" type="noConversion"/>
  </si>
  <si>
    <t>A3-21-8</t>
  </si>
  <si>
    <t>B3-21-8</t>
  </si>
  <si>
    <t>U-A3-15 / 2P 30A</t>
    <phoneticPr fontId="14" type="noConversion"/>
  </si>
  <si>
    <t>U-B3-15 / 2P 30A</t>
    <phoneticPr fontId="14" type="noConversion"/>
  </si>
  <si>
    <t>C310</t>
  </si>
  <si>
    <t>6F-M19</t>
    <phoneticPr fontId="14" type="noConversion"/>
  </si>
  <si>
    <t>A3-21-9</t>
  </si>
  <si>
    <t>B3-21-9</t>
  </si>
  <si>
    <t>U-A3-17 / 2P 30A</t>
    <phoneticPr fontId="14" type="noConversion"/>
  </si>
  <si>
    <t>U-B3-17 / 2P 30A</t>
    <phoneticPr fontId="14" type="noConversion"/>
  </si>
  <si>
    <t>C202</t>
  </si>
  <si>
    <t>6F-N11</t>
    <phoneticPr fontId="14" type="noConversion"/>
  </si>
  <si>
    <t>A4-20-1</t>
    <phoneticPr fontId="14" type="noConversion"/>
  </si>
  <si>
    <t>B4-20-1</t>
    <phoneticPr fontId="14" type="noConversion"/>
  </si>
  <si>
    <t>U-A4-02 / 2P 30A</t>
    <phoneticPr fontId="14" type="noConversion"/>
  </si>
  <si>
    <t>U-B4-02 / 2P 30A</t>
    <phoneticPr fontId="14" type="noConversion"/>
  </si>
  <si>
    <t>U-A4
4P 200A</t>
    <phoneticPr fontId="14" type="noConversion"/>
  </si>
  <si>
    <t>U-B4
4P 200A</t>
    <phoneticPr fontId="14" type="noConversion"/>
  </si>
  <si>
    <t>UPS 출력배전반(A)
#01, 4P 200A</t>
    <phoneticPr fontId="14" type="noConversion"/>
  </si>
  <si>
    <t>UPS 출력배전반(B)
#01, 4P 200A</t>
    <phoneticPr fontId="14" type="noConversion"/>
  </si>
  <si>
    <t>CB Off (22년 5월)</t>
    <phoneticPr fontId="14" type="noConversion"/>
  </si>
  <si>
    <t>C203</t>
  </si>
  <si>
    <t>6F-N12</t>
    <phoneticPr fontId="14" type="noConversion"/>
  </si>
  <si>
    <t>A4-20-2</t>
  </si>
  <si>
    <t>B4-20-2</t>
  </si>
  <si>
    <t>U-A4-04 / 2P 30A</t>
    <phoneticPr fontId="14" type="noConversion"/>
  </si>
  <si>
    <t>U-B4-04 / 2P 30A</t>
    <phoneticPr fontId="14" type="noConversion"/>
  </si>
  <si>
    <t>CB Off (22년 5월)</t>
  </si>
  <si>
    <t>C204</t>
  </si>
  <si>
    <t>6F-N13</t>
    <phoneticPr fontId="14" type="noConversion"/>
  </si>
  <si>
    <t>A4-20-3</t>
  </si>
  <si>
    <t>B4-20-3</t>
  </si>
  <si>
    <t>U-A4-06 / 2P 30A</t>
    <phoneticPr fontId="14" type="noConversion"/>
  </si>
  <si>
    <t>U-B4-06 / 2P 30A</t>
    <phoneticPr fontId="14" type="noConversion"/>
  </si>
  <si>
    <t>C205</t>
  </si>
  <si>
    <t>6F-N14</t>
    <phoneticPr fontId="14" type="noConversion"/>
  </si>
  <si>
    <t>A4-20-4</t>
  </si>
  <si>
    <t>B4-20-4</t>
  </si>
  <si>
    <t>U-A4-08 / 2P 30A</t>
    <phoneticPr fontId="14" type="noConversion"/>
  </si>
  <si>
    <t>U-B4-08 / 2P 30A</t>
    <phoneticPr fontId="14" type="noConversion"/>
  </si>
  <si>
    <t>C206</t>
  </si>
  <si>
    <t>6F-N15</t>
    <phoneticPr fontId="14" type="noConversion"/>
  </si>
  <si>
    <t>A4-20-5</t>
  </si>
  <si>
    <t>B4-20-5</t>
  </si>
  <si>
    <t>U-A4-10 / 2P 30A</t>
    <phoneticPr fontId="14" type="noConversion"/>
  </si>
  <si>
    <t>U-B4-10 / 2P 30A</t>
    <phoneticPr fontId="14" type="noConversion"/>
  </si>
  <si>
    <t>'22/02/22 전기투입</t>
    <phoneticPr fontId="14" type="noConversion"/>
  </si>
  <si>
    <t>C207</t>
  </si>
  <si>
    <t>6F-N16</t>
    <phoneticPr fontId="14" type="noConversion"/>
  </si>
  <si>
    <t>A4-20-6</t>
  </si>
  <si>
    <t>B4-20-6</t>
  </si>
  <si>
    <t>U-A4-12 / 2P 30A</t>
    <phoneticPr fontId="14" type="noConversion"/>
  </si>
  <si>
    <t>U-B4-12 / 2P 30A</t>
    <phoneticPr fontId="14" type="noConversion"/>
  </si>
  <si>
    <t>C208</t>
  </si>
  <si>
    <t>6F-N17</t>
    <phoneticPr fontId="14" type="noConversion"/>
  </si>
  <si>
    <t>A4-20-7</t>
  </si>
  <si>
    <t>#B3-20-7</t>
    <phoneticPr fontId="14" type="noConversion"/>
  </si>
  <si>
    <t>U-A4-14 / 2P 30A</t>
    <phoneticPr fontId="14" type="noConversion"/>
  </si>
  <si>
    <t>U-B3-21 / 2P 30A</t>
    <phoneticPr fontId="14" type="noConversion"/>
  </si>
  <si>
    <t>C209</t>
  </si>
  <si>
    <t>6F-N18</t>
    <phoneticPr fontId="14" type="noConversion"/>
  </si>
  <si>
    <t>A4-20-8</t>
  </si>
  <si>
    <t>B4-20-8</t>
  </si>
  <si>
    <t>U-A4-16 / 2P 30A</t>
    <phoneticPr fontId="14" type="noConversion"/>
  </si>
  <si>
    <t>U-B4-16 / 2P 30A</t>
    <phoneticPr fontId="14" type="noConversion"/>
  </si>
  <si>
    <t>U-B4
4P 200A</t>
  </si>
  <si>
    <t>UPS 출력배전반(B)
#01, 4P 200A</t>
  </si>
  <si>
    <t>C210</t>
  </si>
  <si>
    <t>6F-N19</t>
    <phoneticPr fontId="14" type="noConversion"/>
  </si>
  <si>
    <t>A4-20-9</t>
  </si>
  <si>
    <t>B4-20-9</t>
  </si>
  <si>
    <t>U-A4-18 / 2P 30A</t>
    <phoneticPr fontId="14" type="noConversion"/>
  </si>
  <si>
    <t>U-B4-18 / 2P 30A</t>
    <phoneticPr fontId="14" type="noConversion"/>
  </si>
  <si>
    <t>C101</t>
    <phoneticPr fontId="14" type="noConversion"/>
  </si>
  <si>
    <t>C102</t>
  </si>
  <si>
    <t>6F-O11</t>
    <phoneticPr fontId="14" type="noConversion"/>
  </si>
  <si>
    <t>A4-19-1</t>
    <phoneticPr fontId="14" type="noConversion"/>
  </si>
  <si>
    <t>B4-19-1</t>
    <phoneticPr fontId="14" type="noConversion"/>
  </si>
  <si>
    <t>U6-A7-52 / 2P 30A</t>
    <phoneticPr fontId="14" type="noConversion"/>
  </si>
  <si>
    <t>U6-B7-52 / 2P 30A</t>
    <phoneticPr fontId="14" type="noConversion"/>
  </si>
  <si>
    <t>C103</t>
  </si>
  <si>
    <t>6F-O12</t>
    <phoneticPr fontId="14" type="noConversion"/>
  </si>
  <si>
    <t>A4-19-2</t>
  </si>
  <si>
    <t>B4-19-2</t>
  </si>
  <si>
    <t>U-A4-03 / 2P 30A</t>
    <phoneticPr fontId="14" type="noConversion"/>
  </si>
  <si>
    <t>U-B4-03 / 2P 30A</t>
    <phoneticPr fontId="14" type="noConversion"/>
  </si>
  <si>
    <t>철거완료(9/1)</t>
    <phoneticPr fontId="14" type="noConversion"/>
  </si>
  <si>
    <t>C104</t>
  </si>
  <si>
    <t>6F-O13</t>
    <phoneticPr fontId="14" type="noConversion"/>
  </si>
  <si>
    <t>A4-19-3</t>
  </si>
  <si>
    <t>B4-19-3</t>
  </si>
  <si>
    <t>U-A4-05 / 2P 30A</t>
    <phoneticPr fontId="14" type="noConversion"/>
  </si>
  <si>
    <t>U-B4-05 / 2P 30A</t>
    <phoneticPr fontId="14" type="noConversion"/>
  </si>
  <si>
    <t>C105</t>
  </si>
  <si>
    <t>6F-O14</t>
    <phoneticPr fontId="14" type="noConversion"/>
  </si>
  <si>
    <t>A4-19-4</t>
  </si>
  <si>
    <t>B4-19-4</t>
  </si>
  <si>
    <t>U-A4-07 / 2P 30A</t>
    <phoneticPr fontId="14" type="noConversion"/>
  </si>
  <si>
    <t>U-B4-07 / 2P 30A</t>
    <phoneticPr fontId="14" type="noConversion"/>
  </si>
  <si>
    <t>C106</t>
  </si>
  <si>
    <t>6F-O15</t>
    <phoneticPr fontId="14" type="noConversion"/>
  </si>
  <si>
    <t>A4-19-5</t>
  </si>
  <si>
    <t>B4-19-5</t>
  </si>
  <si>
    <t>U-A4-09 / 2P 30A</t>
    <phoneticPr fontId="14" type="noConversion"/>
  </si>
  <si>
    <t>U-B4-09 / 2P 30A</t>
    <phoneticPr fontId="14" type="noConversion"/>
  </si>
  <si>
    <t>C107</t>
  </si>
  <si>
    <t>6F-O16</t>
    <phoneticPr fontId="14" type="noConversion"/>
  </si>
  <si>
    <t>A4-19-6</t>
  </si>
  <si>
    <t>B4-19-6</t>
  </si>
  <si>
    <t>U-A4-11 / 2P 30A</t>
    <phoneticPr fontId="14" type="noConversion"/>
  </si>
  <si>
    <t>U-B4-11 / 2P 30A</t>
    <phoneticPr fontId="14" type="noConversion"/>
  </si>
  <si>
    <t>C108</t>
  </si>
  <si>
    <t>6F-O17</t>
    <phoneticPr fontId="14" type="noConversion"/>
  </si>
  <si>
    <t>A4-19-7</t>
  </si>
  <si>
    <t>B4-19-7</t>
  </si>
  <si>
    <t>U-A4-13 / 2P 30A</t>
    <phoneticPr fontId="14" type="noConversion"/>
  </si>
  <si>
    <t>U-A3-31 / 2P 30A</t>
    <phoneticPr fontId="14" type="noConversion"/>
  </si>
  <si>
    <t>C109</t>
  </si>
  <si>
    <t>6F-O18</t>
    <phoneticPr fontId="14" type="noConversion"/>
  </si>
  <si>
    <t>A4-19-8</t>
  </si>
  <si>
    <t>B4-19-8</t>
  </si>
  <si>
    <t>U-A4-15 / 2P 30A</t>
    <phoneticPr fontId="14" type="noConversion"/>
  </si>
  <si>
    <t>U-B4-15 / 2P 30A</t>
    <phoneticPr fontId="14" type="noConversion"/>
  </si>
  <si>
    <t>C110</t>
  </si>
  <si>
    <t>6F-O19</t>
    <phoneticPr fontId="14" type="noConversion"/>
  </si>
  <si>
    <t>A4-19-9</t>
  </si>
  <si>
    <t>B4-19-9</t>
  </si>
  <si>
    <t>U-A4-17 / 2P 30A</t>
    <phoneticPr fontId="14" type="noConversion"/>
  </si>
  <si>
    <t>U-B4-17 / 2P 30A</t>
    <phoneticPr fontId="14" type="noConversion"/>
  </si>
  <si>
    <t>B416</t>
  </si>
  <si>
    <t>6F-P11</t>
    <phoneticPr fontId="14" type="noConversion"/>
  </si>
  <si>
    <t>A5-18-1</t>
    <phoneticPr fontId="14" type="noConversion"/>
  </si>
  <si>
    <t>B5-18-1</t>
    <phoneticPr fontId="14" type="noConversion"/>
  </si>
  <si>
    <t>U6-A5-38 / 2P 30A</t>
    <phoneticPr fontId="14" type="noConversion"/>
  </si>
  <si>
    <t>U6-B5-38 / 2P 30A</t>
    <phoneticPr fontId="14" type="noConversion"/>
  </si>
  <si>
    <t>U6-A5
4P 300A</t>
    <phoneticPr fontId="14" type="noConversion"/>
  </si>
  <si>
    <t>U6-B5
4P 300A</t>
    <phoneticPr fontId="14" type="noConversion"/>
  </si>
  <si>
    <t>LV-6A
#05, 3P 320A</t>
    <phoneticPr fontId="14" type="noConversion"/>
  </si>
  <si>
    <t>LV-6B
#01, 3P 320A</t>
    <phoneticPr fontId="14" type="noConversion"/>
  </si>
  <si>
    <t>랙 미설치</t>
    <phoneticPr fontId="14" type="noConversion"/>
  </si>
  <si>
    <t>B417</t>
  </si>
  <si>
    <t>6F-P12</t>
    <phoneticPr fontId="14" type="noConversion"/>
  </si>
  <si>
    <t>A5-18-2</t>
  </si>
  <si>
    <t>B5-18-2</t>
  </si>
  <si>
    <t>U6-A5-40 / 2P 30A</t>
    <phoneticPr fontId="14" type="noConversion"/>
  </si>
  <si>
    <t>U6-B5-40 / 2P 30A</t>
    <phoneticPr fontId="14" type="noConversion"/>
  </si>
  <si>
    <t>B418</t>
  </si>
  <si>
    <t>6F-P13</t>
    <phoneticPr fontId="14" type="noConversion"/>
  </si>
  <si>
    <t>A5-18-3</t>
  </si>
  <si>
    <t>B5-18-3</t>
  </si>
  <si>
    <t>U6-A5-42 / 2P 30A</t>
    <phoneticPr fontId="14" type="noConversion"/>
  </si>
  <si>
    <t>U6-B5-42 / 2P 30A</t>
    <phoneticPr fontId="14" type="noConversion"/>
  </si>
  <si>
    <t>B419</t>
  </si>
  <si>
    <t>6F-P14</t>
    <phoneticPr fontId="14" type="noConversion"/>
  </si>
  <si>
    <t>A5-18-4</t>
  </si>
  <si>
    <t>B5-18-4</t>
  </si>
  <si>
    <t>U6-A5-44 / 2P 30A</t>
    <phoneticPr fontId="14" type="noConversion"/>
  </si>
  <si>
    <t>U6-B5-44 / 2P 30A</t>
    <phoneticPr fontId="14" type="noConversion"/>
  </si>
  <si>
    <t>B420</t>
  </si>
  <si>
    <t>6F-P15</t>
    <phoneticPr fontId="14" type="noConversion"/>
  </si>
  <si>
    <t>A5-18-5</t>
  </si>
  <si>
    <t>B5-18-5</t>
  </si>
  <si>
    <t>U6-A5-46 / 2P 30A</t>
    <phoneticPr fontId="14" type="noConversion"/>
  </si>
  <si>
    <t>U6-B5-46 / 2P 30A</t>
    <phoneticPr fontId="14" type="noConversion"/>
  </si>
  <si>
    <t>B421</t>
  </si>
  <si>
    <t>6F-P16</t>
    <phoneticPr fontId="14" type="noConversion"/>
  </si>
  <si>
    <t>A7-18-6</t>
    <phoneticPr fontId="14" type="noConversion"/>
  </si>
  <si>
    <t>B7-18-6</t>
    <phoneticPr fontId="14" type="noConversion"/>
  </si>
  <si>
    <t>U6-A7-01 / 2P 30A</t>
    <phoneticPr fontId="14" type="noConversion"/>
  </si>
  <si>
    <t>U6-B7-01 / 2P 30A</t>
    <phoneticPr fontId="14" type="noConversion"/>
  </si>
  <si>
    <t>6F-P17</t>
    <phoneticPr fontId="14" type="noConversion"/>
  </si>
  <si>
    <t>A7-18-7</t>
  </si>
  <si>
    <t>B7-18-7</t>
  </si>
  <si>
    <t>U6-A7-03 / 2P 30A</t>
    <phoneticPr fontId="14" type="noConversion"/>
  </si>
  <si>
    <t>U6-B7-03 / 2P 30A</t>
    <phoneticPr fontId="14" type="noConversion"/>
  </si>
  <si>
    <t>6F-P18</t>
    <phoneticPr fontId="14" type="noConversion"/>
  </si>
  <si>
    <t>A7-18-8</t>
  </si>
  <si>
    <t>B7-18-8</t>
  </si>
  <si>
    <t>U6-A7-05 / 2P 30A</t>
    <phoneticPr fontId="14" type="noConversion"/>
  </si>
  <si>
    <t>U6-B7-05 / 2P 30A</t>
    <phoneticPr fontId="14" type="noConversion"/>
  </si>
  <si>
    <t>6F-P19</t>
    <phoneticPr fontId="14" type="noConversion"/>
  </si>
  <si>
    <t>A7-18-9</t>
  </si>
  <si>
    <t>B7-18-9</t>
  </si>
  <si>
    <t>U6-A7-07 / 2P 30A</t>
    <phoneticPr fontId="14" type="noConversion"/>
  </si>
  <si>
    <t>U6-B7-07 / 2P 30A</t>
    <phoneticPr fontId="14" type="noConversion"/>
  </si>
  <si>
    <t>B425</t>
  </si>
  <si>
    <t>B316</t>
  </si>
  <si>
    <t>6F-Q11</t>
    <phoneticPr fontId="14" type="noConversion"/>
  </si>
  <si>
    <t>A5-17-1</t>
    <phoneticPr fontId="14" type="noConversion"/>
  </si>
  <si>
    <t>B5-17-1</t>
    <phoneticPr fontId="14" type="noConversion"/>
  </si>
  <si>
    <t>U6-A5-20 / 2P 30A</t>
    <phoneticPr fontId="14" type="noConversion"/>
  </si>
  <si>
    <t>U6-B5-20 / 2P 30A</t>
    <phoneticPr fontId="14" type="noConversion"/>
  </si>
  <si>
    <t>B317</t>
  </si>
  <si>
    <t>6F-Q12</t>
    <phoneticPr fontId="14" type="noConversion"/>
  </si>
  <si>
    <t>A5-17-2</t>
  </si>
  <si>
    <t>B5-17-2</t>
  </si>
  <si>
    <t>U6-A5-22 / 2P 30A</t>
    <phoneticPr fontId="14" type="noConversion"/>
  </si>
  <si>
    <t>U6-B5-22 / 2P 30A</t>
    <phoneticPr fontId="14" type="noConversion"/>
  </si>
  <si>
    <t>B318</t>
  </si>
  <si>
    <t>6F-Q13</t>
    <phoneticPr fontId="14" type="noConversion"/>
  </si>
  <si>
    <t>A5-17-3</t>
  </si>
  <si>
    <t>B5-17-3</t>
  </si>
  <si>
    <t>U6-A5-24 / 2P 30A</t>
    <phoneticPr fontId="14" type="noConversion"/>
  </si>
  <si>
    <t>U6-B5-24 / 2P 30A</t>
    <phoneticPr fontId="14" type="noConversion"/>
  </si>
  <si>
    <t>B319</t>
  </si>
  <si>
    <t>6F-Q14</t>
    <phoneticPr fontId="14" type="noConversion"/>
  </si>
  <si>
    <t>A5-17-4</t>
  </si>
  <si>
    <t>B5-17-4</t>
  </si>
  <si>
    <t>U6-A5-26 / 2P 30A</t>
    <phoneticPr fontId="14" type="noConversion"/>
  </si>
  <si>
    <t>U6-B5-26 / 2P 30A</t>
    <phoneticPr fontId="14" type="noConversion"/>
  </si>
  <si>
    <t>B320</t>
  </si>
  <si>
    <t>6F-Q15</t>
    <phoneticPr fontId="14" type="noConversion"/>
  </si>
  <si>
    <t>A5-17-5</t>
  </si>
  <si>
    <t>B5-17-5</t>
  </si>
  <si>
    <t>U6-A5-28 / 2P 30A</t>
    <phoneticPr fontId="14" type="noConversion"/>
  </si>
  <si>
    <t>U6-B5-28 / 2P 30A</t>
    <phoneticPr fontId="14" type="noConversion"/>
  </si>
  <si>
    <t>B321</t>
  </si>
  <si>
    <t>6F-Q16</t>
    <phoneticPr fontId="14" type="noConversion"/>
  </si>
  <si>
    <t>A5-17-6</t>
  </si>
  <si>
    <t>B5-17-6</t>
  </si>
  <si>
    <t>U6-A5-30 / 2P 30A</t>
    <phoneticPr fontId="14" type="noConversion"/>
  </si>
  <si>
    <t>U6-B5-30 / 2P 30A</t>
    <phoneticPr fontId="14" type="noConversion"/>
  </si>
  <si>
    <t>B322</t>
  </si>
  <si>
    <t>6F-Q17</t>
    <phoneticPr fontId="14" type="noConversion"/>
  </si>
  <si>
    <t>A5-17-7</t>
  </si>
  <si>
    <t>B5-17-7</t>
  </si>
  <si>
    <t>U6-A5-32 / 2P 30A</t>
    <phoneticPr fontId="14" type="noConversion"/>
  </si>
  <si>
    <t>U6-B5-32 / 2P 30A</t>
    <phoneticPr fontId="14" type="noConversion"/>
  </si>
  <si>
    <t>B323</t>
  </si>
  <si>
    <t>6F-Q18</t>
    <phoneticPr fontId="14" type="noConversion"/>
  </si>
  <si>
    <t>A5-17-8</t>
  </si>
  <si>
    <t>B5-17-8</t>
  </si>
  <si>
    <t>U6-A5-34 / 2P 30A</t>
    <phoneticPr fontId="14" type="noConversion"/>
  </si>
  <si>
    <t>U6-B5-34 / 2P 30A</t>
    <phoneticPr fontId="14" type="noConversion"/>
  </si>
  <si>
    <t>B324</t>
  </si>
  <si>
    <t>6F-Q19</t>
    <phoneticPr fontId="14" type="noConversion"/>
  </si>
  <si>
    <t>A5-17-9</t>
  </si>
  <si>
    <t>B5-17-9</t>
  </si>
  <si>
    <t>U6-A5-36 / 2P 30A</t>
    <phoneticPr fontId="14" type="noConversion"/>
  </si>
  <si>
    <t>U6-B5-36 / 2P 30A</t>
    <phoneticPr fontId="14" type="noConversion"/>
  </si>
  <si>
    <t>B325</t>
  </si>
  <si>
    <t>B215</t>
    <phoneticPr fontId="14" type="noConversion"/>
  </si>
  <si>
    <t>B216</t>
  </si>
  <si>
    <t>6F-R11</t>
    <phoneticPr fontId="14" type="noConversion"/>
  </si>
  <si>
    <t>A1-16-1</t>
    <phoneticPr fontId="14" type="noConversion"/>
  </si>
  <si>
    <t>B1-16-1</t>
    <phoneticPr fontId="14" type="noConversion"/>
  </si>
  <si>
    <t>U-A1-45 / 2P 30A</t>
    <phoneticPr fontId="14" type="noConversion"/>
  </si>
  <si>
    <t>U-B1-45 / 2P 30A</t>
    <phoneticPr fontId="14" type="noConversion"/>
  </si>
  <si>
    <t>U-A1
4P 200A</t>
    <phoneticPr fontId="14" type="noConversion"/>
  </si>
  <si>
    <t>U-B1
4P 200A</t>
    <phoneticPr fontId="14" type="noConversion"/>
  </si>
  <si>
    <t>UPS 출력배전반(A)
#04, 4P 200A</t>
    <phoneticPr fontId="14" type="noConversion"/>
  </si>
  <si>
    <t>UPS 출력배전반(B)
#02, 4P 200A</t>
    <phoneticPr fontId="14" type="noConversion"/>
  </si>
  <si>
    <t>B217</t>
  </si>
  <si>
    <t>6F-R12</t>
    <phoneticPr fontId="14" type="noConversion"/>
  </si>
  <si>
    <t>A1-16-2</t>
  </si>
  <si>
    <t>B1-16-2</t>
  </si>
  <si>
    <t>U-A1-47 / 2P 30A</t>
    <phoneticPr fontId="14" type="noConversion"/>
  </si>
  <si>
    <t>U-B1-47 / 2P 30A</t>
    <phoneticPr fontId="14" type="noConversion"/>
  </si>
  <si>
    <t>B218</t>
  </si>
  <si>
    <t>6F-R13</t>
    <phoneticPr fontId="14" type="noConversion"/>
  </si>
  <si>
    <t>A5-16-3</t>
    <phoneticPr fontId="14" type="noConversion"/>
  </si>
  <si>
    <t>B5-16-3</t>
    <phoneticPr fontId="14" type="noConversion"/>
  </si>
  <si>
    <t>U6-A5-48 / 2P 30A</t>
    <phoneticPr fontId="14" type="noConversion"/>
  </si>
  <si>
    <t>U6-B5-48 / 2P 30A</t>
    <phoneticPr fontId="14" type="noConversion"/>
  </si>
  <si>
    <t>B219</t>
  </si>
  <si>
    <t>6F-R14</t>
    <phoneticPr fontId="14" type="noConversion"/>
  </si>
  <si>
    <t>A1-16-4</t>
  </si>
  <si>
    <t>B1-16-4</t>
  </si>
  <si>
    <t>U-A1-18 / 2P 30A</t>
    <phoneticPr fontId="14" type="noConversion"/>
  </si>
  <si>
    <t>U-B1-34 / 2P 30A</t>
    <phoneticPr fontId="14" type="noConversion"/>
  </si>
  <si>
    <t>B220</t>
  </si>
  <si>
    <t>6F-R15</t>
    <phoneticPr fontId="14" type="noConversion"/>
  </si>
  <si>
    <t>에네이</t>
    <phoneticPr fontId="14" type="noConversion"/>
  </si>
  <si>
    <t>A1-16-5</t>
  </si>
  <si>
    <t>B1-16-5</t>
  </si>
  <si>
    <t>U-A1-20 / 2P 30A</t>
    <phoneticPr fontId="14" type="noConversion"/>
  </si>
  <si>
    <t>U-B1-20 / 2P 30A</t>
    <phoneticPr fontId="14" type="noConversion"/>
  </si>
  <si>
    <t>2023/04/13 장비 이동 확인 후 Off 할 것</t>
    <phoneticPr fontId="14" type="noConversion"/>
  </si>
  <si>
    <t>B221</t>
  </si>
  <si>
    <t>6F-R16</t>
    <phoneticPr fontId="14" type="noConversion"/>
  </si>
  <si>
    <t>A1-16-6</t>
  </si>
  <si>
    <t>B1-16-6</t>
  </si>
  <si>
    <t>U-A1-22 / 2P 30A</t>
    <phoneticPr fontId="14" type="noConversion"/>
  </si>
  <si>
    <t>U-B1-22 / 2P 30A</t>
    <phoneticPr fontId="14" type="noConversion"/>
  </si>
  <si>
    <t>B222</t>
  </si>
  <si>
    <t>6F-R17</t>
    <phoneticPr fontId="14" type="noConversion"/>
  </si>
  <si>
    <t>A1-16-7</t>
  </si>
  <si>
    <t>B1-16-7</t>
  </si>
  <si>
    <t>U-A1-24 / 2P 30A</t>
    <phoneticPr fontId="14" type="noConversion"/>
  </si>
  <si>
    <t>U-B1-24 / 2P 30A</t>
    <phoneticPr fontId="14" type="noConversion"/>
  </si>
  <si>
    <t>B223</t>
  </si>
  <si>
    <t>6F-R18</t>
    <phoneticPr fontId="14" type="noConversion"/>
  </si>
  <si>
    <t>A1-16-8</t>
  </si>
  <si>
    <t>B1-16-8</t>
  </si>
  <si>
    <t>U-A1-26 / 2P 30A</t>
    <phoneticPr fontId="14" type="noConversion"/>
  </si>
  <si>
    <t>U-B1-26 / 2P 30A</t>
    <phoneticPr fontId="14" type="noConversion"/>
  </si>
  <si>
    <t>B224</t>
  </si>
  <si>
    <t>6F-R19</t>
    <phoneticPr fontId="14" type="noConversion"/>
  </si>
  <si>
    <t>A1-16-9</t>
  </si>
  <si>
    <t>B1-16-9</t>
  </si>
  <si>
    <t>U-A1-28 / 2P 30A</t>
    <phoneticPr fontId="14" type="noConversion"/>
  </si>
  <si>
    <t>U-B1-28 / 2P 30A</t>
    <phoneticPr fontId="14" type="noConversion"/>
  </si>
  <si>
    <t>B225</t>
  </si>
  <si>
    <t>B115</t>
    <phoneticPr fontId="14" type="noConversion"/>
  </si>
  <si>
    <t>B116</t>
    <phoneticPr fontId="14" type="noConversion"/>
  </si>
  <si>
    <t>6F-S11</t>
    <phoneticPr fontId="14" type="noConversion"/>
  </si>
  <si>
    <t>A4-36-3</t>
    <phoneticPr fontId="14" type="noConversion"/>
  </si>
  <si>
    <t>B4-36-3</t>
    <phoneticPr fontId="14" type="noConversion"/>
  </si>
  <si>
    <t>U-A4-23 / 2P 30A</t>
    <phoneticPr fontId="14" type="noConversion"/>
  </si>
  <si>
    <t>U-B4-23 / 2P 30A</t>
    <phoneticPr fontId="14" type="noConversion"/>
  </si>
  <si>
    <t>B117</t>
  </si>
  <si>
    <t>6F-S12</t>
    <phoneticPr fontId="14" type="noConversion"/>
  </si>
  <si>
    <t>A4-36-4</t>
  </si>
  <si>
    <t>B4-36-4</t>
  </si>
  <si>
    <t>U-A4-25 / 2P 30A</t>
    <phoneticPr fontId="14" type="noConversion"/>
  </si>
  <si>
    <t>U-B4-25 / 2P 30A</t>
    <phoneticPr fontId="14" type="noConversion"/>
  </si>
  <si>
    <t>B118</t>
  </si>
  <si>
    <t>6F-S13</t>
    <phoneticPr fontId="14" type="noConversion"/>
  </si>
  <si>
    <t>A4-36-5</t>
  </si>
  <si>
    <t>B4-36-5</t>
  </si>
  <si>
    <t>U-A4-27 / 2P 30A</t>
    <phoneticPr fontId="14" type="noConversion"/>
  </si>
  <si>
    <t>U-B4-27 / 2P 30A</t>
    <phoneticPr fontId="14" type="noConversion"/>
  </si>
  <si>
    <t>U-A4-49</t>
    <phoneticPr fontId="14" type="noConversion"/>
  </si>
  <si>
    <t>U-B4-49</t>
    <phoneticPr fontId="14" type="noConversion"/>
  </si>
  <si>
    <t>U-A4-49 / 2P 30A</t>
    <phoneticPr fontId="14" type="noConversion"/>
  </si>
  <si>
    <t>U-B4-49 / 2P 30A</t>
    <phoneticPr fontId="14" type="noConversion"/>
  </si>
  <si>
    <t>B119</t>
    <phoneticPr fontId="14" type="noConversion"/>
  </si>
  <si>
    <t>6F-S14</t>
    <phoneticPr fontId="14" type="noConversion"/>
  </si>
  <si>
    <t>A4-36-6</t>
  </si>
  <si>
    <t>B4-36-6</t>
  </si>
  <si>
    <t>U-A4-29 / 2P 30A</t>
    <phoneticPr fontId="14" type="noConversion"/>
  </si>
  <si>
    <t>U-B4-29 / 2P 30A</t>
    <phoneticPr fontId="14" type="noConversion"/>
  </si>
  <si>
    <t>B120</t>
    <phoneticPr fontId="14" type="noConversion"/>
  </si>
  <si>
    <t>6F-S15</t>
    <phoneticPr fontId="14" type="noConversion"/>
  </si>
  <si>
    <t>A4-36-7</t>
  </si>
  <si>
    <t>B4-36-7</t>
  </si>
  <si>
    <t>U-A4-31 / 2P 30A</t>
    <phoneticPr fontId="14" type="noConversion"/>
  </si>
  <si>
    <t>U-B4-31 / 2P 30A</t>
    <phoneticPr fontId="14" type="noConversion"/>
  </si>
  <si>
    <t>U-A4-47</t>
    <phoneticPr fontId="14" type="noConversion"/>
  </si>
  <si>
    <t>U-B4-47</t>
    <phoneticPr fontId="14" type="noConversion"/>
  </si>
  <si>
    <t>U-A4-47 / 2P 30A</t>
    <phoneticPr fontId="14" type="noConversion"/>
  </si>
  <si>
    <t>U-B4-47 / 2P 30A</t>
    <phoneticPr fontId="14" type="noConversion"/>
  </si>
  <si>
    <t>B121</t>
    <phoneticPr fontId="14" type="noConversion"/>
  </si>
  <si>
    <t>6F-S16</t>
    <phoneticPr fontId="14" type="noConversion"/>
  </si>
  <si>
    <t>A4-36-8</t>
  </si>
  <si>
    <t>B4-36-8</t>
  </si>
  <si>
    <t>U-A4-33 / 2P 30A</t>
    <phoneticPr fontId="14" type="noConversion"/>
  </si>
  <si>
    <t>U-B4-33 / 2P 30A</t>
    <phoneticPr fontId="14" type="noConversion"/>
  </si>
  <si>
    <t>B122</t>
  </si>
  <si>
    <t>6F-S17</t>
    <phoneticPr fontId="14" type="noConversion"/>
  </si>
  <si>
    <t>B123</t>
  </si>
  <si>
    <t>6F-S18</t>
    <phoneticPr fontId="14" type="noConversion"/>
  </si>
  <si>
    <t>B124</t>
  </si>
  <si>
    <t>6F-S19</t>
    <phoneticPr fontId="14" type="noConversion"/>
  </si>
  <si>
    <t>B125</t>
  </si>
  <si>
    <t>B401</t>
    <phoneticPr fontId="14" type="noConversion"/>
  </si>
  <si>
    <t>A5-15-5(2)</t>
    <phoneticPr fontId="14" type="noConversion"/>
  </si>
  <si>
    <t>B5-15-5(2)</t>
    <phoneticPr fontId="14" type="noConversion"/>
  </si>
  <si>
    <t>U6-A5-54 / 2P 30A</t>
    <phoneticPr fontId="14" type="noConversion"/>
  </si>
  <si>
    <t>U6-B5-54 / 2P 30A</t>
    <phoneticPr fontId="14" type="noConversion"/>
  </si>
  <si>
    <t>제로투세븐(메타넷) 이동설치 예정(4/15)</t>
    <phoneticPr fontId="14" type="noConversion"/>
  </si>
  <si>
    <t>B402</t>
  </si>
  <si>
    <t>6F-T11</t>
    <phoneticPr fontId="14" type="noConversion"/>
  </si>
  <si>
    <t>A5-15-1</t>
    <phoneticPr fontId="14" type="noConversion"/>
  </si>
  <si>
    <t>B5-15-1</t>
    <phoneticPr fontId="14" type="noConversion"/>
  </si>
  <si>
    <t>U6-A5-02 / 2P 30A</t>
    <phoneticPr fontId="14" type="noConversion"/>
  </si>
  <si>
    <t>U6-B5-02 / 2P 30A</t>
    <phoneticPr fontId="14" type="noConversion"/>
  </si>
  <si>
    <t>B403</t>
  </si>
  <si>
    <t>6F-T12</t>
    <phoneticPr fontId="14" type="noConversion"/>
  </si>
  <si>
    <t>A5-15-2</t>
  </si>
  <si>
    <t>B5-15-2</t>
  </si>
  <si>
    <t>U6-A5-04 / 2P 30A</t>
    <phoneticPr fontId="14" type="noConversion"/>
  </si>
  <si>
    <t>U6-B5-04 / 2P 30A</t>
    <phoneticPr fontId="14" type="noConversion"/>
  </si>
  <si>
    <t>B404</t>
  </si>
  <si>
    <t>6F-T13</t>
    <phoneticPr fontId="14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</si>
  <si>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</si>
  <si>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</si>
  <si>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4" type="noConversion"/>
  </si>
  <si>
    <t>U6-B5-06 / 2P 30A</t>
    <phoneticPr fontId="14" type="noConversion"/>
  </si>
  <si>
    <t>B405</t>
  </si>
  <si>
    <t>6F-T14</t>
    <phoneticPr fontId="14" type="noConversion"/>
  </si>
  <si>
    <t>A5-15-4</t>
  </si>
  <si>
    <t>B5-15-4</t>
  </si>
  <si>
    <t>U6-A5-08 / 2P 30A</t>
    <phoneticPr fontId="14" type="noConversion"/>
  </si>
  <si>
    <t>U6-B5-08 / 2P 30A</t>
    <phoneticPr fontId="14" type="noConversion"/>
  </si>
  <si>
    <t>B406</t>
  </si>
  <si>
    <t>6F-T15</t>
    <phoneticPr fontId="14" type="noConversion"/>
  </si>
  <si>
    <t>A5-15-5</t>
  </si>
  <si>
    <t>B5-15-5</t>
  </si>
  <si>
    <t>U6-A5-10 / 2P 30A</t>
    <phoneticPr fontId="14" type="noConversion"/>
  </si>
  <si>
    <t>U6-B5-10 / 2P 30A</t>
    <phoneticPr fontId="14" type="noConversion"/>
  </si>
  <si>
    <t>6F-T16</t>
    <phoneticPr fontId="14" type="noConversion"/>
  </si>
  <si>
    <t>A5-15-6</t>
  </si>
  <si>
    <t>B5-15-6</t>
  </si>
  <si>
    <t>U6-A5-12 / 2P 30A</t>
    <phoneticPr fontId="14" type="noConversion"/>
  </si>
  <si>
    <t>U6-B5-12 / 2P 30A</t>
    <phoneticPr fontId="14" type="noConversion"/>
  </si>
  <si>
    <t>B408</t>
  </si>
  <si>
    <t>6F-T17</t>
    <phoneticPr fontId="14" type="noConversion"/>
  </si>
  <si>
    <t>A5-15-7</t>
  </si>
  <si>
    <t>B5-15-7</t>
  </si>
  <si>
    <t>U6-A5-14 / 2P 30A</t>
    <phoneticPr fontId="14" type="noConversion"/>
  </si>
  <si>
    <t>U6-B5-14 / 2P 30A</t>
    <phoneticPr fontId="14" type="noConversion"/>
  </si>
  <si>
    <t>B409</t>
  </si>
  <si>
    <t>6F-T18</t>
    <phoneticPr fontId="14" type="noConversion"/>
  </si>
  <si>
    <t>A5-15-8</t>
  </si>
  <si>
    <t>B5-15-8</t>
  </si>
  <si>
    <t>U6-A5-16 / 2P 30A</t>
    <phoneticPr fontId="14" type="noConversion"/>
  </si>
  <si>
    <t>U6-B5-16 / 2P 30A</t>
    <phoneticPr fontId="14" type="noConversion"/>
  </si>
  <si>
    <t>B410</t>
  </si>
  <si>
    <t>6F-T19</t>
    <phoneticPr fontId="14" type="noConversion"/>
  </si>
  <si>
    <t>Enei</t>
  </si>
  <si>
    <t>A1-13-9</t>
    <phoneticPr fontId="14" type="noConversion"/>
  </si>
  <si>
    <t>B1-13-9</t>
    <phoneticPr fontId="14" type="noConversion"/>
  </si>
  <si>
    <t>U-A1-43 / 2P 30A</t>
    <phoneticPr fontId="14" type="noConversion"/>
  </si>
  <si>
    <t>U-B1-43 / 2P 30A</t>
    <phoneticPr fontId="14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</si>
  <si>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</si>
  <si>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</si>
  <si>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</si>
  <si>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</si>
  <si>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4" type="noConversion"/>
  </si>
  <si>
    <t>B411</t>
  </si>
  <si>
    <t>U-A1-42 / 2P 30A</t>
    <phoneticPr fontId="14" type="noConversion"/>
  </si>
  <si>
    <t>U-B1-42 / 2P 30A</t>
    <phoneticPr fontId="14" type="noConversion"/>
  </si>
  <si>
    <t>2023/04/13 이설 후 전기사용예정</t>
  </si>
  <si>
    <t>B301</t>
    <phoneticPr fontId="14" type="noConversion"/>
  </si>
  <si>
    <t>6F-U10</t>
    <phoneticPr fontId="14" type="noConversion"/>
  </si>
  <si>
    <t>A5-14-1</t>
    <phoneticPr fontId="14" type="noConversion"/>
  </si>
  <si>
    <t>B5-14-1</t>
    <phoneticPr fontId="14" type="noConversion"/>
  </si>
  <si>
    <t>U6-A5-37 / 2P 30A</t>
    <phoneticPr fontId="14" type="noConversion"/>
  </si>
  <si>
    <t>U6-B5-37 / 2P 30A</t>
    <phoneticPr fontId="14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</si>
  <si>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</si>
  <si>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</si>
  <si>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</si>
  <si>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</si>
  <si>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</si>
  <si>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</si>
  <si>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4" type="noConversion"/>
  </si>
  <si>
    <t>6F-U11</t>
    <phoneticPr fontId="14" type="noConversion"/>
  </si>
  <si>
    <t>A5-14-2</t>
  </si>
  <si>
    <t>B5-14-2</t>
  </si>
  <si>
    <t>U6-A5-39 / 2P 30A</t>
    <phoneticPr fontId="14" type="noConversion"/>
  </si>
  <si>
    <t>U6-B5-39 / 2P 30A</t>
    <phoneticPr fontId="14" type="noConversion"/>
  </si>
  <si>
    <t>B303</t>
  </si>
  <si>
    <t>6F-U12</t>
    <phoneticPr fontId="14" type="noConversion"/>
  </si>
  <si>
    <t>A5-14-3</t>
  </si>
  <si>
    <t>B5-14-3</t>
  </si>
  <si>
    <t>U6-A5-41 / 2P 30A</t>
    <phoneticPr fontId="14" type="noConversion"/>
  </si>
  <si>
    <t>U6-B5-41 / 2P 30A</t>
    <phoneticPr fontId="14" type="noConversion"/>
  </si>
  <si>
    <t>B304</t>
  </si>
  <si>
    <t>6F-U13</t>
    <phoneticPr fontId="14" type="noConversion"/>
  </si>
  <si>
    <t>A5-14-4</t>
  </si>
  <si>
    <t>B5-14-4</t>
  </si>
  <si>
    <t>U6-A5-43 / 2P 30A</t>
    <phoneticPr fontId="14" type="noConversion"/>
  </si>
  <si>
    <t>U6-B5-43 / 2P 30A</t>
    <phoneticPr fontId="14" type="noConversion"/>
  </si>
  <si>
    <t>B305</t>
  </si>
  <si>
    <t>6F-U14</t>
    <phoneticPr fontId="14" type="noConversion"/>
  </si>
  <si>
    <t>A5-14-5</t>
  </si>
  <si>
    <t>B5-14-5</t>
  </si>
  <si>
    <t>U6-A5-45 / 2P 30A</t>
    <phoneticPr fontId="14" type="noConversion"/>
  </si>
  <si>
    <t>U6-B5-45 / 2P 30A</t>
    <phoneticPr fontId="14" type="noConversion"/>
  </si>
  <si>
    <t>B306</t>
  </si>
  <si>
    <t>6F-U15</t>
    <phoneticPr fontId="14" type="noConversion"/>
  </si>
  <si>
    <t>A5-14-6</t>
  </si>
  <si>
    <t>B5-14-6</t>
  </si>
  <si>
    <t>U6-A5-47 / 2P 30A</t>
    <phoneticPr fontId="14" type="noConversion"/>
  </si>
  <si>
    <t>U6-B5-47 / 2P 30A</t>
    <phoneticPr fontId="14" type="noConversion"/>
  </si>
  <si>
    <t>B307</t>
  </si>
  <si>
    <t>6F-U16</t>
    <phoneticPr fontId="14" type="noConversion"/>
  </si>
  <si>
    <t>A5-14-7</t>
  </si>
  <si>
    <t>B5-14-7</t>
  </si>
  <si>
    <t>U6-A5-49 / 2P 30A</t>
    <phoneticPr fontId="14" type="noConversion"/>
  </si>
  <si>
    <t>U6-B5-49 / 2P 30A</t>
    <phoneticPr fontId="14" type="noConversion"/>
  </si>
  <si>
    <t>B308</t>
  </si>
  <si>
    <t>6F-U17</t>
    <phoneticPr fontId="14" type="noConversion"/>
  </si>
  <si>
    <t>A5-14-8</t>
  </si>
  <si>
    <t>B5-14-8</t>
  </si>
  <si>
    <t>U6-A5-51 / 2P 30A</t>
    <phoneticPr fontId="14" type="noConversion"/>
  </si>
  <si>
    <t>U6-B5-51 / 2P 30A</t>
    <phoneticPr fontId="14" type="noConversion"/>
  </si>
  <si>
    <t>U-A2
4P 200A</t>
    <phoneticPr fontId="14" type="noConversion"/>
  </si>
  <si>
    <t>U-B2
4P 200A</t>
    <phoneticPr fontId="14" type="noConversion"/>
  </si>
  <si>
    <t>UPS 출력배전반(A)
#02, 4P 200A</t>
    <phoneticPr fontId="14" type="noConversion"/>
  </si>
  <si>
    <t>UPS 출력배전반(B)
#04, 4P 200A</t>
    <phoneticPr fontId="14" type="noConversion"/>
  </si>
  <si>
    <t>B309</t>
  </si>
  <si>
    <t>6F-U18</t>
    <phoneticPr fontId="14" type="noConversion"/>
  </si>
  <si>
    <t>A5-14-9</t>
  </si>
  <si>
    <t>B5-14-9</t>
  </si>
  <si>
    <t>U6-A5-53 / 2P 30A</t>
    <phoneticPr fontId="14" type="noConversion"/>
  </si>
  <si>
    <t>U6-B5-53 / 2P 30A</t>
    <phoneticPr fontId="14" type="noConversion"/>
  </si>
  <si>
    <t>B310</t>
  </si>
  <si>
    <t>B311</t>
  </si>
  <si>
    <t>B201</t>
    <phoneticPr fontId="14" type="noConversion"/>
  </si>
  <si>
    <t>A1-13-5</t>
  </si>
  <si>
    <t>B1-13-5</t>
  </si>
  <si>
    <t>6F-AA11</t>
    <phoneticPr fontId="14" type="noConversion"/>
  </si>
  <si>
    <t>A1-13-1</t>
    <phoneticPr fontId="14" type="noConversion"/>
  </si>
  <si>
    <t>B1-13-1</t>
    <phoneticPr fontId="14" type="noConversion"/>
  </si>
  <si>
    <t>U-A1-27 / 2P 30A</t>
    <phoneticPr fontId="14" type="noConversion"/>
  </si>
  <si>
    <t>U-B1-27 / 2P 30A</t>
    <phoneticPr fontId="14" type="noConversion"/>
  </si>
  <si>
    <t>6F-AA12</t>
  </si>
  <si>
    <t>A1-13-2</t>
  </si>
  <si>
    <t>B1-13-2</t>
  </si>
  <si>
    <t>U-A1-29 / 2P 30A</t>
    <phoneticPr fontId="14" type="noConversion"/>
  </si>
  <si>
    <t>U-B1-29 / 2P 30A</t>
    <phoneticPr fontId="14" type="noConversion"/>
  </si>
  <si>
    <t>B204</t>
  </si>
  <si>
    <t>6F-AA13</t>
  </si>
  <si>
    <t>A1-13-3</t>
  </si>
  <si>
    <t>B1-13-3</t>
  </si>
  <si>
    <t>U-A1-31 / 2P 30A</t>
    <phoneticPr fontId="14" type="noConversion"/>
  </si>
  <si>
    <t>U-B1-31 / 2P 30A</t>
    <phoneticPr fontId="14" type="noConversion"/>
  </si>
  <si>
    <t>B205</t>
  </si>
  <si>
    <t>6F-AA14</t>
  </si>
  <si>
    <t>A1-13-4</t>
  </si>
  <si>
    <t>B1-13-4</t>
  </si>
  <si>
    <t>U-A1-33 / 2P 30A</t>
    <phoneticPr fontId="14" type="noConversion"/>
  </si>
  <si>
    <t>U-B1-33 / 2P 30A</t>
    <phoneticPr fontId="14" type="noConversion"/>
  </si>
  <si>
    <t>B206</t>
  </si>
  <si>
    <t>6F-AA15</t>
  </si>
  <si>
    <t>U-A1-35 / 2P 30A</t>
    <phoneticPr fontId="14" type="noConversion"/>
  </si>
  <si>
    <t>U-B1-35 / 2P 30A</t>
    <phoneticPr fontId="14" type="noConversion"/>
  </si>
  <si>
    <t>B207</t>
  </si>
  <si>
    <t>6F-AA16</t>
  </si>
  <si>
    <t>A1-13-6</t>
  </si>
  <si>
    <t>B1-13-6</t>
  </si>
  <si>
    <t>U-A1-37 / 2P 30A</t>
    <phoneticPr fontId="14" type="noConversion"/>
  </si>
  <si>
    <t>U-B1-37 / 2P 30A</t>
    <phoneticPr fontId="14" type="noConversion"/>
  </si>
  <si>
    <t>B208</t>
  </si>
  <si>
    <t>6F-AA17</t>
  </si>
  <si>
    <t>A1-13-7</t>
  </si>
  <si>
    <t>B1-13-7</t>
  </si>
  <si>
    <t>U-A1-39 / 2P 30A</t>
    <phoneticPr fontId="14" type="noConversion"/>
  </si>
  <si>
    <t>U-B1-39 / 2P 30A</t>
    <phoneticPr fontId="14" type="noConversion"/>
  </si>
  <si>
    <t>B209</t>
  </si>
  <si>
    <t>6F-AA18</t>
  </si>
  <si>
    <t>A1-13-8</t>
  </si>
  <si>
    <t>B1-13-8</t>
  </si>
  <si>
    <t>U-A1-41 / 2P 30A</t>
    <phoneticPr fontId="14" type="noConversion"/>
  </si>
  <si>
    <t>U-B1-41 / 2P 30A</t>
    <phoneticPr fontId="14" type="noConversion"/>
  </si>
  <si>
    <t>6F-AA19</t>
  </si>
  <si>
    <t>A1-13-8(2)</t>
  </si>
  <si>
    <t>B1-13-8(2)</t>
  </si>
  <si>
    <t>U-A1-49 / 2P 30A</t>
    <phoneticPr fontId="14" type="noConversion"/>
  </si>
  <si>
    <t>U-B1-30 / 2P 30A</t>
    <phoneticPr fontId="14" type="noConversion"/>
  </si>
  <si>
    <t>B211</t>
  </si>
  <si>
    <t>6F-V18</t>
    <phoneticPr fontId="14" type="noConversion"/>
  </si>
  <si>
    <t>6F-V17</t>
    <phoneticPr fontId="14" type="noConversion"/>
  </si>
  <si>
    <t>A2-7-2</t>
    <phoneticPr fontId="14" type="noConversion"/>
  </si>
  <si>
    <t>B2-7-2</t>
    <phoneticPr fontId="14" type="noConversion"/>
  </si>
  <si>
    <t>U-A2-24 / 2P 30A</t>
    <phoneticPr fontId="14" type="noConversion"/>
  </si>
  <si>
    <t>U-B2-24 / 2P 30A</t>
    <phoneticPr fontId="14" type="noConversion"/>
  </si>
  <si>
    <t>A2-7-1</t>
    <phoneticPr fontId="14" type="noConversion"/>
  </si>
  <si>
    <t>B2-7-1</t>
    <phoneticPr fontId="14" type="noConversion"/>
  </si>
  <si>
    <t>U-A2-22 / 2P 30A</t>
    <phoneticPr fontId="14" type="noConversion"/>
  </si>
  <si>
    <t>U-B2-22 / 2P 30A</t>
    <phoneticPr fontId="14" type="noConversion"/>
  </si>
  <si>
    <t>6F-V16</t>
    <phoneticPr fontId="14" type="noConversion"/>
  </si>
  <si>
    <t>A2-7-3</t>
  </si>
  <si>
    <t>B2-7-3</t>
  </si>
  <si>
    <t>U-A2-26 / 2P 30A</t>
    <phoneticPr fontId="14" type="noConversion"/>
  </si>
  <si>
    <t>U-B2-26 / 2P 30A</t>
    <phoneticPr fontId="14" type="noConversion"/>
  </si>
  <si>
    <t>A2-8-1</t>
    <phoneticPr fontId="14" type="noConversion"/>
  </si>
  <si>
    <t>B2-8-1</t>
    <phoneticPr fontId="14" type="noConversion"/>
  </si>
  <si>
    <t>U-A2-38 / 2P 30A</t>
    <phoneticPr fontId="14" type="noConversion"/>
  </si>
  <si>
    <t>U-B2-38 / 2P 30A</t>
    <phoneticPr fontId="14" type="noConversion"/>
  </si>
  <si>
    <t>6F-V15</t>
    <phoneticPr fontId="14" type="noConversion"/>
  </si>
  <si>
    <t>A2-7-4</t>
  </si>
  <si>
    <t>B2-7-4</t>
  </si>
  <si>
    <t>U-A2-28 / 2P 30A</t>
    <phoneticPr fontId="14" type="noConversion"/>
  </si>
  <si>
    <t>U-B2-28 / 2P 30A</t>
    <phoneticPr fontId="14" type="noConversion"/>
  </si>
  <si>
    <t>6F-V14</t>
    <phoneticPr fontId="14" type="noConversion"/>
  </si>
  <si>
    <t>A2-7-5</t>
  </si>
  <si>
    <t>B2-7-5</t>
  </si>
  <si>
    <t>U-A2-30 / 2P 30A</t>
    <phoneticPr fontId="14" type="noConversion"/>
  </si>
  <si>
    <t>U-B2-30 / 2P 30A</t>
    <phoneticPr fontId="14" type="noConversion"/>
  </si>
  <si>
    <t>6F-V13</t>
    <phoneticPr fontId="14" type="noConversion"/>
  </si>
  <si>
    <t>A2-7-6</t>
  </si>
  <si>
    <t>B2-7-6</t>
  </si>
  <si>
    <t>U-A2-32 / 2P 30A</t>
    <phoneticPr fontId="14" type="noConversion"/>
  </si>
  <si>
    <t>U-B2-32 / 2P 30A</t>
    <phoneticPr fontId="14" type="noConversion"/>
  </si>
  <si>
    <t>6F-V12</t>
    <phoneticPr fontId="14" type="noConversion"/>
  </si>
  <si>
    <t>A2-7-7</t>
  </si>
  <si>
    <t>B2-7-7</t>
  </si>
  <si>
    <t>U-A2-34 / 2P 30A</t>
    <phoneticPr fontId="14" type="noConversion"/>
  </si>
  <si>
    <t>U-B2-34 / 2P 30A</t>
    <phoneticPr fontId="14" type="noConversion"/>
  </si>
  <si>
    <t>6F-V11</t>
    <phoneticPr fontId="14" type="noConversion"/>
  </si>
  <si>
    <t>A2-7-8</t>
  </si>
  <si>
    <t>B2-7-8</t>
  </si>
  <si>
    <t>U-A2-36 / 2P 30A</t>
    <phoneticPr fontId="14" type="noConversion"/>
  </si>
  <si>
    <t>U-B2-36 / 2P 30A</t>
    <phoneticPr fontId="14" type="noConversion"/>
  </si>
  <si>
    <t>6F-W19</t>
    <phoneticPr fontId="14" type="noConversion"/>
  </si>
  <si>
    <t>A603</t>
    <phoneticPr fontId="14" type="noConversion"/>
  </si>
  <si>
    <t>6F-W18</t>
    <phoneticPr fontId="14" type="noConversion"/>
  </si>
  <si>
    <t>A604</t>
    <phoneticPr fontId="14" type="noConversion"/>
  </si>
  <si>
    <t>6F-W17</t>
    <phoneticPr fontId="14" type="noConversion"/>
  </si>
  <si>
    <t>A2-8-2</t>
    <phoneticPr fontId="14" type="noConversion"/>
  </si>
  <si>
    <t>B2-8-2</t>
    <phoneticPr fontId="14" type="noConversion"/>
  </si>
  <si>
    <t>U-A2-40 / 2P 30A</t>
    <phoneticPr fontId="14" type="noConversion"/>
  </si>
  <si>
    <t>U-B2-40 / 2P 30A</t>
    <phoneticPr fontId="14" type="noConversion"/>
  </si>
  <si>
    <t>U-B2
4P 200A</t>
  </si>
  <si>
    <t>UPS 출력배전반(A)
#02, 4P 200A</t>
  </si>
  <si>
    <t>UPS 출력배전반(B)
#04, 4P 200A</t>
  </si>
  <si>
    <t>A605</t>
    <phoneticPr fontId="14" type="noConversion"/>
  </si>
  <si>
    <t>6F-W16</t>
    <phoneticPr fontId="14" type="noConversion"/>
  </si>
  <si>
    <t>A2-8-3</t>
  </si>
  <si>
    <t>B2-8-3</t>
  </si>
  <si>
    <t>U-A2-42 / 2P 30A</t>
    <phoneticPr fontId="14" type="noConversion"/>
  </si>
  <si>
    <t>U-B2-42 / 2P 30A</t>
    <phoneticPr fontId="14" type="noConversion"/>
  </si>
  <si>
    <t>A606</t>
    <phoneticPr fontId="14" type="noConversion"/>
  </si>
  <si>
    <t>6F-W15</t>
    <phoneticPr fontId="14" type="noConversion"/>
  </si>
  <si>
    <t>A2-8-4</t>
  </si>
  <si>
    <t>B2-8-4</t>
  </si>
  <si>
    <t>U-A2-44 / 2P 30A</t>
    <phoneticPr fontId="14" type="noConversion"/>
  </si>
  <si>
    <t>U-B2-44 / 2P 30A</t>
    <phoneticPr fontId="14" type="noConversion"/>
  </si>
  <si>
    <t>A607</t>
    <phoneticPr fontId="14" type="noConversion"/>
  </si>
  <si>
    <t>6F-W14</t>
    <phoneticPr fontId="14" type="noConversion"/>
  </si>
  <si>
    <t>A2-8-5</t>
  </si>
  <si>
    <t>B2-8-5</t>
  </si>
  <si>
    <t>U-A2-46 / 2P 30A</t>
    <phoneticPr fontId="14" type="noConversion"/>
  </si>
  <si>
    <t>U-B2-46 / 2P 30A</t>
    <phoneticPr fontId="14" type="noConversion"/>
  </si>
  <si>
    <t>A608</t>
    <phoneticPr fontId="14" type="noConversion"/>
  </si>
  <si>
    <t>6F-W13</t>
    <phoneticPr fontId="14" type="noConversion"/>
  </si>
  <si>
    <t>A2-8-6</t>
  </si>
  <si>
    <t>B2-8-6</t>
  </si>
  <si>
    <t>U-A2-48 / 2P 30A</t>
    <phoneticPr fontId="14" type="noConversion"/>
  </si>
  <si>
    <t>U-B2-48 / 2P 30A</t>
    <phoneticPr fontId="14" type="noConversion"/>
  </si>
  <si>
    <t>A6-8-6(1)</t>
    <phoneticPr fontId="14" type="noConversion"/>
  </si>
  <si>
    <t>B6-8-6(1)</t>
    <phoneticPr fontId="14" type="noConversion"/>
  </si>
  <si>
    <t>U6-A6-45 / 2P 30A</t>
    <phoneticPr fontId="14" type="noConversion"/>
  </si>
  <si>
    <t>U6-B6-47 / 2P 30A</t>
    <phoneticPr fontId="14" type="noConversion"/>
  </si>
  <si>
    <t>U6-A6
4P 300A</t>
  </si>
  <si>
    <t>U6-B6
4P 300A</t>
  </si>
  <si>
    <t>LV-6A
#06, 3P 320A</t>
  </si>
  <si>
    <t>LV-6B
#02, 3P 320A</t>
  </si>
  <si>
    <t>A609</t>
    <phoneticPr fontId="14" type="noConversion"/>
  </si>
  <si>
    <t>6F-W12</t>
    <phoneticPr fontId="14" type="noConversion"/>
  </si>
  <si>
    <t>A5-8-7</t>
    <phoneticPr fontId="14" type="noConversion"/>
  </si>
  <si>
    <t>B5-8-7</t>
    <phoneticPr fontId="14" type="noConversion"/>
  </si>
  <si>
    <t>U6-A5-01 / 2P 30A</t>
    <phoneticPr fontId="14" type="noConversion"/>
  </si>
  <si>
    <t>U6-B5-01 / 2P 30A</t>
    <phoneticPr fontId="14" type="noConversion"/>
  </si>
  <si>
    <t>A6-8-7(1)</t>
    <phoneticPr fontId="14" type="noConversion"/>
  </si>
  <si>
    <t>B6-8-7(1)</t>
    <phoneticPr fontId="14" type="noConversion"/>
  </si>
  <si>
    <t>U6-A6-43 / 2P 30A</t>
    <phoneticPr fontId="14" type="noConversion"/>
  </si>
  <si>
    <t>U6-B6-45 / 2P 30A</t>
    <phoneticPr fontId="14" type="noConversion"/>
  </si>
  <si>
    <t>A610</t>
    <phoneticPr fontId="14" type="noConversion"/>
  </si>
  <si>
    <t>6F-W11</t>
    <phoneticPr fontId="14" type="noConversion"/>
  </si>
  <si>
    <t>A5-8-8</t>
    <phoneticPr fontId="14" type="noConversion"/>
  </si>
  <si>
    <t>B5-8-8</t>
    <phoneticPr fontId="14" type="noConversion"/>
  </si>
  <si>
    <t>U6-A5-03 / 2P 30A</t>
    <phoneticPr fontId="14" type="noConversion"/>
  </si>
  <si>
    <t>U6-B5-03 / 2P 30A</t>
    <phoneticPr fontId="14" type="noConversion"/>
  </si>
  <si>
    <t>A6-8-8(1)</t>
    <phoneticPr fontId="14" type="noConversion"/>
  </si>
  <si>
    <t>B6-8-8(1)</t>
    <phoneticPr fontId="14" type="noConversion"/>
  </si>
  <si>
    <t>U6-A6-41 / 2P 30A</t>
    <phoneticPr fontId="14" type="noConversion"/>
  </si>
  <si>
    <t>U6-B6-43 / 2P 30A</t>
    <phoneticPr fontId="14" type="noConversion"/>
  </si>
  <si>
    <t>6F-X19</t>
  </si>
  <si>
    <t>6F-X18</t>
  </si>
  <si>
    <t>6F-X17</t>
  </si>
  <si>
    <t>A5-9-2</t>
    <phoneticPr fontId="14" type="noConversion"/>
  </si>
  <si>
    <t>B5-9-2</t>
    <phoneticPr fontId="14" type="noConversion"/>
  </si>
  <si>
    <t>U6-A5-07 / 2P 30A</t>
    <phoneticPr fontId="14" type="noConversion"/>
  </si>
  <si>
    <t>U6-B5-07 / 2P 30A</t>
    <phoneticPr fontId="14" type="noConversion"/>
  </si>
  <si>
    <t>6F-X16</t>
  </si>
  <si>
    <t>A5-9-3</t>
  </si>
  <si>
    <t>B5-9-3</t>
  </si>
  <si>
    <t>U6-A5-09 / 2P 30A</t>
    <phoneticPr fontId="14" type="noConversion"/>
  </si>
  <si>
    <t>U6-B5-09 / 2P 30A</t>
    <phoneticPr fontId="14" type="noConversion"/>
  </si>
  <si>
    <t>A706</t>
    <phoneticPr fontId="14" type="noConversion"/>
  </si>
  <si>
    <t>6F-X15</t>
  </si>
  <si>
    <t>주식회사 씨엘엠앤에스</t>
    <phoneticPr fontId="14" type="noConversion"/>
  </si>
  <si>
    <t>A5-9-4</t>
  </si>
  <si>
    <t>B5-9-4</t>
  </si>
  <si>
    <t>U6-A5-11 / 2P 30A</t>
    <phoneticPr fontId="14" type="noConversion"/>
  </si>
  <si>
    <t>U6-B5-11 / 2P 30A</t>
    <phoneticPr fontId="14" type="noConversion"/>
  </si>
  <si>
    <t>A707</t>
    <phoneticPr fontId="14" type="noConversion"/>
  </si>
  <si>
    <t>6F-X14</t>
  </si>
  <si>
    <t>A5-9-5</t>
  </si>
  <si>
    <t>B5-9-5</t>
  </si>
  <si>
    <t>U6-A5-13 / 2P 30A</t>
    <phoneticPr fontId="14" type="noConversion"/>
  </si>
  <si>
    <t>U6-B5-13 / 2P 30A</t>
    <phoneticPr fontId="14" type="noConversion"/>
  </si>
  <si>
    <t>A708</t>
    <phoneticPr fontId="14" type="noConversion"/>
  </si>
  <si>
    <t>6F-X13</t>
  </si>
  <si>
    <t>A5-9-6</t>
  </si>
  <si>
    <t>B5-9-6</t>
  </si>
  <si>
    <t>U6-A5-15 / 2P 30A</t>
    <phoneticPr fontId="14" type="noConversion"/>
  </si>
  <si>
    <t>U6-B5-15 / 2P 30A</t>
    <phoneticPr fontId="14" type="noConversion"/>
  </si>
  <si>
    <t>A709</t>
    <phoneticPr fontId="14" type="noConversion"/>
  </si>
  <si>
    <t>6F-X12</t>
  </si>
  <si>
    <t>A5-9-7</t>
  </si>
  <si>
    <t>B5-9-7</t>
  </si>
  <si>
    <t>U6-A5-17 / 2P 30A</t>
    <phoneticPr fontId="14" type="noConversion"/>
  </si>
  <si>
    <t>U6-B5-17 / 2P 30A</t>
    <phoneticPr fontId="14" type="noConversion"/>
  </si>
  <si>
    <t>A710</t>
    <phoneticPr fontId="14" type="noConversion"/>
  </si>
  <si>
    <t>A5-9-8</t>
  </si>
  <si>
    <t>B5-9-8</t>
  </si>
  <si>
    <t>U6-A5-19 / 2P 30A</t>
    <phoneticPr fontId="14" type="noConversion"/>
  </si>
  <si>
    <t>U6-B5-19 / 2P 30A</t>
    <phoneticPr fontId="14" type="noConversion"/>
  </si>
  <si>
    <t>6F-Y19</t>
  </si>
  <si>
    <t>6F-Y18</t>
  </si>
  <si>
    <t>6F-Y17</t>
  </si>
  <si>
    <t>A5-10-2</t>
    <phoneticPr fontId="14" type="noConversion"/>
  </si>
  <si>
    <t>B5-10-2</t>
    <phoneticPr fontId="14" type="noConversion"/>
  </si>
  <si>
    <t>U6-A5-23 / 2P 30A</t>
    <phoneticPr fontId="14" type="noConversion"/>
  </si>
  <si>
    <t>U6-B5-23 / 2P 30A</t>
    <phoneticPr fontId="14" type="noConversion"/>
  </si>
  <si>
    <t>A806</t>
    <phoneticPr fontId="14" type="noConversion"/>
  </si>
  <si>
    <t>6F-Y16</t>
  </si>
  <si>
    <t>Pyler</t>
    <phoneticPr fontId="14" type="noConversion"/>
  </si>
  <si>
    <t>A5-10-3</t>
  </si>
  <si>
    <t>B5-10-3</t>
  </si>
  <si>
    <t>U6-A5-25 / 2P 30A</t>
    <phoneticPr fontId="14" type="noConversion"/>
  </si>
  <si>
    <t>U6-B5-25 / 2P 30A</t>
    <phoneticPr fontId="14" type="noConversion"/>
  </si>
  <si>
    <t>6F-Y15</t>
  </si>
  <si>
    <t>A5-10-4</t>
  </si>
  <si>
    <t>B5-10-4</t>
  </si>
  <si>
    <t>U6-A5-27 / 2P 30A</t>
    <phoneticPr fontId="14" type="noConversion"/>
  </si>
  <si>
    <t>U6-B5-27 / 2P 30A</t>
    <phoneticPr fontId="14" type="noConversion"/>
  </si>
  <si>
    <t>A807</t>
    <phoneticPr fontId="14" type="noConversion"/>
  </si>
  <si>
    <t>6F-Y14</t>
  </si>
  <si>
    <t>A5-10-5</t>
  </si>
  <si>
    <t>B5-10-5</t>
  </si>
  <si>
    <t>U6-A5-29 / 2P 30A</t>
    <phoneticPr fontId="14" type="noConversion"/>
  </si>
  <si>
    <t>U6-B5-29 / 2P 30A</t>
    <phoneticPr fontId="14" type="noConversion"/>
  </si>
  <si>
    <t>A808</t>
    <phoneticPr fontId="14" type="noConversion"/>
  </si>
  <si>
    <t>6F-Y13</t>
  </si>
  <si>
    <t>A5-10-6</t>
  </si>
  <si>
    <t>B5-10-6</t>
  </si>
  <si>
    <t>U6-A5-31 / 2P 30A</t>
    <phoneticPr fontId="14" type="noConversion"/>
  </si>
  <si>
    <t>U6-B5-31 / 2P 30A</t>
    <phoneticPr fontId="14" type="noConversion"/>
  </si>
  <si>
    <t>A809</t>
    <phoneticPr fontId="14" type="noConversion"/>
  </si>
  <si>
    <t>6F-Y12</t>
  </si>
  <si>
    <t>A5-10-7</t>
  </si>
  <si>
    <t>B5-10-7</t>
  </si>
  <si>
    <t>U6-A5-33 / 2P 30A</t>
    <phoneticPr fontId="14" type="noConversion"/>
  </si>
  <si>
    <t>U6-B5-33 / 2P 30A</t>
    <phoneticPr fontId="14" type="noConversion"/>
  </si>
  <si>
    <t>A810</t>
    <phoneticPr fontId="14" type="noConversion"/>
  </si>
  <si>
    <t>6F-Y11</t>
    <phoneticPr fontId="14" type="noConversion"/>
  </si>
  <si>
    <t>A5-10-8</t>
  </si>
  <si>
    <t>B5-10-8</t>
  </si>
  <si>
    <t>U6-A5-35 / 2P 30A</t>
    <phoneticPr fontId="14" type="noConversion"/>
  </si>
  <si>
    <t>U6-B5-35 / 2P 30A</t>
    <phoneticPr fontId="14" type="noConversion"/>
  </si>
  <si>
    <t>6F-AB18</t>
  </si>
  <si>
    <t>6F-AB17</t>
  </si>
  <si>
    <t>6F-AB16</t>
  </si>
  <si>
    <t>A6-5-4</t>
  </si>
  <si>
    <t>B6-5-4</t>
  </si>
  <si>
    <t>U6-A6-22 / 2P 30A</t>
    <phoneticPr fontId="14" type="noConversion"/>
  </si>
  <si>
    <t>U6-B6-22 / 2P 30A</t>
    <phoneticPr fontId="14" type="noConversion"/>
  </si>
  <si>
    <t>U6-A6
4P 300A</t>
    <phoneticPr fontId="14" type="noConversion"/>
  </si>
  <si>
    <t>U6-B6
4P 300A</t>
    <phoneticPr fontId="14" type="noConversion"/>
  </si>
  <si>
    <t>LV-6A
#06, 3P 320A</t>
    <phoneticPr fontId="14" type="noConversion"/>
  </si>
  <si>
    <t>LV-6B
#02, 3P 320A</t>
    <phoneticPr fontId="14" type="noConversion"/>
  </si>
  <si>
    <t>6F-AB15</t>
  </si>
  <si>
    <t>A6-5-5</t>
  </si>
  <si>
    <t>B6-5-5</t>
  </si>
  <si>
    <t>U6-A6-24 / 2P 30A</t>
    <phoneticPr fontId="14" type="noConversion"/>
  </si>
  <si>
    <t>U6-B6-24 / 2P 30A</t>
    <phoneticPr fontId="14" type="noConversion"/>
  </si>
  <si>
    <t>6F-AB14</t>
  </si>
  <si>
    <t>A6-5-6</t>
  </si>
  <si>
    <t>B6-5-6</t>
  </si>
  <si>
    <t>U6-A6-26 / 2P 30A</t>
    <phoneticPr fontId="14" type="noConversion"/>
  </si>
  <si>
    <t>U6-B6-26 / 2P 30A</t>
    <phoneticPr fontId="14" type="noConversion"/>
  </si>
  <si>
    <t>6F-AB13</t>
  </si>
  <si>
    <t>A6-5-7</t>
  </si>
  <si>
    <t>B6-5-7</t>
  </si>
  <si>
    <t>U6-A6-28 / 2P 30A</t>
    <phoneticPr fontId="14" type="noConversion"/>
  </si>
  <si>
    <t>U6-B6-28 / 2P 30A</t>
    <phoneticPr fontId="14" type="noConversion"/>
  </si>
  <si>
    <t>6F-AB12</t>
  </si>
  <si>
    <t>A2-5-8</t>
  </si>
  <si>
    <t>B2-5-8</t>
  </si>
  <si>
    <t>U-A2-33 / 2P 30A</t>
    <phoneticPr fontId="14" type="noConversion"/>
  </si>
  <si>
    <t>U-B2-33 / 2P 30A</t>
    <phoneticPr fontId="14" type="noConversion"/>
  </si>
  <si>
    <t>U-A2
4P 200A</t>
  </si>
  <si>
    <t>6F-AB11</t>
    <phoneticPr fontId="14" type="noConversion"/>
  </si>
  <si>
    <t>A2-5-9</t>
  </si>
  <si>
    <t>B2-5-9</t>
  </si>
  <si>
    <t>U-A2-35 / 2P 30A</t>
    <phoneticPr fontId="14" type="noConversion"/>
  </si>
  <si>
    <t>U-B2-35 / 2P 30A</t>
    <phoneticPr fontId="14" type="noConversion"/>
  </si>
  <si>
    <t>A101</t>
    <phoneticPr fontId="14" type="noConversion"/>
  </si>
  <si>
    <t>A102</t>
    <phoneticPr fontId="14" type="noConversion"/>
  </si>
  <si>
    <t>6F-AE19</t>
  </si>
  <si>
    <t>A103</t>
    <phoneticPr fontId="14" type="noConversion"/>
  </si>
  <si>
    <t>6F-AE18</t>
  </si>
  <si>
    <t>A104</t>
    <phoneticPr fontId="14" type="noConversion"/>
  </si>
  <si>
    <t>6F-AE17</t>
  </si>
  <si>
    <t>A105</t>
    <phoneticPr fontId="14" type="noConversion"/>
  </si>
  <si>
    <t>6F-AE16</t>
  </si>
  <si>
    <t>A6-2-4</t>
    <phoneticPr fontId="14" type="noConversion"/>
  </si>
  <si>
    <t>B6-2-4</t>
    <phoneticPr fontId="14" type="noConversion"/>
  </si>
  <si>
    <t>U6-A6-36 / 2P 30A</t>
    <phoneticPr fontId="14" type="noConversion"/>
  </si>
  <si>
    <t>U6-B6-36 / 2P 30A</t>
    <phoneticPr fontId="14" type="noConversion"/>
  </si>
  <si>
    <t>A106</t>
    <phoneticPr fontId="14" type="noConversion"/>
  </si>
  <si>
    <t>6F-AE15</t>
  </si>
  <si>
    <t>A6-2-5</t>
    <phoneticPr fontId="14" type="noConversion"/>
  </si>
  <si>
    <t>B6-2-5</t>
    <phoneticPr fontId="14" type="noConversion"/>
  </si>
  <si>
    <t>U6-A6-38 / 2P 30A</t>
    <phoneticPr fontId="14" type="noConversion"/>
  </si>
  <si>
    <t>U6-B6-38 / 2P 30A</t>
    <phoneticPr fontId="14" type="noConversion"/>
  </si>
  <si>
    <t>A107</t>
    <phoneticPr fontId="14" type="noConversion"/>
  </si>
  <si>
    <t>6F-AE14</t>
  </si>
  <si>
    <t>A6-2-6</t>
    <phoneticPr fontId="14" type="noConversion"/>
  </si>
  <si>
    <t>B6-2-6</t>
    <phoneticPr fontId="14" type="noConversion"/>
  </si>
  <si>
    <t>U6-A6-40 / 2P 30A</t>
    <phoneticPr fontId="14" type="noConversion"/>
  </si>
  <si>
    <t>U6-B6-40 / 2P 30A</t>
    <phoneticPr fontId="14" type="noConversion"/>
  </si>
  <si>
    <t>A108</t>
    <phoneticPr fontId="14" type="noConversion"/>
  </si>
  <si>
    <t>6F-AE13</t>
  </si>
  <si>
    <t>A6-2-7</t>
    <phoneticPr fontId="14" type="noConversion"/>
  </si>
  <si>
    <t>B6-2-7</t>
    <phoneticPr fontId="14" type="noConversion"/>
  </si>
  <si>
    <t>U6-A6-42 / 2P 30A</t>
    <phoneticPr fontId="14" type="noConversion"/>
  </si>
  <si>
    <t>U6-B6-42 / 2P 30A</t>
    <phoneticPr fontId="14" type="noConversion"/>
  </si>
  <si>
    <t>A109</t>
    <phoneticPr fontId="14" type="noConversion"/>
  </si>
  <si>
    <t>6F-AE12</t>
  </si>
  <si>
    <t>A6-2-8</t>
    <phoneticPr fontId="14" type="noConversion"/>
  </si>
  <si>
    <t>B6-2-8</t>
    <phoneticPr fontId="14" type="noConversion"/>
  </si>
  <si>
    <t>U6-A6-44 / 2P 30A</t>
    <phoneticPr fontId="14" type="noConversion"/>
  </si>
  <si>
    <t>U6-B6-44 / 2P 30A</t>
    <phoneticPr fontId="14" type="noConversion"/>
  </si>
  <si>
    <t>A110</t>
    <phoneticPr fontId="14" type="noConversion"/>
  </si>
  <si>
    <t>6F-AE11</t>
    <phoneticPr fontId="14" type="noConversion"/>
  </si>
  <si>
    <t>A6-2-9</t>
    <phoneticPr fontId="14" type="noConversion"/>
  </si>
  <si>
    <t>B6-2-9</t>
    <phoneticPr fontId="14" type="noConversion"/>
  </si>
  <si>
    <t>U6-A6-46 / 2P 30A</t>
    <phoneticPr fontId="14" type="noConversion"/>
  </si>
  <si>
    <t>U6-B6-46 / 2P 30A</t>
    <phoneticPr fontId="14" type="noConversion"/>
  </si>
  <si>
    <t>A201</t>
    <phoneticPr fontId="14" type="noConversion"/>
  </si>
  <si>
    <t>A202</t>
    <phoneticPr fontId="14" type="noConversion"/>
  </si>
  <si>
    <t>6F-AD19</t>
  </si>
  <si>
    <t>A203</t>
    <phoneticPr fontId="14" type="noConversion"/>
  </si>
  <si>
    <t>6F-AD18</t>
  </si>
  <si>
    <t>A204</t>
    <phoneticPr fontId="14" type="noConversion"/>
  </si>
  <si>
    <t>6F-AD17</t>
  </si>
  <si>
    <t>A205</t>
    <phoneticPr fontId="14" type="noConversion"/>
  </si>
  <si>
    <t>6F-AD16</t>
  </si>
  <si>
    <t>A6-3-4</t>
    <phoneticPr fontId="14" type="noConversion"/>
  </si>
  <si>
    <t>B6-3-4</t>
    <phoneticPr fontId="14" type="noConversion"/>
  </si>
  <si>
    <t>U6-A6-54 / 2P 30A</t>
    <phoneticPr fontId="14" type="noConversion"/>
  </si>
  <si>
    <t>U6-B6-54 / 2P 30A</t>
    <phoneticPr fontId="14" type="noConversion"/>
  </si>
  <si>
    <t>A206</t>
    <phoneticPr fontId="14" type="noConversion"/>
  </si>
  <si>
    <t>6F-AD15</t>
  </si>
  <si>
    <t>A6-3-5</t>
    <phoneticPr fontId="14" type="noConversion"/>
  </si>
  <si>
    <t>B6-3-5</t>
    <phoneticPr fontId="14" type="noConversion"/>
  </si>
  <si>
    <t>U6-A6-53 / 2P 30A</t>
    <phoneticPr fontId="14" type="noConversion"/>
  </si>
  <si>
    <t>U6-B6-53 / 2P 30A</t>
    <phoneticPr fontId="14" type="noConversion"/>
  </si>
  <si>
    <t>6F-AD14</t>
  </si>
  <si>
    <t>A6-3-6</t>
    <phoneticPr fontId="14" type="noConversion"/>
  </si>
  <si>
    <t>B6-3-6</t>
    <phoneticPr fontId="14" type="noConversion"/>
  </si>
  <si>
    <t>U6-A6-51 / 2P 30A</t>
    <phoneticPr fontId="14" type="noConversion"/>
  </si>
  <si>
    <t>U6-B6-51 / 2P 30A</t>
    <phoneticPr fontId="14" type="noConversion"/>
  </si>
  <si>
    <t>6F-AD13</t>
  </si>
  <si>
    <t>A6-3-7</t>
    <phoneticPr fontId="14" type="noConversion"/>
  </si>
  <si>
    <t>B6-3-7</t>
    <phoneticPr fontId="14" type="noConversion"/>
  </si>
  <si>
    <t>U6-A6-49 / 2P 30A</t>
    <phoneticPr fontId="14" type="noConversion"/>
  </si>
  <si>
    <t>U6-B6-49 / 2P 30A</t>
    <phoneticPr fontId="14" type="noConversion"/>
  </si>
  <si>
    <t>6F-AD12</t>
  </si>
  <si>
    <t>A2-3-8</t>
    <phoneticPr fontId="14" type="noConversion"/>
  </si>
  <si>
    <t>B2-3-8</t>
    <phoneticPr fontId="14" type="noConversion"/>
  </si>
  <si>
    <t>U6-A2-16 / 2P 30A</t>
    <phoneticPr fontId="14" type="noConversion"/>
  </si>
  <si>
    <t>U6-B2-16 / 2P 30A</t>
    <phoneticPr fontId="14" type="noConversion"/>
  </si>
  <si>
    <t>6F-AD11</t>
    <phoneticPr fontId="14" type="noConversion"/>
  </si>
  <si>
    <t>A2-3-9</t>
    <phoneticPr fontId="14" type="noConversion"/>
  </si>
  <si>
    <t>B2-3-9</t>
    <phoneticPr fontId="14" type="noConversion"/>
  </si>
  <si>
    <t>U6-A2-18 / 2P 30A</t>
    <phoneticPr fontId="14" type="noConversion"/>
  </si>
  <si>
    <t>U6-B2-18 / 2P 30A</t>
    <phoneticPr fontId="14" type="noConversion"/>
  </si>
  <si>
    <t>A303</t>
    <phoneticPr fontId="14" type="noConversion"/>
  </si>
  <si>
    <t>6F-AC18</t>
  </si>
  <si>
    <t>A304</t>
    <phoneticPr fontId="14" type="noConversion"/>
  </si>
  <si>
    <t>6F-AC17</t>
  </si>
  <si>
    <t>A305</t>
    <phoneticPr fontId="14" type="noConversion"/>
  </si>
  <si>
    <t>6F-AC16</t>
  </si>
  <si>
    <t>A6-4-4</t>
  </si>
  <si>
    <t>B6-4-4</t>
  </si>
  <si>
    <t>U6-A6-08 / 2P 30A</t>
    <phoneticPr fontId="14" type="noConversion"/>
  </si>
  <si>
    <t>U6-B6-08 / 2P 30A</t>
    <phoneticPr fontId="14" type="noConversion"/>
  </si>
  <si>
    <t>A306</t>
    <phoneticPr fontId="14" type="noConversion"/>
  </si>
  <si>
    <t>6F-AC15</t>
  </si>
  <si>
    <t>A6-4-5</t>
  </si>
  <si>
    <t>B6-4-5</t>
  </si>
  <si>
    <t>U6-A6-10 / 2P 30A</t>
    <phoneticPr fontId="14" type="noConversion"/>
  </si>
  <si>
    <t>U6-B6-10 / 2P 30A</t>
    <phoneticPr fontId="14" type="noConversion"/>
  </si>
  <si>
    <t>6F-AC14</t>
  </si>
  <si>
    <t>A6-4-6</t>
  </si>
  <si>
    <t>B6-4-6</t>
  </si>
  <si>
    <t>U6-A6-12 / 2P 30A</t>
    <phoneticPr fontId="14" type="noConversion"/>
  </si>
  <si>
    <t>U6-B6-12 / 2P 30A</t>
    <phoneticPr fontId="14" type="noConversion"/>
  </si>
  <si>
    <t>6F-AC13</t>
  </si>
  <si>
    <t>A6-4-7</t>
  </si>
  <si>
    <t>B6-4-7</t>
  </si>
  <si>
    <t>U6-A6-14 / 2P 30A</t>
    <phoneticPr fontId="14" type="noConversion"/>
  </si>
  <si>
    <t>U6-B6-14 / 2P 30A</t>
    <phoneticPr fontId="14" type="noConversion"/>
  </si>
  <si>
    <t>6F-AC12</t>
  </si>
  <si>
    <t>A1-4-8</t>
  </si>
  <si>
    <t>B1-4-8</t>
  </si>
  <si>
    <t>U-A1-48 / 2P 30A</t>
    <phoneticPr fontId="14" type="noConversion"/>
  </si>
  <si>
    <t>U-B1-48 / 2P 30A</t>
    <phoneticPr fontId="14" type="noConversion"/>
  </si>
  <si>
    <t>6F-AC11</t>
    <phoneticPr fontId="14" type="noConversion"/>
  </si>
  <si>
    <t>A5-4-9</t>
  </si>
  <si>
    <t>B5-4-9</t>
  </si>
  <si>
    <t>U6-A5-50 / 2P 30A</t>
    <phoneticPr fontId="14" type="noConversion"/>
  </si>
  <si>
    <t>U6-B5-50 / 2P 30A</t>
    <phoneticPr fontId="14" type="noConversion"/>
  </si>
  <si>
    <t>6F-AF11</t>
    <phoneticPr fontId="14" type="noConversion"/>
  </si>
  <si>
    <t>A1-1-9</t>
    <phoneticPr fontId="14" type="noConversion"/>
  </si>
  <si>
    <t>B1-1-9</t>
    <phoneticPr fontId="14" type="noConversion"/>
  </si>
  <si>
    <t>U-A1-17 / 2P 30A</t>
    <phoneticPr fontId="14" type="noConversion"/>
  </si>
  <si>
    <t>U-B1-17 / 2P 30A</t>
    <phoneticPr fontId="14" type="noConversion"/>
  </si>
  <si>
    <t>랙 배제결정('22.01.11)
차단기는 off 후 미사용 표기로 변경할 것</t>
    <phoneticPr fontId="14" type="noConversion"/>
  </si>
  <si>
    <t>6F-AF12</t>
  </si>
  <si>
    <t>A1-1-8</t>
    <phoneticPr fontId="14" type="noConversion"/>
  </si>
  <si>
    <t>B1-1-8</t>
    <phoneticPr fontId="14" type="noConversion"/>
  </si>
  <si>
    <t>U-A1-15 / 2P 30A</t>
    <phoneticPr fontId="14" type="noConversion"/>
  </si>
  <si>
    <t>U-B1-15 / 2P 30A</t>
    <phoneticPr fontId="14" type="noConversion"/>
  </si>
  <si>
    <t>6F-AF13</t>
  </si>
  <si>
    <t>A1-1-7</t>
    <phoneticPr fontId="14" type="noConversion"/>
  </si>
  <si>
    <t>B1-1-7</t>
    <phoneticPr fontId="14" type="noConversion"/>
  </si>
  <si>
    <t>U-A1-13 / 2P 30A</t>
    <phoneticPr fontId="14" type="noConversion"/>
  </si>
  <si>
    <t>U-B1-13 / 2P 30A</t>
    <phoneticPr fontId="14" type="noConversion"/>
  </si>
  <si>
    <t>6F-AF14</t>
  </si>
  <si>
    <t>A1-1-6</t>
    <phoneticPr fontId="14" type="noConversion"/>
  </si>
  <si>
    <t>B1-1-6</t>
    <phoneticPr fontId="14" type="noConversion"/>
  </si>
  <si>
    <t>U-A1-11 / 2P 30A</t>
    <phoneticPr fontId="14" type="noConversion"/>
  </si>
  <si>
    <t>U-B1-11 / 2P 30A</t>
    <phoneticPr fontId="14" type="noConversion"/>
  </si>
  <si>
    <t>6F-AF15</t>
  </si>
  <si>
    <t>A1-1-5</t>
    <phoneticPr fontId="14" type="noConversion"/>
  </si>
  <si>
    <t>B1-1-5</t>
    <phoneticPr fontId="14" type="noConversion"/>
  </si>
  <si>
    <t>U-A1-09 / 2P 30A</t>
    <phoneticPr fontId="14" type="noConversion"/>
  </si>
  <si>
    <t>U-B1-09 / 2P 30A</t>
    <phoneticPr fontId="14" type="noConversion"/>
  </si>
  <si>
    <t>6F-AF16</t>
  </si>
  <si>
    <t>A1-1-4</t>
    <phoneticPr fontId="14" type="noConversion"/>
  </si>
  <si>
    <t>B1-1-4</t>
    <phoneticPr fontId="14" type="noConversion"/>
  </si>
  <si>
    <t>U-A1-07 / 2P 30A</t>
    <phoneticPr fontId="14" type="noConversion"/>
  </si>
  <si>
    <t>U-B1-07 / 2P 30A</t>
    <phoneticPr fontId="14" type="noConversion"/>
  </si>
  <si>
    <t>6F-AF17</t>
  </si>
  <si>
    <t>6F-AF18</t>
  </si>
  <si>
    <t>6F-AF19</t>
  </si>
  <si>
    <t>G1101</t>
    <phoneticPr fontId="14" type="noConversion"/>
  </si>
  <si>
    <t>6F-AG10</t>
    <phoneticPr fontId="14" type="noConversion"/>
  </si>
  <si>
    <t>A1-35-1</t>
    <phoneticPr fontId="14" type="noConversion"/>
  </si>
  <si>
    <t>B1-35-1</t>
    <phoneticPr fontId="14" type="noConversion"/>
  </si>
  <si>
    <t>U-A1-02 / 2P 30A</t>
    <phoneticPr fontId="14" type="noConversion"/>
  </si>
  <si>
    <t>U-B1-02 / 2P 30A</t>
    <phoneticPr fontId="14" type="noConversion"/>
  </si>
  <si>
    <t>22/09/19 투입(임대장비 설정으로 선투입요청)</t>
    <phoneticPr fontId="14" type="noConversion"/>
  </si>
  <si>
    <t>G1102</t>
    <phoneticPr fontId="14" type="noConversion"/>
  </si>
  <si>
    <t>6F-AG11</t>
  </si>
  <si>
    <t>피플펀드</t>
  </si>
  <si>
    <t>A1-35-1(2)</t>
    <phoneticPr fontId="14" type="noConversion"/>
  </si>
  <si>
    <t>B1-35-1(2)</t>
    <phoneticPr fontId="14" type="noConversion"/>
  </si>
  <si>
    <t>U-A1-36 / 2P 30A</t>
    <phoneticPr fontId="14" type="noConversion"/>
  </si>
  <si>
    <t>U-B1-36 / 2P 30A</t>
    <phoneticPr fontId="14" type="noConversion"/>
  </si>
  <si>
    <t>22/09/23 투입</t>
    <phoneticPr fontId="14" type="noConversion"/>
  </si>
  <si>
    <t>A1-35-2(2)</t>
  </si>
  <si>
    <t>B1-35-2(2)</t>
  </si>
  <si>
    <t>U-A1-38 / 2P 30A</t>
    <phoneticPr fontId="14" type="noConversion"/>
  </si>
  <si>
    <t>U-B1-38 / 2P 30A</t>
    <phoneticPr fontId="14" type="noConversion"/>
  </si>
  <si>
    <t>B전원 : 도어락&amp;CCTV 전원 포함</t>
    <phoneticPr fontId="14" type="noConversion"/>
  </si>
  <si>
    <t>G1103</t>
    <phoneticPr fontId="14" type="noConversion"/>
  </si>
  <si>
    <t>6F-AG12</t>
    <phoneticPr fontId="14" type="noConversion"/>
  </si>
  <si>
    <t>A1-35-2</t>
  </si>
  <si>
    <t>B1-35-2</t>
  </si>
  <si>
    <t>U-A1-04 / 2P 30A</t>
    <phoneticPr fontId="14" type="noConversion"/>
  </si>
  <si>
    <t>U-B1-04 / 2P 30A</t>
    <phoneticPr fontId="14" type="noConversion"/>
  </si>
  <si>
    <t>22/09/23 투입</t>
  </si>
  <si>
    <t>G2101</t>
    <phoneticPr fontId="14" type="noConversion"/>
  </si>
  <si>
    <t>6F-AG13</t>
    <phoneticPr fontId="14" type="noConversion"/>
  </si>
  <si>
    <t>A1-35-3</t>
  </si>
  <si>
    <t>B1-35-3</t>
  </si>
  <si>
    <t>U-A1-06 / 2P 30A</t>
    <phoneticPr fontId="14" type="noConversion"/>
  </si>
  <si>
    <t>U-B1-06 / 2P 30A</t>
    <phoneticPr fontId="14" type="noConversion"/>
  </si>
  <si>
    <t>G2102</t>
  </si>
  <si>
    <t>6F-AG14</t>
    <phoneticPr fontId="14" type="noConversion"/>
  </si>
  <si>
    <t>A1-35-4</t>
  </si>
  <si>
    <t>B1-35-4</t>
  </si>
  <si>
    <t>U-A1-08 / 2P 30A</t>
    <phoneticPr fontId="14" type="noConversion"/>
  </si>
  <si>
    <t>U-B1-08 / 2P 30A</t>
    <phoneticPr fontId="14" type="noConversion"/>
  </si>
  <si>
    <t>G2103</t>
  </si>
  <si>
    <t>6F-AG15</t>
    <phoneticPr fontId="14" type="noConversion"/>
  </si>
  <si>
    <t>A1-35-5</t>
  </si>
  <si>
    <t>B1-35-5</t>
  </si>
  <si>
    <t>U-A1-10 / 2P 30A</t>
    <phoneticPr fontId="14" type="noConversion"/>
  </si>
  <si>
    <t>U-B1-10 / 2P 30A</t>
    <phoneticPr fontId="14" type="noConversion"/>
  </si>
  <si>
    <t>G2104</t>
  </si>
  <si>
    <t>6F-AG16</t>
    <phoneticPr fontId="14" type="noConversion"/>
  </si>
  <si>
    <t>A1-35-6</t>
    <phoneticPr fontId="14" type="noConversion"/>
  </si>
  <si>
    <t>B1-35-6</t>
    <phoneticPr fontId="14" type="noConversion"/>
  </si>
  <si>
    <t>U-A1-12 / 2P 30A</t>
    <phoneticPr fontId="14" type="noConversion"/>
  </si>
  <si>
    <t>U-B1-12 / 2P 30A</t>
    <phoneticPr fontId="14" type="noConversion"/>
  </si>
  <si>
    <t>G2105</t>
  </si>
  <si>
    <t>6F-AG17</t>
    <phoneticPr fontId="14" type="noConversion"/>
  </si>
  <si>
    <t>A1-35-7</t>
    <phoneticPr fontId="14" type="noConversion"/>
  </si>
  <si>
    <t>B1-35-7</t>
    <phoneticPr fontId="14" type="noConversion"/>
  </si>
  <si>
    <t>U-A1-14 / 2P 30A</t>
    <phoneticPr fontId="14" type="noConversion"/>
  </si>
  <si>
    <t>U-B1-14 / 2P 30A</t>
    <phoneticPr fontId="14" type="noConversion"/>
  </si>
  <si>
    <t>G2106</t>
  </si>
  <si>
    <t>6F-AG18</t>
    <phoneticPr fontId="14" type="noConversion"/>
  </si>
  <si>
    <t>A1-35-8</t>
  </si>
  <si>
    <t>B1-35-8</t>
  </si>
  <si>
    <t>U-A1-16 / 2P 30A</t>
    <phoneticPr fontId="14" type="noConversion"/>
  </si>
  <si>
    <t>U-B1-16 / 2P 30A</t>
    <phoneticPr fontId="14" type="noConversion"/>
  </si>
  <si>
    <t>G2107</t>
  </si>
  <si>
    <t>6F-AG19</t>
    <phoneticPr fontId="14" type="noConversion"/>
  </si>
  <si>
    <t>A4-36-1</t>
    <phoneticPr fontId="14" type="noConversion"/>
  </si>
  <si>
    <t>B4-36-1</t>
    <phoneticPr fontId="14" type="noConversion"/>
  </si>
  <si>
    <t>U-A4-19 / 2P 30A</t>
    <phoneticPr fontId="14" type="noConversion"/>
  </si>
  <si>
    <t>U-B4-19 / 2P 30A</t>
    <phoneticPr fontId="14" type="noConversion"/>
  </si>
  <si>
    <t>U-A4
4P 200A</t>
  </si>
  <si>
    <t>UPS 출력배전반(A)
#01, 4P 200A</t>
  </si>
  <si>
    <t>G2108</t>
  </si>
  <si>
    <t>6F-AG20</t>
  </si>
  <si>
    <t>A4-36-9</t>
    <phoneticPr fontId="14" type="noConversion"/>
  </si>
  <si>
    <t>B4-36-9</t>
    <phoneticPr fontId="14" type="noConversion"/>
  </si>
  <si>
    <t>U-A4-44 / 2P 30A</t>
    <phoneticPr fontId="14" type="noConversion"/>
  </si>
  <si>
    <t>U-B4-44 / 2P 30A</t>
    <phoneticPr fontId="14" type="noConversion"/>
  </si>
  <si>
    <t>2022/06/09 전기투입 (임시사용 랙)</t>
    <phoneticPr fontId="14" type="noConversion"/>
  </si>
  <si>
    <t>DE운용실 사무#1</t>
    <phoneticPr fontId="14" type="noConversion"/>
  </si>
  <si>
    <t>DEK 사무실</t>
    <phoneticPr fontId="14" type="noConversion"/>
  </si>
  <si>
    <t>A7-30-8</t>
    <phoneticPr fontId="14" type="noConversion"/>
  </si>
  <si>
    <t>U6-A7-02 / 2P 30</t>
    <phoneticPr fontId="14" type="noConversion"/>
  </si>
  <si>
    <t>2022.05.26 차단기 ON</t>
    <phoneticPr fontId="14" type="noConversion"/>
  </si>
  <si>
    <t>DE 출입통제Desk</t>
    <phoneticPr fontId="14" type="noConversion"/>
  </si>
  <si>
    <t>A7-31-1</t>
    <phoneticPr fontId="14" type="noConversion"/>
  </si>
  <si>
    <t>U6-A7-04 / 2P 30A</t>
    <phoneticPr fontId="14" type="noConversion"/>
  </si>
  <si>
    <t>2022.05.26 차단기 ON</t>
  </si>
  <si>
    <t>DE운용실 감시모니터</t>
    <phoneticPr fontId="14" type="noConversion"/>
  </si>
  <si>
    <t>B7-30-8</t>
    <phoneticPr fontId="14" type="noConversion"/>
  </si>
  <si>
    <t>U6-B7-02 / 2P 30</t>
    <phoneticPr fontId="14" type="noConversion"/>
  </si>
  <si>
    <t>DE운용실 사무#2</t>
    <phoneticPr fontId="14" type="noConversion"/>
  </si>
  <si>
    <t>B7-31-1</t>
    <phoneticPr fontId="14" type="noConversion"/>
  </si>
  <si>
    <t>U6-B7-04 / 2P 30</t>
    <phoneticPr fontId="14" type="noConversion"/>
  </si>
  <si>
    <t>6층 사무실</t>
    <phoneticPr fontId="14" type="noConversion"/>
  </si>
  <si>
    <t>U6-B7-20 / 2P 30A</t>
    <phoneticPr fontId="14" type="noConversion"/>
  </si>
  <si>
    <t>6층 인터넷장비</t>
    <phoneticPr fontId="14" type="noConversion"/>
  </si>
  <si>
    <t>A7-28-9</t>
    <phoneticPr fontId="14" type="noConversion"/>
  </si>
  <si>
    <t>U6-A7-40 / 2P 30A</t>
    <phoneticPr fontId="14" type="noConversion"/>
  </si>
  <si>
    <t>FMS 6층 전원</t>
    <phoneticPr fontId="14" type="noConversion"/>
  </si>
  <si>
    <t>U-A1-50 / 2P 30A</t>
    <phoneticPr fontId="14" type="noConversion"/>
  </si>
  <si>
    <t>신규 BMS(6F TPS실) Rack</t>
  </si>
  <si>
    <t>오차</t>
    <phoneticPr fontId="14" type="noConversion"/>
  </si>
  <si>
    <t>리셉터클 Name</t>
    <phoneticPr fontId="14" type="noConversion"/>
  </si>
  <si>
    <t>A501</t>
    <phoneticPr fontId="14" type="noConversion"/>
  </si>
  <si>
    <t>5F-A10</t>
    <phoneticPr fontId="14" type="noConversion"/>
  </si>
  <si>
    <t>1A-1-1</t>
  </si>
  <si>
    <t>1B-1-1</t>
    <phoneticPr fontId="14" type="noConversion"/>
  </si>
  <si>
    <t>PDU(A)-1-03 / 3P 30A</t>
    <phoneticPr fontId="14" type="noConversion"/>
  </si>
  <si>
    <t>PDU(B)-1-03 / 3P 30A</t>
    <phoneticPr fontId="14" type="noConversion"/>
  </si>
  <si>
    <t>PDU(A)-1
4P 150A</t>
    <phoneticPr fontId="14" type="noConversion"/>
  </si>
  <si>
    <t>PDU(B)-1
4P 150A</t>
    <phoneticPr fontId="14" type="noConversion"/>
  </si>
  <si>
    <t>UPS출력
배전반(A), #03
3P 150A</t>
    <phoneticPr fontId="14" type="noConversion"/>
  </si>
  <si>
    <t>UPS출력
배전반(B), #03
3P 150A</t>
    <phoneticPr fontId="14" type="noConversion"/>
  </si>
  <si>
    <t>TR-5A
1000KVA</t>
    <phoneticPr fontId="14" type="noConversion"/>
  </si>
  <si>
    <t>TR-5B
1000KVA</t>
    <phoneticPr fontId="14" type="noConversion"/>
  </si>
  <si>
    <t>A502</t>
  </si>
  <si>
    <t>5F-A11</t>
  </si>
  <si>
    <t>PCCW</t>
    <phoneticPr fontId="14" type="noConversion"/>
  </si>
  <si>
    <t>1A-1-2</t>
  </si>
  <si>
    <t>1B-1-2</t>
  </si>
  <si>
    <t>PDU(A)-1-05 / 3P 30A</t>
    <phoneticPr fontId="14" type="noConversion"/>
  </si>
  <si>
    <t>PDU(B)-1-05 / 3P 30A</t>
    <phoneticPr fontId="14" type="noConversion"/>
  </si>
  <si>
    <t>A503</t>
  </si>
  <si>
    <t>5F-A12</t>
  </si>
  <si>
    <t>1A-1-3</t>
  </si>
  <si>
    <t>1B-1-3</t>
  </si>
  <si>
    <t>PDU(A)-1-09 / 3P 30A</t>
    <phoneticPr fontId="14" type="noConversion"/>
  </si>
  <si>
    <t>PDU(B)-1-26 / 3P 20A</t>
    <phoneticPr fontId="14" type="noConversion"/>
  </si>
  <si>
    <t>A1-1-3(2)</t>
    <phoneticPr fontId="14" type="noConversion"/>
  </si>
  <si>
    <t>B1-1-3(2)</t>
    <phoneticPr fontId="14" type="noConversion"/>
  </si>
  <si>
    <t>PDU(A)-1-26 / 3P 20A</t>
    <phoneticPr fontId="14" type="noConversion"/>
  </si>
  <si>
    <t>PDU(B)-1-30 / 3P 20A</t>
    <phoneticPr fontId="14" type="noConversion"/>
  </si>
  <si>
    <t>5F-A13</t>
  </si>
  <si>
    <t>1A-1-4</t>
  </si>
  <si>
    <t>1B-1-4</t>
  </si>
  <si>
    <t>PDU(A)-1-11 / 3P 30A</t>
    <phoneticPr fontId="14" type="noConversion"/>
  </si>
  <si>
    <t>PDU(B)-1-09 / 3P 30A</t>
    <phoneticPr fontId="14" type="noConversion"/>
  </si>
  <si>
    <t>1A-1-4(2)</t>
    <phoneticPr fontId="14" type="noConversion"/>
  </si>
  <si>
    <t>1B-1-4(2)</t>
    <phoneticPr fontId="14" type="noConversion"/>
  </si>
  <si>
    <t>PDU(A)-1-13 / 3P 30A</t>
    <phoneticPr fontId="14" type="noConversion"/>
  </si>
  <si>
    <t>PDU(B)-1-11 / 3P 30A</t>
    <phoneticPr fontId="14" type="noConversion"/>
  </si>
  <si>
    <t>5F-A14</t>
  </si>
  <si>
    <t>9A-1-5</t>
    <phoneticPr fontId="14" type="noConversion"/>
  </si>
  <si>
    <t>9B-1-5</t>
    <phoneticPr fontId="14" type="noConversion"/>
  </si>
  <si>
    <t>PDU(A)-9-01 / 3P 30A</t>
    <phoneticPr fontId="14" type="noConversion"/>
  </si>
  <si>
    <t>PDU(B)-9-07 / 3P 30A</t>
    <phoneticPr fontId="14" type="noConversion"/>
  </si>
  <si>
    <t>PDU(A)-9
4P 200A</t>
    <phoneticPr fontId="14" type="noConversion"/>
  </si>
  <si>
    <t>PDU(B)-9
4P 200A</t>
    <phoneticPr fontId="14" type="noConversion"/>
  </si>
  <si>
    <t>UPS출력
배전반(A), #09
3P 200A</t>
    <phoneticPr fontId="14" type="noConversion"/>
  </si>
  <si>
    <t>UPS출력
배전반(B), #09
3P 200A</t>
    <phoneticPr fontId="14" type="noConversion"/>
  </si>
  <si>
    <t>A506</t>
  </si>
  <si>
    <t>5F-A15</t>
  </si>
  <si>
    <t>9A-1-6</t>
  </si>
  <si>
    <t>9B-1-6</t>
  </si>
  <si>
    <t>PDU(A)-9-03 / 3P 30A</t>
    <phoneticPr fontId="14" type="noConversion"/>
  </si>
  <si>
    <t>PDU(B)-9-03 / 3P 30A</t>
    <phoneticPr fontId="14" type="noConversion"/>
  </si>
  <si>
    <t>A507</t>
  </si>
  <si>
    <t>5F-A16</t>
  </si>
  <si>
    <t>9A-1-7</t>
  </si>
  <si>
    <t>9B-1-7</t>
  </si>
  <si>
    <t>PDU(A)-9-05 / 3P 30A</t>
    <phoneticPr fontId="14" type="noConversion"/>
  </si>
  <si>
    <t>PDU(B)-9-05 / 3P 30A</t>
    <phoneticPr fontId="14" type="noConversion"/>
  </si>
  <si>
    <t>A508</t>
  </si>
  <si>
    <t>5F-A17</t>
  </si>
  <si>
    <t>9A-1-8</t>
  </si>
  <si>
    <t>9B-1-8</t>
  </si>
  <si>
    <t>PDU(A)-9-02 / 3P 30A</t>
    <phoneticPr fontId="14" type="noConversion"/>
  </si>
  <si>
    <t>PDU(B)-9-02 / 3P 30A</t>
    <phoneticPr fontId="14" type="noConversion"/>
  </si>
  <si>
    <t>A1-1-8(2)</t>
    <phoneticPr fontId="14" type="noConversion"/>
  </si>
  <si>
    <t>B1-1-8(2)</t>
    <phoneticPr fontId="14" type="noConversion"/>
  </si>
  <si>
    <t>PDU(A)-1-28 / 3P 20A</t>
    <phoneticPr fontId="14" type="noConversion"/>
  </si>
  <si>
    <t>PDU(B)-1-28 / 3P 20A</t>
    <phoneticPr fontId="14" type="noConversion"/>
  </si>
  <si>
    <t>5F-A18</t>
  </si>
  <si>
    <t>9A-1-9</t>
    <phoneticPr fontId="14" type="noConversion"/>
  </si>
  <si>
    <t>9B-1-9</t>
    <phoneticPr fontId="14" type="noConversion"/>
  </si>
  <si>
    <t>PDU(A)-9-04 / 3P 30A</t>
    <phoneticPr fontId="14" type="noConversion"/>
  </si>
  <si>
    <t>PDU(B)-9-04 / 3P 30A</t>
    <phoneticPr fontId="14" type="noConversion"/>
  </si>
  <si>
    <t>A510</t>
  </si>
  <si>
    <t>5F-A19</t>
  </si>
  <si>
    <t>9A-1-10</t>
  </si>
  <si>
    <t>9B-1-10</t>
  </si>
  <si>
    <t>PDU(A)-9-06 / 3P 30A</t>
    <phoneticPr fontId="14" type="noConversion"/>
  </si>
  <si>
    <t>PDU(B)-9-06 / 3P 30A</t>
    <phoneticPr fontId="14" type="noConversion"/>
  </si>
  <si>
    <t>A601</t>
    <phoneticPr fontId="14" type="noConversion"/>
  </si>
  <si>
    <t>5F-B10</t>
    <phoneticPr fontId="14" type="noConversion"/>
  </si>
  <si>
    <t>A1-2-1</t>
    <phoneticPr fontId="14" type="noConversion"/>
  </si>
  <si>
    <t>B1-2-1</t>
    <phoneticPr fontId="14" type="noConversion"/>
  </si>
  <si>
    <t>PDU(A)-1-15 / 3P 20A</t>
    <phoneticPr fontId="14" type="noConversion"/>
  </si>
  <si>
    <t>PDU(B)-1-13 / 3P 20A</t>
    <phoneticPr fontId="14" type="noConversion"/>
  </si>
  <si>
    <t>국제연동망 테스트</t>
    <phoneticPr fontId="14" type="noConversion"/>
  </si>
  <si>
    <t>A602</t>
  </si>
  <si>
    <t>5F-B11</t>
  </si>
  <si>
    <t>A1-2-2</t>
  </si>
  <si>
    <t>B1-2-2</t>
  </si>
  <si>
    <t>PDU(A)-1-17 / 3P 20A</t>
    <phoneticPr fontId="14" type="noConversion"/>
  </si>
  <si>
    <t>PDU(B)-1-15 / 3P 20A</t>
    <phoneticPr fontId="14" type="noConversion"/>
  </si>
  <si>
    <t>A603</t>
  </si>
  <si>
    <t>PDU(A)-3
4P 300A</t>
    <phoneticPr fontId="14" type="noConversion"/>
  </si>
  <si>
    <t>PDU(B)-3
4P 300A</t>
    <phoneticPr fontId="14" type="noConversion"/>
  </si>
  <si>
    <t>UPS출력
배전반(A), #01
3P 300A</t>
    <phoneticPr fontId="14" type="noConversion"/>
  </si>
  <si>
    <t>UPS출력
배전반(B), #01
3P 300A</t>
    <phoneticPr fontId="14" type="noConversion"/>
  </si>
  <si>
    <t>23/08/23 차단기 투입</t>
  </si>
  <si>
    <t>5F-B12</t>
  </si>
  <si>
    <t>A1-2-3</t>
  </si>
  <si>
    <t>B1-2-3</t>
  </si>
  <si>
    <t>PDU(A)-1-19 / 3P 20A</t>
    <phoneticPr fontId="14" type="noConversion"/>
  </si>
  <si>
    <t>PDU(B)-1-17 / 3P 20A</t>
    <phoneticPr fontId="14" type="noConversion"/>
  </si>
  <si>
    <t>A604</t>
  </si>
  <si>
    <t>5F-B13</t>
  </si>
  <si>
    <t>A1-2-4</t>
  </si>
  <si>
    <t>B1-2-4</t>
  </si>
  <si>
    <t>PDU(A)-1-21 / 3P 20A</t>
    <phoneticPr fontId="14" type="noConversion"/>
  </si>
  <si>
    <t>PDU(B)-1-19 / 3P 20A</t>
    <phoneticPr fontId="14" type="noConversion"/>
  </si>
  <si>
    <t>A605</t>
  </si>
  <si>
    <t>5F-B14</t>
  </si>
  <si>
    <t>A1-2-5</t>
  </si>
  <si>
    <t>B1-2-5</t>
  </si>
  <si>
    <t>PDU(A)-1-23 / 3P 20A</t>
    <phoneticPr fontId="14" type="noConversion"/>
  </si>
  <si>
    <t>PDU(B)-1-21 / 3P 20A</t>
    <phoneticPr fontId="14" type="noConversion"/>
  </si>
  <si>
    <t>22/09/23, 06시 전기투입</t>
    <phoneticPr fontId="14" type="noConversion"/>
  </si>
  <si>
    <t>A606</t>
  </si>
  <si>
    <t>5F-B15</t>
  </si>
  <si>
    <t>다코스 &amp; NTT</t>
    <phoneticPr fontId="14" type="noConversion"/>
  </si>
  <si>
    <t>A1-2-6</t>
  </si>
  <si>
    <t>B1-2-6</t>
  </si>
  <si>
    <t>PDU(A)-1-25 / 3P 20A</t>
    <phoneticPr fontId="14" type="noConversion"/>
  </si>
  <si>
    <t>PDU(B)-1-23 / 3P 20A</t>
    <phoneticPr fontId="14" type="noConversion"/>
  </si>
  <si>
    <t>A3-2-6(2)</t>
    <phoneticPr fontId="14" type="noConversion"/>
  </si>
  <si>
    <t>B3-2-6(2)</t>
    <phoneticPr fontId="14" type="noConversion"/>
  </si>
  <si>
    <t>PDU(A)-3-28 / 3P 20A</t>
    <phoneticPr fontId="14" type="noConversion"/>
  </si>
  <si>
    <t>PDU(B)-3-28 / 3P 20A</t>
    <phoneticPr fontId="14" type="noConversion"/>
  </si>
  <si>
    <t>5F-B16</t>
  </si>
  <si>
    <t>A1-2-7</t>
  </si>
  <si>
    <t>B1-2-7</t>
  </si>
  <si>
    <t>PDU(A)-1-27 / 3P 20A</t>
    <phoneticPr fontId="14" type="noConversion"/>
  </si>
  <si>
    <t>PDU(B)-1-25 / 3P 20A</t>
    <phoneticPr fontId="14" type="noConversion"/>
  </si>
  <si>
    <t>PDU(B)-1
4P 150A</t>
  </si>
  <si>
    <t>A608</t>
  </si>
  <si>
    <t>5F-B17</t>
  </si>
  <si>
    <t>COLT</t>
    <phoneticPr fontId="14" type="noConversion"/>
  </si>
  <si>
    <t>A1-2-8</t>
  </si>
  <si>
    <t>B1-2-8</t>
  </si>
  <si>
    <t>PDU(A)-1-29 / 3P 20A</t>
    <phoneticPr fontId="14" type="noConversion"/>
  </si>
  <si>
    <t>PDU(B)-1-27 / 3P 20A</t>
    <phoneticPr fontId="14" type="noConversion"/>
  </si>
  <si>
    <t>미사용</t>
    <phoneticPr fontId="14" type="noConversion"/>
  </si>
  <si>
    <t>PDU(A)-3-07</t>
    <phoneticPr fontId="14" type="noConversion"/>
  </si>
  <si>
    <t>PDU(B)-3-07</t>
    <phoneticPr fontId="14" type="noConversion"/>
  </si>
  <si>
    <t>PDU(A)-3-07 / 3P 30A</t>
    <phoneticPr fontId="14" type="noConversion"/>
  </si>
  <si>
    <t>PDU(B)-3-07 / 3P 30A</t>
    <phoneticPr fontId="14" type="noConversion"/>
  </si>
  <si>
    <t>DU(A)-3
4P 300A</t>
    <phoneticPr fontId="14" type="noConversion"/>
  </si>
  <si>
    <t>'21/10/29 신규구성</t>
    <phoneticPr fontId="14" type="noConversion"/>
  </si>
  <si>
    <t>PDU(A)-3-09</t>
    <phoneticPr fontId="14" type="noConversion"/>
  </si>
  <si>
    <t>PDU(B)-3-09</t>
    <phoneticPr fontId="14" type="noConversion"/>
  </si>
  <si>
    <t>PDU(A)-3-09 / 3P 30A</t>
    <phoneticPr fontId="14" type="noConversion"/>
  </si>
  <si>
    <t>PDU(B)-3-09 / 3P 30A</t>
    <phoneticPr fontId="14" type="noConversion"/>
  </si>
  <si>
    <t>5F-B18</t>
  </si>
  <si>
    <t>A2-2-9</t>
    <phoneticPr fontId="14" type="noConversion"/>
  </si>
  <si>
    <t>B1-2-9</t>
  </si>
  <si>
    <t>PDU(A)-2-03 / 3P 30A</t>
    <phoneticPr fontId="14" type="noConversion"/>
  </si>
  <si>
    <t>PDU(B)-1-32 / 3P 20A</t>
    <phoneticPr fontId="14" type="noConversion"/>
  </si>
  <si>
    <t>PDU(A)-2
4P 150A</t>
    <phoneticPr fontId="14" type="noConversion"/>
  </si>
  <si>
    <t>UPS출력
배전반(A), #04
3P 150A</t>
    <phoneticPr fontId="14" type="noConversion"/>
  </si>
  <si>
    <t>A610</t>
  </si>
  <si>
    <t>5F-B19</t>
  </si>
  <si>
    <t>A2-2-10</t>
  </si>
  <si>
    <t>B2-2-10</t>
    <phoneticPr fontId="14" type="noConversion"/>
  </si>
  <si>
    <t>PDU(A)-2-05 / 3P 30A</t>
    <phoneticPr fontId="14" type="noConversion"/>
  </si>
  <si>
    <t>PDU(B)-2-03 / 3P 30A</t>
    <phoneticPr fontId="14" type="noConversion"/>
  </si>
  <si>
    <t>PDU(B)-2
4P 150A</t>
    <phoneticPr fontId="14" type="noConversion"/>
  </si>
  <si>
    <t>UPS출력
배전반(B), #04
3P 150A</t>
    <phoneticPr fontId="14" type="noConversion"/>
  </si>
  <si>
    <t>A702</t>
    <phoneticPr fontId="14" type="noConversion"/>
  </si>
  <si>
    <t>A703</t>
    <phoneticPr fontId="14" type="noConversion"/>
  </si>
  <si>
    <t>5F-C12</t>
    <phoneticPr fontId="14" type="noConversion"/>
  </si>
  <si>
    <t>A1-3-3</t>
    <phoneticPr fontId="14" type="noConversion"/>
  </si>
  <si>
    <t>B1-3-3</t>
    <phoneticPr fontId="14" type="noConversion"/>
  </si>
  <si>
    <t>PDU(A)-1-06 / 3P 30A</t>
    <phoneticPr fontId="14" type="noConversion"/>
  </si>
  <si>
    <t>PDU(B)-1-04 / 3P 30A</t>
    <phoneticPr fontId="14" type="noConversion"/>
  </si>
  <si>
    <t>21/11/30 전기투입</t>
    <phoneticPr fontId="14" type="noConversion"/>
  </si>
  <si>
    <t>A704</t>
    <phoneticPr fontId="14" type="noConversion"/>
  </si>
  <si>
    <t>5F-C13</t>
  </si>
  <si>
    <t>A1-3-4</t>
  </si>
  <si>
    <t>B1-3-4</t>
  </si>
  <si>
    <t>PDU(A)-1-08 / 3P 20A</t>
    <phoneticPr fontId="14" type="noConversion"/>
  </si>
  <si>
    <t>PDU(B)-1-06 / 3P 30A</t>
    <phoneticPr fontId="14" type="noConversion"/>
  </si>
  <si>
    <t>QDF
전기 미사용</t>
    <phoneticPr fontId="14" type="noConversion"/>
  </si>
  <si>
    <t>A705</t>
    <phoneticPr fontId="14" type="noConversion"/>
  </si>
  <si>
    <t>5F-C14</t>
  </si>
  <si>
    <t>A1-3-5</t>
  </si>
  <si>
    <t>B1-3-5</t>
  </si>
  <si>
    <t>PDU(A)-1-10 / 3P 20A</t>
    <phoneticPr fontId="14" type="noConversion"/>
  </si>
  <si>
    <t>PDU(B)-1-08 / 3P 30A</t>
    <phoneticPr fontId="14" type="noConversion"/>
  </si>
  <si>
    <t>5F-C15</t>
  </si>
  <si>
    <t>A1-3-6</t>
  </si>
  <si>
    <t>B1-3-6</t>
  </si>
  <si>
    <t>PDU(A)-1-12 / 3P 20A</t>
    <phoneticPr fontId="14" type="noConversion"/>
  </si>
  <si>
    <t>PDU(B)-1-10 / 3P 20A</t>
    <phoneticPr fontId="14" type="noConversion"/>
  </si>
  <si>
    <t>5F-C16</t>
  </si>
  <si>
    <t>A1-3-7</t>
  </si>
  <si>
    <t>B1-3-7</t>
  </si>
  <si>
    <t>PDU(A)-1-14 / 3P 20A</t>
    <phoneticPr fontId="14" type="noConversion"/>
  </si>
  <si>
    <t>PDU(B)-1-12 / 3P 20A</t>
    <phoneticPr fontId="14" type="noConversion"/>
  </si>
  <si>
    <t>5F-C17</t>
  </si>
  <si>
    <t>A1-3-8</t>
  </si>
  <si>
    <t>B1-3-8</t>
  </si>
  <si>
    <t>PDU(A)-1-16 / 3P 20A</t>
    <phoneticPr fontId="14" type="noConversion"/>
  </si>
  <si>
    <t>PDU(B)-1-14 / 3P 20A</t>
    <phoneticPr fontId="14" type="noConversion"/>
  </si>
  <si>
    <t>5F-C18</t>
  </si>
  <si>
    <t>A1-3-9</t>
  </si>
  <si>
    <t>B1-3-9</t>
  </si>
  <si>
    <t>PDU(A)-1-18 / 3P 20A</t>
    <phoneticPr fontId="14" type="noConversion"/>
  </si>
  <si>
    <t>PDU(B)-1-16 / 3P 20A</t>
    <phoneticPr fontId="14" type="noConversion"/>
  </si>
  <si>
    <t>5F-C19</t>
  </si>
  <si>
    <t>A1-3-10</t>
  </si>
  <si>
    <t>B1-3-10</t>
  </si>
  <si>
    <t>PDU(A)-1-20 / 3P 20A</t>
    <phoneticPr fontId="14" type="noConversion"/>
  </si>
  <si>
    <t>PDU(B)-1-18 / 3P 20A</t>
    <phoneticPr fontId="14" type="noConversion"/>
  </si>
  <si>
    <t>5F-D12</t>
    <phoneticPr fontId="14" type="noConversion"/>
  </si>
  <si>
    <t>A2-4-3</t>
    <phoneticPr fontId="14" type="noConversion"/>
  </si>
  <si>
    <t>B2-4-3</t>
    <phoneticPr fontId="14" type="noConversion"/>
  </si>
  <si>
    <t>PDU(A)-2-11 / 3P 20A</t>
    <phoneticPr fontId="14" type="noConversion"/>
  </si>
  <si>
    <t>PDU(B)-2-09 / 3P 30A</t>
    <phoneticPr fontId="14" type="noConversion"/>
  </si>
  <si>
    <t>A804</t>
    <phoneticPr fontId="14" type="noConversion"/>
  </si>
  <si>
    <t>5F-D13</t>
  </si>
  <si>
    <t>A2-4-4</t>
  </si>
  <si>
    <t>B2-4-4</t>
  </si>
  <si>
    <t>PDU(A)-2-13 / 3P 20A</t>
    <phoneticPr fontId="14" type="noConversion"/>
  </si>
  <si>
    <t>PDU(B)-2-11 / 3P 20A</t>
    <phoneticPr fontId="14" type="noConversion"/>
  </si>
  <si>
    <t>A805</t>
    <phoneticPr fontId="14" type="noConversion"/>
  </si>
  <si>
    <t>5F-D14</t>
  </si>
  <si>
    <t>A2-4-5</t>
  </si>
  <si>
    <t>B2-4-5</t>
  </si>
  <si>
    <t>PDU(A)-2-15 / 3P 20A</t>
    <phoneticPr fontId="14" type="noConversion"/>
  </si>
  <si>
    <t>PDU(B)-2-13 / 3P 20A</t>
    <phoneticPr fontId="14" type="noConversion"/>
  </si>
  <si>
    <t>5F-D15</t>
  </si>
  <si>
    <t>A2-4-6</t>
  </si>
  <si>
    <t>B2-4-6</t>
  </si>
  <si>
    <t>PDU(A)-2-17 / 3P 20A</t>
    <phoneticPr fontId="14" type="noConversion"/>
  </si>
  <si>
    <t>PDU(B)-2-15 / 3P 20A</t>
    <phoneticPr fontId="14" type="noConversion"/>
  </si>
  <si>
    <t>PDU(A)-3-A-12</t>
    <phoneticPr fontId="14" type="noConversion"/>
  </si>
  <si>
    <t>PDU(B)-3-B-12</t>
    <phoneticPr fontId="14" type="noConversion"/>
  </si>
  <si>
    <t>PDU(A)-3-A-12 / 3P 30A</t>
    <phoneticPr fontId="14" type="noConversion"/>
  </si>
  <si>
    <t>PDU(B)-3-B-12 / 3P 30A</t>
    <phoneticPr fontId="14" type="noConversion"/>
  </si>
  <si>
    <t>'21.09.29 전기투입</t>
    <phoneticPr fontId="14" type="noConversion"/>
  </si>
  <si>
    <t>5F-D16</t>
  </si>
  <si>
    <t>A2-4-7</t>
  </si>
  <si>
    <t>B2-4-7</t>
  </si>
  <si>
    <t>PDU(A)-2-19 / 3P 20A</t>
    <phoneticPr fontId="14" type="noConversion"/>
  </si>
  <si>
    <t>PDU(B)-2-17 / 3P 20A</t>
    <phoneticPr fontId="14" type="noConversion"/>
  </si>
  <si>
    <t>A1-4-7(2)</t>
    <phoneticPr fontId="14" type="noConversion"/>
  </si>
  <si>
    <t>B1-4-7(2)</t>
    <phoneticPr fontId="14" type="noConversion"/>
  </si>
  <si>
    <t>PDU(A)-1-22 / 3P 20A</t>
    <phoneticPr fontId="14" type="noConversion"/>
  </si>
  <si>
    <t>PDU(B)-1-22 / 3P 20A</t>
    <phoneticPr fontId="14" type="noConversion"/>
  </si>
  <si>
    <t>5F-D17</t>
  </si>
  <si>
    <t>A2-4-8</t>
  </si>
  <si>
    <t>B2-4-8</t>
  </si>
  <si>
    <t>PDU(A)-2-21 / 3P 20A</t>
    <phoneticPr fontId="14" type="noConversion"/>
  </si>
  <si>
    <t>PDU(B)-2-19 / 3P 20A</t>
    <phoneticPr fontId="14" type="noConversion"/>
  </si>
  <si>
    <t>5F-D18</t>
  </si>
  <si>
    <t>A2-4-9</t>
  </si>
  <si>
    <t>B2-4-9</t>
  </si>
  <si>
    <t>PDU(A)-2-23 / 3P 20A</t>
    <phoneticPr fontId="14" type="noConversion"/>
  </si>
  <si>
    <t>PDU(B)-2-21 / 3P 20A</t>
    <phoneticPr fontId="14" type="noConversion"/>
  </si>
  <si>
    <t>-</t>
    <phoneticPr fontId="14" type="noConversion"/>
  </si>
  <si>
    <t>PDU(A)-1-30 / 3P 20A</t>
    <phoneticPr fontId="14" type="noConversion"/>
  </si>
  <si>
    <t>임시</t>
    <phoneticPr fontId="14" type="noConversion"/>
  </si>
  <si>
    <t>5F-D19</t>
  </si>
  <si>
    <t>A2-4-10</t>
  </si>
  <si>
    <t>B2-4-10</t>
  </si>
  <si>
    <t>PDU(A)-2-25 / 3P 20A</t>
    <phoneticPr fontId="14" type="noConversion"/>
  </si>
  <si>
    <t>PDU(B)-2-23 / 3P 20A</t>
    <phoneticPr fontId="14" type="noConversion"/>
  </si>
  <si>
    <t>5F-E12</t>
    <phoneticPr fontId="14" type="noConversion"/>
  </si>
  <si>
    <t>A2-5-3</t>
    <phoneticPr fontId="14" type="noConversion"/>
  </si>
  <si>
    <t>B2-5-3</t>
    <phoneticPr fontId="14" type="noConversion"/>
  </si>
  <si>
    <t>PDU(A)-2-31 / 3P 20A</t>
    <phoneticPr fontId="14" type="noConversion"/>
  </si>
  <si>
    <t>PDU(B)-2-29 / 3P 20A</t>
    <phoneticPr fontId="14" type="noConversion"/>
  </si>
  <si>
    <t>5F-E13</t>
  </si>
  <si>
    <t>A2-5-4</t>
  </si>
  <si>
    <t>B2-5-4</t>
  </si>
  <si>
    <t>PDU(A)-2-04 / 3P 30A</t>
    <phoneticPr fontId="14" type="noConversion"/>
  </si>
  <si>
    <t>PDU(B)-2-31 / 3P 20A</t>
    <phoneticPr fontId="14" type="noConversion"/>
  </si>
  <si>
    <t>A905</t>
    <phoneticPr fontId="14" type="noConversion"/>
  </si>
  <si>
    <t>5F-E14</t>
  </si>
  <si>
    <t>A2-5-5</t>
  </si>
  <si>
    <t>B2-5-5</t>
  </si>
  <si>
    <t>PDU(A)-2-06 / 3P 30A</t>
    <phoneticPr fontId="14" type="noConversion"/>
  </si>
  <si>
    <t>PDU(B)-2-04 / 3P 30A</t>
    <phoneticPr fontId="14" type="noConversion"/>
  </si>
  <si>
    <t>A906</t>
    <phoneticPr fontId="14" type="noConversion"/>
  </si>
  <si>
    <t>5F-E15</t>
  </si>
  <si>
    <t>A2-5-6</t>
  </si>
  <si>
    <t>B2-5-6</t>
  </si>
  <si>
    <t>PDU(A)-2-08 / 3P 30A</t>
    <phoneticPr fontId="14" type="noConversion"/>
  </si>
  <si>
    <t>PDU(B)-2-06 / 3P 30A</t>
    <phoneticPr fontId="14" type="noConversion"/>
  </si>
  <si>
    <t>A907</t>
    <phoneticPr fontId="14" type="noConversion"/>
  </si>
  <si>
    <t>5F-E16</t>
  </si>
  <si>
    <t>A2-5-7</t>
  </si>
  <si>
    <t>B2-5-7</t>
  </si>
  <si>
    <t>PDU(A)-2-10 / 3P 30A</t>
    <phoneticPr fontId="14" type="noConversion"/>
  </si>
  <si>
    <t>PDU(B)-2-08 / 3P 30A</t>
    <phoneticPr fontId="14" type="noConversion"/>
  </si>
  <si>
    <t>A908</t>
    <phoneticPr fontId="14" type="noConversion"/>
  </si>
  <si>
    <t>5F-E17</t>
  </si>
  <si>
    <t>PDU(A)-2-12 / 3P 20A</t>
    <phoneticPr fontId="14" type="noConversion"/>
  </si>
  <si>
    <t>PDU(B)-2-10 / 3P 30A</t>
    <phoneticPr fontId="14" type="noConversion"/>
  </si>
  <si>
    <t>A909</t>
    <phoneticPr fontId="14" type="noConversion"/>
  </si>
  <si>
    <t>5F-E18</t>
  </si>
  <si>
    <t>PDU(A)-2-14 / 3P 20A</t>
    <phoneticPr fontId="14" type="noConversion"/>
  </si>
  <si>
    <t>PDU(B)-2-12 / 3P 20A</t>
    <phoneticPr fontId="14" type="noConversion"/>
  </si>
  <si>
    <t>A910</t>
    <phoneticPr fontId="14" type="noConversion"/>
  </si>
  <si>
    <t>5F-E19</t>
  </si>
  <si>
    <t>A2-5-10</t>
  </si>
  <si>
    <t>B2-5-10</t>
  </si>
  <si>
    <t>PDU(A)-2-16 / 3P 20A</t>
    <phoneticPr fontId="14" type="noConversion"/>
  </si>
  <si>
    <t>PDU(B)-2-14 / 3P 20A</t>
    <phoneticPr fontId="14" type="noConversion"/>
  </si>
  <si>
    <t>A1-5-10(2)</t>
    <phoneticPr fontId="14" type="noConversion"/>
  </si>
  <si>
    <t>B1-5-10(2)</t>
    <phoneticPr fontId="14" type="noConversion"/>
  </si>
  <si>
    <t>PDU(A)-1-24 / 3P 20A</t>
    <phoneticPr fontId="14" type="noConversion"/>
  </si>
  <si>
    <t>PDU(B)-1-24 / 3P 20A</t>
    <phoneticPr fontId="14" type="noConversion"/>
  </si>
  <si>
    <t>5F-F12</t>
    <phoneticPr fontId="14" type="noConversion"/>
  </si>
  <si>
    <t>A2-6-3</t>
    <phoneticPr fontId="14" type="noConversion"/>
  </si>
  <si>
    <t>B2-6-3</t>
    <phoneticPr fontId="14" type="noConversion"/>
  </si>
  <si>
    <t>PDU(A)-2-22 / 3P 20A</t>
    <phoneticPr fontId="14" type="noConversion"/>
  </si>
  <si>
    <t>PDU(B)-2-20 / 3P 20A</t>
    <phoneticPr fontId="14" type="noConversion"/>
  </si>
  <si>
    <t>5F-F13</t>
  </si>
  <si>
    <t>A2-6-4</t>
  </si>
  <si>
    <t>B2-6-4</t>
  </si>
  <si>
    <t>PDU(A)-2-24 / 3P 20A</t>
    <phoneticPr fontId="14" type="noConversion"/>
  </si>
  <si>
    <t>PDU(B)-2-22 / 3P 20A</t>
    <phoneticPr fontId="14" type="noConversion"/>
  </si>
  <si>
    <t>A1005</t>
    <phoneticPr fontId="14" type="noConversion"/>
  </si>
  <si>
    <t>5F-F14</t>
  </si>
  <si>
    <t>A2-6-5</t>
  </si>
  <si>
    <t>B2-6-5</t>
  </si>
  <si>
    <t>PDU(A)-2-26 / 3P 20A</t>
    <phoneticPr fontId="14" type="noConversion"/>
  </si>
  <si>
    <t>PDU(B)-2-24 / 3P 20A</t>
    <phoneticPr fontId="14" type="noConversion"/>
  </si>
  <si>
    <t>A1006</t>
  </si>
  <si>
    <t>5F-F15</t>
  </si>
  <si>
    <t>A2-6-6</t>
  </si>
  <si>
    <t>B2-6-6</t>
  </si>
  <si>
    <t>PDU(A)-2-28 / 3P 20A</t>
    <phoneticPr fontId="14" type="noConversion"/>
  </si>
  <si>
    <t>PDU(B)-2-26 / 3P 20A</t>
    <phoneticPr fontId="14" type="noConversion"/>
  </si>
  <si>
    <t>21/11/30해지</t>
    <phoneticPr fontId="14" type="noConversion"/>
  </si>
  <si>
    <t>A1007</t>
  </si>
  <si>
    <t>5F-F16</t>
  </si>
  <si>
    <t>A2-6-7</t>
  </si>
  <si>
    <t>B2-6-7</t>
  </si>
  <si>
    <t>PDU(A)-2-30 / 3P 20A</t>
    <phoneticPr fontId="14" type="noConversion"/>
  </si>
  <si>
    <t>PDU(B)-2-28 / 3P 20A</t>
    <phoneticPr fontId="14" type="noConversion"/>
  </si>
  <si>
    <t>A1008</t>
  </si>
  <si>
    <t>5F-F17</t>
  </si>
  <si>
    <t>A2-6-8</t>
  </si>
  <si>
    <t>B2-6-8</t>
  </si>
  <si>
    <t>PDU(A)-2-32 / 3P 20A</t>
    <phoneticPr fontId="14" type="noConversion"/>
  </si>
  <si>
    <t>PDU(B)-2-30 / 3P 20A</t>
    <phoneticPr fontId="14" type="noConversion"/>
  </si>
  <si>
    <t>B425</t>
    <phoneticPr fontId="14" type="noConversion"/>
  </si>
  <si>
    <t>5F-M-08</t>
    <phoneticPr fontId="14" type="noConversion"/>
  </si>
  <si>
    <t>1A-4-3</t>
  </si>
  <si>
    <t>1B-4-3</t>
  </si>
  <si>
    <t>U5-1A-46 / 2P 30A</t>
    <phoneticPr fontId="14" type="noConversion"/>
  </si>
  <si>
    <t>U5-1B-46 / 2P 30A</t>
    <phoneticPr fontId="14" type="noConversion"/>
  </si>
  <si>
    <t>U5-1A
4P 300A</t>
    <phoneticPr fontId="14" type="noConversion"/>
  </si>
  <si>
    <t>U5-1B
4P 300A</t>
    <phoneticPr fontId="14" type="noConversion"/>
  </si>
  <si>
    <t>LV-5A #01
3P 320A</t>
    <phoneticPr fontId="14" type="noConversion"/>
  </si>
  <si>
    <t>LV-5B #01
3P 320A</t>
    <phoneticPr fontId="14" type="noConversion"/>
  </si>
  <si>
    <t>변익준M 랙</t>
    <phoneticPr fontId="14" type="noConversion"/>
  </si>
  <si>
    <t>R12</t>
    <phoneticPr fontId="14" type="noConversion"/>
  </si>
  <si>
    <t>KG이니시스</t>
    <phoneticPr fontId="14" type="noConversion"/>
  </si>
  <si>
    <t>B117</t>
    <phoneticPr fontId="14" type="noConversion"/>
  </si>
  <si>
    <t>R11</t>
    <phoneticPr fontId="14" type="noConversion"/>
  </si>
  <si>
    <t>KG이니시스</t>
  </si>
  <si>
    <t>R10</t>
    <phoneticPr fontId="14" type="noConversion"/>
  </si>
  <si>
    <t>B119</t>
  </si>
  <si>
    <t>R9</t>
    <phoneticPr fontId="14" type="noConversion"/>
  </si>
  <si>
    <t>B120</t>
  </si>
  <si>
    <t>R8</t>
    <phoneticPr fontId="14" type="noConversion"/>
  </si>
  <si>
    <t>B121</t>
  </si>
  <si>
    <t>R7</t>
    <phoneticPr fontId="14" type="noConversion"/>
  </si>
  <si>
    <t>R6</t>
    <phoneticPr fontId="14" type="noConversion"/>
  </si>
  <si>
    <t>R5</t>
    <phoneticPr fontId="14" type="noConversion"/>
  </si>
  <si>
    <t>R4</t>
    <phoneticPr fontId="14" type="noConversion"/>
  </si>
  <si>
    <t>R3</t>
    <phoneticPr fontId="14" type="noConversion"/>
  </si>
  <si>
    <t>R2</t>
    <phoneticPr fontId="14" type="noConversion"/>
  </si>
  <si>
    <t>R1</t>
    <phoneticPr fontId="14" type="noConversion"/>
  </si>
  <si>
    <t>R13</t>
    <phoneticPr fontId="14" type="noConversion"/>
  </si>
  <si>
    <t>R14</t>
    <phoneticPr fontId="14" type="noConversion"/>
  </si>
  <si>
    <t>R15</t>
    <phoneticPr fontId="14" type="noConversion"/>
  </si>
  <si>
    <t>R16</t>
    <phoneticPr fontId="14" type="noConversion"/>
  </si>
  <si>
    <t>R17</t>
  </si>
  <si>
    <t>R18</t>
  </si>
  <si>
    <t>R19</t>
  </si>
  <si>
    <t>R20</t>
  </si>
  <si>
    <t>R21</t>
    <phoneticPr fontId="14" type="noConversion"/>
  </si>
  <si>
    <t>R22</t>
    <phoneticPr fontId="14" type="noConversion"/>
  </si>
  <si>
    <t>R23</t>
    <phoneticPr fontId="14" type="noConversion"/>
  </si>
  <si>
    <t>R24</t>
    <phoneticPr fontId="14" type="noConversion"/>
  </si>
  <si>
    <t>5F-O18</t>
  </si>
  <si>
    <t>2A-4-8</t>
  </si>
  <si>
    <t>2B-4-8</t>
  </si>
  <si>
    <t>U5-2A-05 / 2P 30A</t>
    <phoneticPr fontId="14" type="noConversion"/>
  </si>
  <si>
    <t>U5-2B-05 / 2P 30A</t>
    <phoneticPr fontId="14" type="noConversion"/>
  </si>
  <si>
    <t>U5-2A
4P 300A</t>
    <phoneticPr fontId="14" type="noConversion"/>
  </si>
  <si>
    <t>U5-2B
4P 300A</t>
    <phoneticPr fontId="14" type="noConversion"/>
  </si>
  <si>
    <t>LV-5A #02
3P 320A</t>
    <phoneticPr fontId="14" type="noConversion"/>
  </si>
  <si>
    <t>LV-5B #02
3P 320A</t>
    <phoneticPr fontId="14" type="noConversion"/>
  </si>
  <si>
    <t>5F-O19</t>
  </si>
  <si>
    <t>2A-4-9</t>
  </si>
  <si>
    <t>2B-4-9</t>
  </si>
  <si>
    <t>U5-2A-07 / 2P 30A</t>
    <phoneticPr fontId="14" type="noConversion"/>
  </si>
  <si>
    <t>U5-2B-07 / 2P 30A</t>
    <phoneticPr fontId="14" type="noConversion"/>
  </si>
  <si>
    <t>5F-O20</t>
  </si>
  <si>
    <t>2A-4-10</t>
  </si>
  <si>
    <t>2B-4-10</t>
  </si>
  <si>
    <t>U5-2A-09 / 2P 30A</t>
    <phoneticPr fontId="14" type="noConversion"/>
  </si>
  <si>
    <t>U5-2B-09 / 2P 30A</t>
    <phoneticPr fontId="14" type="noConversion"/>
  </si>
  <si>
    <t>5F-O21</t>
  </si>
  <si>
    <t>2A-4-11</t>
  </si>
  <si>
    <t>2B-4-11</t>
  </si>
  <si>
    <t>U5-2A-11 / 2P 30A</t>
    <phoneticPr fontId="14" type="noConversion"/>
  </si>
  <si>
    <t>U5-2B-11 / 2P 30A</t>
    <phoneticPr fontId="14" type="noConversion"/>
  </si>
  <si>
    <t>C305</t>
  </si>
  <si>
    <t>5F-O22</t>
  </si>
  <si>
    <t>2A-4-12</t>
  </si>
  <si>
    <t>2B-4-12</t>
  </si>
  <si>
    <t>U5-2A-13 / 2P 30A</t>
    <phoneticPr fontId="14" type="noConversion"/>
  </si>
  <si>
    <t>U5-2B-13 / 2P 30A</t>
    <phoneticPr fontId="14" type="noConversion"/>
  </si>
  <si>
    <t>C306</t>
  </si>
  <si>
    <t>5F-O23</t>
  </si>
  <si>
    <t>2A-4-13</t>
  </si>
  <si>
    <t>2B-4-13</t>
  </si>
  <si>
    <t>U5-2A-15 / 2P 30A</t>
    <phoneticPr fontId="14" type="noConversion"/>
  </si>
  <si>
    <t>U5-2B-15 / 2P 30A</t>
    <phoneticPr fontId="14" type="noConversion"/>
  </si>
  <si>
    <t>5F-O24</t>
  </si>
  <si>
    <t>2A-4-14</t>
  </si>
  <si>
    <t>2B-4-14</t>
  </si>
  <si>
    <t>U5-2A-17 / 2P 30A</t>
    <phoneticPr fontId="14" type="noConversion"/>
  </si>
  <si>
    <t>U5-2B-17 / 2P 30A</t>
    <phoneticPr fontId="14" type="noConversion"/>
  </si>
  <si>
    <t>5F-N18</t>
  </si>
  <si>
    <t>2A-5-8</t>
    <phoneticPr fontId="14" type="noConversion"/>
  </si>
  <si>
    <t>2B-5-8</t>
  </si>
  <si>
    <t>U5-2A-35 / 2P 30A</t>
    <phoneticPr fontId="14" type="noConversion"/>
  </si>
  <si>
    <t>U5-2B-35 / 2P 30A</t>
    <phoneticPr fontId="14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</si>
  <si>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</si>
  <si>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</si>
  <si>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</si>
  <si>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</si>
  <si>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</si>
  <si>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</si>
  <si>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4" type="noConversion"/>
  </si>
  <si>
    <t>5F-M12</t>
  </si>
  <si>
    <t>5F-M13</t>
  </si>
  <si>
    <t>5F-M14</t>
  </si>
  <si>
    <t>5F-M15</t>
  </si>
  <si>
    <t>5F-M16</t>
  </si>
  <si>
    <t>5F-K11</t>
    <phoneticPr fontId="14" type="noConversion"/>
  </si>
  <si>
    <t>3A-8-1</t>
    <phoneticPr fontId="14" type="noConversion"/>
  </si>
  <si>
    <t>3B-8-1</t>
    <phoneticPr fontId="14" type="noConversion"/>
  </si>
  <si>
    <t>U5-3A-01 / 2P 30A</t>
    <phoneticPr fontId="14" type="noConversion"/>
  </si>
  <si>
    <t>U5-3B-01 / 2P 30A</t>
    <phoneticPr fontId="14" type="noConversion"/>
  </si>
  <si>
    <t>U5-3A
4P 300A</t>
    <phoneticPr fontId="14" type="noConversion"/>
  </si>
  <si>
    <t>U5-3B
4P 300A</t>
    <phoneticPr fontId="14" type="noConversion"/>
  </si>
  <si>
    <t>LV-5A #03
3P 320A</t>
    <phoneticPr fontId="14" type="noConversion"/>
  </si>
  <si>
    <t>LV-5B #03
3P 320A</t>
    <phoneticPr fontId="14" type="noConversion"/>
  </si>
  <si>
    <t>C602</t>
  </si>
  <si>
    <t>5F-K12</t>
  </si>
  <si>
    <t>3A-8-2</t>
  </si>
  <si>
    <t>3B-8-2</t>
  </si>
  <si>
    <t>U5-3A-03 / 2P 30A</t>
    <phoneticPr fontId="14" type="noConversion"/>
  </si>
  <si>
    <t>U5-3B-03 / 2P 30A</t>
    <phoneticPr fontId="14" type="noConversion"/>
  </si>
  <si>
    <t>C603</t>
  </si>
  <si>
    <t>5F-K13</t>
  </si>
  <si>
    <t>3A-8-3</t>
  </si>
  <si>
    <t>3B-8-3</t>
  </si>
  <si>
    <t>U5-3A-05 / 2P 30A</t>
    <phoneticPr fontId="14" type="noConversion"/>
  </si>
  <si>
    <t>U5-3B-05 / 2P 30A</t>
    <phoneticPr fontId="14" type="noConversion"/>
  </si>
  <si>
    <t>C604</t>
  </si>
  <si>
    <t>5F-K14</t>
  </si>
  <si>
    <t>3A-8-4</t>
  </si>
  <si>
    <t>3B-8-4</t>
  </si>
  <si>
    <t>U5-3A-09 / 2P 30A</t>
    <phoneticPr fontId="14" type="noConversion"/>
  </si>
  <si>
    <t>U5-3B-07 / 2P 30A</t>
    <phoneticPr fontId="14" type="noConversion"/>
  </si>
  <si>
    <t>C605</t>
  </si>
  <si>
    <t>5F-K15</t>
  </si>
  <si>
    <t>3A-8-5</t>
  </si>
  <si>
    <t>3B-8-5</t>
  </si>
  <si>
    <t>U5-3A-11 / 2P 30A</t>
    <phoneticPr fontId="14" type="noConversion"/>
  </si>
  <si>
    <t>U5-3B-09 / 2P 30A</t>
    <phoneticPr fontId="14" type="noConversion"/>
  </si>
  <si>
    <t>C606</t>
  </si>
  <si>
    <t>5F-K16</t>
  </si>
  <si>
    <t>3A-8-6</t>
  </si>
  <si>
    <t>3B-8-6</t>
  </si>
  <si>
    <t>U5-3A-13 / 2P 30A</t>
    <phoneticPr fontId="14" type="noConversion"/>
  </si>
  <si>
    <t>U5-3B-11 / 2P 30A</t>
    <phoneticPr fontId="14" type="noConversion"/>
  </si>
  <si>
    <t>C607</t>
  </si>
  <si>
    <t>5F-K17</t>
  </si>
  <si>
    <t>3A-8-7</t>
  </si>
  <si>
    <t>3B-8-7</t>
  </si>
  <si>
    <t>U5-3A-15 / 2P 30A</t>
    <phoneticPr fontId="14" type="noConversion"/>
  </si>
  <si>
    <t>U5-3B-15 / 2P 30A</t>
    <phoneticPr fontId="14" type="noConversion"/>
  </si>
  <si>
    <t>C608</t>
  </si>
  <si>
    <t>5F-K18</t>
  </si>
  <si>
    <t>3A-8-8</t>
  </si>
  <si>
    <t>3B-8-8</t>
  </si>
  <si>
    <t>U5-3A-17 / 2P 30A</t>
    <phoneticPr fontId="14" type="noConversion"/>
  </si>
  <si>
    <t>U5-3B-17 / 2P 30A</t>
    <phoneticPr fontId="14" type="noConversion"/>
  </si>
  <si>
    <t>C609</t>
  </si>
  <si>
    <t>C610</t>
  </si>
  <si>
    <t>5F-J11</t>
    <phoneticPr fontId="14" type="noConversion"/>
  </si>
  <si>
    <t>3A-9-1</t>
    <phoneticPr fontId="14" type="noConversion"/>
  </si>
  <si>
    <t>3B-9-1</t>
    <phoneticPr fontId="14" type="noConversion"/>
  </si>
  <si>
    <t>U5-3A-19 / 2P 30A</t>
    <phoneticPr fontId="14" type="noConversion"/>
  </si>
  <si>
    <t>U5-3B-19 / 2P 30A</t>
    <phoneticPr fontId="14" type="noConversion"/>
  </si>
  <si>
    <t>C702</t>
  </si>
  <si>
    <t>5F-J12</t>
  </si>
  <si>
    <t>3A-9-2</t>
  </si>
  <si>
    <t>3B-9-2</t>
  </si>
  <si>
    <t>U5-3A-21 / 2P 30A</t>
    <phoneticPr fontId="14" type="noConversion"/>
  </si>
  <si>
    <t>U5-3B-21 / 2P 30A</t>
    <phoneticPr fontId="14" type="noConversion"/>
  </si>
  <si>
    <t>C703</t>
  </si>
  <si>
    <t>5F-J13</t>
  </si>
  <si>
    <t>3A-9-3</t>
  </si>
  <si>
    <t>3B-9-3</t>
  </si>
  <si>
    <t>U5-3A-23 / 2P 30A</t>
    <phoneticPr fontId="14" type="noConversion"/>
  </si>
  <si>
    <t>U5-3B-23 / 2P 30A</t>
    <phoneticPr fontId="14" type="noConversion"/>
  </si>
  <si>
    <t>C704</t>
  </si>
  <si>
    <t>5F-J14</t>
  </si>
  <si>
    <t>3A-9-4</t>
  </si>
  <si>
    <t>3B-9-4</t>
  </si>
  <si>
    <t>U5-3A-27 / 2P 30A</t>
    <phoneticPr fontId="14" type="noConversion"/>
  </si>
  <si>
    <t>U5-3B-25 / 2P 30A</t>
    <phoneticPr fontId="14" type="noConversion"/>
  </si>
  <si>
    <t>C705</t>
  </si>
  <si>
    <t>5F-J15</t>
  </si>
  <si>
    <t>3A-9-5</t>
  </si>
  <si>
    <t>3B-9-5</t>
  </si>
  <si>
    <t>U5-3A-29 / 2P 30A</t>
    <phoneticPr fontId="14" type="noConversion"/>
  </si>
  <si>
    <t>U5-3B-27 / 2P 30A</t>
    <phoneticPr fontId="14" type="noConversion"/>
  </si>
  <si>
    <t>C706</t>
  </si>
  <si>
    <t>5F-J16</t>
  </si>
  <si>
    <t>3A-9-6</t>
  </si>
  <si>
    <t>3B-9-6</t>
  </si>
  <si>
    <t>U5-3A-31 / 2P 30A</t>
    <phoneticPr fontId="14" type="noConversion"/>
  </si>
  <si>
    <t>U5-3B-29 / 2P 30A</t>
    <phoneticPr fontId="14" type="noConversion"/>
  </si>
  <si>
    <t>C707</t>
  </si>
  <si>
    <t>5F-J17</t>
  </si>
  <si>
    <t>3A-9-7</t>
  </si>
  <si>
    <t>3B-9-7</t>
  </si>
  <si>
    <t>U5-3A-33 / 2P 30A</t>
    <phoneticPr fontId="14" type="noConversion"/>
  </si>
  <si>
    <t>U5-3B-33 / 2P 30A</t>
    <phoneticPr fontId="14" type="noConversion"/>
  </si>
  <si>
    <t>C708</t>
  </si>
  <si>
    <t>5F-J18</t>
  </si>
  <si>
    <t>3A-9-8</t>
  </si>
  <si>
    <t>3B-9-8</t>
  </si>
  <si>
    <t>U5-3A-35 / 2P 30A</t>
    <phoneticPr fontId="14" type="noConversion"/>
  </si>
  <si>
    <t>U5-3B-35 / 2P 30A</t>
    <phoneticPr fontId="14" type="noConversion"/>
  </si>
  <si>
    <t>C709</t>
  </si>
  <si>
    <t>C710</t>
  </si>
  <si>
    <t>5F-I11</t>
    <phoneticPr fontId="14" type="noConversion"/>
  </si>
  <si>
    <t>3A-10-1</t>
    <phoneticPr fontId="14" type="noConversion"/>
  </si>
  <si>
    <t>3B-10-1</t>
    <phoneticPr fontId="14" type="noConversion"/>
  </si>
  <si>
    <t>U5-3A-37 / 2P 30A</t>
    <phoneticPr fontId="14" type="noConversion"/>
  </si>
  <si>
    <t>U5-3B-37 / 2P 30A</t>
    <phoneticPr fontId="14" type="noConversion"/>
  </si>
  <si>
    <t>OFF</t>
    <phoneticPr fontId="14" type="noConversion"/>
  </si>
  <si>
    <t>5F-I12</t>
  </si>
  <si>
    <t>3A-10-2</t>
  </si>
  <si>
    <t>3B-10-2</t>
  </si>
  <si>
    <t>U5-3A-39 / 2P 30A</t>
    <phoneticPr fontId="14" type="noConversion"/>
  </si>
  <si>
    <t>U5-3B-39 / 2P 30A</t>
    <phoneticPr fontId="14" type="noConversion"/>
  </si>
  <si>
    <t>C803</t>
  </si>
  <si>
    <t>5F-I13</t>
  </si>
  <si>
    <t>3A-10-3</t>
  </si>
  <si>
    <t>3B-10-3</t>
  </si>
  <si>
    <t>U5-3A-41 / 2P 30A</t>
    <phoneticPr fontId="14" type="noConversion"/>
  </si>
  <si>
    <t>U5-3B-41 / 2P 30A</t>
    <phoneticPr fontId="14" type="noConversion"/>
  </si>
  <si>
    <t>C804</t>
  </si>
  <si>
    <t>5F-I14</t>
  </si>
  <si>
    <t>3A-10-4</t>
  </si>
  <si>
    <t>3B-10-4</t>
  </si>
  <si>
    <t>U5-3A-45 / 2P 30A</t>
    <phoneticPr fontId="14" type="noConversion"/>
  </si>
  <si>
    <t>U5-3B-43 / 2P 30A</t>
    <phoneticPr fontId="14" type="noConversion"/>
  </si>
  <si>
    <t>C805</t>
  </si>
  <si>
    <t>5F-I15</t>
  </si>
  <si>
    <t>3A-10-5</t>
  </si>
  <si>
    <t>3B-10-5</t>
  </si>
  <si>
    <t>U5-3A-47 / 2P 30A</t>
    <phoneticPr fontId="14" type="noConversion"/>
  </si>
  <si>
    <t>U5-3B-45 / 2P 30A</t>
    <phoneticPr fontId="14" type="noConversion"/>
  </si>
  <si>
    <t>C806</t>
  </si>
  <si>
    <t>5F-I16</t>
  </si>
  <si>
    <t>3A-10-6</t>
  </si>
  <si>
    <t>3B-10-6</t>
  </si>
  <si>
    <t>U5-3A-49 / 2P 30A</t>
    <phoneticPr fontId="14" type="noConversion"/>
  </si>
  <si>
    <t>U5-3B-47 / 2P 30A</t>
    <phoneticPr fontId="14" type="noConversion"/>
  </si>
  <si>
    <t>C807</t>
  </si>
  <si>
    <t>5F-I17</t>
  </si>
  <si>
    <t>3A-10-7</t>
  </si>
  <si>
    <t>3B-10-7</t>
  </si>
  <si>
    <t>U5-3A-51 / 2P 30A</t>
    <phoneticPr fontId="14" type="noConversion"/>
  </si>
  <si>
    <t>U5-3B-51 / 2P 30A</t>
    <phoneticPr fontId="14" type="noConversion"/>
  </si>
  <si>
    <t>C808</t>
  </si>
  <si>
    <t>5F-I18</t>
  </si>
  <si>
    <t>3A-10-8</t>
  </si>
  <si>
    <t>3B-10-8</t>
  </si>
  <si>
    <t>U5-3A-53 / 2P 30A</t>
    <phoneticPr fontId="14" type="noConversion"/>
  </si>
  <si>
    <t>U5-3B-53 / 2P 30A</t>
    <phoneticPr fontId="14" type="noConversion"/>
  </si>
  <si>
    <t>C809</t>
  </si>
  <si>
    <t>C810</t>
  </si>
  <si>
    <t>5F-H11</t>
    <phoneticPr fontId="14" type="noConversion"/>
  </si>
  <si>
    <t>3A-11-1</t>
    <phoneticPr fontId="14" type="noConversion"/>
  </si>
  <si>
    <t>3B-11-1</t>
    <phoneticPr fontId="14" type="noConversion"/>
  </si>
  <si>
    <t>U5-3A-02 / 2P 30A</t>
    <phoneticPr fontId="14" type="noConversion"/>
  </si>
  <si>
    <t>U5-3B-02 / 2P 30A</t>
    <phoneticPr fontId="14" type="noConversion"/>
  </si>
  <si>
    <t>C902</t>
  </si>
  <si>
    <t>5F-H12</t>
  </si>
  <si>
    <t>3A-11-2</t>
  </si>
  <si>
    <t>3B-11-2</t>
  </si>
  <si>
    <t>U5-3A-04 / 2P 30A</t>
    <phoneticPr fontId="14" type="noConversion"/>
  </si>
  <si>
    <t>U5-3B-04 / 2P 30A</t>
    <phoneticPr fontId="14" type="noConversion"/>
  </si>
  <si>
    <t>C903</t>
  </si>
  <si>
    <t>5F-H13</t>
  </si>
  <si>
    <t>3A-11-3</t>
  </si>
  <si>
    <t>3B-11-3</t>
  </si>
  <si>
    <t>U5-3A-06 / 2P 30A</t>
    <phoneticPr fontId="14" type="noConversion"/>
  </si>
  <si>
    <t>U5-3B-06 / 2P 30A</t>
    <phoneticPr fontId="14" type="noConversion"/>
  </si>
  <si>
    <t>C904</t>
  </si>
  <si>
    <t>5F-H14</t>
  </si>
  <si>
    <t>3A-11-4</t>
  </si>
  <si>
    <t>3B-11-4</t>
  </si>
  <si>
    <t>U5-3A-08 / 2P 30A</t>
    <phoneticPr fontId="14" type="noConversion"/>
  </si>
  <si>
    <t>U5-3B-08 / 2P 30A</t>
    <phoneticPr fontId="14" type="noConversion"/>
  </si>
  <si>
    <t>5F-H15</t>
  </si>
  <si>
    <t>3A-11-5</t>
  </si>
  <si>
    <t>3B-11-5</t>
  </si>
  <si>
    <t>U5-3A-10 / 2P 30A</t>
    <phoneticPr fontId="14" type="noConversion"/>
  </si>
  <si>
    <t>U5-3B-10 / 2P 30A</t>
    <phoneticPr fontId="14" type="noConversion"/>
  </si>
  <si>
    <t>C906</t>
  </si>
  <si>
    <t>5F-H16</t>
  </si>
  <si>
    <t>3A-11-6</t>
  </si>
  <si>
    <t>3B-11-6</t>
  </si>
  <si>
    <t>U5-3A-12 / 2P 30A</t>
    <phoneticPr fontId="14" type="noConversion"/>
  </si>
  <si>
    <t>U5-3B-12 / 2P 30A</t>
    <phoneticPr fontId="14" type="noConversion"/>
  </si>
  <si>
    <t>C907</t>
  </si>
  <si>
    <t>5F-H17</t>
  </si>
  <si>
    <t>3A-11-7</t>
  </si>
  <si>
    <t>3B-11-7</t>
  </si>
  <si>
    <t>U5-3A-14 / 2P 30A</t>
    <phoneticPr fontId="14" type="noConversion"/>
  </si>
  <si>
    <t>U5-3B-16 / 2P 30A</t>
    <phoneticPr fontId="14" type="noConversion"/>
  </si>
  <si>
    <t>C908</t>
  </si>
  <si>
    <t>5F-H18</t>
  </si>
  <si>
    <t>3A-11-8</t>
  </si>
  <si>
    <t>3B-11-8</t>
  </si>
  <si>
    <t>U5-3A-16 / 2P 30A</t>
    <phoneticPr fontId="14" type="noConversion"/>
  </si>
  <si>
    <t>U5-3B-18 / 2P 30A</t>
    <phoneticPr fontId="14" type="noConversion"/>
  </si>
  <si>
    <t>C909</t>
  </si>
  <si>
    <t>C910</t>
  </si>
  <si>
    <t>5F-G11</t>
    <phoneticPr fontId="14" type="noConversion"/>
  </si>
  <si>
    <t>3A-12-1</t>
    <phoneticPr fontId="14" type="noConversion"/>
  </si>
  <si>
    <t>3B-12-1</t>
    <phoneticPr fontId="14" type="noConversion"/>
  </si>
  <si>
    <t>U5-3A-18 / 2P 30A</t>
    <phoneticPr fontId="14" type="noConversion"/>
  </si>
  <si>
    <t>U5-3B-20 / 2P 30A</t>
    <phoneticPr fontId="14" type="noConversion"/>
  </si>
  <si>
    <t>5F-G12</t>
  </si>
  <si>
    <t>3A-12-2</t>
  </si>
  <si>
    <t>3B-12-2</t>
  </si>
  <si>
    <t>U5-3A-20 / 2P 30A</t>
    <phoneticPr fontId="14" type="noConversion"/>
  </si>
  <si>
    <t>U5-3B-22 / 2P 30A</t>
    <phoneticPr fontId="14" type="noConversion"/>
  </si>
  <si>
    <t>C1003</t>
  </si>
  <si>
    <t>5F-G13</t>
  </si>
  <si>
    <t>3A-12-3</t>
  </si>
  <si>
    <t>3B-12-3</t>
  </si>
  <si>
    <t>U5-3A-22 / 2P 30A</t>
    <phoneticPr fontId="14" type="noConversion"/>
  </si>
  <si>
    <t>U5-3B-24 / 2P 30A</t>
    <phoneticPr fontId="14" type="noConversion"/>
  </si>
  <si>
    <t>C1004</t>
  </si>
  <si>
    <t>5F-G14</t>
  </si>
  <si>
    <t>3A-12-4</t>
  </si>
  <si>
    <t>3B-12-4</t>
  </si>
  <si>
    <t>U5-3A-24 / 2P 30A</t>
    <phoneticPr fontId="14" type="noConversion"/>
  </si>
  <si>
    <t>U5-3B-26 / 2P 30A</t>
    <phoneticPr fontId="14" type="noConversion"/>
  </si>
  <si>
    <t>C1005</t>
  </si>
  <si>
    <t>5F-G15</t>
  </si>
  <si>
    <t>3A-12-5</t>
  </si>
  <si>
    <t>3B-12-5</t>
  </si>
  <si>
    <t>U5-3A-26 / 2P 30A</t>
    <phoneticPr fontId="14" type="noConversion"/>
  </si>
  <si>
    <t>U5-3B-28 / 2P 30A</t>
    <phoneticPr fontId="14" type="noConversion"/>
  </si>
  <si>
    <t>C1006</t>
  </si>
  <si>
    <t>5F-G16</t>
  </si>
  <si>
    <t>3A-12-6</t>
  </si>
  <si>
    <t>3B-12-6</t>
  </si>
  <si>
    <t>U5-3A-28 / 2P 30A</t>
    <phoneticPr fontId="14" type="noConversion"/>
  </si>
  <si>
    <t>U5-3B-30 / 2P 30A</t>
    <phoneticPr fontId="14" type="noConversion"/>
  </si>
  <si>
    <t>C1007</t>
  </si>
  <si>
    <t>5F-G17</t>
  </si>
  <si>
    <t>3A-12-7</t>
  </si>
  <si>
    <t>3B-12-7</t>
  </si>
  <si>
    <t>U5-3A-30 / 2P 30A</t>
    <phoneticPr fontId="14" type="noConversion"/>
  </si>
  <si>
    <t>U5-3B-34 / 2P 30A</t>
    <phoneticPr fontId="14" type="noConversion"/>
  </si>
  <si>
    <t>C1008</t>
  </si>
  <si>
    <t>5F-G18</t>
  </si>
  <si>
    <t>3A-12-8</t>
  </si>
  <si>
    <t>3B-12-8</t>
  </si>
  <si>
    <t>U5-3A-32 / 2P 30A</t>
    <phoneticPr fontId="14" type="noConversion"/>
  </si>
  <si>
    <t>U5-3B-36 / 2P 30A</t>
    <phoneticPr fontId="14" type="noConversion"/>
  </si>
  <si>
    <t>C1009</t>
  </si>
  <si>
    <t>C1010</t>
  </si>
  <si>
    <t>1B-1-1</t>
  </si>
  <si>
    <t>U5-1A-01 / 2P 30A</t>
    <phoneticPr fontId="14" type="noConversion"/>
  </si>
  <si>
    <t>U5-1B-01 / 2P 30A</t>
    <phoneticPr fontId="14" type="noConversion"/>
  </si>
  <si>
    <t>5F-R12</t>
    <phoneticPr fontId="14" type="noConversion"/>
  </si>
  <si>
    <t>U5-1A-03 / 2P 30A</t>
    <phoneticPr fontId="14" type="noConversion"/>
  </si>
  <si>
    <t>U5-1B-03 / 2P 30A</t>
    <phoneticPr fontId="14" type="noConversion"/>
  </si>
  <si>
    <t>5F-R13</t>
  </si>
  <si>
    <t>U5-1A-05 / 2P 30A</t>
    <phoneticPr fontId="14" type="noConversion"/>
  </si>
  <si>
    <t>U5-1B-05 / 2P 30A</t>
    <phoneticPr fontId="14" type="noConversion"/>
  </si>
  <si>
    <t>5F-R14</t>
  </si>
  <si>
    <t>U5-1A-07 / 2P 30A</t>
    <phoneticPr fontId="14" type="noConversion"/>
  </si>
  <si>
    <t>U5-1B-07 / 2P 30A</t>
    <phoneticPr fontId="14" type="noConversion"/>
  </si>
  <si>
    <t>5F-R15</t>
  </si>
  <si>
    <t>Cloudflare</t>
    <phoneticPr fontId="14" type="noConversion"/>
  </si>
  <si>
    <t>1A-1-5</t>
  </si>
  <si>
    <t>1B-1-5</t>
  </si>
  <si>
    <t>U5-1A-09 / 2P 30A</t>
    <phoneticPr fontId="14" type="noConversion"/>
  </si>
  <si>
    <t>U5-1B-09 / 2P 30A</t>
    <phoneticPr fontId="14" type="noConversion"/>
  </si>
  <si>
    <t>5F-R16</t>
  </si>
  <si>
    <t>Cloudflare</t>
  </si>
  <si>
    <t>1A-1-6</t>
  </si>
  <si>
    <t>1B-1-6</t>
  </si>
  <si>
    <t>U5-1A-11 / 2P 30A</t>
    <phoneticPr fontId="14" type="noConversion"/>
  </si>
  <si>
    <t>U5-1B-11 / 2P 30A</t>
    <phoneticPr fontId="14" type="noConversion"/>
  </si>
  <si>
    <t>5F-R17</t>
  </si>
  <si>
    <t>1A-1-7</t>
  </si>
  <si>
    <t>1B-1-7</t>
  </si>
  <si>
    <t>U5-1A-13 / 2P 30A</t>
    <phoneticPr fontId="14" type="noConversion"/>
  </si>
  <si>
    <t>U5-1B-13 / 2P 30A</t>
    <phoneticPr fontId="14" type="noConversion"/>
  </si>
  <si>
    <t>G1104</t>
    <phoneticPr fontId="14" type="noConversion"/>
  </si>
  <si>
    <t>5F-R18</t>
  </si>
  <si>
    <t>1A-1-8</t>
  </si>
  <si>
    <t>1B-1-8</t>
  </si>
  <si>
    <t>U5-1A-15 / 2P 30A</t>
    <phoneticPr fontId="14" type="noConversion"/>
  </si>
  <si>
    <t>U5-1B-15 / 2P 30A</t>
    <phoneticPr fontId="14" type="noConversion"/>
  </si>
  <si>
    <t>G1105</t>
    <phoneticPr fontId="14" type="noConversion"/>
  </si>
  <si>
    <t>5F-R19</t>
  </si>
  <si>
    <t>1A-1-9</t>
  </si>
  <si>
    <t>1B-1-9</t>
  </si>
  <si>
    <t>U5-1A-17 / 2P 30A</t>
    <phoneticPr fontId="14" type="noConversion"/>
  </si>
  <si>
    <t>U5-1B-17 / 2P 30A</t>
    <phoneticPr fontId="14" type="noConversion"/>
  </si>
  <si>
    <t>G1201</t>
    <phoneticPr fontId="14" type="noConversion"/>
  </si>
  <si>
    <t>번호없음</t>
    <phoneticPr fontId="14" type="noConversion"/>
  </si>
  <si>
    <t>1A-2-1</t>
    <phoneticPr fontId="14" type="noConversion"/>
  </si>
  <si>
    <t>1B-2-1</t>
    <phoneticPr fontId="14" type="noConversion"/>
  </si>
  <si>
    <t>U5-1A-31 / 2P 30A</t>
    <phoneticPr fontId="14" type="noConversion"/>
  </si>
  <si>
    <t>U5-1B-31 / 2P 30A</t>
  </si>
  <si>
    <t>G1202</t>
  </si>
  <si>
    <t>5F-Q12</t>
    <phoneticPr fontId="14" type="noConversion"/>
  </si>
  <si>
    <t>1A-2-2</t>
  </si>
  <si>
    <t>1B-2-2</t>
  </si>
  <si>
    <t>U5-1A-33 / 2P 30A</t>
    <phoneticPr fontId="14" type="noConversion"/>
  </si>
  <si>
    <t>U5-1B-33 / 2P 30A</t>
    <phoneticPr fontId="14" type="noConversion"/>
  </si>
  <si>
    <t>G1203</t>
  </si>
  <si>
    <t>5F-Q13</t>
  </si>
  <si>
    <t>1A-2-3</t>
  </si>
  <si>
    <t>1B-2-3</t>
  </si>
  <si>
    <t>U5-1A-35 / 2P 30A</t>
    <phoneticPr fontId="14" type="noConversion"/>
  </si>
  <si>
    <t>U5-1B-35 / 2P 30A</t>
    <phoneticPr fontId="14" type="noConversion"/>
  </si>
  <si>
    <t>G1204</t>
  </si>
  <si>
    <t>5F-Q14</t>
  </si>
  <si>
    <t>1A-2-4</t>
  </si>
  <si>
    <t>1B-2-4</t>
  </si>
  <si>
    <t>U5-1A-37 / 2P 30A</t>
    <phoneticPr fontId="14" type="noConversion"/>
  </si>
  <si>
    <t>U5-1B-37 / 2P 30A</t>
    <phoneticPr fontId="14" type="noConversion"/>
  </si>
  <si>
    <t>G1205</t>
  </si>
  <si>
    <t>5F-Q15</t>
  </si>
  <si>
    <t>1A-2-5</t>
  </si>
  <si>
    <t>1B-2-5</t>
  </si>
  <si>
    <t>U5-1A-39 / 2P 30A</t>
    <phoneticPr fontId="14" type="noConversion"/>
  </si>
  <si>
    <t>U5-1B-39 / 2P 30A</t>
    <phoneticPr fontId="14" type="noConversion"/>
  </si>
  <si>
    <t>5F-Q16</t>
  </si>
  <si>
    <t>1A-2-6</t>
  </si>
  <si>
    <t>1B-2-6</t>
  </si>
  <si>
    <t>U5-1A-41 / 2P 30A</t>
    <phoneticPr fontId="14" type="noConversion"/>
  </si>
  <si>
    <t>U5-1B-41 / 2P 30A</t>
    <phoneticPr fontId="14" type="noConversion"/>
  </si>
  <si>
    <t>5F-Q17</t>
  </si>
  <si>
    <t>1A-2-7</t>
  </si>
  <si>
    <t>1B-2-7</t>
  </si>
  <si>
    <t>U5-1A-43 / 2P 30A</t>
    <phoneticPr fontId="14" type="noConversion"/>
  </si>
  <si>
    <t>U5-1B-43 / 2P 30A</t>
    <phoneticPr fontId="14" type="noConversion"/>
  </si>
  <si>
    <t>5F-Q18</t>
  </si>
  <si>
    <t>1A-2-8</t>
  </si>
  <si>
    <t>1B-2-8</t>
  </si>
  <si>
    <t>U5-1A-45 / 2P 30A</t>
    <phoneticPr fontId="14" type="noConversion"/>
  </si>
  <si>
    <t>U5-1B-45 / 2P 30A</t>
    <phoneticPr fontId="14" type="noConversion"/>
  </si>
  <si>
    <t>5F-Q19</t>
  </si>
  <si>
    <t>1A-2-9</t>
  </si>
  <si>
    <t>1B-2-9</t>
  </si>
  <si>
    <t>U5-1A-47 / 2P 30A</t>
    <phoneticPr fontId="14" type="noConversion"/>
  </si>
  <si>
    <t>U5-1B-47 / 2P 30A</t>
    <phoneticPr fontId="14" type="noConversion"/>
  </si>
  <si>
    <t>5F-P-12</t>
    <phoneticPr fontId="14" type="noConversion"/>
  </si>
  <si>
    <t>구글</t>
    <phoneticPr fontId="14" type="noConversion"/>
  </si>
  <si>
    <t>1A-1-10</t>
  </si>
  <si>
    <t>1B-1-10</t>
  </si>
  <si>
    <t>U5-1A-19 / 2P 30A</t>
    <phoneticPr fontId="14" type="noConversion"/>
  </si>
  <si>
    <t>U5-1B-19 / 2P 30A</t>
    <phoneticPr fontId="14" type="noConversion"/>
  </si>
  <si>
    <t>구글104</t>
    <phoneticPr fontId="14" type="noConversion"/>
  </si>
  <si>
    <t>5F-P-13</t>
    <phoneticPr fontId="14" type="noConversion"/>
  </si>
  <si>
    <t>1A-1-11</t>
  </si>
  <si>
    <t>1B-1-11</t>
  </si>
  <si>
    <t>U5-1A-21 / 2P 30A</t>
    <phoneticPr fontId="14" type="noConversion"/>
  </si>
  <si>
    <t>U5-1B-21 / 2P 30A</t>
    <phoneticPr fontId="14" type="noConversion"/>
  </si>
  <si>
    <t>구글103</t>
    <phoneticPr fontId="14" type="noConversion"/>
  </si>
  <si>
    <t>5F-P-14</t>
    <phoneticPr fontId="14" type="noConversion"/>
  </si>
  <si>
    <t>1A-1-12</t>
  </si>
  <si>
    <t>1B-1-12</t>
  </si>
  <si>
    <t>U5-1A-23 / 2P 30A</t>
    <phoneticPr fontId="14" type="noConversion"/>
  </si>
  <si>
    <t>U5-1B-23 / 2P 30A</t>
    <phoneticPr fontId="14" type="noConversion"/>
  </si>
  <si>
    <t>구글102</t>
    <phoneticPr fontId="14" type="noConversion"/>
  </si>
  <si>
    <t>5F-P-15</t>
    <phoneticPr fontId="14" type="noConversion"/>
  </si>
  <si>
    <t>1A-1-13</t>
  </si>
  <si>
    <t>1B-1-13</t>
  </si>
  <si>
    <t>U5-1A-25 / 2P 30A</t>
    <phoneticPr fontId="14" type="noConversion"/>
  </si>
  <si>
    <t>U5-1B-25 / 2P 30A</t>
    <phoneticPr fontId="14" type="noConversion"/>
  </si>
  <si>
    <t>구글101</t>
    <phoneticPr fontId="14" type="noConversion"/>
  </si>
  <si>
    <t>1A-4-1</t>
    <phoneticPr fontId="14" type="noConversion"/>
  </si>
  <si>
    <t>U5-1A-42 / 2P 30A</t>
    <phoneticPr fontId="14" type="noConversion"/>
  </si>
  <si>
    <t>5F-O12</t>
    <phoneticPr fontId="14" type="noConversion"/>
  </si>
  <si>
    <t>1A-4-2</t>
  </si>
  <si>
    <t>1B-4-2</t>
  </si>
  <si>
    <t>U5-1A-44 / 2P 30A</t>
    <phoneticPr fontId="14" type="noConversion"/>
  </si>
  <si>
    <t>U5-1B-44 / 2P 30A</t>
    <phoneticPr fontId="14" type="noConversion"/>
  </si>
  <si>
    <t>G2203</t>
    <phoneticPr fontId="14" type="noConversion"/>
  </si>
  <si>
    <t>5F-O-14</t>
    <phoneticPr fontId="14" type="noConversion"/>
  </si>
  <si>
    <t>1A-2-12</t>
  </si>
  <si>
    <t>1B-2-12</t>
  </si>
  <si>
    <t>U5-1A-04 / 2P 30A</t>
    <phoneticPr fontId="14" type="noConversion"/>
  </si>
  <si>
    <t>U5-1B-04 / 2P 30A</t>
    <phoneticPr fontId="14" type="noConversion"/>
  </si>
  <si>
    <t>구글202</t>
    <phoneticPr fontId="14" type="noConversion"/>
  </si>
  <si>
    <t>G2204</t>
  </si>
  <si>
    <t>5F-O-15</t>
    <phoneticPr fontId="14" type="noConversion"/>
  </si>
  <si>
    <t>1A-2-13</t>
  </si>
  <si>
    <t>1B-2-13</t>
  </si>
  <si>
    <t>U5-1A-06 / 2P 30A</t>
    <phoneticPr fontId="14" type="noConversion"/>
  </si>
  <si>
    <t>U5-1B-06 / 2P 30A</t>
    <phoneticPr fontId="14" type="noConversion"/>
  </si>
  <si>
    <t>구글201</t>
    <phoneticPr fontId="14" type="noConversion"/>
  </si>
  <si>
    <t>시스템박스</t>
    <phoneticPr fontId="14" type="noConversion"/>
  </si>
  <si>
    <t>1A-2-15</t>
  </si>
  <si>
    <t>U5-1A-10 / 2P 30A</t>
    <phoneticPr fontId="14" type="noConversion"/>
  </si>
  <si>
    <t>지문인식기</t>
    <phoneticPr fontId="14" type="noConversion"/>
  </si>
  <si>
    <t>1B-2-15</t>
  </si>
  <si>
    <t>U5-1B-10 / 2P 30A</t>
    <phoneticPr fontId="14" type="noConversion"/>
  </si>
  <si>
    <t>G3101</t>
    <phoneticPr fontId="14" type="noConversion"/>
  </si>
  <si>
    <t>5F-M-04</t>
    <phoneticPr fontId="14" type="noConversion"/>
  </si>
  <si>
    <t>보다폰#3</t>
  </si>
  <si>
    <t>G3102</t>
  </si>
  <si>
    <t>5F-M-05</t>
    <phoneticPr fontId="14" type="noConversion"/>
  </si>
  <si>
    <t>U5-1A-50 / 2P 30A</t>
    <phoneticPr fontId="14" type="noConversion"/>
  </si>
  <si>
    <t>U5-1B-50 / 2P 30A</t>
    <phoneticPr fontId="14" type="noConversion"/>
  </si>
  <si>
    <t>보다폰#2</t>
  </si>
  <si>
    <t>1A-4-5</t>
  </si>
  <si>
    <t>G3103</t>
  </si>
  <si>
    <t>5F-M-06</t>
    <phoneticPr fontId="14" type="noConversion"/>
  </si>
  <si>
    <t>U5-1A-3P-02  / 3P 60A</t>
    <phoneticPr fontId="14" type="noConversion"/>
  </si>
  <si>
    <t>U5-1B-3P-02  / 3P 60A</t>
    <phoneticPr fontId="14" type="noConversion"/>
  </si>
  <si>
    <t>보다폰 정류기</t>
    <phoneticPr fontId="14" type="noConversion"/>
  </si>
  <si>
    <t>U5-1A-48 / 2P 30A</t>
    <phoneticPr fontId="14" type="noConversion"/>
  </si>
  <si>
    <t>U5-1B-48 / 2P 30A</t>
    <phoneticPr fontId="14" type="noConversion"/>
  </si>
  <si>
    <t>보다폰#1</t>
    <phoneticPr fontId="14" type="noConversion"/>
  </si>
  <si>
    <t>1A-4-4</t>
  </si>
  <si>
    <t>2A-5-1</t>
    <phoneticPr fontId="14" type="noConversion"/>
  </si>
  <si>
    <t>2B-5-1</t>
    <phoneticPr fontId="14" type="noConversion"/>
  </si>
  <si>
    <t>U5-2A-21 / 2P 30A</t>
    <phoneticPr fontId="14" type="noConversion"/>
  </si>
  <si>
    <t>U5-2B-21 / 2P 30A</t>
    <phoneticPr fontId="14" type="noConversion"/>
  </si>
  <si>
    <t>5F-N12</t>
    <phoneticPr fontId="14" type="noConversion"/>
  </si>
  <si>
    <t>2A-5-2</t>
  </si>
  <si>
    <t>2B-5-2</t>
  </si>
  <si>
    <t>U5-2A-23 / 2P 30A</t>
    <phoneticPr fontId="14" type="noConversion"/>
  </si>
  <si>
    <t>U5-2B-23 / 2P 30A</t>
    <phoneticPr fontId="14" type="noConversion"/>
  </si>
  <si>
    <t>5F-N13</t>
  </si>
  <si>
    <t>2A-5-3</t>
  </si>
  <si>
    <t>2B-5-3</t>
  </si>
  <si>
    <t>U5-2A-25 / 2P 30A</t>
    <phoneticPr fontId="14" type="noConversion"/>
  </si>
  <si>
    <t>U5-2B-25 / 2P 30A</t>
    <phoneticPr fontId="14" type="noConversion"/>
  </si>
  <si>
    <t>5F-N14</t>
  </si>
  <si>
    <t>2A-5-4</t>
  </si>
  <si>
    <t>2B-5-4</t>
  </si>
  <si>
    <t>U5-2A-27 / 2P 30A</t>
    <phoneticPr fontId="14" type="noConversion"/>
  </si>
  <si>
    <t>U5-2B-27 / 2P 30A</t>
    <phoneticPr fontId="14" type="noConversion"/>
  </si>
  <si>
    <t>5F-N15</t>
  </si>
  <si>
    <t>2A-5-5</t>
  </si>
  <si>
    <t>2B-5-5</t>
  </si>
  <si>
    <t>U5-2A-29 / 2P 30A</t>
    <phoneticPr fontId="14" type="noConversion"/>
  </si>
  <si>
    <t>U5-2B-29 / 2P 30A</t>
    <phoneticPr fontId="14" type="noConversion"/>
  </si>
  <si>
    <t>5F-N16</t>
  </si>
  <si>
    <t>2A-5-6</t>
  </si>
  <si>
    <t>2B-5-6</t>
  </si>
  <si>
    <t>U5-2A-31 / 2P 30A</t>
    <phoneticPr fontId="14" type="noConversion"/>
  </si>
  <si>
    <t>U5-2B-31 / 2P 30A</t>
    <phoneticPr fontId="14" type="noConversion"/>
  </si>
  <si>
    <t>5F-N17</t>
  </si>
  <si>
    <t>2A-5-7</t>
    <phoneticPr fontId="14" type="noConversion"/>
  </si>
  <si>
    <t>2B-5-7</t>
    <phoneticPr fontId="14" type="noConversion"/>
  </si>
  <si>
    <t>U5-2A-33 / 2P 30A</t>
    <phoneticPr fontId="14" type="noConversion"/>
  </si>
  <si>
    <t>U5-2B-33 / 2P 30A</t>
    <phoneticPr fontId="14" type="noConversion"/>
  </si>
  <si>
    <t>5F-O16</t>
  </si>
  <si>
    <t>2A-4-6</t>
    <phoneticPr fontId="14" type="noConversion"/>
  </si>
  <si>
    <t>2B-4-6</t>
    <phoneticPr fontId="14" type="noConversion"/>
  </si>
  <si>
    <t>U5-2A-01 / 2P 30A</t>
    <phoneticPr fontId="14" type="noConversion"/>
  </si>
  <si>
    <t>U5-2B-01 / 2P 30A</t>
    <phoneticPr fontId="14" type="noConversion"/>
  </si>
  <si>
    <t>5F-O17</t>
  </si>
  <si>
    <t>2A-4-7</t>
    <phoneticPr fontId="14" type="noConversion"/>
  </si>
  <si>
    <t>2B-4-7</t>
    <phoneticPr fontId="14" type="noConversion"/>
  </si>
  <si>
    <t>U5-2A-03 / 2P 30A</t>
    <phoneticPr fontId="14" type="noConversion"/>
  </si>
  <si>
    <t>U5-2B-03 / 2P 30A</t>
    <phoneticPr fontId="14" type="noConversion"/>
  </si>
  <si>
    <t>1A-3-1</t>
    <phoneticPr fontId="14" type="noConversion"/>
  </si>
  <si>
    <t>1B-3-1</t>
    <phoneticPr fontId="14" type="noConversion"/>
  </si>
  <si>
    <t>U5-1A-12 / 2P 30A</t>
    <phoneticPr fontId="14" type="noConversion"/>
  </si>
  <si>
    <t>U5-1B-12 / 2P 30A</t>
    <phoneticPr fontId="14" type="noConversion"/>
  </si>
  <si>
    <t>5F-P12</t>
    <phoneticPr fontId="14" type="noConversion"/>
  </si>
  <si>
    <t>1A-3-2</t>
  </si>
  <si>
    <t>1B-3-2</t>
  </si>
  <si>
    <t>U5-1A-14 / 2P 30A</t>
    <phoneticPr fontId="14" type="noConversion"/>
  </si>
  <si>
    <t>U5-1B-14 / 2P 30A</t>
    <phoneticPr fontId="14" type="noConversion"/>
  </si>
  <si>
    <t>5F-P13</t>
  </si>
  <si>
    <t>1A-3-3</t>
  </si>
  <si>
    <t>1B-3-3</t>
  </si>
  <si>
    <t>U5-1A-16 / 2P 30A</t>
    <phoneticPr fontId="14" type="noConversion"/>
  </si>
  <si>
    <t>U5-1B-16 / 2P 30A</t>
    <phoneticPr fontId="14" type="noConversion"/>
  </si>
  <si>
    <t>5F-P14</t>
  </si>
  <si>
    <t>1A-3-4</t>
  </si>
  <si>
    <t>1B-3-4</t>
  </si>
  <si>
    <t>U5-1A-18 / 2P 30A</t>
    <phoneticPr fontId="14" type="noConversion"/>
  </si>
  <si>
    <t>U5-1B-18 / 2P 30A</t>
    <phoneticPr fontId="14" type="noConversion"/>
  </si>
  <si>
    <t>5F-P15</t>
  </si>
  <si>
    <t>1A-3-5</t>
  </si>
  <si>
    <t>1B-3-5</t>
  </si>
  <si>
    <t>U5-1A-20 / 2P 30A</t>
    <phoneticPr fontId="14" type="noConversion"/>
  </si>
  <si>
    <t>U5-1B-20 / 2P 30A</t>
    <phoneticPr fontId="14" type="noConversion"/>
  </si>
  <si>
    <t>5F-P16</t>
  </si>
  <si>
    <t>1A-3-6</t>
  </si>
  <si>
    <t>1B-3-6</t>
  </si>
  <si>
    <t>U5-1A-22 / 2P 30A</t>
    <phoneticPr fontId="14" type="noConversion"/>
  </si>
  <si>
    <t>U5-1B-22 / 2P 30A</t>
    <phoneticPr fontId="14" type="noConversion"/>
  </si>
  <si>
    <t>5F-P17</t>
  </si>
  <si>
    <t>1A-3-7</t>
    <phoneticPr fontId="14" type="noConversion"/>
  </si>
  <si>
    <t>1B-3-7</t>
    <phoneticPr fontId="14" type="noConversion"/>
  </si>
  <si>
    <t>U5-1A-24 / 2P 30A</t>
    <phoneticPr fontId="14" type="noConversion"/>
  </si>
  <si>
    <t>U5-1B-24 / 2P 30A</t>
    <phoneticPr fontId="14" type="noConversion"/>
  </si>
  <si>
    <t>5F-P18</t>
  </si>
  <si>
    <t>1A-3-8</t>
  </si>
  <si>
    <t>1B-3-8</t>
  </si>
  <si>
    <t>U5-1A-26 / 2P 30A</t>
    <phoneticPr fontId="14" type="noConversion"/>
  </si>
  <si>
    <t>U5-1B-26 / 2P 30A</t>
    <phoneticPr fontId="14" type="noConversion"/>
  </si>
  <si>
    <t>5F-P19</t>
  </si>
  <si>
    <t>1A-3-9</t>
  </si>
  <si>
    <t>1B-3-9</t>
  </si>
  <si>
    <t>U5-1A-28 / 2P 30A</t>
    <phoneticPr fontId="14" type="noConversion"/>
  </si>
  <si>
    <t>U5-1B-28 / 2P 30A</t>
    <phoneticPr fontId="14" type="noConversion"/>
  </si>
  <si>
    <t>5F-P20</t>
  </si>
  <si>
    <t>1A-3-10</t>
  </si>
  <si>
    <t>1B-3-10</t>
  </si>
  <si>
    <t>U5-1A-30 / 2P 30A</t>
    <phoneticPr fontId="14" type="noConversion"/>
  </si>
  <si>
    <t>U5-1B-30 / 2P 30A</t>
    <phoneticPr fontId="14" type="noConversion"/>
  </si>
  <si>
    <t>5F-P21</t>
  </si>
  <si>
    <t>1A-3-11</t>
  </si>
  <si>
    <t>1B-3-11</t>
  </si>
  <si>
    <t>U5-1A-32 / 2P 30A</t>
    <phoneticPr fontId="14" type="noConversion"/>
  </si>
  <si>
    <t>U5-1B-32 / 2P 30A</t>
    <phoneticPr fontId="14" type="noConversion"/>
  </si>
  <si>
    <t>5F-P22</t>
  </si>
  <si>
    <t>1A-3-12</t>
  </si>
  <si>
    <t>1B-3-12</t>
  </si>
  <si>
    <t>U5-1A-34 / 2P 30A</t>
    <phoneticPr fontId="14" type="noConversion"/>
  </si>
  <si>
    <t>U5-1B-34 / 2P 30A</t>
    <phoneticPr fontId="14" type="noConversion"/>
  </si>
  <si>
    <t>5F-P23</t>
  </si>
  <si>
    <t>1A-3-13</t>
  </si>
  <si>
    <t>1B-3-13</t>
  </si>
  <si>
    <t>U5-1A-36 / 2P 30A</t>
    <phoneticPr fontId="14" type="noConversion"/>
  </si>
  <si>
    <t>U5-1B-36 / 2P 30A</t>
    <phoneticPr fontId="14" type="noConversion"/>
  </si>
  <si>
    <t>5F-P24</t>
  </si>
  <si>
    <t>1A-3-14</t>
  </si>
  <si>
    <t>1B-3-14</t>
  </si>
  <si>
    <t>U5-1A-38 / 2P 30A</t>
    <phoneticPr fontId="14" type="noConversion"/>
  </si>
  <si>
    <t>U5-1B-38 / 2P 30A</t>
    <phoneticPr fontId="14" type="noConversion"/>
  </si>
  <si>
    <t>1B-3-15</t>
  </si>
  <si>
    <t>U5-1B-40 / 2P 30A</t>
    <phoneticPr fontId="14" type="noConversion"/>
  </si>
  <si>
    <t>미구축</t>
    <phoneticPr fontId="14" type="noConversion"/>
  </si>
  <si>
    <t>5F-Q20</t>
  </si>
  <si>
    <t>1A-2-10</t>
  </si>
  <si>
    <t>1B-2-10</t>
  </si>
  <si>
    <t>U5-1A-49 / 2P 30A</t>
    <phoneticPr fontId="14" type="noConversion"/>
  </si>
  <si>
    <t>U5-1B-49 / 2P 30A</t>
    <phoneticPr fontId="14" type="noConversion"/>
  </si>
  <si>
    <t>5F-Q21</t>
  </si>
  <si>
    <t>1A-2-11</t>
  </si>
  <si>
    <t>1B-2-11</t>
  </si>
  <si>
    <t>U5-1A-02 / 2P 30A</t>
    <phoneticPr fontId="14" type="noConversion"/>
  </si>
  <si>
    <t>U5-1B-02 / 2P 30A</t>
    <phoneticPr fontId="14" type="noConversion"/>
  </si>
  <si>
    <t>5F-Q24</t>
  </si>
  <si>
    <t>1A-2-14</t>
  </si>
  <si>
    <t>1B-2-14</t>
  </si>
  <si>
    <t>U5-1A-08 / 2P 30A</t>
    <phoneticPr fontId="14" type="noConversion"/>
  </si>
  <si>
    <t>U5-1B-08 / 2P 30A</t>
    <phoneticPr fontId="14" type="noConversion"/>
  </si>
  <si>
    <t>5F-R24</t>
  </si>
  <si>
    <t>1A-1-14</t>
  </si>
  <si>
    <t>1B-1-14</t>
  </si>
  <si>
    <t>U5-1A-27 / 2P 30A</t>
    <phoneticPr fontId="14" type="noConversion"/>
  </si>
  <si>
    <t>U5-1B-27 / 2P 30A</t>
    <phoneticPr fontId="14" type="noConversion"/>
  </si>
  <si>
    <t>1A-1-15</t>
  </si>
  <si>
    <t>1B-1-15</t>
  </si>
  <si>
    <t>U5-1A-29 / 2P 30A</t>
    <phoneticPr fontId="14" type="noConversion"/>
  </si>
  <si>
    <t>U5-1B-29 / 2P 30A</t>
    <phoneticPr fontId="14" type="noConversion"/>
  </si>
  <si>
    <t>PDU(B)-2-32 / 3P 20A</t>
    <phoneticPr fontId="14" type="noConversion"/>
  </si>
  <si>
    <t>pacnet
내
분전반2식</t>
    <phoneticPr fontId="20" type="noConversion"/>
  </si>
  <si>
    <t>PDU-08-A
4P 200A</t>
    <phoneticPr fontId="14" type="noConversion"/>
  </si>
  <si>
    <t>UPS출력
배전반(A), #08
3P 200A</t>
    <phoneticPr fontId="14" type="noConversion"/>
  </si>
  <si>
    <t>PDU-08-B
4P 200A</t>
  </si>
  <si>
    <t>UPS출력
배전반(B), #08
3P 200A</t>
  </si>
  <si>
    <t>TR-5B
1000KVA</t>
  </si>
  <si>
    <t>싱텔</t>
    <phoneticPr fontId="14" type="noConversion"/>
  </si>
  <si>
    <t>싱텔 SKB CWDM</t>
    <phoneticPr fontId="14" type="noConversion"/>
  </si>
  <si>
    <t>싱텔 SKB CWDM A전원</t>
    <phoneticPr fontId="14" type="noConversion"/>
  </si>
  <si>
    <t>싱텔 SKB CWDM B전원</t>
    <phoneticPr fontId="14" type="noConversion"/>
  </si>
  <si>
    <t>PDU(A)-3-13 / 2P 30A</t>
    <phoneticPr fontId="14" type="noConversion"/>
  </si>
  <si>
    <t>PDU(B)-3-13 / 2P 30A</t>
    <phoneticPr fontId="14" type="noConversion"/>
  </si>
  <si>
    <t>UPS출력
배전반(B),
#01, 3P 300A</t>
    <phoneticPr fontId="14" type="noConversion"/>
  </si>
  <si>
    <t>TR-5A
1000KVA</t>
  </si>
  <si>
    <t>single-2</t>
  </si>
  <si>
    <t>PUD(A)-2-21</t>
    <phoneticPr fontId="14" type="noConversion"/>
  </si>
  <si>
    <t>PDU(A)-3-23 / 2P 20A</t>
  </si>
  <si>
    <t>single-2</t>
    <phoneticPr fontId="14" type="noConversion"/>
  </si>
  <si>
    <t>PUD(A)-2-27</t>
    <phoneticPr fontId="14" type="noConversion"/>
  </si>
  <si>
    <t>PDU(A)-3-29 / 2P 20A</t>
  </si>
  <si>
    <t>KT Rack #2 (소형 임시정류기)</t>
    <phoneticPr fontId="14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</si>
  <si>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</si>
  <si>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</si>
  <si>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</si>
  <si>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</si>
  <si>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</si>
  <si>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</si>
  <si>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4" type="noConversion"/>
  </si>
  <si>
    <t>DACOM EOS</t>
    <phoneticPr fontId="14" type="noConversion"/>
  </si>
  <si>
    <t>PDU(B)-3-23 / 2P 20A</t>
    <phoneticPr fontId="14" type="noConversion"/>
  </si>
  <si>
    <t>PDU(B)-3-25 / 2P 20A</t>
    <phoneticPr fontId="14" type="noConversion"/>
  </si>
  <si>
    <t>SKB2.5G전용
PDU B3 27</t>
  </si>
  <si>
    <t>PDU(B)-3-27 / 2P 20A</t>
    <phoneticPr fontId="14" type="noConversion"/>
  </si>
  <si>
    <t>데이콤 AC전원</t>
  </si>
  <si>
    <t>PDU(B)-3-29 / 2P 20A</t>
    <phoneticPr fontId="14" type="noConversion"/>
  </si>
  <si>
    <t>kt mspp 전원</t>
  </si>
  <si>
    <t>PDU(B)-3-24 / 2P 20A</t>
    <phoneticPr fontId="14" type="noConversion"/>
  </si>
  <si>
    <t>TNSI A</t>
  </si>
  <si>
    <t>PDU(B)-3-30 / 2P 20A</t>
    <phoneticPr fontId="14" type="noConversion"/>
  </si>
  <si>
    <t>텔스트라</t>
    <phoneticPr fontId="20" type="noConversion"/>
  </si>
  <si>
    <t>C2C 정류기 B1</t>
  </si>
  <si>
    <t>C2C 정류기 A1</t>
  </si>
  <si>
    <t>UPS출력
배전반(A), #12
3P 100A</t>
    <phoneticPr fontId="14" type="noConversion"/>
  </si>
  <si>
    <t>UPS출력
배전반(B), #12
3P 100A</t>
    <phoneticPr fontId="14" type="noConversion"/>
  </si>
  <si>
    <t>텔스트라</t>
    <phoneticPr fontId="14" type="noConversion"/>
  </si>
  <si>
    <t>Telstra</t>
  </si>
  <si>
    <t>C2C 정류기 B2</t>
  </si>
  <si>
    <t>C2C 정류기 A2</t>
  </si>
  <si>
    <t>UPS출력
배전반(A), #11
3P 100A</t>
    <phoneticPr fontId="14" type="noConversion"/>
  </si>
  <si>
    <t>UPS출력
배전반(B), #11
3P 100A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</si>
  <si>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4" type="noConversion"/>
  </si>
  <si>
    <t>PDU(A)-3-01(3상)
/ 3P 50A</t>
    <phoneticPr fontId="14" type="noConversion"/>
  </si>
  <si>
    <t>AC PDU(A)-3A</t>
  </si>
  <si>
    <t>PDU(A)-3-02(3상)
/ 3P 50A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</si>
  <si>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4" type="noConversion"/>
  </si>
  <si>
    <t>PDU(B)-3-01(3상)
/ 3P 50A</t>
    <phoneticPr fontId="14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</si>
  <si>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4" type="noConversion"/>
  </si>
  <si>
    <t>PDU(B)-3-02(3상)
/ 3P 50A</t>
    <phoneticPr fontId="14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</si>
  <si>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4" type="noConversion"/>
  </si>
  <si>
    <t>RTX Rack#1 / R1-1-1</t>
    <phoneticPr fontId="14" type="noConversion"/>
  </si>
  <si>
    <t>RTX Rack#1 / R1-1-2</t>
    <phoneticPr fontId="14" type="noConversion"/>
  </si>
  <si>
    <t>LG PDU(A1), #01 / 2P 50A</t>
    <phoneticPr fontId="14" type="noConversion"/>
  </si>
  <si>
    <t>LG PDU (B1), #01 /2P 50A</t>
    <phoneticPr fontId="14" type="noConversion"/>
  </si>
  <si>
    <t>LG PDU (A1)</t>
    <phoneticPr fontId="14" type="noConversion"/>
  </si>
  <si>
    <t>LG PDU (B1)</t>
    <phoneticPr fontId="14" type="noConversion"/>
  </si>
  <si>
    <t>LV-5A, #05
3P 320A</t>
    <phoneticPr fontId="14" type="noConversion"/>
  </si>
  <si>
    <t>LV-5B, #04
3P 320A</t>
    <phoneticPr fontId="14" type="noConversion"/>
  </si>
  <si>
    <t>RTX Rack#1 / R1-1-3</t>
    <phoneticPr fontId="14" type="noConversion"/>
  </si>
  <si>
    <t>RTX Rack#1 / R1-1-4</t>
    <phoneticPr fontId="14" type="noConversion"/>
  </si>
  <si>
    <t>LG PDU(A2), #01 / 2P 50A</t>
    <phoneticPr fontId="14" type="noConversion"/>
  </si>
  <si>
    <t>LG PDU (B2), #01 / 2P 50A</t>
    <phoneticPr fontId="14" type="noConversion"/>
  </si>
  <si>
    <t>LG PDU (A2)</t>
    <phoneticPr fontId="14" type="noConversion"/>
  </si>
  <si>
    <t>LG PDU (B2)</t>
    <phoneticPr fontId="14" type="noConversion"/>
  </si>
  <si>
    <t>LV-5A, #06
3P 320A</t>
    <phoneticPr fontId="14" type="noConversion"/>
  </si>
  <si>
    <t>LV-5B, #05
3P 320A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</si>
  <si>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</si>
  <si>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</si>
  <si>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</si>
  <si>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Rack#2 / R1-2-2</t>
    <phoneticPr fontId="14" type="noConversion"/>
  </si>
  <si>
    <t>LG PDU(A1), #03 / 2P 50A</t>
    <phoneticPr fontId="14" type="noConversion"/>
  </si>
  <si>
    <t>LG PDU (B1), #03 /2P 50A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</si>
  <si>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</si>
  <si>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</si>
  <si>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#03 / 2P 50A</t>
    <phoneticPr fontId="14" type="noConversion"/>
  </si>
  <si>
    <t>LG PDU (B2), #03 / 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</si>
  <si>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</si>
  <si>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</si>
  <si>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Rack#3 / R1-3-2</t>
    <phoneticPr fontId="14" type="noConversion"/>
  </si>
  <si>
    <t>LG PDU(A1), #05 / 2P 50A</t>
    <phoneticPr fontId="14" type="noConversion"/>
  </si>
  <si>
    <t>LG PDU (B1), #05 /2P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</si>
  <si>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</si>
  <si>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</si>
  <si>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#05 / 2P 50A</t>
    <phoneticPr fontId="14" type="noConversion"/>
  </si>
  <si>
    <t>LG PDU (B2), #05 / 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</si>
  <si>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</si>
  <si>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</si>
  <si>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Rack#4 / R2-1-2</t>
    <phoneticPr fontId="14" type="noConversion"/>
  </si>
  <si>
    <t>LG PDU(A1), #07 / 2P 50A</t>
    <phoneticPr fontId="14" type="noConversion"/>
  </si>
  <si>
    <t>LG PDU (B1), #07 /2P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</si>
  <si>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</si>
  <si>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</si>
  <si>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#07 / 2P 50A</t>
    <phoneticPr fontId="14" type="noConversion"/>
  </si>
  <si>
    <t>LG PDU (B2), #07 / 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</si>
  <si>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</si>
  <si>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</si>
  <si>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Rack#5 / R2-2-2</t>
    <phoneticPr fontId="14" type="noConversion"/>
  </si>
  <si>
    <t>LG PDU(A1), #09 / 2P 50A</t>
    <phoneticPr fontId="14" type="noConversion"/>
  </si>
  <si>
    <t>LG PDU (B1), #09 /2P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</si>
  <si>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</si>
  <si>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</si>
  <si>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#09 / 2P 50A</t>
    <phoneticPr fontId="14" type="noConversion"/>
  </si>
  <si>
    <t>LG PDU (B2), #09 / 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</si>
  <si>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</si>
  <si>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</si>
  <si>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Rack#6 / R2-3-2</t>
    <phoneticPr fontId="14" type="noConversion"/>
  </si>
  <si>
    <t>LG PDU(A1), #11 / 2P 50A</t>
    <phoneticPr fontId="14" type="noConversion"/>
  </si>
  <si>
    <t>LG PDU (B1), #11 /2P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</si>
  <si>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</si>
  <si>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</si>
  <si>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#11 / 2P 50A</t>
    <phoneticPr fontId="14" type="noConversion"/>
  </si>
  <si>
    <t>LG PDU (B2), #11 / 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</si>
  <si>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</si>
  <si>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</si>
  <si>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Rack#7 / R2-4-2</t>
    <phoneticPr fontId="14" type="noConversion"/>
  </si>
  <si>
    <t>LG PDU(A1), #13 / 2P 50A</t>
    <phoneticPr fontId="14" type="noConversion"/>
  </si>
  <si>
    <t>LG PDU (B1), #13 /2P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</si>
  <si>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</si>
  <si>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</si>
  <si>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#13 / 2P 50A</t>
    <phoneticPr fontId="14" type="noConversion"/>
  </si>
  <si>
    <t>LG PDU (B2), #13 / 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</si>
  <si>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</si>
  <si>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</si>
  <si>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Rack#8 / R3-1-2</t>
    <phoneticPr fontId="14" type="noConversion"/>
  </si>
  <si>
    <t>LG PDU(A1), #02 / 2P 50A</t>
    <phoneticPr fontId="14" type="noConversion"/>
  </si>
  <si>
    <t>LG PDU (B1), #02 /2P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</si>
  <si>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</si>
  <si>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</si>
  <si>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#02 / 2P 50A</t>
    <phoneticPr fontId="14" type="noConversion"/>
  </si>
  <si>
    <t>LG PDU (B2), #02 / 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</si>
  <si>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</si>
  <si>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</si>
  <si>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Rack#9 / R3-2-2</t>
    <phoneticPr fontId="14" type="noConversion"/>
  </si>
  <si>
    <t>LG PDU(A1), #04 / 2P 50A</t>
    <phoneticPr fontId="14" type="noConversion"/>
  </si>
  <si>
    <t>LG PDU (B1), #04 /2P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</si>
  <si>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</si>
  <si>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</si>
  <si>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#04 / 2P 50A</t>
    <phoneticPr fontId="14" type="noConversion"/>
  </si>
  <si>
    <t>LG PDU (B2), #04 / 2P 50A</t>
    <phoneticPr fontId="14" type="noConversion"/>
  </si>
  <si>
    <t>NW/Mgmt Rack /
 R3-3</t>
    <phoneticPr fontId="14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</si>
  <si>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</si>
  <si>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NW/Mgmt Rack /
 R3-3-2</t>
    <phoneticPr fontId="14" type="noConversion"/>
  </si>
  <si>
    <t>LG PDU(A1), #06 / 2P 30A</t>
    <phoneticPr fontId="14" type="noConversion"/>
  </si>
  <si>
    <t>LG PDU (B1), #06 /2P 30A</t>
    <phoneticPr fontId="14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</si>
  <si>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</si>
  <si>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</si>
  <si>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</si>
  <si>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</si>
  <si>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#06 / 2P 30A</t>
    <phoneticPr fontId="14" type="noConversion"/>
  </si>
  <si>
    <t>LG PDU (B2), #06 / 2P 30A</t>
    <phoneticPr fontId="14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</si>
  <si>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</si>
  <si>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</si>
  <si>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4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</si>
  <si>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</si>
  <si>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Rack#1 / R4-1-2</t>
    <phoneticPr fontId="14" type="noConversion"/>
  </si>
  <si>
    <t>LG PDU(A1), #08 / 2P 50A</t>
    <phoneticPr fontId="14" type="noConversion"/>
  </si>
  <si>
    <t>LG PDU (B1), #08 /2P 50A</t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</si>
  <si>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</si>
  <si>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</si>
  <si>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#08 / 2P 50A</t>
    <phoneticPr fontId="14" type="noConversion"/>
  </si>
  <si>
    <t>LG PDU (B2), #08 / 2P 50A</t>
    <phoneticPr fontId="14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</si>
  <si>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</si>
  <si>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</si>
  <si>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Rack#2 / R4-2-2</t>
    <phoneticPr fontId="14" type="noConversion"/>
  </si>
  <si>
    <t>LG PDU(A1), #10 / 2P 50A</t>
    <phoneticPr fontId="14" type="noConversion"/>
  </si>
  <si>
    <t>LG PDU (B1), #10 /2P 50A</t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</si>
  <si>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</si>
  <si>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</si>
  <si>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#10 / 2P 50A</t>
    <phoneticPr fontId="14" type="noConversion"/>
  </si>
  <si>
    <t>LG PDU (B2), #10 / 2P 50A</t>
    <phoneticPr fontId="14" type="noConversion"/>
  </si>
  <si>
    <t>NetApp FAS#1 / R4-3</t>
    <phoneticPr fontId="14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</si>
  <si>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</si>
  <si>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NetApp FAS#1 / R4-3-2</t>
    <phoneticPr fontId="14" type="noConversion"/>
  </si>
  <si>
    <t>LG PDU(A1), #12 / 2P 30A</t>
    <phoneticPr fontId="14" type="noConversion"/>
  </si>
  <si>
    <t>LG PDU (B1), #12 /2P 30A</t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</si>
  <si>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</si>
  <si>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</si>
  <si>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#12 / 2P 30A</t>
    <phoneticPr fontId="14" type="noConversion"/>
  </si>
  <si>
    <t>LG PDU (B2), #12 / 2P 30A</t>
    <phoneticPr fontId="14" type="noConversion"/>
  </si>
  <si>
    <t>NetApp AFF#2 / R4-4</t>
    <phoneticPr fontId="14" type="noConversion"/>
  </si>
  <si>
    <t>NetApp AFF#2 /
 R4-4-1</t>
    <phoneticPr fontId="14" type="noConversion"/>
  </si>
  <si>
    <t>NetApp AFF#2 /
 R4-4-2</t>
    <phoneticPr fontId="14" type="noConversion"/>
  </si>
  <si>
    <t>LG PDU(A1), #14 / 2P 30A</t>
    <phoneticPr fontId="14" type="noConversion"/>
  </si>
  <si>
    <t>LG PDU (B1), #14 /2P 30A</t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</si>
  <si>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</si>
  <si>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</si>
  <si>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#14 / 2P 30A</t>
    <phoneticPr fontId="14" type="noConversion"/>
  </si>
  <si>
    <t>LG PDU (B2), #14 / 2P 30A</t>
    <phoneticPr fontId="14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</si>
  <si>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4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</si>
  <si>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</si>
  <si>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DGX Rack#1 / R5-1-2</t>
    <phoneticPr fontId="14" type="noConversion"/>
  </si>
  <si>
    <t>LG PDU(A1), #15 / 2P 30A</t>
    <phoneticPr fontId="14" type="noConversion"/>
  </si>
  <si>
    <t>LG PDU (B1), #15 /2P 30A</t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</si>
  <si>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</si>
  <si>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</si>
  <si>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#15 / 2P 30A</t>
    <phoneticPr fontId="14" type="noConversion"/>
  </si>
  <si>
    <t>LG PDU (B2), #15 / 2P 30A</t>
    <phoneticPr fontId="14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</si>
  <si>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</si>
  <si>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Rack#2 / R5-2-1</t>
    <phoneticPr fontId="14" type="noConversion"/>
  </si>
  <si>
    <t>DGX Rack#2 / R5-2-2</t>
    <phoneticPr fontId="14" type="noConversion"/>
  </si>
  <si>
    <t>LG PDU(A1), #17 / 2P 30A</t>
    <phoneticPr fontId="14" type="noConversion"/>
  </si>
  <si>
    <t>LG PDU (B1), #17 /2P 30A</t>
    <phoneticPr fontId="14" type="noConversion"/>
  </si>
  <si>
    <t>DGX Rack#2 / R5-2-3</t>
    <phoneticPr fontId="14" type="noConversion"/>
  </si>
  <si>
    <t>DGX Rack#2 / R5-2-4</t>
    <phoneticPr fontId="14" type="noConversion"/>
  </si>
  <si>
    <t>LG PDU(A2), #17 / 2P 30A</t>
    <phoneticPr fontId="14" type="noConversion"/>
  </si>
  <si>
    <t>LG PDU (B2), #17 / 2P 30A</t>
    <phoneticPr fontId="14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</si>
  <si>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</si>
  <si>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Rack#3 / R5-3-1</t>
    <phoneticPr fontId="14" type="noConversion"/>
  </si>
  <si>
    <t>DGX Rack#3 / R5-3-2</t>
    <phoneticPr fontId="14" type="noConversion"/>
  </si>
  <si>
    <t>LG PDU(A1), #19 / 2P 30A</t>
    <phoneticPr fontId="14" type="noConversion"/>
  </si>
  <si>
    <t>LG PDU (B1), #19 /2P 30A</t>
    <phoneticPr fontId="14" type="noConversion"/>
  </si>
  <si>
    <t>DGX Rack#3 / R5-3-3</t>
    <phoneticPr fontId="14" type="noConversion"/>
  </si>
  <si>
    <t>DGX Rack#3 / R5-3-4</t>
    <phoneticPr fontId="14" type="noConversion"/>
  </si>
  <si>
    <t>LG PDU(A2), #19 / 2P 30A</t>
    <phoneticPr fontId="14" type="noConversion"/>
  </si>
  <si>
    <t>LG PDU (B2), #19 / 2P 30A</t>
    <phoneticPr fontId="14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</si>
  <si>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</si>
  <si>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</si>
  <si>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예비Rack#1 / R6-1-2</t>
    <phoneticPr fontId="14" type="noConversion"/>
  </si>
  <si>
    <t>LG PDU(A1), #16 / 2P 50A</t>
    <phoneticPr fontId="14" type="noConversion"/>
  </si>
  <si>
    <t>LG PDU (B1), #16 /2P 50A</t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</si>
  <si>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</si>
  <si>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</si>
  <si>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#16 / 2P 50A</t>
    <phoneticPr fontId="14" type="noConversion"/>
  </si>
  <si>
    <t>LG PDU (B2), #16 / 2P 50A</t>
    <phoneticPr fontId="14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</si>
  <si>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</si>
  <si>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</si>
  <si>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예비Rack#2 / R6-2-2</t>
    <phoneticPr fontId="14" type="noConversion"/>
  </si>
  <si>
    <t>LG PDU(A1), #18 / 2P 50A</t>
    <phoneticPr fontId="14" type="noConversion"/>
  </si>
  <si>
    <t>LG PDU (B1), #18 /2P 50A</t>
    <phoneticPr fontId="14" type="noConversion"/>
  </si>
  <si>
    <t>예비Rack#2 / R6-2-3</t>
    <phoneticPr fontId="14" type="noConversion"/>
  </si>
  <si>
    <t>예비Rack#2 / R6-2-4</t>
    <phoneticPr fontId="14" type="noConversion"/>
  </si>
  <si>
    <t>LG PDU(A2), #18 / 2P 50A</t>
    <phoneticPr fontId="14" type="noConversion"/>
  </si>
  <si>
    <t>LG PDU (B2), #18 / 2P 50A</t>
    <phoneticPr fontId="14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</si>
  <si>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</si>
  <si>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</si>
  <si>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예비Rack#3 / R6-3-2</t>
    <phoneticPr fontId="14" type="noConversion"/>
  </si>
  <si>
    <t>LG PDU(A1), #20 / 2P 50A</t>
    <phoneticPr fontId="14" type="noConversion"/>
  </si>
  <si>
    <t>LG PDU (B1), #20 /2P 50A</t>
    <phoneticPr fontId="14" type="noConversion"/>
  </si>
  <si>
    <t>예비Rack#3 / R6-3-3</t>
    <phoneticPr fontId="14" type="noConversion"/>
  </si>
  <si>
    <t>예비Rack#3 / R6-3-4</t>
    <phoneticPr fontId="14" type="noConversion"/>
  </si>
  <si>
    <t>LG PDU(A2), #20 / 2P 50A</t>
    <phoneticPr fontId="14" type="noConversion"/>
  </si>
  <si>
    <t>LG PDU (B2), #20 / 2P 50A</t>
    <phoneticPr fontId="14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</si>
  <si>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</si>
  <si>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</si>
  <si>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예비Rack#4 / R6-4-2</t>
    <phoneticPr fontId="14" type="noConversion"/>
  </si>
  <si>
    <t>LG PDU(A1), #22 / 2P 50A</t>
    <phoneticPr fontId="14" type="noConversion"/>
  </si>
  <si>
    <t>LG PDU (B1), #22 /2P 50A</t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</si>
  <si>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</si>
  <si>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</si>
  <si>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#22 / 2P 50A</t>
    <phoneticPr fontId="14" type="noConversion"/>
  </si>
  <si>
    <t>LG PDU (B2), #22 / 2P 50A</t>
    <phoneticPr fontId="14" type="noConversion"/>
  </si>
  <si>
    <t>신규 BMS(4F TPS실) Rack</t>
  </si>
  <si>
    <t>신규 BMS(5F TPS실) Rack</t>
  </si>
  <si>
    <t>합 계</t>
    <phoneticPr fontId="14" type="noConversion"/>
  </si>
  <si>
    <t>4층 랙별 전기공급계통</t>
    <phoneticPr fontId="14" type="noConversion"/>
  </si>
  <si>
    <t>열 구분
(부스바명)</t>
    <phoneticPr fontId="14" type="noConversion"/>
  </si>
  <si>
    <t>세종 관리 Name
(IDC 관리명).</t>
    <phoneticPr fontId="14" type="noConversion"/>
  </si>
  <si>
    <t>DEK차단기 정보수정</t>
    <phoneticPr fontId="14" type="noConversion"/>
  </si>
  <si>
    <t>상</t>
    <phoneticPr fontId="14" type="noConversion"/>
  </si>
  <si>
    <t>하</t>
    <phoneticPr fontId="14" type="noConversion"/>
  </si>
  <si>
    <t>정류기</t>
    <phoneticPr fontId="14" type="noConversion"/>
  </si>
  <si>
    <t>정류기1호기</t>
    <phoneticPr fontId="14" type="noConversion"/>
  </si>
  <si>
    <t>KEN 1 #01 / 4P 100A</t>
    <phoneticPr fontId="14" type="noConversion"/>
  </si>
  <si>
    <t>KEN 1
4P 300A</t>
    <phoneticPr fontId="14" type="noConversion"/>
  </si>
  <si>
    <t>LV-4B #01
(3P 320A)</t>
    <phoneticPr fontId="14" type="noConversion"/>
  </si>
  <si>
    <t>TR-4B
(1000kVA)</t>
    <phoneticPr fontId="14" type="noConversion"/>
  </si>
  <si>
    <t>정류기2호기</t>
  </si>
  <si>
    <t>KEN 8 #01 / 4P 100A</t>
    <phoneticPr fontId="14" type="noConversion"/>
  </si>
  <si>
    <t>KEN 8
4P 300A</t>
    <phoneticPr fontId="14" type="noConversion"/>
  </si>
  <si>
    <t>LV-4A #01
(3P 320A)</t>
    <phoneticPr fontId="14" type="noConversion"/>
  </si>
  <si>
    <t>TR-4A
(1000kVA)</t>
    <phoneticPr fontId="14" type="noConversion"/>
  </si>
  <si>
    <t>항온항습기</t>
    <phoneticPr fontId="14" type="noConversion"/>
  </si>
  <si>
    <t>CRAC 4E-1호기(20RT)</t>
  </si>
  <si>
    <t>KEN 7 #02 / 4P 200A</t>
    <phoneticPr fontId="14" type="noConversion"/>
  </si>
  <si>
    <t>KEN 7
4P 300A</t>
    <phoneticPr fontId="14" type="noConversion"/>
  </si>
  <si>
    <t>LV-4B #05
(3P 320A)</t>
    <phoneticPr fontId="14" type="noConversion"/>
  </si>
  <si>
    <t>CRAC 4E-2호기(20RT)</t>
  </si>
  <si>
    <t>KEN 7 #03 / 4P 200A</t>
    <phoneticPr fontId="14" type="noConversion"/>
  </si>
  <si>
    <t>101~111Bay
/POP B열</t>
    <phoneticPr fontId="14" type="noConversion"/>
  </si>
  <si>
    <t>세종인터넷</t>
    <phoneticPr fontId="14" type="noConversion"/>
  </si>
  <si>
    <t>KEN 1 #03 / 2P 100A</t>
    <phoneticPr fontId="14" type="noConversion"/>
  </si>
  <si>
    <t>KEN 8 #03 / 2P 100A</t>
    <phoneticPr fontId="14" type="noConversion"/>
  </si>
  <si>
    <t>세종 Core Room</t>
    <phoneticPr fontId="14" type="noConversion"/>
  </si>
  <si>
    <t>201~211Bay
/POP C열</t>
    <phoneticPr fontId="14" type="noConversion"/>
  </si>
  <si>
    <t>KEN 1 #04 / 2P 100A</t>
    <phoneticPr fontId="14" type="noConversion"/>
  </si>
  <si>
    <t>KEN 8 #04 / 2P 100A</t>
    <phoneticPr fontId="14" type="noConversion"/>
  </si>
  <si>
    <t>301~311Bay
/POP D열</t>
    <phoneticPr fontId="14" type="noConversion"/>
  </si>
  <si>
    <t>KEN 1 #05 / 2P 100A</t>
    <phoneticPr fontId="14" type="noConversion"/>
  </si>
  <si>
    <t>KEN 8 #05 / 2P 100A</t>
    <phoneticPr fontId="14" type="noConversion"/>
  </si>
  <si>
    <t>401~411Bay
/POP E열</t>
    <phoneticPr fontId="14" type="noConversion"/>
  </si>
  <si>
    <t>KEN 1 #02 / 2P 100A</t>
    <phoneticPr fontId="14" type="noConversion"/>
  </si>
  <si>
    <t>KEN 8 #02 / 2P 100A</t>
    <phoneticPr fontId="14" type="noConversion"/>
  </si>
  <si>
    <t>501~511Bay
/POP F열</t>
    <phoneticPr fontId="14" type="noConversion"/>
  </si>
  <si>
    <t>KEN 2 #02 / 2P 100A</t>
    <phoneticPr fontId="14" type="noConversion"/>
  </si>
  <si>
    <t>KEN 9 #02 / 2P 100A</t>
    <phoneticPr fontId="14" type="noConversion"/>
  </si>
  <si>
    <t>KEN 2
4P 300A</t>
    <phoneticPr fontId="14" type="noConversion"/>
  </si>
  <si>
    <t>KEN 9
4P 300A</t>
    <phoneticPr fontId="14" type="noConversion"/>
  </si>
  <si>
    <t>LV-4B #06
(3P 320A)</t>
    <phoneticPr fontId="14" type="noConversion"/>
  </si>
  <si>
    <t>LV-4A #06
(3P 320A)</t>
    <phoneticPr fontId="14" type="noConversion"/>
  </si>
  <si>
    <t>601~611Bay
/1구역 B열</t>
    <phoneticPr fontId="14" type="noConversion"/>
  </si>
  <si>
    <t>KEN 2 #03 / 2P 100A</t>
    <phoneticPr fontId="14" type="noConversion"/>
  </si>
  <si>
    <t>KEN 9 #03 / 2P 100A</t>
    <phoneticPr fontId="14" type="noConversion"/>
  </si>
  <si>
    <t>철거
('21.10월)</t>
    <phoneticPr fontId="14" type="noConversion"/>
  </si>
  <si>
    <t>1구역 D열</t>
    <phoneticPr fontId="14" type="noConversion"/>
  </si>
  <si>
    <t>4F-D11</t>
  </si>
  <si>
    <t>KEN 2 #05  / 2P 100A</t>
    <phoneticPr fontId="14" type="noConversion"/>
  </si>
  <si>
    <t>KEN 9 #05  / 2P 100A</t>
    <phoneticPr fontId="14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</si>
  <si>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</si>
  <si>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</si>
  <si>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</si>
  <si>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</si>
  <si>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</si>
  <si>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</si>
  <si>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</si>
  <si>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</si>
  <si>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</si>
  <si>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</si>
  <si>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</si>
  <si>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</si>
  <si>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</si>
  <si>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</si>
  <si>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4" type="noConversion"/>
  </si>
  <si>
    <t>4F-E11</t>
  </si>
  <si>
    <t>KEN 2 #06 / 2P 100A</t>
    <phoneticPr fontId="14" type="noConversion"/>
  </si>
  <si>
    <t>KEN 9 #06 / 2P 100A</t>
    <phoneticPr fontId="14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</si>
  <si>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</si>
  <si>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</si>
  <si>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</si>
  <si>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</si>
  <si>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</si>
  <si>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</si>
  <si>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</si>
  <si>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</si>
  <si>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</si>
  <si>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</si>
  <si>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</si>
  <si>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</si>
  <si>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</si>
  <si>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4" type="noConversion"/>
  </si>
  <si>
    <t>4F-F11</t>
  </si>
  <si>
    <t>KEN 2 #07 / 2P 100A</t>
    <phoneticPr fontId="14" type="noConversion"/>
  </si>
  <si>
    <t>KEN 9 #07 / 2P 100A</t>
    <phoneticPr fontId="14" type="noConversion"/>
  </si>
  <si>
    <t>C802</t>
  </si>
  <si>
    <t>4F-F12</t>
  </si>
  <si>
    <t>4F-F13</t>
  </si>
  <si>
    <t>4F-F14</t>
  </si>
  <si>
    <t>4F-F15</t>
  </si>
  <si>
    <t>세틀뱅크</t>
    <phoneticPr fontId="14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</si>
  <si>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</si>
  <si>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</si>
  <si>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</si>
  <si>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</si>
  <si>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</si>
  <si>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</si>
  <si>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</si>
  <si>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</si>
  <si>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</si>
  <si>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4" type="noConversion"/>
  </si>
  <si>
    <t>4F-G11</t>
  </si>
  <si>
    <t>KEN 2 #08 / 2P 100A</t>
    <phoneticPr fontId="14" type="noConversion"/>
  </si>
  <si>
    <t>KEN 9 #08 / 2P 100A</t>
    <phoneticPr fontId="14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</si>
  <si>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</si>
  <si>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</si>
  <si>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</si>
  <si>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</si>
  <si>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</si>
  <si>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</si>
  <si>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</si>
  <si>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</si>
  <si>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</si>
  <si>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</si>
  <si>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</si>
  <si>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</si>
  <si>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</si>
  <si>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4" type="noConversion"/>
  </si>
  <si>
    <t>4F-H11</t>
  </si>
  <si>
    <t>KEN 1 #07 / 2P 100A</t>
    <phoneticPr fontId="14" type="noConversion"/>
  </si>
  <si>
    <t>KEN 8 #07 / 2P 100A</t>
    <phoneticPr fontId="14" type="noConversion"/>
  </si>
  <si>
    <t>4F-H12</t>
  </si>
  <si>
    <t>22/05/01 해지</t>
    <phoneticPr fontId="14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</si>
  <si>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</si>
  <si>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</si>
  <si>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</si>
  <si>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</si>
  <si>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</si>
  <si>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</si>
  <si>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</si>
  <si>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</si>
  <si>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</si>
  <si>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</si>
  <si>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4" type="noConversion"/>
  </si>
  <si>
    <t>4F-J11</t>
    <phoneticPr fontId="14" type="noConversion"/>
  </si>
  <si>
    <t>KEN 1 #06 / 2P 100A</t>
    <phoneticPr fontId="14" type="noConversion"/>
  </si>
  <si>
    <t>KEN 8 #06</t>
    <phoneticPr fontId="14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</si>
  <si>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</si>
  <si>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</si>
  <si>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</si>
  <si>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</si>
  <si>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</si>
  <si>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</si>
  <si>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</si>
  <si>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</si>
  <si>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</si>
  <si>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4" type="noConversion"/>
  </si>
  <si>
    <t>4F-K11</t>
    <phoneticPr fontId="14" type="noConversion"/>
  </si>
  <si>
    <t>KEN 3 #01 / 2P 100A</t>
    <phoneticPr fontId="14" type="noConversion"/>
  </si>
  <si>
    <t>KEN 10 #01 / 2P 100A</t>
    <phoneticPr fontId="14" type="noConversion"/>
  </si>
  <si>
    <t>KEN 3
4P 300A</t>
    <phoneticPr fontId="14" type="noConversion"/>
  </si>
  <si>
    <t>KEN 10
4P 300A</t>
    <phoneticPr fontId="14" type="noConversion"/>
  </si>
  <si>
    <t>LV-4B #03
(3P 320A)</t>
    <phoneticPr fontId="14" type="noConversion"/>
  </si>
  <si>
    <t>LV-4A #03
(3P 320A)</t>
    <phoneticPr fontId="14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</si>
  <si>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</si>
  <si>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</si>
  <si>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</si>
  <si>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</si>
  <si>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</si>
  <si>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</si>
  <si>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</si>
  <si>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</si>
  <si>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</si>
  <si>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4" type="noConversion"/>
  </si>
  <si>
    <t>4F-L11</t>
    <phoneticPr fontId="14" type="noConversion"/>
  </si>
  <si>
    <t>KEN 3 #02 / 2P 100A</t>
    <phoneticPr fontId="14" type="noConversion"/>
  </si>
  <si>
    <t>KEN 10 #02 / 2P 100A</t>
    <phoneticPr fontId="14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</si>
  <si>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</si>
  <si>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</si>
  <si>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</si>
  <si>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</si>
  <si>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</si>
  <si>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</si>
  <si>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</si>
  <si>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</si>
  <si>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</si>
  <si>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4" type="noConversion"/>
  </si>
  <si>
    <t>4F-M11</t>
    <phoneticPr fontId="14" type="noConversion"/>
  </si>
  <si>
    <t>KEN 3 #03 / 2P 100A</t>
    <phoneticPr fontId="14" type="noConversion"/>
  </si>
  <si>
    <t>KEN 10 #03 / 2P 100A</t>
    <phoneticPr fontId="14" type="noConversion"/>
  </si>
  <si>
    <t>4F-M12</t>
  </si>
  <si>
    <t>Singtel</t>
    <phoneticPr fontId="14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</si>
  <si>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</si>
  <si>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</si>
  <si>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</si>
  <si>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</si>
  <si>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</si>
  <si>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</si>
  <si>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</si>
  <si>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</si>
  <si>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</si>
  <si>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</si>
  <si>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4" type="noConversion"/>
  </si>
  <si>
    <t>KEN 3 #04 / 2P 100A</t>
    <phoneticPr fontId="14" type="noConversion"/>
  </si>
  <si>
    <t>KEN 10 #04 / 2P 100A</t>
    <phoneticPr fontId="14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</si>
  <si>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</si>
  <si>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</si>
  <si>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</si>
  <si>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</si>
  <si>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</si>
  <si>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</si>
  <si>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</si>
  <si>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</si>
  <si>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</si>
  <si>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</si>
  <si>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</si>
  <si>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</si>
  <si>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4" type="noConversion"/>
  </si>
  <si>
    <t>4F-Z11</t>
    <phoneticPr fontId="14" type="noConversion"/>
  </si>
  <si>
    <t>KEN 3 #5 / 2P 100A</t>
    <phoneticPr fontId="14" type="noConversion"/>
  </si>
  <si>
    <t>KEN 10 #5 / 2P 100A</t>
    <phoneticPr fontId="14" type="noConversion"/>
  </si>
  <si>
    <t>spare</t>
    <phoneticPr fontId="14" type="noConversion"/>
  </si>
  <si>
    <t>4F-Z12</t>
  </si>
  <si>
    <t>4F-Z13</t>
  </si>
  <si>
    <t>4F-Z14</t>
  </si>
  <si>
    <t>G3202</t>
    <phoneticPr fontId="14" type="noConversion"/>
  </si>
  <si>
    <t>N #02</t>
    <phoneticPr fontId="14" type="noConversion"/>
  </si>
  <si>
    <t>N #04 &amp; N #05</t>
    <phoneticPr fontId="14" type="noConversion"/>
  </si>
  <si>
    <t>N #01 &amp; N #03</t>
    <phoneticPr fontId="14" type="noConversion"/>
  </si>
  <si>
    <t>N #06</t>
    <phoneticPr fontId="14" type="noConversion"/>
  </si>
  <si>
    <t>3구역 O열</t>
    <phoneticPr fontId="14" type="noConversion"/>
  </si>
  <si>
    <t>KEN 3 #6 / 2P 100A</t>
    <phoneticPr fontId="14" type="noConversion"/>
  </si>
  <si>
    <t>KEN 10 #6 / 2P 100A</t>
    <phoneticPr fontId="14" type="noConversion"/>
  </si>
  <si>
    <t>O #01</t>
    <phoneticPr fontId="14" type="noConversion"/>
  </si>
  <si>
    <t>O #03</t>
    <phoneticPr fontId="14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</si>
  <si>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</si>
  <si>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</si>
  <si>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</si>
  <si>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</si>
  <si>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</si>
  <si>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</si>
  <si>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</si>
  <si>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</si>
  <si>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</si>
  <si>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</si>
  <si>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</si>
  <si>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</si>
  <si>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</si>
  <si>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</si>
  <si>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</si>
  <si>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</si>
  <si>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</si>
  <si>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</si>
  <si>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</si>
  <si>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4" type="noConversion"/>
  </si>
  <si>
    <t>4F-P20</t>
  </si>
  <si>
    <t>KEN 3 #7 / 2P 100A</t>
    <phoneticPr fontId="14" type="noConversion"/>
  </si>
  <si>
    <t>KEN 10 #7 / 2P 100A</t>
    <phoneticPr fontId="14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</si>
  <si>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</si>
  <si>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</si>
  <si>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</si>
  <si>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</si>
  <si>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</si>
  <si>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</si>
  <si>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</si>
  <si>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</si>
  <si>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4" type="noConversion"/>
  </si>
  <si>
    <t>KEN 3 #8 / 2P 100A</t>
    <phoneticPr fontId="14" type="noConversion"/>
  </si>
  <si>
    <t>KEN 10 #8 / 2P 100A</t>
    <phoneticPr fontId="14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</si>
  <si>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</si>
  <si>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</si>
  <si>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</si>
  <si>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</si>
  <si>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</si>
  <si>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</si>
  <si>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</si>
  <si>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</si>
  <si>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4" type="noConversion"/>
  </si>
  <si>
    <t>4F-R20</t>
  </si>
  <si>
    <t>KEN 3 #9 / 2P 100A</t>
    <phoneticPr fontId="14" type="noConversion"/>
  </si>
  <si>
    <t>KEN 10 #9 / 2P 100A</t>
    <phoneticPr fontId="14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</si>
  <si>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</si>
  <si>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</si>
  <si>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</si>
  <si>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</si>
  <si>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</si>
  <si>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</si>
  <si>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</si>
  <si>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</si>
  <si>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4" type="noConversion"/>
  </si>
  <si>
    <t>4F-S20</t>
  </si>
  <si>
    <t>KEN 3 #10 / 2P 100A</t>
    <phoneticPr fontId="14" type="noConversion"/>
  </si>
  <si>
    <t>KEN 10 #10 / 2P 100A</t>
    <phoneticPr fontId="14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</si>
  <si>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</si>
  <si>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</si>
  <si>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</si>
  <si>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</si>
  <si>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</si>
  <si>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</si>
  <si>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</si>
  <si>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</si>
  <si>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</si>
  <si>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4" type="noConversion"/>
  </si>
  <si>
    <t>G3201</t>
    <phoneticPr fontId="14" type="noConversion"/>
  </si>
  <si>
    <t>KEN 6 #09 / 2P 100A</t>
    <phoneticPr fontId="14" type="noConversion"/>
  </si>
  <si>
    <t>KEN 13 #09 / 2P 100A</t>
    <phoneticPr fontId="14" type="noConversion"/>
  </si>
  <si>
    <t>KEN 6
4P 300A</t>
    <phoneticPr fontId="14" type="noConversion"/>
  </si>
  <si>
    <t>KEN 13
4P 300A</t>
    <phoneticPr fontId="14" type="noConversion"/>
  </si>
  <si>
    <t>LV-4B #04
(3P 320A)</t>
    <phoneticPr fontId="14" type="noConversion"/>
  </si>
  <si>
    <t>LV-4A #04
(3P 320A)</t>
    <phoneticPr fontId="14" type="noConversion"/>
  </si>
  <si>
    <t>Cage 1-1-02 &amp; 03 (총 4회로)</t>
    <phoneticPr fontId="14" type="noConversion"/>
  </si>
  <si>
    <t>Café 1-1-01 (2회로)</t>
    <phoneticPr fontId="14" type="noConversion"/>
  </si>
  <si>
    <t>K 1-2</t>
    <phoneticPr fontId="14" type="noConversion"/>
  </si>
  <si>
    <t>KEN 6 #10 / 2P 100A</t>
  </si>
  <si>
    <t>KEN 13 #10 / 2P 100A</t>
  </si>
  <si>
    <t>K 2-1</t>
    <phoneticPr fontId="14" type="noConversion"/>
  </si>
  <si>
    <t>G2306</t>
    <phoneticPr fontId="14" type="noConversion"/>
  </si>
  <si>
    <t>4F Cage3-R01</t>
    <phoneticPr fontId="14" type="noConversion"/>
  </si>
  <si>
    <t>KEN 6 #01 / 2P 100A</t>
    <phoneticPr fontId="14" type="noConversion"/>
  </si>
  <si>
    <t>KEN 13 #01 / 2P 100A</t>
    <phoneticPr fontId="14" type="noConversion"/>
  </si>
  <si>
    <t>G2305</t>
    <phoneticPr fontId="14" type="noConversion"/>
  </si>
  <si>
    <t>4F Cage3-R02</t>
  </si>
  <si>
    <t>G2304</t>
    <phoneticPr fontId="14" type="noConversion"/>
  </si>
  <si>
    <t>4F Cage3-R03</t>
  </si>
  <si>
    <t>G2303</t>
    <phoneticPr fontId="14" type="noConversion"/>
  </si>
  <si>
    <t>4F Cage3-R04</t>
  </si>
  <si>
    <t>G2302</t>
    <phoneticPr fontId="14" type="noConversion"/>
  </si>
  <si>
    <t>4F Cage3-R05</t>
  </si>
  <si>
    <t>G2301</t>
    <phoneticPr fontId="14" type="noConversion"/>
  </si>
  <si>
    <t>4F Cage3-R06</t>
  </si>
  <si>
    <t>K 2-2</t>
    <phoneticPr fontId="14" type="noConversion"/>
  </si>
  <si>
    <t>G2205</t>
    <phoneticPr fontId="14" type="noConversion"/>
  </si>
  <si>
    <t>4F Cage3-R08</t>
    <phoneticPr fontId="14" type="noConversion"/>
  </si>
  <si>
    <t>KEN 6 #03 / 2P 100A</t>
    <phoneticPr fontId="14" type="noConversion"/>
  </si>
  <si>
    <t>KEN 13 #03 / 2P 100A</t>
    <phoneticPr fontId="14" type="noConversion"/>
  </si>
  <si>
    <t>4F Cage3-R10</t>
    <phoneticPr fontId="14" type="noConversion"/>
  </si>
  <si>
    <t>G2201</t>
    <phoneticPr fontId="14" type="noConversion"/>
  </si>
  <si>
    <t>4F Cage3-R12</t>
    <phoneticPr fontId="14" type="noConversion"/>
  </si>
  <si>
    <t>K 2-3</t>
    <phoneticPr fontId="14" type="noConversion"/>
  </si>
  <si>
    <t>G2206</t>
    <phoneticPr fontId="14" type="noConversion"/>
  </si>
  <si>
    <t>4F Cage3-R07</t>
    <phoneticPr fontId="14" type="noConversion"/>
  </si>
  <si>
    <t>KEN 6 #05 / 2P 100A</t>
    <phoneticPr fontId="14" type="noConversion"/>
  </si>
  <si>
    <t>KEN 13 #05 / 2P 100A</t>
    <phoneticPr fontId="14" type="noConversion"/>
  </si>
  <si>
    <t>G2204</t>
    <phoneticPr fontId="14" type="noConversion"/>
  </si>
  <si>
    <t>4F Cage3-R09</t>
    <phoneticPr fontId="14" type="noConversion"/>
  </si>
  <si>
    <t>G2202</t>
    <phoneticPr fontId="14" type="noConversion"/>
  </si>
  <si>
    <t>4F Cage3-R11</t>
    <phoneticPr fontId="14" type="noConversion"/>
  </si>
  <si>
    <t>K 2-4</t>
    <phoneticPr fontId="14" type="noConversion"/>
  </si>
  <si>
    <t>G2106</t>
    <phoneticPr fontId="14" type="noConversion"/>
  </si>
  <si>
    <t>4F Cage3-R13</t>
    <phoneticPr fontId="14" type="noConversion"/>
  </si>
  <si>
    <t>KEN 6 #07 / 2P 100A</t>
    <phoneticPr fontId="14" type="noConversion"/>
  </si>
  <si>
    <t>KEN 13 #07 / 2P 100A</t>
    <phoneticPr fontId="14" type="noConversion"/>
  </si>
  <si>
    <t>G2105</t>
    <phoneticPr fontId="14" type="noConversion"/>
  </si>
  <si>
    <t>4F Cage3-R14</t>
  </si>
  <si>
    <t>G2104</t>
    <phoneticPr fontId="14" type="noConversion"/>
  </si>
  <si>
    <t>4F Cage3-R15</t>
  </si>
  <si>
    <t>G2103</t>
    <phoneticPr fontId="14" type="noConversion"/>
  </si>
  <si>
    <t>4F Cage3-R16</t>
  </si>
  <si>
    <t>K 3-1</t>
    <phoneticPr fontId="14" type="noConversion"/>
  </si>
  <si>
    <t>4F Cage2-R15</t>
    <phoneticPr fontId="14" type="noConversion"/>
  </si>
  <si>
    <t>KEN 6 #02 / 2P 100A</t>
    <phoneticPr fontId="14" type="noConversion"/>
  </si>
  <si>
    <t>KEN 13 #02 / 2P 100A</t>
    <phoneticPr fontId="14" type="noConversion"/>
  </si>
  <si>
    <t>미디어꾼(구)윈텔)</t>
    <phoneticPr fontId="14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</si>
  <si>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</si>
  <si>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</si>
  <si>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</si>
  <si>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</si>
  <si>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</si>
  <si>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</si>
  <si>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</si>
  <si>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</si>
  <si>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</si>
  <si>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</si>
  <si>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4" type="noConversion"/>
  </si>
  <si>
    <t>G1203</t>
    <phoneticPr fontId="14" type="noConversion"/>
  </si>
  <si>
    <t>4F Cage2-R10</t>
    <phoneticPr fontId="14" type="noConversion"/>
  </si>
  <si>
    <t>KEN 6 #04 / 2P 100A</t>
    <phoneticPr fontId="14" type="noConversion"/>
  </si>
  <si>
    <t>KEN 13 #04 / 2P 100A</t>
    <phoneticPr fontId="14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</si>
  <si>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</si>
  <si>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</si>
  <si>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</si>
  <si>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</si>
  <si>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</si>
  <si>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</si>
  <si>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4" type="noConversion"/>
  </si>
  <si>
    <t>4F Cage2-R08</t>
    <phoneticPr fontId="14" type="noConversion"/>
  </si>
  <si>
    <t>KEN 6 #06 / 2P 100A</t>
    <phoneticPr fontId="14" type="noConversion"/>
  </si>
  <si>
    <t>KEN 13 #06 / 2P 100A</t>
    <phoneticPr fontId="14" type="noConversion"/>
  </si>
  <si>
    <t>4F Cage2-R09</t>
  </si>
  <si>
    <t>G1302</t>
    <phoneticPr fontId="14" type="noConversion"/>
  </si>
  <si>
    <t>4F Cage2-R02</t>
    <phoneticPr fontId="14" type="noConversion"/>
  </si>
  <si>
    <t>K 3-4</t>
    <phoneticPr fontId="14" type="noConversion"/>
  </si>
  <si>
    <t>G1301</t>
    <phoneticPr fontId="14" type="noConversion"/>
  </si>
  <si>
    <t>4F Cage2-R01</t>
    <phoneticPr fontId="14" type="noConversion"/>
  </si>
  <si>
    <t>KEN 6 #08 / 2P 100A</t>
    <phoneticPr fontId="14" type="noConversion"/>
  </si>
  <si>
    <t>KEN 13 #08 / 2P 100A</t>
    <phoneticPr fontId="14" type="noConversion"/>
  </si>
  <si>
    <t>미디어꾼(구)윈텔)</t>
  </si>
  <si>
    <t>G1303</t>
    <phoneticPr fontId="14" type="noConversion"/>
  </si>
  <si>
    <t>4F Cage2-R03</t>
    <phoneticPr fontId="14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</si>
  <si>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</si>
  <si>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</si>
  <si>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</si>
  <si>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</si>
  <si>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</si>
  <si>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</si>
  <si>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</si>
  <si>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</si>
  <si>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</si>
  <si>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</si>
  <si>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</si>
  <si>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</si>
  <si>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4" type="noConversion"/>
  </si>
  <si>
    <t>부하명</t>
  </si>
  <si>
    <t>배선연결</t>
    <phoneticPr fontId="14" type="noConversion"/>
  </si>
  <si>
    <t>ON/OFF</t>
  </si>
  <si>
    <t>R</t>
    <phoneticPr fontId="14" type="noConversion"/>
  </si>
  <si>
    <t>S</t>
    <phoneticPr fontId="14" type="noConversion"/>
  </si>
  <si>
    <t>T</t>
    <phoneticPr fontId="14" type="noConversion"/>
  </si>
  <si>
    <t>N</t>
    <phoneticPr fontId="14" type="noConversion"/>
  </si>
  <si>
    <t>CB 용량</t>
    <phoneticPr fontId="14" type="noConversion"/>
  </si>
  <si>
    <t>NO.</t>
    <phoneticPr fontId="14" type="noConversion"/>
  </si>
  <si>
    <t>DEK LOC #01</t>
  </si>
  <si>
    <t>O</t>
    <phoneticPr fontId="34" type="noConversion"/>
  </si>
  <si>
    <t>ON</t>
  </si>
  <si>
    <t>2P 30A</t>
    <phoneticPr fontId="14" type="noConversion"/>
  </si>
  <si>
    <t>#01</t>
    <phoneticPr fontId="14" type="noConversion"/>
  </si>
  <si>
    <t>#02</t>
  </si>
  <si>
    <t>O</t>
    <phoneticPr fontId="0" type="noConversion"/>
  </si>
  <si>
    <t>SECURITY #02</t>
  </si>
  <si>
    <t>DEK LOC #03</t>
  </si>
  <si>
    <t>#03</t>
    <phoneticPr fontId="14" type="noConversion"/>
  </si>
  <si>
    <t>#04</t>
  </si>
  <si>
    <t>OFF</t>
    <phoneticPr fontId="0" type="noConversion"/>
  </si>
  <si>
    <t>KIOSK #04</t>
  </si>
  <si>
    <t>DEK LOC #05</t>
  </si>
  <si>
    <t>#05</t>
    <phoneticPr fontId="14" type="noConversion"/>
  </si>
  <si>
    <t>#06</t>
  </si>
  <si>
    <t>RACK #06</t>
  </si>
  <si>
    <t>X</t>
    <phoneticPr fontId="20" type="noConversion"/>
  </si>
  <si>
    <t>OFF</t>
    <phoneticPr fontId="34" type="noConversion"/>
  </si>
  <si>
    <t>#07</t>
    <phoneticPr fontId="14" type="noConversion"/>
  </si>
  <si>
    <t>#08</t>
  </si>
  <si>
    <t>통합경보반 #08</t>
  </si>
  <si>
    <t>#09</t>
    <phoneticPr fontId="14" type="noConversion"/>
  </si>
  <si>
    <t>#10</t>
  </si>
  <si>
    <t>2P 30A</t>
  </si>
  <si>
    <t>#11</t>
    <phoneticPr fontId="14" type="noConversion"/>
  </si>
  <si>
    <t>#12</t>
  </si>
  <si>
    <t>#13</t>
    <phoneticPr fontId="14" type="noConversion"/>
  </si>
  <si>
    <t>#14</t>
  </si>
  <si>
    <t>#15</t>
    <phoneticPr fontId="14" type="noConversion"/>
  </si>
  <si>
    <t>#16</t>
  </si>
  <si>
    <t>#17</t>
    <phoneticPr fontId="14" type="noConversion"/>
  </si>
  <si>
    <t>#18</t>
  </si>
  <si>
    <t>SELABLE #18</t>
  </si>
  <si>
    <t>SJT 모니터 #19</t>
  </si>
  <si>
    <t>#19</t>
    <phoneticPr fontId="14" type="noConversion"/>
  </si>
  <si>
    <t>#20</t>
  </si>
  <si>
    <t>SELABLE #20</t>
  </si>
  <si>
    <t>STJ 사무실 # 21</t>
  </si>
  <si>
    <t>#21</t>
    <phoneticPr fontId="14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</si>
  <si>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</si>
  <si>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</si>
  <si>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</si>
  <si>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</si>
  <si>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</si>
  <si>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</si>
  <si>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</si>
  <si>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</si>
  <si>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</si>
  <si>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</si>
  <si>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</si>
  <si>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</si>
  <si>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</si>
  <si>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20" type="noConversion"/>
  </si>
  <si>
    <t>Main CB   4P 400A</t>
    <phoneticPr fontId="14" type="noConversion"/>
  </si>
  <si>
    <t>부하명</t>
    <phoneticPr fontId="14" type="noConversion"/>
  </si>
  <si>
    <t>W-DCS 8000</t>
    <phoneticPr fontId="20" type="noConversion"/>
  </si>
  <si>
    <t>O</t>
    <phoneticPr fontId="20" type="noConversion"/>
  </si>
  <si>
    <t>2P 20A</t>
    <phoneticPr fontId="14" type="noConversion"/>
  </si>
  <si>
    <t>#01</t>
  </si>
  <si>
    <t>전송</t>
    <phoneticPr fontId="20" type="noConversion"/>
  </si>
  <si>
    <t>O</t>
  </si>
  <si>
    <t>TO 8F 보안실 UPS항온
항습기 모니터용PC</t>
    <phoneticPr fontId="20" type="noConversion"/>
  </si>
  <si>
    <t>??</t>
    <phoneticPr fontId="14" type="noConversion"/>
  </si>
  <si>
    <t>#03</t>
  </si>
  <si>
    <t>넷피플</t>
    <phoneticPr fontId="20" type="noConversion"/>
  </si>
  <si>
    <t>E-4-B</t>
    <phoneticPr fontId="20" type="noConversion"/>
  </si>
  <si>
    <t>#05</t>
  </si>
  <si>
    <t>OFF</t>
    <phoneticPr fontId="20" type="noConversion"/>
  </si>
  <si>
    <t>E-3-B</t>
    <phoneticPr fontId="20" type="noConversion"/>
  </si>
  <si>
    <t>517 BAY</t>
    <phoneticPr fontId="20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</si>
  <si>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</si>
  <si>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4" type="noConversion"/>
  </si>
  <si>
    <t>Voice사업팀 MMS용-B</t>
    <phoneticPr fontId="20" type="noConversion"/>
  </si>
  <si>
    <t>#09</t>
  </si>
  <si>
    <t>IDC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</si>
  <si>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4" type="noConversion"/>
  </si>
  <si>
    <t>Voice사업팀 D-7 RACK</t>
    <phoneticPr fontId="20" type="noConversion"/>
  </si>
  <si>
    <t>ON</t>
    <phoneticPr fontId="20" type="noConversion"/>
  </si>
  <si>
    <t>#11</t>
  </si>
  <si>
    <t>니즈텔레콤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</si>
  <si>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4" type="noConversion"/>
  </si>
  <si>
    <t>ONS1064 SERVER</t>
    <phoneticPr fontId="20" type="noConversion"/>
  </si>
  <si>
    <t>#13</t>
  </si>
  <si>
    <t>엑사넷</t>
    <phoneticPr fontId="20" type="noConversion"/>
  </si>
  <si>
    <t>E-8-B</t>
  </si>
  <si>
    <t>NTT 하-1</t>
    <phoneticPr fontId="20" type="noConversion"/>
  </si>
  <si>
    <t>#15</t>
  </si>
  <si>
    <t>델피콤</t>
    <phoneticPr fontId="14" type="noConversion"/>
  </si>
  <si>
    <t>F-5-B</t>
  </si>
  <si>
    <t>8층 보안실 CCTV 모니터</t>
    <phoneticPr fontId="20" type="noConversion"/>
  </si>
  <si>
    <t>#17</t>
  </si>
  <si>
    <t>공통</t>
    <phoneticPr fontId="20" type="noConversion"/>
  </si>
  <si>
    <t>CARANG ('23.09.19)</t>
  </si>
  <si>
    <t>C604 / F-7-A</t>
  </si>
  <si>
    <t>G-10-A</t>
    <phoneticPr fontId="20" type="noConversion"/>
  </si>
  <si>
    <t>#19</t>
  </si>
  <si>
    <t>신한금융투자</t>
  </si>
  <si>
    <t>인터넷운영팀MAN
 RACK#2 전원A</t>
  </si>
  <si>
    <t>NTT 하-3</t>
    <phoneticPr fontId="20" type="noConversion"/>
  </si>
  <si>
    <t>#21</t>
  </si>
  <si>
    <t>NTT</t>
    <phoneticPr fontId="20" type="noConversion"/>
  </si>
  <si>
    <t>G-4-B</t>
  </si>
  <si>
    <t>C-7-A-Q1</t>
    <phoneticPr fontId="20" type="noConversion"/>
  </si>
  <si>
    <t>#23</t>
  </si>
  <si>
    <t>NTT</t>
    <phoneticPr fontId="14" type="noConversion"/>
  </si>
  <si>
    <t>#24</t>
  </si>
  <si>
    <t>G-6-B</t>
  </si>
  <si>
    <t>인터넷운영팀MAN
 RACK#2 전원B</t>
    <phoneticPr fontId="20" type="noConversion"/>
  </si>
  <si>
    <t>#25</t>
  </si>
  <si>
    <t>교환라우터(총무팀 ??)</t>
    <phoneticPr fontId="14" type="noConversion"/>
  </si>
  <si>
    <t>#26</t>
  </si>
  <si>
    <t>F-3-B</t>
  </si>
  <si>
    <t>NMS B-15</t>
    <phoneticPr fontId="20" type="noConversion"/>
  </si>
  <si>
    <t>#27</t>
  </si>
  <si>
    <t>#28</t>
  </si>
  <si>
    <t>NMS B-16</t>
    <phoneticPr fontId="20" type="noConversion"/>
  </si>
  <si>
    <t>#29</t>
  </si>
  <si>
    <t>#30</t>
  </si>
  <si>
    <t>#31</t>
  </si>
  <si>
    <t>#32</t>
  </si>
  <si>
    <t>전산랙 410BAY(B)</t>
    <phoneticPr fontId="14" type="noConversion"/>
  </si>
  <si>
    <t>G-5-B</t>
    <phoneticPr fontId="20" type="noConversion"/>
  </si>
  <si>
    <t>#33</t>
  </si>
  <si>
    <t>#34</t>
  </si>
  <si>
    <t>D-6-B</t>
  </si>
  <si>
    <t>G-1-B</t>
    <phoneticPr fontId="20" type="noConversion"/>
  </si>
  <si>
    <t>#35</t>
  </si>
  <si>
    <t>르네트</t>
    <phoneticPr fontId="20" type="noConversion"/>
  </si>
  <si>
    <t>#36</t>
  </si>
  <si>
    <t>E-9-B</t>
  </si>
  <si>
    <t>C-7-B-Q1</t>
    <phoneticPr fontId="20" type="noConversion"/>
  </si>
  <si>
    <t>#37</t>
  </si>
  <si>
    <t>#38</t>
  </si>
  <si>
    <t>D-7-B</t>
  </si>
  <si>
    <t>G-2-B</t>
    <phoneticPr fontId="20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</si>
  <si>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</si>
  <si>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</si>
  <si>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4" type="noConversion"/>
  </si>
  <si>
    <t>총합:</t>
    <phoneticPr fontId="20" type="noConversion"/>
  </si>
  <si>
    <t>U3-7B PANEL(From:TRroom-U7-6B)</t>
    <phoneticPr fontId="20" type="noConversion"/>
  </si>
  <si>
    <t>Main CB   4P 300A</t>
    <phoneticPr fontId="14" type="noConversion"/>
  </si>
  <si>
    <t>G-3-B (NTT#8-B)</t>
  </si>
  <si>
    <t>쿼드마이너</t>
  </si>
  <si>
    <t>C503</t>
    <phoneticPr fontId="20" type="noConversion"/>
  </si>
  <si>
    <t>쿼드마이너 예약상면</t>
  </si>
  <si>
    <t>7B-342BAY</t>
  </si>
  <si>
    <t>인터넷 IP 랙</t>
  </si>
  <si>
    <t>U3-7B-D1</t>
    <phoneticPr fontId="20" type="noConversion"/>
  </si>
  <si>
    <t>OFF</t>
  </si>
  <si>
    <t>NTT</t>
  </si>
  <si>
    <t>U3-7B-D5 B</t>
    <phoneticPr fontId="20" type="noConversion"/>
  </si>
  <si>
    <t>241BAY-B</t>
  </si>
  <si>
    <t>전송</t>
    <phoneticPr fontId="14" type="noConversion"/>
  </si>
  <si>
    <t>U3-7B-337</t>
    <phoneticPr fontId="34" type="noConversion"/>
  </si>
  <si>
    <t>242BAY-B</t>
  </si>
  <si>
    <t>7F-C-6-NTT#3-B</t>
    <phoneticPr fontId="14" type="noConversion"/>
  </si>
  <si>
    <t>209Bay - B</t>
    <phoneticPr fontId="14" type="noConversion"/>
  </si>
  <si>
    <t>U3-7B G-3-B</t>
    <phoneticPr fontId="14" type="noConversion"/>
  </si>
  <si>
    <t>210Bay - B</t>
    <phoneticPr fontId="14" type="noConversion"/>
  </si>
  <si>
    <t>DEKR Network Rack</t>
    <phoneticPr fontId="14" type="noConversion"/>
  </si>
  <si>
    <t>218Bay - A전원
('22.01.12 투입)</t>
    <phoneticPr fontId="14" type="noConversion"/>
  </si>
  <si>
    <t>TATA#1/B</t>
  </si>
  <si>
    <t>TATA</t>
    <phoneticPr fontId="14" type="noConversion"/>
  </si>
  <si>
    <t>217Bay - A전원
('22.01.12 투입)</t>
    <phoneticPr fontId="14" type="noConversion"/>
  </si>
  <si>
    <t>208BAY-B</t>
  </si>
  <si>
    <t>318Bay - DEK Network Rack</t>
    <phoneticPr fontId="14" type="noConversion"/>
  </si>
  <si>
    <t>318BAY-B
U3-7B-18</t>
    <phoneticPr fontId="14" type="noConversion"/>
  </si>
  <si>
    <t>207BAY-B</t>
  </si>
  <si>
    <t>317Bay - DEK Network Rack</t>
    <phoneticPr fontId="14" type="noConversion"/>
  </si>
  <si>
    <t>317BAY-B
U3-7B-20</t>
    <phoneticPr fontId="14" type="noConversion"/>
  </si>
  <si>
    <t>206BAY-B</t>
  </si>
  <si>
    <t>316Bay - DEK Network Rack</t>
    <phoneticPr fontId="14" type="noConversion"/>
  </si>
  <si>
    <t>316BAY-B
U3-7B-22</t>
    <phoneticPr fontId="14" type="noConversion"/>
  </si>
  <si>
    <t>205BAY-B</t>
  </si>
  <si>
    <t>315Bay - DEK Network Rack</t>
    <phoneticPr fontId="14" type="noConversion"/>
  </si>
  <si>
    <t>315BAY-B
U3-7B-24</t>
    <phoneticPr fontId="14" type="noConversion"/>
  </si>
  <si>
    <t>204BAY-B</t>
  </si>
  <si>
    <t>314Bay - DEK Network Rack</t>
    <phoneticPr fontId="14" type="noConversion"/>
  </si>
  <si>
    <t>314BAY-B
U3-7B-26</t>
    <phoneticPr fontId="14" type="noConversion"/>
  </si>
  <si>
    <t>208BAY-B(2)</t>
  </si>
  <si>
    <t>313Bay - DEK Network Rack</t>
    <phoneticPr fontId="14" type="noConversion"/>
  </si>
  <si>
    <t>313BAY-B
U3-7B-28</t>
    <phoneticPr fontId="14" type="noConversion"/>
  </si>
  <si>
    <t>C604 / F-7-B</t>
  </si>
  <si>
    <t>드림라인</t>
    <phoneticPr fontId="14" type="noConversion"/>
  </si>
  <si>
    <t>301BAY
U3-7B-30</t>
    <phoneticPr fontId="14" type="noConversion"/>
  </si>
  <si>
    <t>U3-7B-31
B-6-B</t>
  </si>
  <si>
    <t>세종 인터넷(클라우드이음)</t>
  </si>
  <si>
    <t>203Bay - 세종-아톤AWS</t>
    <phoneticPr fontId="14" type="noConversion"/>
  </si>
  <si>
    <t>203Bay-B ('22.07.14 투입)
U3-7B-32</t>
    <phoneticPr fontId="14" type="noConversion"/>
  </si>
  <si>
    <t>B-7-B</t>
  </si>
  <si>
    <t>O</t>
    <phoneticPr fontId="10" type="noConversion"/>
  </si>
  <si>
    <t>C909 (舊 C-02)
 / TATA#02</t>
    <phoneticPr fontId="14" type="noConversion"/>
  </si>
  <si>
    <t>C-02(C909-B)
U3-7B-34</t>
    <phoneticPr fontId="14" type="noConversion"/>
  </si>
  <si>
    <t>B-8-B</t>
  </si>
  <si>
    <t>B424(310BAY-B)</t>
    <phoneticPr fontId="14" type="noConversion"/>
  </si>
  <si>
    <t>Test Bed #2
U3-7B-37</t>
  </si>
  <si>
    <t>B423(311BAY-B)</t>
    <phoneticPr fontId="14" type="noConversion"/>
  </si>
  <si>
    <t>7-1-B2-30-39</t>
  </si>
  <si>
    <t>B422(312BAY-B)</t>
    <phoneticPr fontId="14" type="noConversion"/>
  </si>
  <si>
    <t>7B-30-41(C409)</t>
  </si>
  <si>
    <t>#41</t>
    <phoneticPr fontId="14" type="noConversion"/>
  </si>
  <si>
    <t>#42</t>
    <phoneticPr fontId="14" type="noConversion"/>
  </si>
  <si>
    <t>7-1-B2-30-42</t>
  </si>
  <si>
    <t>#43</t>
    <phoneticPr fontId="14" type="noConversion"/>
  </si>
  <si>
    <t>쿼드마이너</t>
    <phoneticPr fontId="14" type="noConversion"/>
  </si>
  <si>
    <t>#44</t>
    <phoneticPr fontId="14" type="noConversion"/>
  </si>
  <si>
    <t>2023/04/10 랙 반입 예정</t>
    <phoneticPr fontId="14" type="noConversion"/>
  </si>
  <si>
    <t>#45</t>
    <phoneticPr fontId="14" type="noConversion"/>
  </si>
  <si>
    <t>#46</t>
    <phoneticPr fontId="14" type="noConversion"/>
  </si>
  <si>
    <t>쿼드마이너 예약상면</t>
    <phoneticPr fontId="14" type="noConversion"/>
  </si>
  <si>
    <t>#47</t>
    <phoneticPr fontId="14" type="noConversion"/>
  </si>
  <si>
    <t>#48</t>
    <phoneticPr fontId="14" type="noConversion"/>
  </si>
  <si>
    <t>#49</t>
    <phoneticPr fontId="14" type="noConversion"/>
  </si>
  <si>
    <t>20F BMS</t>
  </si>
  <si>
    <t>#50</t>
    <phoneticPr fontId="14" type="noConversion"/>
  </si>
  <si>
    <t>7층 출입카드</t>
    <phoneticPr fontId="14" type="noConversion"/>
  </si>
  <si>
    <t>#51</t>
    <phoneticPr fontId="14" type="noConversion"/>
  </si>
  <si>
    <t>7F BMS</t>
  </si>
  <si>
    <t>#52</t>
    <phoneticPr fontId="14" type="noConversion"/>
  </si>
  <si>
    <t>20F MAIN (FMS)</t>
    <phoneticPr fontId="14" type="noConversion"/>
  </si>
  <si>
    <t>7B-D5-#1</t>
  </si>
  <si>
    <t>#53</t>
    <phoneticPr fontId="14" type="noConversion"/>
  </si>
  <si>
    <t>#54</t>
    <phoneticPr fontId="14" type="noConversion"/>
  </si>
  <si>
    <t>7F MAIN (FMS)</t>
    <phoneticPr fontId="14" type="noConversion"/>
  </si>
  <si>
    <t>U3-7A PANEL(From:TRroom-U7-5A)</t>
    <phoneticPr fontId="20" type="noConversion"/>
  </si>
  <si>
    <t>G-3-A (NTT#8-A)</t>
  </si>
  <si>
    <t>G-8-A (C503)</t>
    <phoneticPr fontId="14" type="noConversion"/>
  </si>
  <si>
    <t>F-5-A</t>
  </si>
  <si>
    <t>텔피콤</t>
    <phoneticPr fontId="20" type="noConversion"/>
  </si>
  <si>
    <t>D-1-A</t>
  </si>
  <si>
    <t>7A-342BAY</t>
  </si>
  <si>
    <t>인터넷 IP 랙</t>
    <phoneticPr fontId="14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</si>
  <si>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</si>
  <si>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</si>
  <si>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4" type="noConversion"/>
  </si>
  <si>
    <t>242BAY-A</t>
  </si>
  <si>
    <t>C-6-A</t>
  </si>
  <si>
    <t>209Bay - A</t>
    <phoneticPr fontId="14" type="noConversion"/>
  </si>
  <si>
    <t>U3-7A G-3-A</t>
  </si>
  <si>
    <t>210Bay - A</t>
    <phoneticPr fontId="14" type="noConversion"/>
  </si>
  <si>
    <t>TATA#1/A</t>
  </si>
  <si>
    <t>208BYA-A</t>
  </si>
  <si>
    <t>318BAY-A
U3-7A-18</t>
    <phoneticPr fontId="14" type="noConversion"/>
  </si>
  <si>
    <t>207BYA-A</t>
  </si>
  <si>
    <t>317BAY-A
U3-7A-20</t>
    <phoneticPr fontId="14" type="noConversion"/>
  </si>
  <si>
    <t>206BYA-A</t>
  </si>
  <si>
    <t>316BAY-A
U3-7A-22</t>
    <phoneticPr fontId="14" type="noConversion"/>
  </si>
  <si>
    <t>205BYA-A</t>
  </si>
  <si>
    <t>315BAY-A
U3-7A-24</t>
    <phoneticPr fontId="14" type="noConversion"/>
  </si>
  <si>
    <t>204BYA-A</t>
  </si>
  <si>
    <t>314BAY-A
U3-7A-26</t>
    <phoneticPr fontId="14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</si>
  <si>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4" type="noConversion"/>
  </si>
  <si>
    <t>313BAY-A
U3-7A-28</t>
    <phoneticPr fontId="14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</si>
  <si>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4" type="noConversion"/>
  </si>
  <si>
    <t>김종원M 요구회로</t>
    <phoneticPr fontId="14" type="noConversion"/>
  </si>
  <si>
    <t>301BAY
U3-7A-30</t>
    <phoneticPr fontId="14" type="noConversion"/>
  </si>
  <si>
    <t>U3-7A-31
B-6-A</t>
  </si>
  <si>
    <t>203Bay-A ('22.07.14 투입)
U3-7A-32</t>
    <phoneticPr fontId="14" type="noConversion"/>
  </si>
  <si>
    <t>B-7-A</t>
  </si>
  <si>
    <t>C-02(C909-A)
U3-7A-34</t>
    <phoneticPr fontId="14" type="noConversion"/>
  </si>
  <si>
    <t>B-8-A</t>
  </si>
  <si>
    <t>B424(310BAY-A)</t>
    <phoneticPr fontId="14" type="noConversion"/>
  </si>
  <si>
    <t>Test Bed #1
U3-7A-37</t>
  </si>
  <si>
    <t>B423(311BAY-A)</t>
    <phoneticPr fontId="14" type="noConversion"/>
  </si>
  <si>
    <t>7-1-A2-30-39</t>
  </si>
  <si>
    <t>B422(312BAY-A)</t>
    <phoneticPr fontId="14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</si>
  <si>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</si>
  <si>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</si>
  <si>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</si>
  <si>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</si>
  <si>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</si>
  <si>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</si>
  <si>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</si>
  <si>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</si>
  <si>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</si>
  <si>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</si>
  <si>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</si>
  <si>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</si>
  <si>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</si>
  <si>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</si>
  <si>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4" type="noConversion"/>
  </si>
  <si>
    <t>#53</t>
  </si>
  <si>
    <t>#54</t>
  </si>
  <si>
    <t>7A-D5-#1</t>
    <phoneticPr fontId="20" type="noConversion"/>
  </si>
  <si>
    <t>UPS 출력 분전반 B1(From:7F 창고)</t>
    <phoneticPr fontId="20" type="noConversion"/>
  </si>
  <si>
    <t>NO</t>
    <phoneticPr fontId="14" type="noConversion"/>
  </si>
  <si>
    <t>NO</t>
  </si>
  <si>
    <t>강남방향 창가열 콘센트</t>
    <phoneticPr fontId="20" type="noConversion"/>
  </si>
  <si>
    <t>#02</t>
    <phoneticPr fontId="14" type="noConversion"/>
  </si>
  <si>
    <t>정면창가 콘센트</t>
    <phoneticPr fontId="20" type="noConversion"/>
  </si>
  <si>
    <t>#04</t>
    <phoneticPr fontId="14" type="noConversion"/>
  </si>
  <si>
    <t>NTT 상-1</t>
    <phoneticPr fontId="20" type="noConversion"/>
  </si>
  <si>
    <t>301 BAY</t>
    <phoneticPr fontId="20" type="noConversion"/>
  </si>
  <si>
    <t>#06</t>
    <phoneticPr fontId="14" type="noConversion"/>
  </si>
  <si>
    <t>GAINS</t>
    <phoneticPr fontId="20" type="noConversion"/>
  </si>
  <si>
    <t>C2C DWDM 
EMS RACK</t>
    <phoneticPr fontId="20" type="noConversion"/>
  </si>
  <si>
    <t>#08</t>
    <phoneticPr fontId="14" type="noConversion"/>
  </si>
  <si>
    <t>C-8-A</t>
    <phoneticPr fontId="20" type="noConversion"/>
  </si>
  <si>
    <t>신한금융투자</t>
    <phoneticPr fontId="14" type="noConversion"/>
  </si>
  <si>
    <t>#10</t>
    <phoneticPr fontId="14" type="noConversion"/>
  </si>
  <si>
    <t>G-10-B</t>
    <phoneticPr fontId="20" type="noConversion"/>
  </si>
  <si>
    <t>#12</t>
    <phoneticPr fontId="14" type="noConversion"/>
  </si>
  <si>
    <t>C-8-B</t>
    <phoneticPr fontId="20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</si>
  <si>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4" type="noConversion"/>
  </si>
  <si>
    <t>유엔시스</t>
    <phoneticPr fontId="14" type="noConversion"/>
  </si>
  <si>
    <t>#14</t>
    <phoneticPr fontId="14" type="noConversion"/>
  </si>
  <si>
    <t>D-3-A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</si>
  <si>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4" type="noConversion"/>
  </si>
  <si>
    <t>#16</t>
    <phoneticPr fontId="14" type="noConversion"/>
  </si>
  <si>
    <t>G-4-A (NTT#7)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</si>
  <si>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4" type="noConversion"/>
  </si>
  <si>
    <t>#18</t>
    <phoneticPr fontId="14" type="noConversion"/>
  </si>
  <si>
    <t>G-6-A</t>
    <phoneticPr fontId="20" type="noConversion"/>
  </si>
  <si>
    <t>E-2-A</t>
    <phoneticPr fontId="20" type="noConversion"/>
  </si>
  <si>
    <t>#20</t>
    <phoneticPr fontId="14" type="noConversion"/>
  </si>
  <si>
    <t>F-3-A</t>
    <phoneticPr fontId="20" type="noConversion"/>
  </si>
  <si>
    <t>E-5-A</t>
    <phoneticPr fontId="20" type="noConversion"/>
  </si>
  <si>
    <t>니즈텔레콤</t>
  </si>
  <si>
    <t>#22</t>
    <phoneticPr fontId="14" type="noConversion"/>
  </si>
  <si>
    <t>운용실 바닥콘센트</t>
    <phoneticPr fontId="20" type="noConversion"/>
  </si>
  <si>
    <t>E-6-A</t>
    <phoneticPr fontId="20" type="noConversion"/>
  </si>
  <si>
    <t>#23</t>
    <phoneticPr fontId="14" type="noConversion"/>
  </si>
  <si>
    <t>#24</t>
    <phoneticPr fontId="14" type="noConversion"/>
  </si>
  <si>
    <t>운용실 콘센트 창가1열</t>
    <phoneticPr fontId="20" type="noConversion"/>
  </si>
  <si>
    <t>E-7-A</t>
    <phoneticPr fontId="20" type="noConversion"/>
  </si>
  <si>
    <t>#25</t>
    <phoneticPr fontId="14" type="noConversion"/>
  </si>
  <si>
    <t>#26</t>
    <phoneticPr fontId="14" type="noConversion"/>
  </si>
  <si>
    <t>전산랙 410 BAY-A</t>
    <phoneticPr fontId="20" type="noConversion"/>
  </si>
  <si>
    <t>E-8-A</t>
    <phoneticPr fontId="20" type="noConversion"/>
  </si>
  <si>
    <t>#27</t>
    <phoneticPr fontId="14" type="noConversion"/>
  </si>
  <si>
    <t>엑사넷</t>
    <phoneticPr fontId="14" type="noConversion"/>
  </si>
  <si>
    <t>#28</t>
    <phoneticPr fontId="14" type="noConversion"/>
  </si>
  <si>
    <t>D-6-A</t>
    <phoneticPr fontId="20" type="noConversion"/>
  </si>
  <si>
    <t>G-5-A</t>
    <phoneticPr fontId="20" type="noConversion"/>
  </si>
  <si>
    <t>#29</t>
    <phoneticPr fontId="14" type="noConversion"/>
  </si>
  <si>
    <t>르네트</t>
    <phoneticPr fontId="14" type="noConversion"/>
  </si>
  <si>
    <t>#30</t>
    <phoneticPr fontId="14" type="noConversion"/>
  </si>
  <si>
    <t>E-9-A</t>
    <phoneticPr fontId="20" type="noConversion"/>
  </si>
  <si>
    <t>Voice사업팀 
NMS용-A</t>
    <phoneticPr fontId="20" type="noConversion"/>
  </si>
  <si>
    <t>#31</t>
    <phoneticPr fontId="14" type="noConversion"/>
  </si>
  <si>
    <t>#32</t>
    <phoneticPr fontId="14" type="noConversion"/>
  </si>
  <si>
    <t>D-7-A</t>
    <phoneticPr fontId="20" type="noConversion"/>
  </si>
  <si>
    <t>NTT 상-3</t>
    <phoneticPr fontId="20" type="noConversion"/>
  </si>
  <si>
    <t>#33</t>
    <phoneticPr fontId="14" type="noConversion"/>
  </si>
  <si>
    <t>#34</t>
    <phoneticPr fontId="14" type="noConversion"/>
  </si>
  <si>
    <t>F-8-A</t>
    <phoneticPr fontId="20" type="noConversion"/>
  </si>
  <si>
    <t>7F NMS A-18</t>
    <phoneticPr fontId="20" type="noConversion"/>
  </si>
  <si>
    <t>#35</t>
    <phoneticPr fontId="14" type="noConversion"/>
  </si>
  <si>
    <t>델피콤</t>
    <phoneticPr fontId="20" type="noConversion"/>
  </si>
  <si>
    <t>#36</t>
    <phoneticPr fontId="14" type="noConversion"/>
  </si>
  <si>
    <t>F-6-A</t>
    <phoneticPr fontId="20" type="noConversion"/>
  </si>
  <si>
    <t>7F NMS A-19</t>
    <phoneticPr fontId="20" type="noConversion"/>
  </si>
  <si>
    <t>#37</t>
    <phoneticPr fontId="14" type="noConversion"/>
  </si>
  <si>
    <t>#38</t>
    <phoneticPr fontId="14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</si>
  <si>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4" type="noConversion"/>
  </si>
  <si>
    <t>7F NMS A-20</t>
    <phoneticPr fontId="20" type="noConversion"/>
  </si>
  <si>
    <t>#39</t>
    <phoneticPr fontId="14" type="noConversion"/>
  </si>
  <si>
    <t>#40</t>
    <phoneticPr fontId="14" type="noConversion"/>
  </si>
  <si>
    <t>F-9-A</t>
    <phoneticPr fontId="20" type="noConversion"/>
  </si>
  <si>
    <t>Main CB   4P 225A</t>
    <phoneticPr fontId="14" type="noConversion"/>
  </si>
  <si>
    <t>A-1-A  [A2-7-1]</t>
    <phoneticPr fontId="20" type="noConversion"/>
  </si>
  <si>
    <t>2P 50A</t>
    <phoneticPr fontId="14" type="noConversion"/>
  </si>
  <si>
    <t>CJ HELLOVISION</t>
  </si>
  <si>
    <t>D-4-A  [D3-A]</t>
    <phoneticPr fontId="20" type="noConversion"/>
  </si>
  <si>
    <t>A-2-A  [A2-7-2]</t>
    <phoneticPr fontId="20" type="noConversion"/>
  </si>
  <si>
    <t>X</t>
    <phoneticPr fontId="0" type="noConversion"/>
  </si>
  <si>
    <t>G-7-A</t>
    <phoneticPr fontId="14" type="noConversion"/>
  </si>
  <si>
    <t>A-3-A  [A2-7-3]</t>
    <phoneticPr fontId="20" type="noConversion"/>
  </si>
  <si>
    <t>A-7-A  [A2-7-7]</t>
    <phoneticPr fontId="20" type="noConversion"/>
  </si>
  <si>
    <t>A-4-A  [A2-7-4]</t>
    <phoneticPr fontId="20" type="noConversion"/>
  </si>
  <si>
    <t>A-8-A  [A2-7-8]</t>
    <phoneticPr fontId="20" type="noConversion"/>
  </si>
  <si>
    <t>A-5-A  [A2-7-5]</t>
    <phoneticPr fontId="20" type="noConversion"/>
  </si>
  <si>
    <t>A-6-A  [A2-7-6]</t>
    <phoneticPr fontId="20" type="noConversion"/>
  </si>
  <si>
    <t>[A]</t>
    <phoneticPr fontId="20" type="noConversion"/>
  </si>
  <si>
    <t>A-1-B  [B2-7-1]</t>
    <phoneticPr fontId="20" type="noConversion"/>
  </si>
  <si>
    <t>D-4-B  [D3-B]</t>
    <phoneticPr fontId="20" type="noConversion"/>
  </si>
  <si>
    <t>A-2-B  [B2-7-2]</t>
    <phoneticPr fontId="20" type="noConversion"/>
  </si>
  <si>
    <t>G-7-B</t>
    <phoneticPr fontId="14" type="noConversion"/>
  </si>
  <si>
    <t>A-3-B  [B2-7-3]</t>
    <phoneticPr fontId="20" type="noConversion"/>
  </si>
  <si>
    <t>A-7-B  [B2-7-7]</t>
    <phoneticPr fontId="20" type="noConversion"/>
  </si>
  <si>
    <t>A-4-B  [B2-7-4]</t>
    <phoneticPr fontId="20" type="noConversion"/>
  </si>
  <si>
    <t>A-8-B  [B2-7-8]</t>
    <phoneticPr fontId="20" type="noConversion"/>
  </si>
  <si>
    <t>A-5-B  [B2-7-5]</t>
    <phoneticPr fontId="20" type="noConversion"/>
  </si>
  <si>
    <t>A-6-B  [B2-7-6]</t>
    <phoneticPr fontId="20" type="noConversion"/>
  </si>
  <si>
    <t>UPS 출력 분전반 A(From:7F TR.Room)</t>
    <phoneticPr fontId="20" type="noConversion"/>
  </si>
  <si>
    <t>4P 225A</t>
    <phoneticPr fontId="14" type="noConversion"/>
  </si>
  <si>
    <t>.</t>
    <phoneticPr fontId="20" type="noConversion"/>
  </si>
  <si>
    <t>정류기시스템#1</t>
    <phoneticPr fontId="14" type="noConversion"/>
  </si>
  <si>
    <t>3P 100A</t>
    <phoneticPr fontId="14" type="noConversion"/>
  </si>
  <si>
    <t>4P 100A</t>
    <phoneticPr fontId="14" type="noConversion"/>
  </si>
  <si>
    <t>UPS 출력 분전반 B(From:7F TR.Room)</t>
    <phoneticPr fontId="20" type="noConversion"/>
  </si>
  <si>
    <t>정류기시스템#2</t>
    <phoneticPr fontId="14" type="noConversion"/>
  </si>
  <si>
    <t>3P 150A</t>
    <phoneticPr fontId="14" type="noConversion"/>
  </si>
  <si>
    <t>4P 50A</t>
    <phoneticPr fontId="14" type="noConversion"/>
  </si>
  <si>
    <t>사용량</t>
    <phoneticPr fontId="20" type="noConversion"/>
  </si>
  <si>
    <t>층 배분</t>
    <phoneticPr fontId="20" type="noConversion"/>
  </si>
  <si>
    <t>DEK</t>
    <phoneticPr fontId="14" type="noConversion"/>
  </si>
  <si>
    <t>IDC상면</t>
    <phoneticPr fontId="20" type="noConversion"/>
  </si>
  <si>
    <t>7-1-A1</t>
    <phoneticPr fontId="14" type="noConversion"/>
  </si>
  <si>
    <t>세종</t>
    <phoneticPr fontId="14" type="noConversion"/>
  </si>
  <si>
    <t>인터넷</t>
    <phoneticPr fontId="14" type="noConversion"/>
  </si>
  <si>
    <t>7-1-B1</t>
    <phoneticPr fontId="14" type="noConversion"/>
  </si>
  <si>
    <t>7-1-A3</t>
    <phoneticPr fontId="14" type="noConversion"/>
  </si>
  <si>
    <t>정류기</t>
    <phoneticPr fontId="20" type="noConversion"/>
  </si>
  <si>
    <t>7-1-B3</t>
    <phoneticPr fontId="14" type="noConversion"/>
  </si>
  <si>
    <t>전송/인터넷</t>
    <phoneticPr fontId="14" type="noConversion"/>
  </si>
  <si>
    <t>NOC</t>
    <phoneticPr fontId="14" type="noConversion"/>
  </si>
  <si>
    <t>7-1-A2</t>
    <phoneticPr fontId="14" type="noConversion"/>
  </si>
  <si>
    <t>8F Office</t>
    <phoneticPr fontId="14" type="noConversion"/>
  </si>
  <si>
    <t>7-1-B2</t>
    <phoneticPr fontId="14" type="noConversion"/>
  </si>
  <si>
    <t>총 합</t>
    <phoneticPr fontId="20" type="noConversion"/>
  </si>
  <si>
    <t>세종 정류기</t>
    <phoneticPr fontId="14" type="noConversion"/>
  </si>
  <si>
    <t>8F Office</t>
  </si>
  <si>
    <t>총계</t>
    <phoneticPr fontId="14" type="noConversion"/>
  </si>
  <si>
    <t>Main CB   4P 350A</t>
    <phoneticPr fontId="14" type="noConversion"/>
  </si>
  <si>
    <t>4P 150A</t>
    <phoneticPr fontId="14" type="noConversion"/>
  </si>
  <si>
    <t>사</t>
    <phoneticPr fontId="14" type="noConversion"/>
  </si>
  <si>
    <t>용</t>
    <phoneticPr fontId="14" type="noConversion"/>
  </si>
  <si>
    <t>금</t>
    <phoneticPr fontId="14" type="noConversion"/>
  </si>
  <si>
    <t>지</t>
    <phoneticPr fontId="14" type="noConversion"/>
  </si>
  <si>
    <t>4P 50A</t>
    <phoneticPr fontId="2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</si>
  <si>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</si>
  <si>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</si>
  <si>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</si>
  <si>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</si>
  <si>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</si>
  <si>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</si>
  <si>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4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</si>
  <si>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4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</si>
  <si>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</si>
  <si>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4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</si>
  <si>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4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</si>
  <si>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</si>
  <si>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</si>
  <si>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</si>
  <si>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</si>
  <si>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</si>
  <si>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</si>
  <si>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</si>
  <si>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</si>
  <si>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</si>
  <si>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</si>
  <si>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</si>
  <si>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</si>
  <si>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</si>
  <si>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</si>
  <si>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</si>
  <si>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</si>
  <si>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</si>
  <si>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</si>
  <si>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</si>
  <si>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</si>
  <si>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</si>
  <si>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</si>
  <si>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</si>
  <si>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4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</si>
  <si>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</si>
  <si>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</si>
  <si>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</si>
  <si>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</si>
  <si>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</si>
  <si>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</si>
  <si>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</si>
  <si>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</si>
  <si>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4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</si>
  <si>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4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</si>
  <si>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</si>
  <si>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</si>
  <si>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</si>
  <si>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</si>
  <si>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</si>
  <si>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</si>
  <si>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</si>
  <si>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</si>
  <si>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</si>
  <si>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</si>
  <si>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</si>
  <si>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</si>
  <si>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</si>
  <si>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</si>
  <si>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</si>
  <si>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</si>
  <si>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</si>
  <si>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</si>
  <si>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</si>
  <si>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</si>
  <si>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</si>
  <si>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4" type="noConversion"/>
  </si>
  <si>
    <t>Main CB   4P 200A</t>
    <phoneticPr fontId="14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</si>
  <si>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</si>
  <si>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</si>
  <si>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</si>
  <si>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</si>
  <si>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</si>
  <si>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</si>
  <si>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</si>
  <si>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</si>
  <si>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</si>
  <si>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</si>
  <si>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</si>
  <si>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</si>
  <si>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</si>
  <si>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</si>
  <si>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</si>
  <si>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</si>
  <si>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</si>
  <si>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</si>
  <si>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</si>
  <si>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</si>
  <si>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</si>
  <si>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</si>
  <si>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</si>
  <si>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</si>
  <si>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</si>
  <si>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</si>
  <si>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</si>
  <si>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</si>
  <si>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</si>
  <si>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</si>
  <si>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</si>
  <si>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</si>
  <si>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</si>
  <si>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</si>
  <si>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</si>
  <si>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</si>
  <si>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</si>
  <si>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</si>
  <si>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</si>
  <si>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</si>
  <si>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</si>
  <si>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</si>
  <si>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</si>
  <si>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</si>
  <si>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</si>
  <si>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</si>
  <si>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</si>
  <si>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</si>
  <si>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</si>
  <si>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</si>
  <si>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4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</si>
  <si>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</si>
  <si>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</si>
  <si>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</si>
  <si>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</si>
  <si>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</si>
  <si>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</si>
  <si>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</si>
  <si>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</si>
  <si>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</si>
  <si>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</si>
  <si>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</si>
  <si>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</si>
  <si>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</si>
  <si>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</si>
  <si>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</si>
  <si>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</si>
  <si>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</si>
  <si>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</si>
  <si>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</si>
  <si>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</si>
  <si>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</si>
  <si>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</si>
  <si>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</si>
  <si>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</si>
  <si>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</si>
  <si>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</si>
  <si>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</si>
  <si>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</si>
  <si>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</si>
  <si>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</si>
  <si>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</si>
  <si>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</si>
  <si>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</si>
  <si>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</si>
  <si>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</si>
  <si>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</si>
  <si>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</si>
  <si>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</si>
  <si>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</si>
  <si>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</si>
  <si>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</si>
  <si>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</si>
  <si>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</si>
  <si>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</si>
  <si>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</si>
  <si>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</si>
  <si>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</si>
  <si>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</si>
  <si>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4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</si>
  <si>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</si>
  <si>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</si>
  <si>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</si>
  <si>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</si>
  <si>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</si>
  <si>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</si>
  <si>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</si>
  <si>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</si>
  <si>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</si>
  <si>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</si>
  <si>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</si>
  <si>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</si>
  <si>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</si>
  <si>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</si>
  <si>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</si>
  <si>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</si>
  <si>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</si>
  <si>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</si>
  <si>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</si>
  <si>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4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</si>
  <si>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</si>
  <si>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</si>
  <si>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</si>
  <si>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</si>
  <si>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</si>
  <si>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</si>
  <si>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</si>
  <si>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</si>
  <si>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</si>
  <si>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</si>
  <si>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</si>
  <si>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</si>
  <si>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</si>
  <si>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</si>
  <si>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</si>
  <si>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</si>
  <si>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</si>
  <si>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</si>
  <si>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</si>
  <si>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</si>
  <si>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</si>
  <si>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</si>
  <si>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</si>
  <si>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</si>
  <si>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4" type="noConversion"/>
  </si>
  <si>
    <t>Rack S-13</t>
    <phoneticPr fontId="14" type="noConversion"/>
  </si>
  <si>
    <t>PDU : SEL1 - 6-1 - B6</t>
    <phoneticPr fontId="14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</si>
  <si>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</si>
  <si>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</si>
  <si>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</si>
  <si>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</si>
  <si>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</si>
  <si>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</si>
  <si>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</si>
  <si>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</si>
  <si>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</si>
  <si>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</si>
  <si>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</si>
  <si>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</si>
  <si>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</si>
  <si>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</si>
  <si>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</si>
  <si>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</si>
  <si>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</si>
  <si>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</si>
  <si>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</si>
  <si>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4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</si>
  <si>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</si>
  <si>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</si>
  <si>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</si>
  <si>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</si>
  <si>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</si>
  <si>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</si>
  <si>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</si>
  <si>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</si>
  <si>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</si>
  <si>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</si>
  <si>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</si>
  <si>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</si>
  <si>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</si>
  <si>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</si>
  <si>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</si>
  <si>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</si>
  <si>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</si>
  <si>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</si>
  <si>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</si>
  <si>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</si>
  <si>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</si>
  <si>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</si>
  <si>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</si>
  <si>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</si>
  <si>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</si>
  <si>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</si>
  <si>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4" type="noConversion"/>
  </si>
  <si>
    <t>A1-1-1</t>
  </si>
  <si>
    <t>G1101(A)</t>
    <phoneticPr fontId="14" type="noConversion"/>
  </si>
  <si>
    <t>A1-1-2</t>
  </si>
  <si>
    <t>G1103(A)</t>
    <phoneticPr fontId="14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</si>
  <si>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</si>
  <si>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</si>
  <si>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</si>
  <si>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</si>
  <si>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</si>
  <si>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</si>
  <si>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</si>
  <si>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</si>
  <si>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</si>
  <si>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</si>
  <si>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</si>
  <si>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</si>
  <si>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</si>
  <si>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</si>
  <si>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</si>
  <si>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</si>
  <si>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</si>
  <si>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</si>
  <si>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</si>
  <si>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</si>
  <si>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</si>
  <si>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</si>
  <si>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</si>
  <si>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</si>
  <si>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</si>
  <si>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</si>
  <si>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</si>
  <si>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</si>
  <si>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</si>
  <si>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</si>
  <si>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</si>
  <si>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4" type="noConversion"/>
  </si>
  <si>
    <t>A1-13-6 (AA-16)</t>
  </si>
  <si>
    <t>G1102 하부(미사용)</t>
    <phoneticPr fontId="14" type="noConversion"/>
  </si>
  <si>
    <t>A1-13-7 (AA-17)</t>
  </si>
  <si>
    <t>A1-35-3(2)(위치 불명)</t>
  </si>
  <si>
    <t>B209 / (AA-18)</t>
  </si>
  <si>
    <t>A1-13-9 (B410)</t>
    <phoneticPr fontId="14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</si>
  <si>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</si>
  <si>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</si>
  <si>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</si>
  <si>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</si>
  <si>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</si>
  <si>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</si>
  <si>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4" type="noConversion"/>
  </si>
  <si>
    <t>B1-1-1</t>
  </si>
  <si>
    <t>G1101 (B)</t>
    <phoneticPr fontId="14" type="noConversion"/>
  </si>
  <si>
    <t>B1-1-2</t>
  </si>
  <si>
    <t>G1103 (B)</t>
    <phoneticPr fontId="14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</si>
  <si>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</si>
  <si>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</si>
  <si>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</si>
  <si>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</si>
  <si>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</si>
  <si>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</si>
  <si>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</si>
  <si>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</si>
  <si>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</si>
  <si>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</si>
  <si>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</si>
  <si>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</si>
  <si>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</si>
  <si>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8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</si>
  <si>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</si>
  <si>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</si>
  <si>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</si>
  <si>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</si>
  <si>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</si>
  <si>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</si>
  <si>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</si>
  <si>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</si>
  <si>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</si>
  <si>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</si>
  <si>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</si>
  <si>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</si>
  <si>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</si>
  <si>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</si>
  <si>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</si>
  <si>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</si>
  <si>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</si>
  <si>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</si>
  <si>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4" type="noConversion"/>
  </si>
  <si>
    <t>B1-13-6 (AA-16)</t>
  </si>
  <si>
    <t>G1102 하부(도어락&amp;CCTV)</t>
    <phoneticPr fontId="14" type="noConversion"/>
  </si>
  <si>
    <t>B1-13-7 (AA-17)</t>
  </si>
  <si>
    <t>B1-35-3(2)(위치 불명)</t>
  </si>
  <si>
    <t>B1-13-9 (B410)</t>
    <phoneticPr fontId="14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</si>
  <si>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</si>
  <si>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</si>
  <si>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</si>
  <si>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</si>
  <si>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</si>
  <si>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4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</si>
  <si>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</si>
  <si>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</si>
  <si>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</si>
  <si>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</si>
  <si>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</si>
  <si>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</si>
  <si>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</si>
  <si>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</si>
  <si>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</si>
  <si>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</si>
  <si>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</si>
  <si>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</si>
  <si>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</si>
  <si>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</si>
  <si>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</si>
  <si>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</si>
  <si>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</si>
  <si>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</si>
  <si>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</si>
  <si>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</si>
  <si>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</si>
  <si>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</si>
  <si>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</si>
  <si>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</si>
  <si>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</si>
  <si>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</si>
  <si>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</si>
  <si>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</si>
  <si>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</si>
  <si>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</si>
  <si>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</si>
  <si>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</si>
  <si>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</si>
  <si>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</si>
  <si>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</si>
  <si>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</si>
  <si>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</si>
  <si>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</si>
  <si>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</si>
  <si>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</si>
  <si>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</si>
  <si>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</si>
  <si>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4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</si>
  <si>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</si>
  <si>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</si>
  <si>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</si>
  <si>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</si>
  <si>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</si>
  <si>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</si>
  <si>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</si>
  <si>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</si>
  <si>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</si>
  <si>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</si>
  <si>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</si>
  <si>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</si>
  <si>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</si>
  <si>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</si>
  <si>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</si>
  <si>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</si>
  <si>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</si>
  <si>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</si>
  <si>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</si>
  <si>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</si>
  <si>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</si>
  <si>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</si>
  <si>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</si>
  <si>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</si>
  <si>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</si>
  <si>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</si>
  <si>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</si>
  <si>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</si>
  <si>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</si>
  <si>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</si>
  <si>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</si>
  <si>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</si>
  <si>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</si>
  <si>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</si>
  <si>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</si>
  <si>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</si>
  <si>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</si>
  <si>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</si>
  <si>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</si>
  <si>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</si>
  <si>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4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</si>
  <si>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</si>
  <si>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</si>
  <si>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</si>
  <si>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</si>
  <si>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</si>
  <si>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</si>
  <si>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</si>
  <si>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</si>
  <si>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</si>
  <si>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</si>
  <si>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</si>
  <si>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</si>
  <si>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</si>
  <si>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</si>
  <si>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</si>
  <si>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</si>
  <si>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4" type="noConversion"/>
  </si>
  <si>
    <t>A5-15-9</t>
  </si>
  <si>
    <t>A5-9-8 (X-11)</t>
  </si>
  <si>
    <t>A5-17-1 (Q-11)</t>
  </si>
  <si>
    <t>A5-10-1</t>
  </si>
  <si>
    <t>A5-17-2 (Q-12)</t>
  </si>
  <si>
    <t>A807(A5-10-2)</t>
    <phoneticPr fontId="14" type="noConversion"/>
  </si>
  <si>
    <t>A5-17-3 (Q-13)</t>
  </si>
  <si>
    <t>A5-10-3 (A806 - 1)</t>
    <phoneticPr fontId="14" type="noConversion"/>
  </si>
  <si>
    <t>A5-17-4 (Q-14)</t>
  </si>
  <si>
    <t>A5-10-4 (A806 - 2)</t>
    <phoneticPr fontId="14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</si>
  <si>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</si>
  <si>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</si>
  <si>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</si>
  <si>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</si>
  <si>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</si>
  <si>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</si>
  <si>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</si>
  <si>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</si>
  <si>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</si>
  <si>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</si>
  <si>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</si>
  <si>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</si>
  <si>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</si>
  <si>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</si>
  <si>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</si>
  <si>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</si>
  <si>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</si>
  <si>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</si>
  <si>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</si>
  <si>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</si>
  <si>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</si>
  <si>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</si>
  <si>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</si>
  <si>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</si>
  <si>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</si>
  <si>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</si>
  <si>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</si>
  <si>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4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</si>
  <si>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</si>
  <si>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</si>
  <si>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</si>
  <si>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</si>
  <si>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</si>
  <si>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</si>
  <si>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</si>
  <si>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</si>
  <si>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</si>
  <si>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</si>
  <si>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</si>
  <si>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</si>
  <si>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</si>
  <si>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</si>
  <si>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</si>
  <si>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</si>
  <si>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</si>
  <si>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</si>
  <si>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</si>
  <si>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</si>
  <si>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</si>
  <si>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4" type="noConversion"/>
  </si>
  <si>
    <t>B5-17-3 (Q-13)</t>
  </si>
  <si>
    <t>B5-10-3 (A806 - 1)</t>
    <phoneticPr fontId="14" type="noConversion"/>
  </si>
  <si>
    <t>B5-17-4 (Q-14)</t>
  </si>
  <si>
    <t>B5-10-4 (A806 - 2)</t>
    <phoneticPr fontId="14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</si>
  <si>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</si>
  <si>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</si>
  <si>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</si>
  <si>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</si>
  <si>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</si>
  <si>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</si>
  <si>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</si>
  <si>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</si>
  <si>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</si>
  <si>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</si>
  <si>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</si>
  <si>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</si>
  <si>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</si>
  <si>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</si>
  <si>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</si>
  <si>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</si>
  <si>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</si>
  <si>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</si>
  <si>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</si>
  <si>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</si>
  <si>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</si>
  <si>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4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</si>
  <si>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</si>
  <si>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</si>
  <si>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</si>
  <si>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</si>
  <si>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</si>
  <si>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</si>
  <si>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</si>
  <si>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</si>
  <si>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</si>
  <si>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</si>
  <si>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</si>
  <si>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</si>
  <si>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</si>
  <si>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</si>
  <si>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</si>
  <si>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</si>
  <si>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</si>
  <si>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</si>
  <si>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</si>
  <si>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</si>
  <si>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</si>
  <si>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</si>
  <si>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</si>
  <si>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</si>
  <si>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</si>
  <si>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</si>
  <si>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</si>
  <si>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</si>
  <si>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</si>
  <si>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</si>
  <si>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</si>
  <si>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</si>
  <si>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</si>
  <si>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</si>
  <si>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</si>
  <si>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</si>
  <si>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</si>
  <si>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</si>
  <si>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</si>
  <si>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</si>
  <si>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</si>
  <si>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4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</si>
  <si>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</si>
  <si>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</si>
  <si>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</si>
  <si>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</si>
  <si>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</si>
  <si>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</si>
  <si>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</si>
  <si>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</si>
  <si>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</si>
  <si>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</si>
  <si>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</si>
  <si>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</si>
  <si>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</si>
  <si>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4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</si>
  <si>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</si>
  <si>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</si>
  <si>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</si>
  <si>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</si>
  <si>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</si>
  <si>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</si>
  <si>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</si>
  <si>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</si>
  <si>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</si>
  <si>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</si>
  <si>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</si>
  <si>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</si>
  <si>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</si>
  <si>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</si>
  <si>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</si>
  <si>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</si>
  <si>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</si>
  <si>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</si>
  <si>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</si>
  <si>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</si>
  <si>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</si>
  <si>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</si>
  <si>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</si>
  <si>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</si>
  <si>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</si>
  <si>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</si>
  <si>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</si>
  <si>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</si>
  <si>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</si>
  <si>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</si>
  <si>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</si>
  <si>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</si>
  <si>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</si>
  <si>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</si>
  <si>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</si>
  <si>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</si>
  <si>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</si>
  <si>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</si>
  <si>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</si>
  <si>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</si>
  <si>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</si>
  <si>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</si>
  <si>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</si>
  <si>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</si>
  <si>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</si>
  <si>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</si>
  <si>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20" type="noConversion"/>
  </si>
  <si>
    <t>합계:</t>
    <phoneticPr fontId="20" type="noConversion"/>
  </si>
  <si>
    <t>Main CB   4P 150A</t>
    <phoneticPr fontId="14" type="noConversion"/>
  </si>
  <si>
    <t>4P 60A</t>
    <phoneticPr fontId="14" type="noConversion"/>
  </si>
  <si>
    <t>LG CRAC #10 (수냉식)</t>
    <phoneticPr fontId="14" type="noConversion"/>
  </si>
  <si>
    <t>LG CRAC #11 (수냉식)</t>
    <phoneticPr fontId="14" type="noConversion"/>
  </si>
  <si>
    <t>LG CRAC #12 (수냉식)</t>
    <phoneticPr fontId="14" type="noConversion"/>
  </si>
  <si>
    <t>U5-1A</t>
    <phoneticPr fontId="20" type="noConversion"/>
  </si>
  <si>
    <t>PDU : SEL1 - 5-1 - A1</t>
    <phoneticPr fontId="14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</si>
  <si>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4" type="noConversion"/>
  </si>
  <si>
    <t>3P 60A</t>
    <phoneticPr fontId="14" type="noConversion"/>
  </si>
  <si>
    <t>#3P-01</t>
    <phoneticPr fontId="14" type="noConversion"/>
  </si>
  <si>
    <t>#3P-02</t>
    <phoneticPr fontId="14" type="noConversion"/>
  </si>
  <si>
    <t>보다폰정류기-A</t>
  </si>
  <si>
    <t>CF상면</t>
    <phoneticPr fontId="14" type="noConversion"/>
  </si>
  <si>
    <t>5F-Q-21 / 1A-2-11</t>
  </si>
  <si>
    <t>OFF</t>
    <phoneticPr fontId="11" type="noConversion"/>
  </si>
  <si>
    <t>CF상면</t>
  </si>
  <si>
    <t>구글202-A</t>
    <phoneticPr fontId="14" type="noConversion"/>
  </si>
  <si>
    <t>구글201-A</t>
    <phoneticPr fontId="14" type="noConversion"/>
  </si>
  <si>
    <t>5F-Q-24 / 1A-2-14</t>
  </si>
  <si>
    <t>G1101 (1A-1-5)</t>
    <phoneticPr fontId="14" type="noConversion"/>
  </si>
  <si>
    <t>cloudflare</t>
    <phoneticPr fontId="20" type="noConversion"/>
  </si>
  <si>
    <t>구글 시스템박스</t>
    <phoneticPr fontId="14" type="noConversion"/>
  </si>
  <si>
    <t>G1102 (1A-1-6)</t>
    <phoneticPr fontId="14" type="noConversion"/>
  </si>
  <si>
    <t>철거필요</t>
  </si>
  <si>
    <t>1A-3-1</t>
  </si>
  <si>
    <t>G1103 (1A-1-7)</t>
    <phoneticPr fontId="14" type="noConversion"/>
  </si>
  <si>
    <t>G1104 (1A-1-8)</t>
    <phoneticPr fontId="14" type="noConversion"/>
  </si>
  <si>
    <t>G1105 (1A-1-9)</t>
    <phoneticPr fontId="14" type="noConversion"/>
  </si>
  <si>
    <t>구글104-A</t>
    <phoneticPr fontId="14" type="noConversion"/>
  </si>
  <si>
    <t>구글103-A</t>
    <phoneticPr fontId="14" type="noConversion"/>
  </si>
  <si>
    <t>구글102-A</t>
    <phoneticPr fontId="14" type="noConversion"/>
  </si>
  <si>
    <t>1A-3-7</t>
  </si>
  <si>
    <t>구글101-A</t>
    <phoneticPr fontId="14" type="noConversion"/>
  </si>
  <si>
    <t>5F-P-20 / 1A-3-10</t>
  </si>
  <si>
    <t>G1201 (1A-2-1)</t>
    <phoneticPr fontId="14" type="noConversion"/>
  </si>
  <si>
    <t>5F-P-21 / 1A-3-11</t>
  </si>
  <si>
    <t>G1202 (1A-2-2)</t>
    <phoneticPr fontId="14" type="noConversion"/>
  </si>
  <si>
    <t>cloudflare</t>
  </si>
  <si>
    <t>5F-P-22 / 1A-3-12</t>
  </si>
  <si>
    <t>G1203 (1A-2-3)</t>
    <phoneticPr fontId="14" type="noConversion"/>
  </si>
  <si>
    <t>5F-P-23 / 1A-3-13</t>
  </si>
  <si>
    <t>G1204 (1A-2-4)</t>
    <phoneticPr fontId="14" type="noConversion"/>
  </si>
  <si>
    <t>5F-P-24 / 1A-3-14</t>
  </si>
  <si>
    <t>G1205 (1A-2-5)</t>
    <phoneticPr fontId="14" type="noConversion"/>
  </si>
  <si>
    <t>보다폰 케이지 안쪽</t>
    <phoneticPr fontId="14" type="noConversion"/>
  </si>
  <si>
    <t>1A-4-1</t>
  </si>
  <si>
    <t>Vodafone</t>
    <phoneticPr fontId="14" type="noConversion"/>
  </si>
  <si>
    <t>VF Rack#1-상</t>
  </si>
  <si>
    <t>5F-Q-20</t>
  </si>
  <si>
    <t>Vodafone</t>
  </si>
  <si>
    <t>VF Rack#2-상</t>
  </si>
  <si>
    <t>PDU : SEL1 - 5-1 - B1</t>
    <phoneticPr fontId="14" type="noConversion"/>
  </si>
  <si>
    <t>보다폰정류기-B</t>
  </si>
  <si>
    <t>5F-Q-21 / 1B-2-11</t>
  </si>
  <si>
    <t>5F-Q-24 / 1B-2-14</t>
  </si>
  <si>
    <t>G1101 (1B-1-5)</t>
    <phoneticPr fontId="14" type="noConversion"/>
  </si>
  <si>
    <t>구글Cage 지문인식기</t>
    <phoneticPr fontId="14" type="noConversion"/>
  </si>
  <si>
    <t>G1102 (1B-1-6)</t>
    <phoneticPr fontId="14" type="noConversion"/>
  </si>
  <si>
    <t>1B-3-1</t>
  </si>
  <si>
    <t>G1103 (1B-1-7)</t>
    <phoneticPr fontId="14" type="noConversion"/>
  </si>
  <si>
    <t>G1104 (1B-1-8)</t>
    <phoneticPr fontId="14" type="noConversion"/>
  </si>
  <si>
    <t>G1105 (1B-1-9)</t>
    <phoneticPr fontId="14" type="noConversion"/>
  </si>
  <si>
    <t>1B-3-7</t>
  </si>
  <si>
    <t>5F-P-20  / 1B-3-10</t>
  </si>
  <si>
    <t>5F-P-21  / 1B-3-11</t>
  </si>
  <si>
    <t>G1202 (1B-2-2)</t>
    <phoneticPr fontId="14" type="noConversion"/>
  </si>
  <si>
    <t>5F-P-22  / 1B-3-12</t>
  </si>
  <si>
    <t>G1203 (1B-2-3)</t>
    <phoneticPr fontId="14" type="noConversion"/>
  </si>
  <si>
    <t>5F-P-23  / 1B-3-13</t>
  </si>
  <si>
    <t>G1204 (1B-2-4)</t>
    <phoneticPr fontId="14" type="noConversion"/>
  </si>
  <si>
    <t>5F-P-24  / 1B-3-14</t>
  </si>
  <si>
    <t>G1205 (1B-2-5)</t>
    <phoneticPr fontId="14" type="noConversion"/>
  </si>
  <si>
    <t>5F-P-25  / 1B-3-15</t>
  </si>
  <si>
    <t>1B-7-1(2)</t>
  </si>
  <si>
    <t>VF Rack#1-하</t>
  </si>
  <si>
    <t>VF Rack#2-하</t>
  </si>
  <si>
    <t>PDU : SEL1 - 5-1 - A2</t>
    <phoneticPr fontId="14" type="noConversion"/>
  </si>
  <si>
    <t>5F-O-16 / 2A-4-6</t>
  </si>
  <si>
    <t>B221 (R13)-1</t>
    <phoneticPr fontId="14" type="noConversion"/>
  </si>
  <si>
    <t>5F-O-17 / 2A-4-7</t>
  </si>
  <si>
    <t>B221 (R13)-2</t>
    <phoneticPr fontId="14" type="noConversion"/>
  </si>
  <si>
    <t>5F-O-18</t>
  </si>
  <si>
    <t>B222 (R14)-1</t>
    <phoneticPr fontId="14" type="noConversion"/>
  </si>
  <si>
    <t>5F-O-19</t>
  </si>
  <si>
    <t>B222 (R14)-2</t>
    <phoneticPr fontId="14" type="noConversion"/>
  </si>
  <si>
    <t>5F-O-20</t>
  </si>
  <si>
    <t>B316 (R15)-1</t>
    <phoneticPr fontId="14" type="noConversion"/>
  </si>
  <si>
    <t>5F-O-21</t>
  </si>
  <si>
    <t>B316 (R15)-2</t>
    <phoneticPr fontId="14" type="noConversion"/>
  </si>
  <si>
    <t>5F-O-22</t>
  </si>
  <si>
    <t>B317 (R16)-1</t>
    <phoneticPr fontId="14" type="noConversion"/>
  </si>
  <si>
    <t>5F-O-23</t>
  </si>
  <si>
    <t>B318 (R17)-1</t>
    <phoneticPr fontId="14" type="noConversion"/>
  </si>
  <si>
    <t>5F-O-24</t>
  </si>
  <si>
    <t>B319 (R18)</t>
    <phoneticPr fontId="14" type="noConversion"/>
  </si>
  <si>
    <t>2A-7-2(2)</t>
  </si>
  <si>
    <t>B320 (R19)</t>
    <phoneticPr fontId="14" type="noConversion"/>
  </si>
  <si>
    <t>2A-5-1</t>
  </si>
  <si>
    <t>보다폰상면</t>
    <phoneticPr fontId="14" type="noConversion"/>
  </si>
  <si>
    <t>B321 (R20)</t>
    <phoneticPr fontId="14" type="noConversion"/>
  </si>
  <si>
    <t>O</t>
    <phoneticPr fontId="9" type="noConversion"/>
  </si>
  <si>
    <t>B322 (R21)</t>
    <phoneticPr fontId="14" type="noConversion"/>
  </si>
  <si>
    <t>B416 (R22)</t>
    <phoneticPr fontId="14" type="noConversion"/>
  </si>
  <si>
    <t>B417 (R23)</t>
    <phoneticPr fontId="14" type="noConversion"/>
  </si>
  <si>
    <t>B418 (R24)</t>
    <phoneticPr fontId="14" type="noConversion"/>
  </si>
  <si>
    <t>5-1-A2-31</t>
  </si>
  <si>
    <t>B116 (R12)</t>
    <phoneticPr fontId="14" type="noConversion"/>
  </si>
  <si>
    <t>5-1-A2-33</t>
  </si>
  <si>
    <t>B117 (R11)</t>
    <phoneticPr fontId="14" type="noConversion"/>
  </si>
  <si>
    <t>5-1-A2-35</t>
  </si>
  <si>
    <t>B118 (R10)</t>
    <phoneticPr fontId="14" type="noConversion"/>
  </si>
  <si>
    <t>B317 (R16)-2</t>
    <phoneticPr fontId="14" type="noConversion"/>
  </si>
  <si>
    <t>B119 (R9)</t>
    <phoneticPr fontId="14" type="noConversion"/>
  </si>
  <si>
    <t>B318 (R17)-2</t>
    <phoneticPr fontId="14" type="noConversion"/>
  </si>
  <si>
    <t>B120 (R8)</t>
    <phoneticPr fontId="14" type="noConversion"/>
  </si>
  <si>
    <t>B221 (R13)-3</t>
    <phoneticPr fontId="14" type="noConversion"/>
  </si>
  <si>
    <t>O</t>
    <phoneticPr fontId="7" type="noConversion"/>
  </si>
  <si>
    <t>B121 (R7)</t>
    <phoneticPr fontId="14" type="noConversion"/>
  </si>
  <si>
    <t>B222 (R14)-3</t>
    <phoneticPr fontId="14" type="noConversion"/>
  </si>
  <si>
    <t>B122 (R6)</t>
    <phoneticPr fontId="14" type="noConversion"/>
  </si>
  <si>
    <t>B316 (R15)-3</t>
    <phoneticPr fontId="14" type="noConversion"/>
  </si>
  <si>
    <t>B216 (R5)</t>
    <phoneticPr fontId="14" type="noConversion"/>
  </si>
  <si>
    <t>B219 (R2)</t>
  </si>
  <si>
    <t>B217 (R4)</t>
    <phoneticPr fontId="14" type="noConversion"/>
  </si>
  <si>
    <t>B220 (R1)</t>
  </si>
  <si>
    <t>B218 (R3)</t>
    <phoneticPr fontId="14" type="noConversion"/>
  </si>
  <si>
    <t>PDU : SEL1 - 5-1 - B2</t>
    <phoneticPr fontId="14" type="noConversion"/>
  </si>
  <si>
    <t>5F-O-16 / 2B-4-6</t>
  </si>
  <si>
    <t>철거가능</t>
    <phoneticPr fontId="14" type="noConversion"/>
  </si>
  <si>
    <t>5F-O-17 / 2B-4-7</t>
  </si>
  <si>
    <t>2B-7-2(2)</t>
  </si>
  <si>
    <t>2B-5-1</t>
  </si>
  <si>
    <t>철거필요</t>
    <phoneticPr fontId="14" type="noConversion"/>
  </si>
  <si>
    <t>철거가능</t>
  </si>
  <si>
    <t>B219 (R2)</t>
    <phoneticPr fontId="14" type="noConversion"/>
  </si>
  <si>
    <t>B220 (R1)</t>
    <phoneticPr fontId="14" type="noConversion"/>
  </si>
  <si>
    <t>PDU6B-1T</t>
  </si>
  <si>
    <t xml:space="preserve">PDU : </t>
    <phoneticPr fontId="14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</si>
  <si>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4" type="noConversion"/>
  </si>
  <si>
    <t>&lt;= MAIN OFF</t>
  </si>
  <si>
    <t>3P 30A</t>
    <phoneticPr fontId="14" type="noConversion"/>
  </si>
  <si>
    <t>#01(3상)</t>
    <phoneticPr fontId="14" type="noConversion"/>
  </si>
  <si>
    <t>#02(3상)</t>
    <phoneticPr fontId="14" type="noConversion"/>
  </si>
  <si>
    <t>1T-1-3</t>
  </si>
  <si>
    <t>3P 30A</t>
    <phoneticPr fontId="20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</si>
  <si>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</si>
  <si>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</si>
  <si>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</si>
  <si>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</si>
  <si>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</si>
  <si>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</si>
  <si>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</si>
  <si>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</si>
  <si>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</si>
  <si>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</si>
  <si>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20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</si>
  <si>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</si>
  <si>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</si>
  <si>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</si>
  <si>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</si>
  <si>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</si>
  <si>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</si>
  <si>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20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</si>
  <si>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</si>
  <si>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</si>
  <si>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</si>
  <si>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</si>
  <si>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</si>
  <si>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</si>
  <si>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</si>
  <si>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</si>
  <si>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4" type="noConversion"/>
  </si>
  <si>
    <t>3A-12-2</t>
    <phoneticPr fontId="14" type="noConversion"/>
  </si>
  <si>
    <t>3A-12-3</t>
    <phoneticPr fontId="14" type="noConversion"/>
  </si>
  <si>
    <t>3A-12-3T</t>
    <phoneticPr fontId="14" type="noConversion"/>
  </si>
  <si>
    <t>3A-12-4</t>
    <phoneticPr fontId="14" type="noConversion"/>
  </si>
  <si>
    <t>3A-12-5</t>
    <phoneticPr fontId="14" type="noConversion"/>
  </si>
  <si>
    <t>3A-12-6</t>
    <phoneticPr fontId="14" type="noConversion"/>
  </si>
  <si>
    <t>PDU : SEL1 - 5-1 - B3</t>
    <phoneticPr fontId="14" type="noConversion"/>
  </si>
  <si>
    <t>3B-12-6T</t>
  </si>
  <si>
    <t>PDU : SEL1 - 5-1 - A4</t>
    <phoneticPr fontId="14" type="noConversion"/>
  </si>
  <si>
    <t>9A-1-5 (PCCW) /5F-A-14</t>
  </si>
  <si>
    <t>PCCW</t>
    <phoneticPr fontId="20" type="noConversion"/>
  </si>
  <si>
    <t>센츄리링크코리아</t>
    <phoneticPr fontId="20" type="noConversion"/>
  </si>
  <si>
    <t>9A-1-8 / 5F-A-17</t>
    <phoneticPr fontId="14" type="noConversion"/>
  </si>
  <si>
    <t>9A-1-6 / 5F-A-15</t>
    <phoneticPr fontId="14" type="noConversion"/>
  </si>
  <si>
    <t>코로케션</t>
    <phoneticPr fontId="20" type="noConversion"/>
  </si>
  <si>
    <t>9A-1-9 / 5F-A-18</t>
    <phoneticPr fontId="14" type="noConversion"/>
  </si>
  <si>
    <t>9A-1-7 / 5F-A-16</t>
    <phoneticPr fontId="14" type="noConversion"/>
  </si>
  <si>
    <t>세종 인터넷(IES.YSM.S51)</t>
  </si>
  <si>
    <t>9A-1-10 / 5F-A-19</t>
    <phoneticPr fontId="14" type="noConversion"/>
  </si>
  <si>
    <t>PDU : SEL1 - 5-1 - A5</t>
    <phoneticPr fontId="14" type="noConversion"/>
  </si>
  <si>
    <t>&lt;= MAIN OFF</t>
    <phoneticPr fontId="20" type="noConversion"/>
  </si>
  <si>
    <t>PDU : SEL1 - 5-1 - B4</t>
    <phoneticPr fontId="14" type="noConversion"/>
  </si>
  <si>
    <t>센츄리링크코리아</t>
  </si>
  <si>
    <t>9B-1-8 / 5F-A-17</t>
    <phoneticPr fontId="14" type="noConversion"/>
  </si>
  <si>
    <t>9B-1-6 / 5F-A-15</t>
    <phoneticPr fontId="14" type="noConversion"/>
  </si>
  <si>
    <t>9B-1-9 / 5F-A-18</t>
    <phoneticPr fontId="14" type="noConversion"/>
  </si>
  <si>
    <t>9B-1-7 / 5F-A-16</t>
    <phoneticPr fontId="14" type="noConversion"/>
  </si>
  <si>
    <t>세종 인터넷(IES.YSM.S51)</t>
    <phoneticPr fontId="20" type="noConversion"/>
  </si>
  <si>
    <t>9B-1-10 / 5F-A-19</t>
    <phoneticPr fontId="14" type="noConversion"/>
  </si>
  <si>
    <t>9B-1-5 (PCCW)/5F-A-14</t>
  </si>
  <si>
    <t>PDU : SEL1 - 5-1 - B5</t>
    <phoneticPr fontId="14" type="noConversion"/>
  </si>
  <si>
    <t>PDU : SEL1 - 5-1 - A6</t>
    <phoneticPr fontId="14" type="noConversion"/>
  </si>
  <si>
    <t>1A-1-1 / 5F-A-10</t>
    <phoneticPr fontId="14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</si>
  <si>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</si>
  <si>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</si>
  <si>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</si>
  <si>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</si>
  <si>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</si>
  <si>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</si>
  <si>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4" type="noConversion"/>
  </si>
  <si>
    <t>A1-2-1 / 5F-B-10</t>
    <phoneticPr fontId="14" type="noConversion"/>
  </si>
  <si>
    <t>A1-2-2 / 5F-B-11</t>
    <phoneticPr fontId="14" type="noConversion"/>
  </si>
  <si>
    <t>A1-2-3 / 5F-B-12</t>
    <phoneticPr fontId="14" type="noConversion"/>
  </si>
  <si>
    <t>A1-2-4 / 5F-B-13</t>
    <phoneticPr fontId="14" type="noConversion"/>
  </si>
  <si>
    <t>다코스</t>
    <phoneticPr fontId="2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</si>
  <si>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</si>
  <si>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4" type="noConversion"/>
  </si>
  <si>
    <t>이비즈네트웍스</t>
    <phoneticPr fontId="20" type="noConversion"/>
  </si>
  <si>
    <t>A1-5-10(2) / 5F-E-19</t>
  </si>
  <si>
    <t>A1-2-6 / 5F-B-15</t>
    <phoneticPr fontId="14" type="noConversion"/>
  </si>
  <si>
    <t>다코스 &amp; NTT</t>
    <phoneticPr fontId="20" type="noConversion"/>
  </si>
  <si>
    <t>A1-1-3(2) / 5F-A-12(2)</t>
    <phoneticPr fontId="14" type="noConversion"/>
  </si>
  <si>
    <t>A1-2-7 / 5F-B-16</t>
    <phoneticPr fontId="14" type="noConversion"/>
  </si>
  <si>
    <t>제우스네트웍스</t>
    <phoneticPr fontId="20" type="noConversion"/>
  </si>
  <si>
    <t>A1-1-8(2) / 5F-A-17 (2)</t>
    <phoneticPr fontId="14" type="noConversion"/>
  </si>
  <si>
    <t>A1-2-8 / 5F-B-17</t>
    <phoneticPr fontId="14" type="noConversion"/>
  </si>
  <si>
    <t>COLT</t>
    <phoneticPr fontId="20" type="noConversion"/>
  </si>
  <si>
    <t>5F-D-18 임시</t>
  </si>
  <si>
    <t>A1-3-1</t>
  </si>
  <si>
    <t>PDU : SEL1 - 5-1 - A7</t>
    <phoneticPr fontId="14" type="noConversion"/>
  </si>
  <si>
    <t>A2-2-9 / 5F-B-18</t>
    <phoneticPr fontId="14" type="noConversion"/>
  </si>
  <si>
    <t>A2-2-10 / 5F-B-19</t>
  </si>
  <si>
    <t>A2-4-1</t>
  </si>
  <si>
    <t>A2-4-2</t>
  </si>
  <si>
    <t>A2-4-3</t>
  </si>
  <si>
    <t>3P 20A</t>
    <phoneticPr fontId="14" type="noConversion"/>
  </si>
  <si>
    <t>A2-4-5 / 5F-D-14</t>
  </si>
  <si>
    <t>A2-5-10 / 5F-E-19</t>
  </si>
  <si>
    <t>A2-4-6 / 5F-D-15</t>
    <phoneticPr fontId="14" type="noConversion"/>
  </si>
  <si>
    <t>A2-6-5 / F-14</t>
    <phoneticPr fontId="14" type="noConversion"/>
  </si>
  <si>
    <t>A2-6-6 / F-15</t>
    <phoneticPr fontId="14" type="noConversion"/>
  </si>
  <si>
    <t>A2-6-7 / F-16</t>
    <phoneticPr fontId="14" type="noConversion"/>
  </si>
  <si>
    <t>A2-6-8 / F-17</t>
    <phoneticPr fontId="14" type="noConversion"/>
  </si>
  <si>
    <t>PDU : SEL1 - 5-1 - A8</t>
    <phoneticPr fontId="14" type="noConversion"/>
  </si>
  <si>
    <t>AC PDU-3#A</t>
  </si>
  <si>
    <t>3P 50A</t>
    <phoneticPr fontId="14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</si>
  <si>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</si>
  <si>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</si>
  <si>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4" type="noConversion"/>
  </si>
  <si>
    <t>TO:PDU(A)-3A</t>
  </si>
  <si>
    <t>3P 50A</t>
    <phoneticPr fontId="20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</si>
  <si>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</si>
  <si>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Singtel-1</t>
    <phoneticPr fontId="14" type="noConversion"/>
  </si>
  <si>
    <r>
      <t>#04</t>
    </r>
    <r>
      <rPr>
        <sz val="11"/>
        <rFont val="돋움"/>
        <family val="3"/>
        <charset val="129"/>
      </rPr>
      <t>(3상)</t>
    </r>
    <phoneticPr fontId="14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</si>
  <si>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</si>
  <si>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</si>
  <si>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</si>
  <si>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r>
      <t>#06</t>
    </r>
    <r>
      <rPr>
        <sz val="11"/>
        <rFont val="돋움"/>
        <family val="3"/>
        <charset val="129"/>
      </rPr>
      <t>(3상)</t>
    </r>
    <phoneticPr fontId="14" type="noConversion"/>
  </si>
  <si>
    <t>customer con</t>
  </si>
  <si>
    <t>PUD(A)-3-07 / 5F-B-17 (2)</t>
    <phoneticPr fontId="14" type="noConversion"/>
  </si>
  <si>
    <t>A1007 / 5F-F-16</t>
  </si>
  <si>
    <t>PUD(A)-3-09 / 5F-B-17 (3)</t>
    <phoneticPr fontId="14" type="noConversion"/>
  </si>
  <si>
    <t>A1006 / 5F-F-15</t>
  </si>
  <si>
    <t>A603 / Colt, A-1 (23/08/23 On)</t>
  </si>
  <si>
    <t>CMI</t>
    <phoneticPr fontId="14" type="noConversion"/>
  </si>
  <si>
    <t>D-15랙(CMI)-A ('21.09.29 투입)</t>
    <phoneticPr fontId="14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</si>
  <si>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</si>
  <si>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</si>
  <si>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</si>
  <si>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</si>
  <si>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</si>
  <si>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</si>
  <si>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</si>
  <si>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</si>
  <si>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</si>
  <si>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</si>
  <si>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4" type="noConversion"/>
  </si>
  <si>
    <t>PUD(A)-2-29</t>
  </si>
  <si>
    <t>PDU : SEL1 - 5-1 - B6</t>
    <phoneticPr fontId="14" type="noConversion"/>
  </si>
  <si>
    <t>1B-1-1 / 5F-A-10</t>
    <phoneticPr fontId="14" type="noConversion"/>
  </si>
  <si>
    <t>B1-3-3</t>
  </si>
  <si>
    <t>1B-1-2 / 5F-A-11</t>
  </si>
  <si>
    <t>1B-1-4 / 5F-A-13</t>
  </si>
  <si>
    <t>1B-1-4(2) / 5F-A-13 (2)</t>
    <phoneticPr fontId="14" type="noConversion"/>
  </si>
  <si>
    <t>B1-2-1 / 5F-B-10</t>
    <phoneticPr fontId="14" type="noConversion"/>
  </si>
  <si>
    <t>B1-2-2 / 5F-B-11</t>
    <phoneticPr fontId="14" type="noConversion"/>
  </si>
  <si>
    <t>B1-2-3 / 5F-B-12</t>
    <phoneticPr fontId="14" type="noConversion"/>
  </si>
  <si>
    <t>B1-2-4 / 5F-B-13</t>
    <phoneticPr fontId="14" type="noConversion"/>
  </si>
  <si>
    <t>B1-2-5 / A605 (B)</t>
    <phoneticPr fontId="14" type="noConversion"/>
  </si>
  <si>
    <t>X</t>
    <phoneticPr fontId="11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</si>
  <si>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</si>
  <si>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4" type="noConversion"/>
  </si>
  <si>
    <t>B1-5-10(2) / 5F-E-19</t>
  </si>
  <si>
    <t>B1-2-7 / 5F-B-16</t>
    <phoneticPr fontId="14" type="noConversion"/>
  </si>
  <si>
    <t>1B-1-3 / 5F-A-12</t>
  </si>
  <si>
    <t>B1-2-8 / 5F-B-17</t>
    <phoneticPr fontId="14" type="noConversion"/>
  </si>
  <si>
    <t>B1-1-8(2) / 5F-A-17 (2)</t>
    <phoneticPr fontId="14" type="noConversion"/>
  </si>
  <si>
    <t>B1-3-1</t>
  </si>
  <si>
    <t>B1-1-3(2) / 5F-A-12 (2)</t>
    <phoneticPr fontId="14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</si>
  <si>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</si>
  <si>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4" type="noConversion"/>
  </si>
  <si>
    <t>B1-2-9 / 5F-B-18</t>
    <phoneticPr fontId="14" type="noConversion"/>
  </si>
  <si>
    <t>PDU : SEL1 - 5-1 - B7</t>
    <phoneticPr fontId="14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</si>
  <si>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</si>
  <si>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</si>
  <si>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</si>
  <si>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</si>
  <si>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</si>
  <si>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</si>
  <si>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4" type="noConversion"/>
  </si>
  <si>
    <t>B2-6-5 / F-14</t>
    <phoneticPr fontId="14" type="noConversion"/>
  </si>
  <si>
    <t>B2-6-6 / F-15</t>
    <phoneticPr fontId="14" type="noConversion"/>
  </si>
  <si>
    <t>B2-6-7 / F-16</t>
    <phoneticPr fontId="14" type="noConversion"/>
  </si>
  <si>
    <t>B2-6-8 / F-17</t>
    <phoneticPr fontId="14" type="noConversion"/>
  </si>
  <si>
    <t>FMS 5층 메인전원</t>
  </si>
  <si>
    <t>PDU : SEL1 - 5-1 - B8</t>
    <phoneticPr fontId="14" type="noConversion"/>
  </si>
  <si>
    <t>&lt;- 디스플래이값</t>
  </si>
  <si>
    <t>AC PDU-3#B</t>
  </si>
  <si>
    <t>TO:PDU(B)-3A</t>
  </si>
  <si>
    <t>DC정류기B</t>
  </si>
  <si>
    <t>PUD(B)-3-07 / 5F-B-17 (2)</t>
    <phoneticPr fontId="14" type="noConversion"/>
  </si>
  <si>
    <t>PUD(B)-3-09 / 5F-B-17 (3)</t>
    <phoneticPr fontId="14" type="noConversion"/>
  </si>
  <si>
    <t>A603 / Colt, B-1 (23/08/23 On)</t>
  </si>
  <si>
    <t>D-15랙(CMI)-B ('21.09.29 투입)</t>
    <phoneticPr fontId="14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</si>
  <si>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</si>
  <si>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</si>
  <si>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20" type="noConversion"/>
  </si>
  <si>
    <t>4F BMS</t>
  </si>
  <si>
    <t>텔스트라 CCTV 모니터링PC 및 시스템 박스</t>
  </si>
  <si>
    <t>5F BMS</t>
  </si>
  <si>
    <t>Singtel-2</t>
    <phoneticPr fontId="14" type="noConversion"/>
  </si>
  <si>
    <t>다코스 &amp; NTT</t>
  </si>
  <si>
    <t>B3-2-6(2) / 5F-B-15 (2)</t>
    <phoneticPr fontId="14" type="noConversion"/>
  </si>
  <si>
    <t>PDU(C)</t>
  </si>
  <si>
    <t>Main CB   4P 50A</t>
    <phoneticPr fontId="14" type="noConversion"/>
  </si>
  <si>
    <t>라우터룸 System box</t>
  </si>
  <si>
    <t>SYSTEM BOX</t>
  </si>
  <si>
    <t>M/S 단파</t>
  </si>
  <si>
    <t>합계:</t>
    <phoneticPr fontId="14" type="noConversion"/>
  </si>
  <si>
    <t>PDU : SEL1 - 5-1 - A9</t>
    <phoneticPr fontId="14" type="noConversion"/>
  </si>
  <si>
    <t>RT-07</t>
    <phoneticPr fontId="14" type="noConversion"/>
  </si>
  <si>
    <t>○</t>
    <phoneticPr fontId="20" type="noConversion"/>
  </si>
  <si>
    <t>U08-A-01</t>
    <phoneticPr fontId="14" type="noConversion"/>
  </si>
  <si>
    <t>U08-A-02</t>
    <phoneticPr fontId="14" type="noConversion"/>
  </si>
  <si>
    <t>RT-08</t>
    <phoneticPr fontId="14" type="noConversion"/>
  </si>
  <si>
    <t>RT-09</t>
    <phoneticPr fontId="14" type="noConversion"/>
  </si>
  <si>
    <t>U08-A-03</t>
    <phoneticPr fontId="14" type="noConversion"/>
  </si>
  <si>
    <t>U08-A-04</t>
    <phoneticPr fontId="14" type="noConversion"/>
  </si>
  <si>
    <t>RT-10</t>
    <phoneticPr fontId="14" type="noConversion"/>
  </si>
  <si>
    <t>RT-11</t>
    <phoneticPr fontId="14" type="noConversion"/>
  </si>
  <si>
    <t>U08-A-05</t>
  </si>
  <si>
    <t>U08-A-06</t>
    <phoneticPr fontId="14" type="noConversion"/>
  </si>
  <si>
    <t>RT-12</t>
    <phoneticPr fontId="14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</si>
  <si>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</si>
  <si>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</si>
  <si>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</si>
  <si>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</si>
  <si>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</si>
  <si>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</si>
  <si>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</si>
  <si>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</si>
  <si>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</si>
  <si>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</si>
  <si>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</si>
  <si>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</si>
  <si>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</si>
  <si>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</si>
  <si>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</si>
  <si>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4" type="noConversion"/>
  </si>
  <si>
    <t>LSP-02</t>
    <phoneticPr fontId="14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</si>
  <si>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4" type="noConversion"/>
  </si>
  <si>
    <t>U08-A-15</t>
  </si>
  <si>
    <t>U08-A-16</t>
  </si>
  <si>
    <t>LSP-03</t>
    <phoneticPr fontId="14" type="noConversion"/>
  </si>
  <si>
    <t>LSP-04</t>
    <phoneticPr fontId="14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</si>
  <si>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</si>
  <si>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</si>
  <si>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</si>
  <si>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</si>
  <si>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</si>
  <si>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</si>
  <si>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</si>
  <si>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</si>
  <si>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</si>
  <si>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</si>
  <si>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</si>
  <si>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</si>
  <si>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</si>
  <si>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</si>
  <si>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4" type="noConversion"/>
  </si>
  <si>
    <t>RT-08 정류기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</si>
  <si>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4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</si>
  <si>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</si>
  <si>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</si>
  <si>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</si>
  <si>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</si>
  <si>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4" type="noConversion"/>
  </si>
  <si>
    <t>PDU : SEL1 - 5-1 - B9</t>
    <phoneticPr fontId="14" type="noConversion"/>
  </si>
  <si>
    <t>U08-B-01</t>
    <phoneticPr fontId="14" type="noConversion"/>
  </si>
  <si>
    <t>U08-B-02</t>
    <phoneticPr fontId="14" type="noConversion"/>
  </si>
  <si>
    <t>U08-B-03</t>
    <phoneticPr fontId="14" type="noConversion"/>
  </si>
  <si>
    <t>U08-B-04</t>
    <phoneticPr fontId="14" type="noConversion"/>
  </si>
  <si>
    <t>U08-B-05</t>
    <phoneticPr fontId="14" type="noConversion"/>
  </si>
  <si>
    <t>U08-B-06</t>
    <phoneticPr fontId="14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</si>
  <si>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</si>
  <si>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</si>
  <si>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</si>
  <si>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</si>
  <si>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</si>
  <si>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</si>
  <si>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</si>
  <si>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</si>
  <si>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</si>
  <si>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</si>
  <si>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</si>
  <si>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</si>
  <si>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</si>
  <si>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</si>
  <si>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</si>
  <si>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</si>
  <si>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</si>
  <si>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</si>
  <si>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4" type="noConversion"/>
  </si>
  <si>
    <t>U08-B-25</t>
  </si>
  <si>
    <t>PDU : SEL1 - 5-1 - A10</t>
    <phoneticPr fontId="14" type="noConversion"/>
  </si>
  <si>
    <t>RTX Rack#1, R1-1-1</t>
    <phoneticPr fontId="14" type="noConversion"/>
  </si>
  <si>
    <t>RTX Rack#8, R3-1-1</t>
    <phoneticPr fontId="14" type="noConversion"/>
  </si>
  <si>
    <t>RTX Rack#2, R1-2-1</t>
    <phoneticPr fontId="14" type="noConversion"/>
  </si>
  <si>
    <t>RTX Rack#9, R3-2-1</t>
    <phoneticPr fontId="14" type="noConversion"/>
  </si>
  <si>
    <t>RTX Rack#3, R1-3-1</t>
    <phoneticPr fontId="14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</si>
  <si>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4" type="noConversion"/>
  </si>
  <si>
    <t>NW/Mgmt Rack, R3-3-1</t>
    <phoneticPr fontId="14" type="noConversion"/>
  </si>
  <si>
    <t>RTX Rack#4, R2-1-1</t>
    <phoneticPr fontId="14" type="noConversion"/>
  </si>
  <si>
    <t>A40 Rack#1, R4-1-1</t>
    <phoneticPr fontId="14" type="noConversion"/>
  </si>
  <si>
    <t>RTX Rack#5, R2-2-1</t>
    <phoneticPr fontId="14" type="noConversion"/>
  </si>
  <si>
    <t>A40 Rack#2, R4-2-1</t>
    <phoneticPr fontId="14" type="noConversion"/>
  </si>
  <si>
    <t>RTX Rack#6, R2-3-1</t>
    <phoneticPr fontId="14" type="noConversion"/>
  </si>
  <si>
    <t>NetApp FAS#1, R4-3-1</t>
    <phoneticPr fontId="14" type="noConversion"/>
  </si>
  <si>
    <t>RTX Rack#7, R2-4-1</t>
    <phoneticPr fontId="14" type="noConversion"/>
  </si>
  <si>
    <t>NetApp AFF#2, R4-4-1</t>
    <phoneticPr fontId="14" type="noConversion"/>
  </si>
  <si>
    <t>DGX Rack#1, R5-1-1</t>
    <phoneticPr fontId="14" type="noConversion"/>
  </si>
  <si>
    <t>예비Rack#1, R6-1-1</t>
    <phoneticPr fontId="14" type="noConversion"/>
  </si>
  <si>
    <t>DGX Rack#2, R5-2-1</t>
    <phoneticPr fontId="14" type="noConversion"/>
  </si>
  <si>
    <t>예비Rack#2, R6-2-1</t>
    <phoneticPr fontId="14" type="noConversion"/>
  </si>
  <si>
    <t>DGX Rack#3, R5-3-1</t>
    <phoneticPr fontId="14" type="noConversion"/>
  </si>
  <si>
    <t>예비Rack#3, R6-3-1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</si>
  <si>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4" type="noConversion"/>
  </si>
  <si>
    <r>
      <t>#</t>
    </r>
    <r>
      <rPr>
        <sz val="11"/>
        <rFont val="돋움"/>
        <family val="3"/>
        <charset val="129"/>
      </rPr>
      <t>22</t>
    </r>
    <phoneticPr fontId="14" type="noConversion"/>
  </si>
  <si>
    <t>예비Rack#4, R6-4-1</t>
    <phoneticPr fontId="14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</si>
  <si>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</si>
  <si>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#2</t>
    </r>
    <r>
      <rPr>
        <sz val="11"/>
        <rFont val="돋움"/>
        <family val="3"/>
        <charset val="129"/>
      </rPr>
      <t>4</t>
    </r>
    <phoneticPr fontId="14" type="noConversion"/>
  </si>
  <si>
    <t>PDU : SEL1 - 5-1 - B10</t>
    <phoneticPr fontId="14" type="noConversion"/>
  </si>
  <si>
    <t>RTX Rack#1, R1-1-2</t>
    <phoneticPr fontId="14" type="noConversion"/>
  </si>
  <si>
    <t>RTX Rack#8, R3-1-2</t>
    <phoneticPr fontId="14" type="noConversion"/>
  </si>
  <si>
    <t>RTX Rack#2, R1-2-2</t>
    <phoneticPr fontId="14" type="noConversion"/>
  </si>
  <si>
    <t>RTX Rack#9, R3-2-2</t>
    <phoneticPr fontId="14" type="noConversion"/>
  </si>
  <si>
    <t>RTX Rack#3, R1-3-2</t>
    <phoneticPr fontId="14" type="noConversion"/>
  </si>
  <si>
    <t>NW/Mgmt Rack, R3-3-2</t>
    <phoneticPr fontId="14" type="noConversion"/>
  </si>
  <si>
    <t>RTX Rack#4, R2-1-2</t>
    <phoneticPr fontId="14" type="noConversion"/>
  </si>
  <si>
    <t>A40 Rack#1, R4-1-2</t>
    <phoneticPr fontId="14" type="noConversion"/>
  </si>
  <si>
    <t>RTX Rack#5, R2-2-2</t>
    <phoneticPr fontId="14" type="noConversion"/>
  </si>
  <si>
    <t>A40 Rack#2, R4-2-2</t>
    <phoneticPr fontId="14" type="noConversion"/>
  </si>
  <si>
    <t>RTX Rack#6, R2-3-2</t>
    <phoneticPr fontId="14" type="noConversion"/>
  </si>
  <si>
    <t>NetApp FAS#1, R4-3-2</t>
    <phoneticPr fontId="14" type="noConversion"/>
  </si>
  <si>
    <t>RTX Rack#7, R2-4-2</t>
    <phoneticPr fontId="14" type="noConversion"/>
  </si>
  <si>
    <t>NetApp AFF#2, R4-4-2</t>
    <phoneticPr fontId="14" type="noConversion"/>
  </si>
  <si>
    <t>DGX Rack#1, R5-1-2</t>
    <phoneticPr fontId="14" type="noConversion"/>
  </si>
  <si>
    <t>예비Rack#1, R6-1-2</t>
    <phoneticPr fontId="14" type="noConversion"/>
  </si>
  <si>
    <t>DGX Rack#2, R5-2-2</t>
    <phoneticPr fontId="14" type="noConversion"/>
  </si>
  <si>
    <t>예비Rack#2, R6-2-2</t>
    <phoneticPr fontId="14" type="noConversion"/>
  </si>
  <si>
    <t>DGX Rack#3, R5-3-2</t>
    <phoneticPr fontId="14" type="noConversion"/>
  </si>
  <si>
    <t>예비Rack#3, R6-3-2</t>
    <phoneticPr fontId="14" type="noConversion"/>
  </si>
  <si>
    <t>예비Rack#4, R6-4-2</t>
    <phoneticPr fontId="14" type="noConversion"/>
  </si>
  <si>
    <t>PDU : SEL1 - 5-1 - A11</t>
    <phoneticPr fontId="14" type="noConversion"/>
  </si>
  <si>
    <t>RTX Rack#1, R1-1-3</t>
    <phoneticPr fontId="14" type="noConversion"/>
  </si>
  <si>
    <t>RTX Rack#8, R3-1-3</t>
    <phoneticPr fontId="14" type="noConversion"/>
  </si>
  <si>
    <t>RTX Rack#2, R1-2-3</t>
    <phoneticPr fontId="14" type="noConversion"/>
  </si>
  <si>
    <t>RTX Rack#9, R3-2-3</t>
    <phoneticPr fontId="14" type="noConversion"/>
  </si>
  <si>
    <t>RTX Rack#3, R1-3-3</t>
    <phoneticPr fontId="14" type="noConversion"/>
  </si>
  <si>
    <t>NW/Mgmt Rack, R3-3-3</t>
    <phoneticPr fontId="14" type="noConversion"/>
  </si>
  <si>
    <t>RTX Rack#4, R2-1-3</t>
    <phoneticPr fontId="14" type="noConversion"/>
  </si>
  <si>
    <t>A40 Rack#1, R4-1-3</t>
    <phoneticPr fontId="14" type="noConversion"/>
  </si>
  <si>
    <t>RTX Rack#5, R2-2-3</t>
    <phoneticPr fontId="14" type="noConversion"/>
  </si>
  <si>
    <t>A40 Rack#2, R4-2-3</t>
    <phoneticPr fontId="14" type="noConversion"/>
  </si>
  <si>
    <t>RTX Rack#6, R2-3-3</t>
    <phoneticPr fontId="14" type="noConversion"/>
  </si>
  <si>
    <t>NetApp FAS#1, R4-3-3</t>
    <phoneticPr fontId="14" type="noConversion"/>
  </si>
  <si>
    <t>RTX Rack#7, R2-4-3</t>
    <phoneticPr fontId="14" type="noConversion"/>
  </si>
  <si>
    <t>NetApp AFF#2, R4-4-3</t>
    <phoneticPr fontId="14" type="noConversion"/>
  </si>
  <si>
    <t>DGX Rack#1, R5-1-3</t>
    <phoneticPr fontId="14" type="noConversion"/>
  </si>
  <si>
    <t>예비Rack#1, R6-1-3</t>
    <phoneticPr fontId="14" type="noConversion"/>
  </si>
  <si>
    <t>DGX Rack#2, R5-2-3</t>
    <phoneticPr fontId="14" type="noConversion"/>
  </si>
  <si>
    <t>예비Rack#2, R6-2-3</t>
    <phoneticPr fontId="14" type="noConversion"/>
  </si>
  <si>
    <t>DGX Rack#3, R5-3-3</t>
    <phoneticPr fontId="14" type="noConversion"/>
  </si>
  <si>
    <t>예비Rack#3, R6-3-3</t>
    <phoneticPr fontId="14" type="noConversion"/>
  </si>
  <si>
    <t>예비Rack#4, R6-4-3</t>
    <phoneticPr fontId="14" type="noConversion"/>
  </si>
  <si>
    <t>PDU : SEL1 - 5-1 - B11</t>
    <phoneticPr fontId="14" type="noConversion"/>
  </si>
  <si>
    <t>RTX Rack#1, R1-1-4</t>
    <phoneticPr fontId="14" type="noConversion"/>
  </si>
  <si>
    <t>RTX Rack#8, R3-1-4</t>
    <phoneticPr fontId="14" type="noConversion"/>
  </si>
  <si>
    <t>RTX Rack#2, R1-2-4</t>
    <phoneticPr fontId="14" type="noConversion"/>
  </si>
  <si>
    <t>RTX Rack#9, R3-2-4</t>
    <phoneticPr fontId="14" type="noConversion"/>
  </si>
  <si>
    <t>RTX Rack#3, R1-3-4</t>
    <phoneticPr fontId="14" type="noConversion"/>
  </si>
  <si>
    <t>NW/Mgmt Rack, R3-3-4</t>
    <phoneticPr fontId="14" type="noConversion"/>
  </si>
  <si>
    <t>RTX Rack#4, R2-1-4</t>
    <phoneticPr fontId="14" type="noConversion"/>
  </si>
  <si>
    <t>A40 Rack#1, R4-1-4</t>
    <phoneticPr fontId="14" type="noConversion"/>
  </si>
  <si>
    <t>RTX Rack#5, R2-2-4</t>
    <phoneticPr fontId="14" type="noConversion"/>
  </si>
  <si>
    <t>A40 Rack#2, R4-2-4</t>
    <phoneticPr fontId="14" type="noConversion"/>
  </si>
  <si>
    <t>RTX Rack#6, R2-3-4</t>
    <phoneticPr fontId="14" type="noConversion"/>
  </si>
  <si>
    <t>NetApp FAS#1, R4-3-4</t>
    <phoneticPr fontId="14" type="noConversion"/>
  </si>
  <si>
    <t>RTX Rack#7, R2-4-4</t>
    <phoneticPr fontId="14" type="noConversion"/>
  </si>
  <si>
    <t>NetApp AFF#2, R4-4-4</t>
    <phoneticPr fontId="14" type="noConversion"/>
  </si>
  <si>
    <t>DGX Rack#1, R5-1-4</t>
    <phoneticPr fontId="14" type="noConversion"/>
  </si>
  <si>
    <t>예비Rack#1, R6-1-4</t>
    <phoneticPr fontId="14" type="noConversion"/>
  </si>
  <si>
    <t>DGX Rack#2, R5-2-4</t>
    <phoneticPr fontId="14" type="noConversion"/>
  </si>
  <si>
    <t>예비Rack#2, R6-2-4</t>
    <phoneticPr fontId="14" type="noConversion"/>
  </si>
  <si>
    <t>DGX Rack#3, R5-3-4</t>
    <phoneticPr fontId="14" type="noConversion"/>
  </si>
  <si>
    <t>예비Rack#3, R6-3-4</t>
    <phoneticPr fontId="14" type="noConversion"/>
  </si>
  <si>
    <t>예비Rack#4, R6-4-4</t>
    <phoneticPr fontId="14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</si>
  <si>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</si>
  <si>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4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</si>
  <si>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</si>
  <si>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4" type="noConversion"/>
  </si>
  <si>
    <t>Singtel</t>
    <phoneticPr fontId="41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</si>
  <si>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4" type="noConversion"/>
  </si>
  <si>
    <t>텔스트라 정류기 A1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</si>
  <si>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4" type="noConversion"/>
  </si>
  <si>
    <t>C2C</t>
    <phoneticPr fontId="41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</si>
  <si>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</si>
  <si>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4" type="noConversion"/>
  </si>
  <si>
    <t>텔스트라 정류기 A2</t>
    <phoneticPr fontId="14" type="noConversion"/>
  </si>
  <si>
    <t>텔스트라 정류기 B1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</si>
  <si>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4" type="noConversion"/>
  </si>
  <si>
    <r>
      <t>#</t>
    </r>
    <r>
      <rPr>
        <sz val="11"/>
        <rFont val="돋움"/>
        <family val="3"/>
        <charset val="129"/>
      </rPr>
      <t>06</t>
    </r>
    <phoneticPr fontId="14" type="noConversion"/>
  </si>
  <si>
    <t>텔스트라 정류기 B2</t>
    <phoneticPr fontId="14" type="noConversion"/>
  </si>
  <si>
    <t>배분</t>
    <phoneticPr fontId="20" type="noConversion"/>
  </si>
  <si>
    <t>IDC</t>
    <phoneticPr fontId="14" type="noConversion"/>
  </si>
  <si>
    <t>텔스트라 정류기</t>
    <phoneticPr fontId="20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</si>
  <si>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20" type="noConversion"/>
  </si>
  <si>
    <t>singtel PDU-8-B</t>
    <phoneticPr fontId="20" type="noConversion"/>
  </si>
  <si>
    <t>=&gt;합계</t>
    <phoneticPr fontId="14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</si>
  <si>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4" type="noConversion"/>
  </si>
  <si>
    <t>LG CNS</t>
    <phoneticPr fontId="14" type="noConversion"/>
  </si>
  <si>
    <t>함계</t>
    <phoneticPr fontId="20" type="noConversion"/>
  </si>
  <si>
    <t>복도</t>
    <phoneticPr fontId="41" type="noConversion"/>
  </si>
  <si>
    <t>▼</t>
    <phoneticPr fontId="41" type="noConversion"/>
  </si>
  <si>
    <t>Singtel-1</t>
    <phoneticPr fontId="41" type="noConversion"/>
  </si>
  <si>
    <t>Singtel-2</t>
    <phoneticPr fontId="41" type="noConversion"/>
  </si>
  <si>
    <t>Pacnet</t>
    <phoneticPr fontId="41" type="noConversion"/>
  </si>
  <si>
    <t>KEN 1</t>
    <phoneticPr fontId="20" type="noConversion"/>
  </si>
  <si>
    <t>Main CB  4P 300A</t>
    <phoneticPr fontId="14" type="noConversion"/>
  </si>
  <si>
    <t>PDU : SEL1 - 4-1 - B1</t>
    <phoneticPr fontId="14" type="noConversion"/>
  </si>
  <si>
    <t>KEN 2</t>
    <phoneticPr fontId="20" type="noConversion"/>
  </si>
  <si>
    <t>PDU : SEL1 - 4-1 - B2</t>
    <phoneticPr fontId="14" type="noConversion"/>
  </si>
  <si>
    <t>CB NO.</t>
    <phoneticPr fontId="14" type="noConversion"/>
  </si>
  <si>
    <t>비고</t>
    <phoneticPr fontId="14" type="noConversion"/>
  </si>
  <si>
    <t>정류기 1호기</t>
    <phoneticPr fontId="20" type="noConversion"/>
  </si>
  <si>
    <t>코어룸</t>
    <phoneticPr fontId="20" type="noConversion"/>
  </si>
  <si>
    <t>POP E(상)</t>
    <phoneticPr fontId="20" type="noConversion"/>
  </si>
  <si>
    <t>2P 100A</t>
    <phoneticPr fontId="20" type="noConversion"/>
  </si>
  <si>
    <t>POP F(상)</t>
    <phoneticPr fontId="20" type="noConversion"/>
  </si>
  <si>
    <t>POP B(상)</t>
    <phoneticPr fontId="20" type="noConversion"/>
  </si>
  <si>
    <t>IDC 1구역 B(상)</t>
    <phoneticPr fontId="20" type="noConversion"/>
  </si>
  <si>
    <t>POP C(상)</t>
    <phoneticPr fontId="20" type="noConversion"/>
  </si>
  <si>
    <t>IDC 1구역 C(상)</t>
    <phoneticPr fontId="20" type="noConversion"/>
  </si>
  <si>
    <t>POP D(상)</t>
    <phoneticPr fontId="20" type="noConversion"/>
  </si>
  <si>
    <t>IDC 1구역 D(상)</t>
    <phoneticPr fontId="20" type="noConversion"/>
  </si>
  <si>
    <t>IDC 2구역 I(상)</t>
    <phoneticPr fontId="20" type="noConversion"/>
  </si>
  <si>
    <t>IDC 1구역 E(상)</t>
    <phoneticPr fontId="20" type="noConversion"/>
  </si>
  <si>
    <t>IDC 2구역 H(상)</t>
    <phoneticPr fontId="20" type="noConversion"/>
  </si>
  <si>
    <t>IDC 1구역 F(상)</t>
    <phoneticPr fontId="20" type="noConversion"/>
  </si>
  <si>
    <t>IDC 1구역 G(상)</t>
    <phoneticPr fontId="20" type="noConversion"/>
  </si>
  <si>
    <t>KEN 3</t>
    <phoneticPr fontId="20" type="noConversion"/>
  </si>
  <si>
    <t>PDU : SEL1 - 4-1 - B3</t>
    <phoneticPr fontId="14" type="noConversion"/>
  </si>
  <si>
    <t>KEN 6</t>
    <phoneticPr fontId="20" type="noConversion"/>
  </si>
  <si>
    <t>PDU : SEL1 - 4-1 - B4</t>
    <phoneticPr fontId="14" type="noConversion"/>
  </si>
  <si>
    <t>IDC 2구역 J(상)</t>
    <phoneticPr fontId="20" type="noConversion"/>
  </si>
  <si>
    <t>K 2-1-상</t>
    <phoneticPr fontId="20" type="noConversion"/>
  </si>
  <si>
    <t>세틀뱅크(구 시스케어)</t>
    <phoneticPr fontId="20" type="noConversion"/>
  </si>
  <si>
    <t>IDC 2구역 K(상)</t>
    <phoneticPr fontId="20" type="noConversion"/>
  </si>
  <si>
    <t>K 3-1 상</t>
    <phoneticPr fontId="20" type="noConversion"/>
  </si>
  <si>
    <t>미디어꾼(구)윈텔)</t>
    <phoneticPr fontId="20" type="noConversion"/>
  </si>
  <si>
    <t>IDC 2구역 L(상)</t>
    <phoneticPr fontId="20" type="noConversion"/>
  </si>
  <si>
    <t>K 2-2-상</t>
    <phoneticPr fontId="20" type="noConversion"/>
  </si>
  <si>
    <t>세틀뱅크(구 시스케어)</t>
  </si>
  <si>
    <t>IDC 2구역 M(상)</t>
    <phoneticPr fontId="20" type="noConversion"/>
  </si>
  <si>
    <t>K 3-2 상</t>
    <phoneticPr fontId="20" type="noConversion"/>
  </si>
  <si>
    <t>IDC 3구역 N(상)</t>
    <phoneticPr fontId="20" type="noConversion"/>
  </si>
  <si>
    <t>K 2-3-상</t>
    <phoneticPr fontId="20" type="noConversion"/>
  </si>
  <si>
    <t>IDC 3구역 O(상)</t>
    <phoneticPr fontId="20" type="noConversion"/>
  </si>
  <si>
    <t>K 3-3 상</t>
    <phoneticPr fontId="20" type="noConversion"/>
  </si>
  <si>
    <t>IDC 3구역 P(상)</t>
    <phoneticPr fontId="20" type="noConversion"/>
  </si>
  <si>
    <t>K 2-4 상</t>
    <phoneticPr fontId="20" type="noConversion"/>
  </si>
  <si>
    <t>IDC 3구역 Q(상)</t>
    <phoneticPr fontId="20" type="noConversion"/>
  </si>
  <si>
    <t>K 3-4 상</t>
    <phoneticPr fontId="20" type="noConversion"/>
  </si>
  <si>
    <t>IDC 3구역 R(상)</t>
    <phoneticPr fontId="20" type="noConversion"/>
  </si>
  <si>
    <t>K 1-1 상</t>
    <phoneticPr fontId="20" type="noConversion"/>
  </si>
  <si>
    <t>BMW</t>
    <phoneticPr fontId="20" type="noConversion"/>
  </si>
  <si>
    <t>IDC 3구역 S(상)</t>
    <phoneticPr fontId="20" type="noConversion"/>
  </si>
  <si>
    <t>K 1-2 상</t>
    <phoneticPr fontId="20" type="noConversion"/>
  </si>
  <si>
    <t>세종시스템케이지</t>
    <phoneticPr fontId="20" type="noConversion"/>
  </si>
  <si>
    <t>KEN 7</t>
    <phoneticPr fontId="20" type="noConversion"/>
  </si>
  <si>
    <t>PDU : SEL1 - 4-1 - B5</t>
    <phoneticPr fontId="14" type="noConversion"/>
  </si>
  <si>
    <t>KEN 8</t>
    <phoneticPr fontId="20" type="noConversion"/>
  </si>
  <si>
    <t>PDU : SEL1 - 4-1 - A1</t>
    <phoneticPr fontId="14" type="noConversion"/>
  </si>
  <si>
    <t>라온 - 철거</t>
    <phoneticPr fontId="20" type="noConversion"/>
  </si>
  <si>
    <t>4P 200A</t>
    <phoneticPr fontId="20" type="noConversion"/>
  </si>
  <si>
    <t>정류기 2호기</t>
    <phoneticPr fontId="20" type="noConversion"/>
  </si>
  <si>
    <t>CRAC 4E-1호기(20RT)</t>
    <phoneticPr fontId="14" type="noConversion"/>
  </si>
  <si>
    <t>항온</t>
    <phoneticPr fontId="20" type="noConversion"/>
  </si>
  <si>
    <t>POP E(하)</t>
    <phoneticPr fontId="20" type="noConversion"/>
  </si>
  <si>
    <t>CRAC 4E-2호기(20RT)</t>
    <phoneticPr fontId="14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</si>
  <si>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</si>
  <si>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</si>
  <si>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</si>
  <si>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</si>
  <si>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</si>
  <si>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20" type="noConversion"/>
  </si>
  <si>
    <t>PDU : SEL1 - 4-1 - A2</t>
    <phoneticPr fontId="14" type="noConversion"/>
  </si>
  <si>
    <t>KEN 10</t>
    <phoneticPr fontId="20" type="noConversion"/>
  </si>
  <si>
    <t>PDU : SEL1 - 4-1 - A3</t>
    <phoneticPr fontId="14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</si>
  <si>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</si>
  <si>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</si>
  <si>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</si>
  <si>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</si>
  <si>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</si>
  <si>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</si>
  <si>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</si>
  <si>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</si>
  <si>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</si>
  <si>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</si>
  <si>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</si>
  <si>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</si>
  <si>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</si>
  <si>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</si>
  <si>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</si>
  <si>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</si>
  <si>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</si>
  <si>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20" type="noConversion"/>
  </si>
  <si>
    <t>PDU : SEL1 - 4-1 - A4</t>
    <phoneticPr fontId="14" type="noConversion"/>
  </si>
  <si>
    <t>KEN 14</t>
    <phoneticPr fontId="20" type="noConversion"/>
  </si>
  <si>
    <t>PDU : SEL1 - 4-1 - A5</t>
    <phoneticPr fontId="14" type="noConversion"/>
  </si>
  <si>
    <t>CB NO.</t>
  </si>
  <si>
    <t>K 2-1-하</t>
    <phoneticPr fontId="20" type="noConversion"/>
  </si>
  <si>
    <t>라온(상)- 철거</t>
    <phoneticPr fontId="20" type="noConversion"/>
  </si>
  <si>
    <t>K 3-1-하</t>
    <phoneticPr fontId="20" type="noConversion"/>
  </si>
  <si>
    <t>K 2-2-하</t>
    <phoneticPr fontId="20" type="noConversion"/>
  </si>
  <si>
    <t>K 3-2-하</t>
    <phoneticPr fontId="20" type="noConversion"/>
  </si>
  <si>
    <t>합계:</t>
    <phoneticPr fontId="34" type="noConversion"/>
  </si>
  <si>
    <t>K 2-3-하</t>
    <phoneticPr fontId="20" type="noConversion"/>
  </si>
  <si>
    <t>TR Room A,B</t>
    <phoneticPr fontId="20" type="noConversion"/>
  </si>
  <si>
    <t>K 3-3-하</t>
    <phoneticPr fontId="20" type="noConversion"/>
  </si>
  <si>
    <t>K 2-4-하</t>
    <phoneticPr fontId="20" type="noConversion"/>
  </si>
  <si>
    <t>KB증권 DR(A) - 철거</t>
    <phoneticPr fontId="20" type="noConversion"/>
  </si>
  <si>
    <t>4P 320A</t>
    <phoneticPr fontId="20" type="noConversion"/>
  </si>
  <si>
    <t>K 3-4-하</t>
    <phoneticPr fontId="20" type="noConversion"/>
  </si>
  <si>
    <t>K 1-1-하</t>
    <phoneticPr fontId="20" type="noConversion"/>
  </si>
  <si>
    <t>K 1-2-하</t>
    <phoneticPr fontId="20" type="noConversion"/>
  </si>
  <si>
    <t>KB증권 DR(B) - 철거</t>
    <phoneticPr fontId="20" type="noConversion"/>
  </si>
  <si>
    <t>층당 분배</t>
    <phoneticPr fontId="20" type="noConversion"/>
  </si>
  <si>
    <t>4층</t>
    <phoneticPr fontId="20" type="noConversion"/>
  </si>
  <si>
    <t>IP</t>
    <phoneticPr fontId="20" type="noConversion"/>
  </si>
  <si>
    <t>세종 시스템</t>
    <phoneticPr fontId="20" type="noConversion"/>
  </si>
  <si>
    <t>core room</t>
    <phoneticPr fontId="20" type="noConversion"/>
  </si>
  <si>
    <t>총합</t>
    <phoneticPr fontId="20" type="noConversion"/>
  </si>
  <si>
    <t>4층 항온항습기 비상 (4층 5RT x 3대, 10RT x 1대)</t>
    <phoneticPr fontId="20" type="noConversion"/>
  </si>
  <si>
    <t>Main CB   3P 150A</t>
    <phoneticPr fontId="14" type="noConversion"/>
  </si>
  <si>
    <t>4-1 호</t>
    <phoneticPr fontId="14" type="noConversion"/>
  </si>
  <si>
    <t>4-4호</t>
    <phoneticPr fontId="14" type="noConversion"/>
  </si>
  <si>
    <t>4-2 호</t>
  </si>
  <si>
    <t>4-3 호</t>
  </si>
  <si>
    <t>차단기 사용 현황</t>
    <phoneticPr fontId="20" type="noConversion"/>
  </si>
  <si>
    <t>7층</t>
    <phoneticPr fontId="20" type="noConversion"/>
  </si>
  <si>
    <t>DE 분전반 신규명칭</t>
    <phoneticPr fontId="20" type="noConversion"/>
  </si>
  <si>
    <t>분전반 명칭</t>
    <phoneticPr fontId="20" type="noConversion"/>
  </si>
  <si>
    <t>차단전류
(A)</t>
    <phoneticPr fontId="20" type="noConversion"/>
  </si>
  <si>
    <t>메인차단용량
(kVA)</t>
    <phoneticPr fontId="20" type="noConversion"/>
  </si>
  <si>
    <t>IT허용용량
(kVA)</t>
    <phoneticPr fontId="20" type="noConversion"/>
  </si>
  <si>
    <t>사용량
(kVA)</t>
    <phoneticPr fontId="20" type="noConversion"/>
  </si>
  <si>
    <t>사용율
(%)</t>
    <phoneticPr fontId="20" type="noConversion"/>
  </si>
  <si>
    <t>2P 20A</t>
    <phoneticPr fontId="20" type="noConversion"/>
  </si>
  <si>
    <t>2P 50A</t>
    <phoneticPr fontId="20" type="noConversion"/>
  </si>
  <si>
    <t>4P 225A</t>
    <phoneticPr fontId="20" type="noConversion"/>
  </si>
  <si>
    <t>3P 100A</t>
    <phoneticPr fontId="20" type="noConversion"/>
  </si>
  <si>
    <t>3P 150A</t>
    <phoneticPr fontId="20" type="noConversion"/>
  </si>
  <si>
    <t>총계</t>
    <phoneticPr fontId="20" type="noConversion"/>
  </si>
  <si>
    <t>UPS 출력 분전반 A2(From:7F 창고)</t>
    <phoneticPr fontId="20" type="noConversion"/>
  </si>
  <si>
    <t>UPS 출력 분전반 B2(From:7F 창고)</t>
    <phoneticPr fontId="14" type="noConversion"/>
  </si>
  <si>
    <t>7-1-A4</t>
    <phoneticPr fontId="14" type="noConversion"/>
  </si>
  <si>
    <t>7-1-B4</t>
    <phoneticPr fontId="14" type="noConversion"/>
  </si>
  <si>
    <t>6층</t>
    <phoneticPr fontId="20" type="noConversion"/>
  </si>
  <si>
    <t>6-1-A1</t>
    <phoneticPr fontId="14" type="noConversion"/>
  </si>
  <si>
    <t>U-A1</t>
    <phoneticPr fontId="20" type="noConversion"/>
  </si>
  <si>
    <t>6-1-B1</t>
    <phoneticPr fontId="14" type="noConversion"/>
  </si>
  <si>
    <t>U-B1</t>
    <phoneticPr fontId="20" type="noConversion"/>
  </si>
  <si>
    <t>6-1-A2</t>
    <phoneticPr fontId="14" type="noConversion"/>
  </si>
  <si>
    <t>U-A2</t>
    <phoneticPr fontId="20" type="noConversion"/>
  </si>
  <si>
    <t>6-1-B2</t>
    <phoneticPr fontId="14" type="noConversion"/>
  </si>
  <si>
    <t>U-B2</t>
    <phoneticPr fontId="20" type="noConversion"/>
  </si>
  <si>
    <t>6-1-A3</t>
    <phoneticPr fontId="14" type="noConversion"/>
  </si>
  <si>
    <t>U6-A5 PANEL</t>
    <phoneticPr fontId="20" type="noConversion"/>
  </si>
  <si>
    <t>6-1-B3</t>
    <phoneticPr fontId="14" type="noConversion"/>
  </si>
  <si>
    <t>U6-B5 PANEL</t>
    <phoneticPr fontId="20" type="noConversion"/>
  </si>
  <si>
    <t>6-1-A4</t>
    <phoneticPr fontId="14" type="noConversion"/>
  </si>
  <si>
    <t>U6-A6 PANEL</t>
    <phoneticPr fontId="20" type="noConversion"/>
  </si>
  <si>
    <t>6-1-B4</t>
    <phoneticPr fontId="14" type="noConversion"/>
  </si>
  <si>
    <t>U6-B6 PANEL</t>
    <phoneticPr fontId="20" type="noConversion"/>
  </si>
  <si>
    <t>6-1-A5</t>
    <phoneticPr fontId="14" type="noConversion"/>
  </si>
  <si>
    <t>U-A3</t>
    <phoneticPr fontId="20" type="noConversion"/>
  </si>
  <si>
    <t>6-1-B5</t>
    <phoneticPr fontId="14" type="noConversion"/>
  </si>
  <si>
    <t>U-B3</t>
    <phoneticPr fontId="20" type="noConversion"/>
  </si>
  <si>
    <t>6-1-A6</t>
    <phoneticPr fontId="14" type="noConversion"/>
  </si>
  <si>
    <t>U-A4</t>
    <phoneticPr fontId="20" type="noConversion"/>
  </si>
  <si>
    <t>6-1-B6</t>
    <phoneticPr fontId="14" type="noConversion"/>
  </si>
  <si>
    <t>U-B4</t>
    <phoneticPr fontId="20" type="noConversion"/>
  </si>
  <si>
    <t>6-1-A7</t>
    <phoneticPr fontId="14" type="noConversion"/>
  </si>
  <si>
    <t>U6-A7 PANEL</t>
    <phoneticPr fontId="20" type="noConversion"/>
  </si>
  <si>
    <t>6-1-B7</t>
    <phoneticPr fontId="14" type="noConversion"/>
  </si>
  <si>
    <t>U6-B7 PANEL</t>
    <phoneticPr fontId="20" type="noConversion"/>
  </si>
  <si>
    <t>5층</t>
    <phoneticPr fontId="20" type="noConversion"/>
  </si>
  <si>
    <t>3P 60A</t>
    <phoneticPr fontId="20" type="noConversion"/>
  </si>
  <si>
    <t>5-1-A1</t>
    <phoneticPr fontId="14" type="noConversion"/>
  </si>
  <si>
    <t>5-1-B1</t>
    <phoneticPr fontId="14" type="noConversion"/>
  </si>
  <si>
    <t>U5-1B</t>
    <phoneticPr fontId="20" type="noConversion"/>
  </si>
  <si>
    <t>5-1-A2</t>
    <phoneticPr fontId="14" type="noConversion"/>
  </si>
  <si>
    <t>U5-2A</t>
    <phoneticPr fontId="20" type="noConversion"/>
  </si>
  <si>
    <t>U5-2B</t>
    <phoneticPr fontId="20" type="noConversion"/>
  </si>
  <si>
    <t>5-1-A3</t>
    <phoneticPr fontId="14" type="noConversion"/>
  </si>
  <si>
    <t>U5-3A</t>
    <phoneticPr fontId="20" type="noConversion"/>
  </si>
  <si>
    <t>5-1-B3</t>
    <phoneticPr fontId="14" type="noConversion"/>
  </si>
  <si>
    <t>U5-3B</t>
    <phoneticPr fontId="20" type="noConversion"/>
  </si>
  <si>
    <t>5-1-A4</t>
    <phoneticPr fontId="14" type="noConversion"/>
  </si>
  <si>
    <t>PDU(A)-9</t>
    <phoneticPr fontId="20" type="noConversion"/>
  </si>
  <si>
    <t>5-1-B4</t>
    <phoneticPr fontId="14" type="noConversion"/>
  </si>
  <si>
    <t>PDU(B)-9</t>
    <phoneticPr fontId="20" type="noConversion"/>
  </si>
  <si>
    <t>5-1-A5</t>
    <phoneticPr fontId="14" type="noConversion"/>
  </si>
  <si>
    <t>PDU(A)-10</t>
    <phoneticPr fontId="20" type="noConversion"/>
  </si>
  <si>
    <t>5-1-B5</t>
    <phoneticPr fontId="14" type="noConversion"/>
  </si>
  <si>
    <t>PDU(B)-10</t>
    <phoneticPr fontId="20" type="noConversion"/>
  </si>
  <si>
    <t>5-1-A6</t>
    <phoneticPr fontId="14" type="noConversion"/>
  </si>
  <si>
    <t>PDU(A)-1</t>
    <phoneticPr fontId="20" type="noConversion"/>
  </si>
  <si>
    <t>5-1-B6</t>
    <phoneticPr fontId="14" type="noConversion"/>
  </si>
  <si>
    <t>PDU(B)-1</t>
    <phoneticPr fontId="20" type="noConversion"/>
  </si>
  <si>
    <t>5-1-A7</t>
    <phoneticPr fontId="14" type="noConversion"/>
  </si>
  <si>
    <t>PDU(A)-2</t>
    <phoneticPr fontId="20" type="noConversion"/>
  </si>
  <si>
    <t>5-1-B7</t>
  </si>
  <si>
    <t>PDU(B)-2</t>
    <phoneticPr fontId="20" type="noConversion"/>
  </si>
  <si>
    <t>5-1-A8</t>
  </si>
  <si>
    <t>PDU(A)-3</t>
    <phoneticPr fontId="20" type="noConversion"/>
  </si>
  <si>
    <t>5-1-B8</t>
  </si>
  <si>
    <t>PDU(B)-3</t>
    <phoneticPr fontId="20" type="noConversion"/>
  </si>
  <si>
    <t>5-1-A9</t>
    <phoneticPr fontId="14" type="noConversion"/>
  </si>
  <si>
    <t>Singtel PDU-8-A</t>
  </si>
  <si>
    <t>5-1-B9</t>
    <phoneticPr fontId="14" type="noConversion"/>
  </si>
  <si>
    <t>Singtel PDU-8-B</t>
  </si>
  <si>
    <t>5-1-A10</t>
    <phoneticPr fontId="14" type="noConversion"/>
  </si>
  <si>
    <t>LG PDU(A1)</t>
  </si>
  <si>
    <t>5-1-B10</t>
    <phoneticPr fontId="14" type="noConversion"/>
  </si>
  <si>
    <t>LG PDU(B1)</t>
  </si>
  <si>
    <t>5-1-A11</t>
    <phoneticPr fontId="14" type="noConversion"/>
  </si>
  <si>
    <t>LG PDU(A2)</t>
  </si>
  <si>
    <t>5-1-B11</t>
    <phoneticPr fontId="14" type="noConversion"/>
  </si>
  <si>
    <t>LG PDU(B2)</t>
  </si>
  <si>
    <t>PDU6B-1T</t>
    <phoneticPr fontId="20" type="noConversion"/>
  </si>
  <si>
    <t>PDU(C)</t>
    <phoneticPr fontId="20" type="noConversion"/>
  </si>
  <si>
    <t>통신전력기준
(kVA)</t>
    <phoneticPr fontId="20" type="noConversion"/>
  </si>
  <si>
    <t>4P 100A</t>
    <phoneticPr fontId="20" type="noConversion"/>
  </si>
  <si>
    <t>4-1-A1</t>
    <phoneticPr fontId="14" type="noConversion"/>
  </si>
  <si>
    <t>4-1-B1</t>
    <phoneticPr fontId="14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</si>
  <si>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</si>
  <si>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</si>
  <si>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</si>
  <si>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</si>
  <si>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</si>
  <si>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</si>
  <si>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</si>
  <si>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</si>
  <si>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20" type="noConversion"/>
  </si>
  <si>
    <t>사용량(A)</t>
    <phoneticPr fontId="20" type="noConversion"/>
  </si>
  <si>
    <t>층 배분(%)</t>
    <phoneticPr fontId="20" type="noConversion"/>
  </si>
  <si>
    <t>IP</t>
    <phoneticPr fontId="14" type="noConversion"/>
  </si>
  <si>
    <t>세종 인터넷</t>
    <phoneticPr fontId="20" type="noConversion"/>
  </si>
  <si>
    <t>세종 7층 NOC(미확인 포함)</t>
    <phoneticPr fontId="14" type="noConversion"/>
  </si>
  <si>
    <t>DEKR IDC</t>
    <phoneticPr fontId="20" type="noConversion"/>
  </si>
  <si>
    <t>세종 core room</t>
    <phoneticPr fontId="20" type="noConversion"/>
  </si>
  <si>
    <t>IDC</t>
  </si>
  <si>
    <t>DEKR IDC</t>
  </si>
  <si>
    <t>세종 전송설비</t>
    <phoneticPr fontId="20" type="noConversion"/>
  </si>
  <si>
    <t>세종 정류기</t>
    <phoneticPr fontId="20" type="noConversion"/>
  </si>
  <si>
    <t>IPD 운용현황(' 22 년        월         일)</t>
    <phoneticPr fontId="14" type="noConversion"/>
  </si>
  <si>
    <t>201 BAY</t>
  </si>
  <si>
    <t>Display</t>
  </si>
  <si>
    <t>전압 :            V        전류 :            A</t>
    <phoneticPr fontId="14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</si>
  <si>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</si>
  <si>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</si>
  <si>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</si>
  <si>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</si>
  <si>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</si>
  <si>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</si>
  <si>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</si>
  <si>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</si>
  <si>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</si>
  <si>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</si>
  <si>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</si>
  <si>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</si>
  <si>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4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</si>
  <si>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</si>
  <si>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4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</si>
  <si>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</si>
  <si>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</si>
  <si>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</si>
  <si>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</si>
  <si>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</si>
  <si>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</si>
  <si>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</si>
  <si>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</si>
  <si>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</si>
  <si>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</si>
  <si>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</si>
  <si>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4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</si>
  <si>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</si>
  <si>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</si>
  <si>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</si>
  <si>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</si>
  <si>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</si>
  <si>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4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</si>
  <si>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</si>
  <si>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</si>
  <si>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</si>
  <si>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</si>
  <si>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</si>
  <si>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</si>
  <si>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</si>
  <si>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</si>
  <si>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</si>
  <si>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4" type="noConversion"/>
  </si>
  <si>
    <t>100A</t>
    <phoneticPr fontId="14" type="noConversion"/>
  </si>
  <si>
    <t>307BAY_LGU+PDP.A
201BAY_PDR_P24</t>
    <phoneticPr fontId="14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</si>
  <si>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</si>
  <si>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</si>
  <si>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</si>
  <si>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</si>
  <si>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</si>
  <si>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</si>
  <si>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</si>
  <si>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</si>
  <si>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4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</si>
  <si>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</si>
  <si>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</si>
  <si>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</si>
  <si>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</si>
  <si>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</si>
  <si>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</si>
  <si>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</si>
  <si>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</si>
  <si>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</si>
  <si>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</si>
  <si>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</si>
  <si>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</si>
  <si>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</si>
  <si>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</si>
  <si>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</si>
  <si>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</si>
  <si>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</si>
  <si>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</si>
  <si>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4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</si>
  <si>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</si>
  <si>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</si>
  <si>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</si>
  <si>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</si>
  <si>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</si>
  <si>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</si>
  <si>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</si>
  <si>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</si>
  <si>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</si>
  <si>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4" type="noConversion"/>
  </si>
  <si>
    <t>307BAY_LGU+PDP.B
401BAY_PDR_P24</t>
    <phoneticPr fontId="14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</si>
  <si>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</si>
  <si>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</si>
  <si>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</si>
  <si>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</si>
  <si>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</si>
  <si>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</si>
  <si>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</si>
  <si>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</si>
  <si>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</si>
  <si>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</si>
  <si>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</si>
  <si>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</si>
  <si>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</si>
  <si>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</si>
  <si>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</si>
  <si>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</si>
  <si>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</si>
  <si>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</si>
  <si>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</si>
  <si>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4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</si>
  <si>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4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</si>
  <si>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</si>
  <si>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</si>
  <si>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</si>
  <si>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</si>
  <si>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</si>
  <si>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</si>
  <si>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</si>
  <si>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</si>
  <si>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</si>
  <si>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</si>
  <si>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</si>
  <si>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</si>
  <si>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</si>
  <si>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</si>
  <si>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</si>
  <si>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</si>
  <si>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</si>
  <si>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</si>
  <si>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</si>
  <si>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</si>
  <si>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</si>
  <si>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</si>
  <si>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</si>
  <si>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</si>
  <si>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</si>
  <si>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</si>
  <si>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</si>
  <si>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</si>
  <si>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</si>
  <si>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4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</si>
  <si>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</si>
  <si>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</si>
  <si>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</si>
  <si>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</si>
  <si>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</si>
  <si>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</si>
  <si>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</si>
  <si>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</si>
  <si>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</si>
  <si>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</si>
  <si>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</si>
  <si>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</si>
  <si>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</si>
  <si>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</si>
  <si>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</si>
  <si>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</si>
  <si>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</si>
  <si>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</si>
  <si>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</si>
  <si>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</si>
  <si>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</si>
  <si>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</si>
  <si>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</si>
  <si>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</si>
  <si>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</si>
  <si>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</si>
  <si>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</si>
  <si>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</si>
  <si>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</si>
  <si>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</si>
  <si>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</si>
  <si>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</si>
  <si>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</si>
  <si>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</si>
  <si>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</si>
  <si>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</si>
  <si>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</si>
  <si>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</si>
  <si>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</si>
  <si>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</si>
  <si>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</si>
  <si>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</si>
  <si>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</si>
  <si>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</si>
  <si>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</si>
  <si>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</si>
  <si>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</si>
  <si>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</si>
  <si>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</si>
  <si>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</si>
  <si>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</si>
  <si>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</si>
  <si>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</si>
  <si>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</si>
  <si>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</si>
  <si>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4" type="noConversion"/>
  </si>
  <si>
    <t>IPD / A-3_P21
227BAY PDP_A</t>
  </si>
  <si>
    <t>323B ODO -48VA
코위버 갬으 DURTKA#2</t>
    <phoneticPr fontId="14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</si>
  <si>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</si>
  <si>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</si>
  <si>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</si>
  <si>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</si>
  <si>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</si>
  <si>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4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</si>
  <si>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</si>
  <si>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</si>
  <si>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</si>
  <si>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</si>
  <si>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</si>
  <si>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</si>
  <si>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</si>
  <si>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</si>
  <si>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</si>
  <si>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</si>
  <si>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</si>
  <si>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</si>
  <si>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</si>
  <si>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</si>
  <si>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</si>
  <si>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</si>
  <si>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</si>
  <si>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</si>
  <si>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</si>
  <si>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</si>
  <si>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</si>
  <si>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</si>
  <si>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</si>
  <si>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</si>
  <si>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</si>
  <si>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</si>
  <si>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</si>
  <si>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</si>
  <si>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</si>
  <si>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</si>
  <si>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</si>
  <si>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</si>
  <si>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</si>
  <si>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</si>
  <si>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</si>
  <si>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</si>
  <si>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</si>
  <si>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</si>
  <si>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4" type="noConversion"/>
  </si>
  <si>
    <t>IPD / B-3_P21
227BAY PDP_B</t>
  </si>
  <si>
    <t>323B ODO -48VB
코위버 갬으 DURTKA#2</t>
    <phoneticPr fontId="14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</si>
  <si>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</si>
  <si>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</si>
  <si>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</si>
  <si>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</si>
  <si>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</si>
  <si>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</si>
  <si>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4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</si>
  <si>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</si>
  <si>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</si>
  <si>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4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</si>
  <si>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</si>
  <si>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</si>
  <si>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</si>
  <si>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</si>
  <si>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</si>
  <si>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</si>
  <si>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</si>
  <si>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</si>
  <si>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</si>
  <si>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</si>
  <si>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</si>
  <si>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</si>
  <si>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</si>
  <si>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</si>
  <si>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</si>
  <si>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</si>
  <si>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</si>
  <si>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4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</si>
  <si>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</si>
  <si>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</si>
  <si>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</si>
  <si>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</si>
  <si>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</si>
  <si>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</si>
  <si>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</si>
  <si>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</si>
  <si>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</si>
  <si>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4" type="noConversion"/>
  </si>
  <si>
    <t>35A</t>
    <phoneticPr fontId="14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</si>
  <si>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</si>
  <si>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</si>
  <si>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4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</si>
  <si>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</si>
  <si>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</si>
  <si>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</si>
  <si>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</si>
  <si>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</si>
  <si>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</si>
  <si>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</si>
  <si>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</si>
  <si>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</si>
  <si>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</si>
  <si>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</si>
  <si>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</si>
  <si>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</si>
  <si>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</si>
  <si>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</si>
  <si>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</si>
  <si>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</si>
  <si>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4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</si>
  <si>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</si>
  <si>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</si>
  <si>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</si>
  <si>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</si>
  <si>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</si>
  <si>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</si>
  <si>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</si>
  <si>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4" type="noConversion"/>
  </si>
  <si>
    <t>A-A1 BAY</t>
  </si>
  <si>
    <t>IPD/A-5 (구 IPD-B)</t>
    <phoneticPr fontId="14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</si>
  <si>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</si>
  <si>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</si>
  <si>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</si>
  <si>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</si>
  <si>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</si>
  <si>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</si>
  <si>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</si>
  <si>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</si>
  <si>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</si>
  <si>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</si>
  <si>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</si>
  <si>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</si>
  <si>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</si>
  <si>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</si>
  <si>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</si>
  <si>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</si>
  <si>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</si>
  <si>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</si>
  <si>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</si>
  <si>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</si>
  <si>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</si>
  <si>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</si>
  <si>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</si>
  <si>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</si>
  <si>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</si>
  <si>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</si>
  <si>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</si>
  <si>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</si>
  <si>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</si>
  <si>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</si>
  <si>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</si>
  <si>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</si>
  <si>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</si>
  <si>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</si>
  <si>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</si>
  <si>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</si>
  <si>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</si>
  <si>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</si>
  <si>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</si>
  <si>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</si>
  <si>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</si>
  <si>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</si>
  <si>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</si>
  <si>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</si>
  <si>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</si>
  <si>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</si>
  <si>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</si>
  <si>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</si>
  <si>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</si>
  <si>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</si>
  <si>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</si>
  <si>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</si>
  <si>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</si>
  <si>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</si>
  <si>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</si>
  <si>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</si>
  <si>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</si>
  <si>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</si>
  <si>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</si>
  <si>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</si>
  <si>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</si>
  <si>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</si>
  <si>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</si>
  <si>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</si>
  <si>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</si>
  <si>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</si>
  <si>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</si>
  <si>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</si>
  <si>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</si>
  <si>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</si>
  <si>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</si>
  <si>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</si>
  <si>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</si>
  <si>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</si>
  <si>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</si>
  <si>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</si>
  <si>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</si>
  <si>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</si>
  <si>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</si>
  <si>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</si>
  <si>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</si>
  <si>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4" type="noConversion"/>
  </si>
  <si>
    <t>F101</t>
  </si>
  <si>
    <t>F42</t>
  </si>
  <si>
    <t>IPD / A-5_P42
A-5 랙 장비_B(1)</t>
    <phoneticPr fontId="14" type="noConversion"/>
  </si>
  <si>
    <t>F102</t>
  </si>
  <si>
    <t>F43</t>
  </si>
  <si>
    <t>IPD / A-5_P43
A-5 랙 장비_B(2)</t>
    <phoneticPr fontId="14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</si>
  <si>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</si>
  <si>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</si>
  <si>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</si>
  <si>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</si>
  <si>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</si>
  <si>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</si>
  <si>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</si>
  <si>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</si>
  <si>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</si>
  <si>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</si>
  <si>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</si>
  <si>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</si>
  <si>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</si>
  <si>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</si>
  <si>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</si>
  <si>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</si>
  <si>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</si>
  <si>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</si>
  <si>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</si>
  <si>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</si>
  <si>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</si>
  <si>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</si>
  <si>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</si>
  <si>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</si>
  <si>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</si>
  <si>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</si>
  <si>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</si>
  <si>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</si>
  <si>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</si>
  <si>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</si>
  <si>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</si>
  <si>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</si>
  <si>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</si>
  <si>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</si>
  <si>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</si>
  <si>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</si>
  <si>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</si>
  <si>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</si>
  <si>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</si>
  <si>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4" type="noConversion"/>
  </si>
  <si>
    <t>400A</t>
  </si>
  <si>
    <t>IPD / B-5_P03
F-8 랙 PDP_A off상태</t>
    <phoneticPr fontId="14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</si>
  <si>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</si>
  <si>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</si>
  <si>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</si>
  <si>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</si>
  <si>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</si>
  <si>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</si>
  <si>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</si>
  <si>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</si>
  <si>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4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</si>
  <si>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</si>
  <si>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</si>
  <si>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</si>
  <si>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</si>
  <si>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</si>
  <si>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</si>
  <si>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</si>
  <si>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</si>
  <si>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</si>
  <si>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</si>
  <si>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</si>
  <si>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</si>
  <si>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</si>
  <si>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</si>
  <si>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</si>
  <si>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</si>
  <si>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</si>
  <si>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</si>
  <si>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</si>
  <si>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4" type="noConversion"/>
  </si>
  <si>
    <t>사용량</t>
    <phoneticPr fontId="14" type="noConversion"/>
  </si>
  <si>
    <t>전류</t>
    <phoneticPr fontId="14" type="noConversion"/>
  </si>
  <si>
    <t>점유율</t>
    <phoneticPr fontId="14" type="noConversion"/>
  </si>
  <si>
    <t>8F 전체 전력지침</t>
  </si>
  <si>
    <t>DEK 사용량</t>
    <phoneticPr fontId="14" type="noConversion"/>
  </si>
  <si>
    <t>SJT 모니터</t>
    <phoneticPr fontId="14" type="noConversion"/>
  </si>
  <si>
    <t>SJT Office</t>
    <phoneticPr fontId="14" type="noConversion"/>
  </si>
  <si>
    <t>SJT Server</t>
    <phoneticPr fontId="14" type="noConversion"/>
  </si>
  <si>
    <t>8월</t>
    <phoneticPr fontId="14" type="noConversion"/>
  </si>
  <si>
    <t>9월</t>
    <phoneticPr fontId="14" type="noConversion"/>
  </si>
  <si>
    <t>05</t>
  </si>
  <si>
    <t>07</t>
  </si>
  <si>
    <t>02</t>
  </si>
  <si>
    <t>02</t>
    <phoneticPr fontId="14" type="noConversion"/>
  </si>
  <si>
    <t>04</t>
  </si>
  <si>
    <t>04</t>
    <phoneticPr fontId="14" type="noConversion"/>
  </si>
  <si>
    <t>01</t>
  </si>
  <si>
    <t>01</t>
    <phoneticPr fontId="14" type="noConversion"/>
  </si>
  <si>
    <t>03</t>
  </si>
  <si>
    <t>03</t>
    <phoneticPr fontId="14" type="noConversion"/>
  </si>
  <si>
    <t>06</t>
  </si>
  <si>
    <t>06</t>
    <phoneticPr fontId="14" type="noConversion"/>
  </si>
  <si>
    <t>05</t>
    <phoneticPr fontId="14" type="noConversion"/>
  </si>
  <si>
    <t>08</t>
  </si>
  <si>
    <t>08</t>
    <phoneticPr fontId="14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</si>
  <si>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</si>
  <si>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</si>
  <si>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</si>
  <si>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</si>
  <si>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</si>
  <si>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</si>
  <si>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</si>
  <si>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</si>
  <si>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</si>
  <si>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</si>
  <si>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</si>
  <si>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</si>
  <si>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</si>
  <si>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</si>
  <si>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</si>
  <si>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</si>
  <si>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</si>
  <si>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</si>
  <si>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</si>
  <si>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</si>
  <si>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</si>
  <si>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</si>
  <si>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</si>
  <si>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</si>
  <si>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</si>
  <si>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</si>
  <si>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</si>
  <si>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</si>
  <si>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</si>
  <si>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</si>
  <si>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</si>
  <si>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</si>
  <si>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</si>
  <si>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</si>
  <si>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4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</si>
  <si>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</si>
  <si>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</si>
  <si>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</si>
  <si>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</si>
  <si>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</si>
  <si>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</si>
  <si>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</si>
  <si>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</si>
  <si>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</si>
  <si>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</si>
  <si>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</si>
  <si>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4" type="noConversion"/>
  </si>
  <si>
    <t>5-DaHall 1-EH-01</t>
    <phoneticPr fontId="14" type="noConversion"/>
  </si>
  <si>
    <t>7-DaHall 1-EH
(7층 가습기 Main)</t>
    <phoneticPr fontId="14" type="noConversion"/>
  </si>
  <si>
    <t>6-DaHall 1-EH
(6층 가습기 Main)</t>
    <phoneticPr fontId="14" type="noConversion"/>
  </si>
  <si>
    <t>5-DaHall 1-CRAC-16
보조 5F-2호기(구글)</t>
    <phoneticPr fontId="14" type="noConversion"/>
  </si>
  <si>
    <t>5-DaHall 1-CRAC-01
LG CRAC #01</t>
    <phoneticPr fontId="14" type="noConversion"/>
  </si>
  <si>
    <t>5-DaHall 1-CRAC-03
LG CRAC #03</t>
    <phoneticPr fontId="14" type="noConversion"/>
  </si>
  <si>
    <t>5-DaHall 1-CRAC-05
LG CRAC #05</t>
    <phoneticPr fontId="14" type="noConversion"/>
  </si>
  <si>
    <t>5-DaHall 1-CRAC-07
LG CRAC #07</t>
    <phoneticPr fontId="14" type="noConversion"/>
  </si>
  <si>
    <t>5-DaHall 1-CRAC-09
LG CRAC #09</t>
    <phoneticPr fontId="14" type="noConversion"/>
  </si>
  <si>
    <t>5-DaHall 1-CRAC-02
LG CRAC #02</t>
    <phoneticPr fontId="14" type="noConversion"/>
  </si>
  <si>
    <t>5-DaHall 1-CRAC-04
LG CRAC #04</t>
    <phoneticPr fontId="14" type="noConversion"/>
  </si>
  <si>
    <t>5-DaHall 1-CRAC-06
LG CRAC #06</t>
    <phoneticPr fontId="14" type="noConversion"/>
  </si>
  <si>
    <t>5-DaHall 1-CRAC-08
LG CRAC #08</t>
    <phoneticPr fontId="14" type="noConversion"/>
  </si>
  <si>
    <t>5-DaHall 1-CRAC-13
CF CRAC #01</t>
    <phoneticPr fontId="14" type="noConversion"/>
  </si>
  <si>
    <t>5-DaHall 1-EH
(5층 가습기 Main)</t>
    <phoneticPr fontId="14" type="noConversion"/>
  </si>
  <si>
    <t>4-DaHall 1-EH
(4층 가습기 Main)</t>
    <phoneticPr fontId="14" type="noConversion"/>
  </si>
  <si>
    <t>5-DaHall 1-CRAC-15
보조 5F-1호기(구글)</t>
    <phoneticPr fontId="14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</si>
  <si>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</si>
  <si>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</si>
  <si>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</si>
  <si>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</si>
  <si>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</si>
  <si>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</si>
  <si>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</si>
  <si>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</si>
  <si>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</si>
  <si>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</si>
  <si>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</si>
  <si>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</si>
  <si>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</si>
  <si>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</si>
  <si>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</si>
  <si>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</si>
  <si>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</si>
  <si>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</si>
  <si>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</si>
  <si>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</si>
  <si>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</si>
  <si>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</si>
  <si>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</si>
  <si>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</si>
  <si>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4" type="noConversion"/>
  </si>
  <si>
    <t>Device Name</t>
    <phoneticPr fontId="14" type="noConversion"/>
  </si>
  <si>
    <t>5-DaHall 1-PDU-05</t>
    <phoneticPr fontId="14" type="noConversion"/>
  </si>
  <si>
    <t>5-DaHall 1-PDU-07</t>
    <phoneticPr fontId="14" type="noConversion"/>
  </si>
  <si>
    <t>5-DaHall 1-PDU-09</t>
    <phoneticPr fontId="14" type="noConversion"/>
  </si>
  <si>
    <t>5-DaHall 1-PDU-11</t>
    <phoneticPr fontId="14" type="noConversion"/>
  </si>
  <si>
    <t>5-DaHall 1-PDU-13</t>
    <phoneticPr fontId="14" type="noConversion"/>
  </si>
  <si>
    <t>5-DaHall 1-PDU-15</t>
    <phoneticPr fontId="14" type="noConversion"/>
  </si>
  <si>
    <t>5-DaHall 1-PDU-17</t>
    <phoneticPr fontId="14" type="noConversion"/>
  </si>
  <si>
    <t>5-DaHall 1-PDU-19</t>
    <phoneticPr fontId="14" type="noConversion"/>
  </si>
  <si>
    <t>5-DaHall 1-PDU-21</t>
    <phoneticPr fontId="14" type="noConversion"/>
  </si>
  <si>
    <t>5-DaHall 1-PDU-04</t>
    <phoneticPr fontId="14" type="noConversion"/>
  </si>
  <si>
    <t>5-DaHall 1-PDU-06</t>
    <phoneticPr fontId="14" type="noConversion"/>
  </si>
  <si>
    <t>5-DaHall 1-PDU-08</t>
    <phoneticPr fontId="14" type="noConversion"/>
  </si>
  <si>
    <t>5-DaHall 1-PDU-10</t>
    <phoneticPr fontId="14" type="noConversion"/>
  </si>
  <si>
    <t>5-DaHall 1-PDU-12</t>
    <phoneticPr fontId="14" type="noConversion"/>
  </si>
  <si>
    <t>5-DaHall 1-PDU-14</t>
    <phoneticPr fontId="14" type="noConversion"/>
  </si>
  <si>
    <t>5-DaHall 1-PDU-16</t>
    <phoneticPr fontId="14" type="noConversion"/>
  </si>
  <si>
    <t>5-DaHall 1-PDU-18</t>
    <phoneticPr fontId="14" type="noConversion"/>
  </si>
  <si>
    <t>5-DaHall 1-PDU-20</t>
    <phoneticPr fontId="14" type="noConversion"/>
  </si>
  <si>
    <t>4-DaHall 1-PDU-03</t>
    <phoneticPr fontId="14" type="noConversion"/>
  </si>
  <si>
    <t>4-DaHall 1-PDU-05</t>
    <phoneticPr fontId="14" type="noConversion"/>
  </si>
  <si>
    <t>4-DaHall 1-PDU-07</t>
    <phoneticPr fontId="14" type="noConversion"/>
  </si>
  <si>
    <t>4-DaHall 1-PDU-09</t>
    <phoneticPr fontId="14" type="noConversion"/>
  </si>
  <si>
    <t>4-DaHall 1-PDU-04</t>
    <phoneticPr fontId="14" type="noConversion"/>
  </si>
  <si>
    <t>4-DaHall 1-PDU-06</t>
    <phoneticPr fontId="14" type="noConversion"/>
  </si>
  <si>
    <t>4-DaHall 1-PDU-08</t>
    <phoneticPr fontId="14" type="noConversion"/>
  </si>
  <si>
    <t>4-DaHall 1-PDU-10</t>
    <phoneticPr fontId="14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</si>
  <si>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</si>
  <si>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</si>
  <si>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</si>
  <si>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</si>
  <si>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</si>
  <si>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</si>
  <si>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</si>
  <si>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</si>
  <si>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</si>
  <si>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4" type="noConversion"/>
  </si>
  <si>
    <t>월간 사용전력량[kWh]</t>
    <phoneticPr fontId="14" type="noConversion"/>
  </si>
  <si>
    <t>kWh(전월유효전력량)</t>
    <phoneticPr fontId="14" type="noConversion"/>
  </si>
  <si>
    <t>4F</t>
    <phoneticPr fontId="14" type="noConversion"/>
  </si>
  <si>
    <t>5F</t>
    <phoneticPr fontId="14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</si>
  <si>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</si>
  <si>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</si>
  <si>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</si>
  <si>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</si>
  <si>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</si>
  <si>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</si>
  <si>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</si>
  <si>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</si>
  <si>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</si>
  <si>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4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</si>
  <si>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</si>
  <si>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</si>
  <si>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</si>
  <si>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</si>
  <si>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</si>
  <si>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</si>
  <si>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</si>
  <si>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</si>
  <si>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4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</si>
  <si>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</si>
  <si>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</si>
  <si>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</si>
  <si>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</si>
  <si>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</si>
  <si>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</si>
  <si>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</si>
  <si>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</si>
  <si>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4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</si>
  <si>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</si>
  <si>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</si>
  <si>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</si>
  <si>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</si>
  <si>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</si>
  <si>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</si>
  <si>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</si>
  <si>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</si>
  <si>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4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</si>
  <si>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</si>
  <si>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</si>
  <si>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</si>
  <si>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</si>
  <si>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</si>
  <si>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</si>
  <si>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</si>
  <si>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</si>
  <si>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4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</si>
  <si>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</si>
  <si>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</si>
  <si>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</si>
  <si>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</si>
  <si>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</si>
  <si>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</si>
  <si>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</si>
  <si>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</si>
  <si>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4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</si>
  <si>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</si>
  <si>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</si>
  <si>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</si>
  <si>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</si>
  <si>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</si>
  <si>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</si>
  <si>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</si>
  <si>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</si>
  <si>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4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</si>
  <si>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</si>
  <si>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</si>
  <si>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</si>
  <si>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</si>
  <si>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</si>
  <si>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</si>
  <si>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</si>
  <si>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</si>
  <si>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4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</si>
  <si>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</si>
  <si>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</si>
  <si>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</si>
  <si>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</si>
  <si>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</si>
  <si>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</si>
  <si>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</si>
  <si>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</si>
  <si>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</si>
  <si>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</si>
  <si>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</si>
  <si>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4" type="noConversion"/>
  </si>
  <si>
    <t>4-DaHall 1-PDU-09-02</t>
  </si>
  <si>
    <t>4-DaHall 1-PDU-09-03</t>
  </si>
  <si>
    <t>4-DaHall 1-PDU-10-01</t>
    <phoneticPr fontId="14" type="noConversion"/>
  </si>
  <si>
    <t>4-DaHall 1-PDU-10-02</t>
  </si>
  <si>
    <t>4-DaHall 1-PDU-10-03</t>
  </si>
  <si>
    <t>5-DaHall 1-PDU-01-01</t>
    <phoneticPr fontId="14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</si>
  <si>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</si>
  <si>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</si>
  <si>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</si>
  <si>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</si>
  <si>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</si>
  <si>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</si>
  <si>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</si>
  <si>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</si>
  <si>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</si>
  <si>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</si>
  <si>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</si>
  <si>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</si>
  <si>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</si>
  <si>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</si>
  <si>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</si>
  <si>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</si>
  <si>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</si>
  <si>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</si>
  <si>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</si>
  <si>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</si>
  <si>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</si>
  <si>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</si>
  <si>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</si>
  <si>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</si>
  <si>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</si>
  <si>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</si>
  <si>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</si>
  <si>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</si>
  <si>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</si>
  <si>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</si>
  <si>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</si>
  <si>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</si>
  <si>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</si>
  <si>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</si>
  <si>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</si>
  <si>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</si>
  <si>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</si>
  <si>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</si>
  <si>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</si>
  <si>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</si>
  <si>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</si>
  <si>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</si>
  <si>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</si>
  <si>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</si>
  <si>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</si>
  <si>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</si>
  <si>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</si>
  <si>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</si>
  <si>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</si>
  <si>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4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</si>
  <si>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</si>
  <si>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</si>
  <si>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</si>
  <si>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</si>
  <si>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</si>
  <si>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</si>
  <si>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</si>
  <si>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</si>
  <si>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</si>
  <si>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</si>
  <si>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</si>
  <si>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</si>
  <si>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</si>
  <si>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</si>
  <si>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</si>
  <si>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</si>
  <si>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</si>
  <si>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</si>
  <si>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</si>
  <si>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</si>
  <si>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</si>
  <si>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</si>
  <si>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</si>
  <si>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</si>
  <si>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</si>
  <si>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</si>
  <si>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</si>
  <si>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</si>
  <si>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</si>
  <si>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</si>
  <si>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</si>
  <si>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</si>
  <si>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</si>
  <si>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</si>
  <si>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</si>
  <si>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</si>
  <si>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</si>
  <si>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</si>
  <si>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</si>
  <si>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</si>
  <si>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</si>
  <si>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</si>
  <si>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</si>
  <si>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</si>
  <si>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</si>
  <si>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</si>
  <si>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</si>
  <si>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</si>
  <si>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</si>
  <si>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4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</si>
  <si>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</si>
  <si>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</si>
  <si>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</si>
  <si>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</si>
  <si>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</si>
  <si>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</si>
  <si>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</si>
  <si>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</si>
  <si>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</si>
  <si>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</si>
  <si>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</si>
  <si>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</si>
  <si>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</si>
  <si>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</si>
  <si>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</si>
  <si>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</si>
  <si>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</si>
  <si>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</si>
  <si>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</si>
  <si>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</si>
  <si>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</si>
  <si>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</si>
  <si>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</si>
  <si>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</si>
  <si>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</si>
  <si>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</si>
  <si>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</si>
  <si>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</si>
  <si>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</si>
  <si>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</si>
  <si>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</si>
  <si>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</si>
  <si>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</si>
  <si>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</si>
  <si>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</si>
  <si>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</si>
  <si>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</si>
  <si>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</si>
  <si>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</si>
  <si>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</si>
  <si>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</si>
  <si>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</si>
  <si>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</si>
  <si>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</si>
  <si>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</si>
  <si>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</si>
  <si>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</si>
  <si>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</si>
  <si>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</si>
  <si>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4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</si>
  <si>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</si>
  <si>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</si>
  <si>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</si>
  <si>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</si>
  <si>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</si>
  <si>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</si>
  <si>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</si>
  <si>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</si>
  <si>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</si>
  <si>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</si>
  <si>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</si>
  <si>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</si>
  <si>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</si>
  <si>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</si>
  <si>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</si>
  <si>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</si>
  <si>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</si>
  <si>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</si>
  <si>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</si>
  <si>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</si>
  <si>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</si>
  <si>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</si>
  <si>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</si>
  <si>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</si>
  <si>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</si>
  <si>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</si>
  <si>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</si>
  <si>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</si>
  <si>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</si>
  <si>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</si>
  <si>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</si>
  <si>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</si>
  <si>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</si>
  <si>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</si>
  <si>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</si>
  <si>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</si>
  <si>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</si>
  <si>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</si>
  <si>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</si>
  <si>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</si>
  <si>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</si>
  <si>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</si>
  <si>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</si>
  <si>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</si>
  <si>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</si>
  <si>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</si>
  <si>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</si>
  <si>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</si>
  <si>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</si>
  <si>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4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</si>
  <si>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</si>
  <si>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</si>
  <si>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</si>
  <si>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</si>
  <si>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</si>
  <si>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</si>
  <si>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</si>
  <si>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</si>
  <si>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</si>
  <si>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</si>
  <si>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</si>
  <si>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</si>
  <si>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</si>
  <si>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</si>
  <si>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</si>
  <si>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</si>
  <si>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</si>
  <si>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</si>
  <si>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</si>
  <si>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</si>
  <si>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</si>
  <si>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</si>
  <si>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</si>
  <si>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</si>
  <si>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</si>
  <si>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</si>
  <si>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</si>
  <si>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</si>
  <si>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</si>
  <si>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</si>
  <si>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</si>
  <si>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</si>
  <si>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</si>
  <si>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</si>
  <si>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</si>
  <si>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</si>
  <si>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</si>
  <si>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</si>
  <si>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</si>
  <si>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</si>
  <si>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</si>
  <si>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</si>
  <si>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</si>
  <si>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</si>
  <si>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</si>
  <si>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</si>
  <si>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</si>
  <si>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</si>
  <si>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</si>
  <si>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</si>
  <si>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</si>
  <si>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</si>
  <si>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</si>
  <si>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</si>
  <si>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</si>
  <si>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</si>
  <si>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</si>
  <si>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</si>
  <si>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</si>
  <si>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</si>
  <si>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</si>
  <si>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</si>
  <si>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</si>
  <si>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</si>
  <si>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</si>
  <si>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</si>
  <si>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</si>
  <si>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</si>
  <si>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</si>
  <si>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</si>
  <si>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</si>
  <si>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</si>
  <si>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</si>
  <si>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</si>
  <si>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</si>
  <si>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</si>
  <si>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</si>
  <si>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</si>
  <si>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</si>
  <si>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</si>
  <si>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</si>
  <si>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</si>
  <si>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</si>
  <si>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</si>
  <si>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</si>
  <si>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</si>
  <si>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</si>
  <si>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</si>
  <si>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</si>
  <si>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</si>
  <si>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</si>
  <si>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</si>
  <si>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</si>
  <si>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</si>
  <si>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</si>
  <si>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</si>
  <si>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</si>
  <si>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</si>
  <si>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</si>
  <si>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</si>
  <si>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</si>
  <si>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</si>
  <si>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</si>
  <si>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</si>
  <si>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</si>
  <si>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</si>
  <si>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</si>
  <si>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4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</si>
  <si>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</si>
  <si>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</si>
  <si>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</si>
  <si>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</si>
  <si>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</si>
  <si>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</si>
  <si>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</si>
  <si>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</si>
  <si>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</si>
  <si>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</si>
  <si>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</si>
  <si>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</si>
  <si>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</si>
  <si>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</si>
  <si>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</si>
  <si>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</si>
  <si>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</si>
  <si>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</si>
  <si>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</si>
  <si>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</si>
  <si>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</si>
  <si>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</si>
  <si>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</si>
  <si>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</si>
  <si>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</si>
  <si>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</si>
  <si>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</si>
  <si>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</si>
  <si>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</si>
  <si>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</si>
  <si>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</si>
  <si>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</si>
  <si>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</si>
  <si>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</si>
  <si>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</si>
  <si>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4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</si>
  <si>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</si>
  <si>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</si>
  <si>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</si>
  <si>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</si>
  <si>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</si>
  <si>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</si>
  <si>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</si>
  <si>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</si>
  <si>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</si>
  <si>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</si>
  <si>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</si>
  <si>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</si>
  <si>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</si>
  <si>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</si>
  <si>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</si>
  <si>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</si>
  <si>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</si>
  <si>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</si>
  <si>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</si>
  <si>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</si>
  <si>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</si>
  <si>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</si>
  <si>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</si>
  <si>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</si>
  <si>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</si>
  <si>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</si>
  <si>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</si>
  <si>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</si>
  <si>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</si>
  <si>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</si>
  <si>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</si>
  <si>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</si>
  <si>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</si>
  <si>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</si>
  <si>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</si>
  <si>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4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</si>
  <si>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</si>
  <si>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</si>
  <si>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</si>
  <si>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</si>
  <si>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</si>
  <si>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</si>
  <si>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</si>
  <si>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</si>
  <si>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</si>
  <si>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</si>
  <si>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</si>
  <si>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</si>
  <si>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</si>
  <si>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</si>
  <si>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</si>
  <si>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</si>
  <si>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</si>
  <si>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</si>
  <si>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</si>
  <si>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</si>
  <si>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</si>
  <si>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</si>
  <si>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</si>
  <si>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</si>
  <si>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</si>
  <si>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</si>
  <si>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</si>
  <si>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</si>
  <si>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</si>
  <si>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</si>
  <si>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</si>
  <si>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</si>
  <si>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</si>
  <si>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</si>
  <si>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</si>
  <si>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</si>
  <si>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</si>
  <si>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</si>
  <si>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</si>
  <si>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</si>
  <si>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</si>
  <si>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</si>
  <si>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</si>
  <si>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</si>
  <si>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</si>
  <si>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</si>
  <si>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</si>
  <si>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</si>
  <si>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</si>
  <si>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</si>
  <si>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</si>
  <si>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</si>
  <si>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</si>
  <si>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</si>
  <si>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</si>
  <si>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</si>
  <si>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</si>
  <si>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</si>
  <si>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</si>
  <si>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</si>
  <si>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</si>
  <si>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</si>
  <si>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</si>
  <si>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</si>
  <si>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</si>
  <si>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</si>
  <si>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</si>
  <si>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</si>
  <si>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</si>
  <si>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</si>
  <si>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</si>
  <si>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</si>
  <si>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</si>
  <si>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</si>
  <si>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</si>
  <si>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4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</si>
  <si>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</si>
  <si>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</si>
  <si>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</si>
  <si>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</si>
  <si>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</si>
  <si>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</si>
  <si>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</si>
  <si>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</si>
  <si>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</si>
  <si>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</si>
  <si>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</si>
  <si>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</si>
  <si>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</si>
  <si>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</si>
  <si>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</si>
  <si>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</si>
  <si>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</si>
  <si>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</si>
  <si>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</si>
  <si>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</si>
  <si>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</si>
  <si>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</si>
  <si>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</si>
  <si>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</si>
  <si>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</si>
  <si>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</si>
  <si>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</si>
  <si>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</si>
  <si>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</si>
  <si>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</si>
  <si>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</si>
  <si>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</si>
  <si>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</si>
  <si>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</si>
  <si>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</si>
  <si>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</si>
  <si>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</si>
  <si>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</si>
  <si>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</si>
  <si>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</si>
  <si>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</si>
  <si>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</si>
  <si>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</si>
  <si>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</si>
  <si>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</si>
  <si>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</si>
  <si>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</si>
  <si>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</si>
  <si>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</si>
  <si>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</si>
  <si>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</si>
  <si>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</si>
  <si>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</si>
  <si>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</si>
  <si>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</si>
  <si>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</si>
  <si>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</si>
  <si>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</si>
  <si>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</si>
  <si>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</si>
  <si>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</si>
  <si>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</si>
  <si>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</si>
  <si>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</si>
  <si>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</si>
  <si>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</si>
  <si>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</si>
  <si>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</si>
  <si>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</si>
  <si>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</si>
  <si>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</si>
  <si>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</si>
  <si>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</si>
  <si>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</si>
  <si>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</si>
  <si>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</si>
  <si>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</si>
  <si>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</si>
  <si>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</si>
  <si>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</si>
  <si>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</si>
  <si>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</si>
  <si>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</si>
  <si>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</si>
  <si>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</si>
  <si>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</si>
  <si>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</si>
  <si>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</si>
  <si>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</si>
  <si>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</si>
  <si>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</si>
  <si>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</si>
  <si>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</si>
  <si>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</si>
  <si>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</si>
  <si>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</si>
  <si>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</si>
  <si>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</si>
  <si>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</si>
  <si>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</si>
  <si>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</si>
  <si>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</si>
  <si>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</si>
  <si>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</si>
  <si>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</si>
  <si>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</si>
  <si>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</si>
  <si>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</si>
  <si>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</si>
  <si>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</si>
  <si>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</si>
  <si>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</si>
  <si>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</si>
  <si>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</si>
  <si>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</si>
  <si>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</si>
  <si>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</si>
  <si>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</si>
  <si>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</si>
  <si>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</si>
  <si>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</si>
  <si>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</si>
  <si>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</si>
  <si>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</si>
  <si>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</si>
  <si>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</si>
  <si>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</si>
  <si>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4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</si>
  <si>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</si>
  <si>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</si>
  <si>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</si>
  <si>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</si>
  <si>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</si>
  <si>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</si>
  <si>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</si>
  <si>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</si>
  <si>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</si>
  <si>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</si>
  <si>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</si>
  <si>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</si>
  <si>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</si>
  <si>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</si>
  <si>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</si>
  <si>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</si>
  <si>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</si>
  <si>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</si>
  <si>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</si>
  <si>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</si>
  <si>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</si>
  <si>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</si>
  <si>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</si>
  <si>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</si>
  <si>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</si>
  <si>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</si>
  <si>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</si>
  <si>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</si>
  <si>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</si>
  <si>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4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</si>
  <si>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</si>
  <si>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</si>
  <si>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</si>
  <si>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</si>
  <si>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</si>
  <si>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</si>
  <si>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</si>
  <si>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</si>
  <si>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</si>
  <si>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</si>
  <si>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</si>
  <si>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</si>
  <si>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</si>
  <si>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</si>
  <si>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</si>
  <si>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</si>
  <si>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</si>
  <si>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</si>
  <si>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</si>
  <si>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</si>
  <si>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</si>
  <si>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</si>
  <si>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</si>
  <si>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</si>
  <si>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</si>
  <si>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</si>
  <si>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</si>
  <si>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</si>
  <si>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</si>
  <si>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4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</si>
  <si>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</si>
  <si>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</si>
  <si>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</si>
  <si>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</si>
  <si>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</si>
  <si>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</si>
  <si>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</si>
  <si>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</si>
  <si>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</si>
  <si>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</si>
  <si>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</si>
  <si>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</si>
  <si>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</si>
  <si>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</si>
  <si>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</si>
  <si>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</si>
  <si>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</si>
  <si>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</si>
  <si>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</si>
  <si>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</si>
  <si>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</si>
  <si>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</si>
  <si>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</si>
  <si>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</si>
  <si>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</si>
  <si>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</si>
  <si>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</si>
  <si>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</si>
  <si>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</si>
  <si>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</si>
  <si>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</si>
  <si>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</si>
  <si>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</si>
  <si>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</si>
  <si>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</si>
  <si>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</si>
  <si>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</si>
  <si>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</si>
  <si>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</si>
  <si>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</si>
  <si>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</si>
  <si>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</si>
  <si>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</si>
  <si>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</si>
  <si>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</si>
  <si>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</si>
  <si>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</si>
  <si>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</si>
  <si>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</si>
  <si>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</si>
  <si>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</si>
  <si>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</si>
  <si>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</si>
  <si>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</si>
  <si>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</si>
  <si>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</si>
  <si>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</si>
  <si>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</si>
  <si>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</si>
  <si>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</si>
  <si>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</si>
  <si>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</si>
  <si>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</si>
  <si>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</si>
  <si>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</si>
  <si>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</si>
  <si>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</si>
  <si>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4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</si>
  <si>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</si>
  <si>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</si>
  <si>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</si>
  <si>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</si>
  <si>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</si>
  <si>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</si>
  <si>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</si>
  <si>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</si>
  <si>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</si>
  <si>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</si>
  <si>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</si>
  <si>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</si>
  <si>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</si>
  <si>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</si>
  <si>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</si>
  <si>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</si>
  <si>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</si>
  <si>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</si>
  <si>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</si>
  <si>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</si>
  <si>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</si>
  <si>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</si>
  <si>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</si>
  <si>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</si>
  <si>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</si>
  <si>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</si>
  <si>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</si>
  <si>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</si>
  <si>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</si>
  <si>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</si>
  <si>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</si>
  <si>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</si>
  <si>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</si>
  <si>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</si>
  <si>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</si>
  <si>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</si>
  <si>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</si>
  <si>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</si>
  <si>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</si>
  <si>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</si>
  <si>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</si>
  <si>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</si>
  <si>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</si>
  <si>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</si>
  <si>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</si>
  <si>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</si>
  <si>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</si>
  <si>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</si>
  <si>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</si>
  <si>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</si>
  <si>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</si>
  <si>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</si>
  <si>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</si>
  <si>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</si>
  <si>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</si>
  <si>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</si>
  <si>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</si>
  <si>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</si>
  <si>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</si>
  <si>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</si>
  <si>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</si>
  <si>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</si>
  <si>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</si>
  <si>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</si>
  <si>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</si>
  <si>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</si>
  <si>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</si>
  <si>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</si>
  <si>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</si>
  <si>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</si>
  <si>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</si>
  <si>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</si>
  <si>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</si>
  <si>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</si>
  <si>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</si>
  <si>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</si>
  <si>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</si>
  <si>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</si>
  <si>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</si>
  <si>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</si>
  <si>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</si>
  <si>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</si>
  <si>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</si>
  <si>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</si>
  <si>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</si>
  <si>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</si>
  <si>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</si>
  <si>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</si>
  <si>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</si>
  <si>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</si>
  <si>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</si>
  <si>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</si>
  <si>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</si>
  <si>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</si>
  <si>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</si>
  <si>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4" type="noConversion"/>
  </si>
  <si>
    <t>6-DaHall 1-PDU-01-01</t>
    <phoneticPr fontId="14" type="noConversion"/>
  </si>
  <si>
    <t>6-DaHall 1-PDU-02-01</t>
  </si>
  <si>
    <t>6-DaHall 1-PDU-03-01</t>
  </si>
  <si>
    <t>6-DaHall 1-PDU-04-01</t>
  </si>
  <si>
    <t>6F</t>
    <phoneticPr fontId="14" type="noConversion"/>
  </si>
  <si>
    <t>7F</t>
    <phoneticPr fontId="14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</si>
  <si>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</si>
  <si>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</si>
  <si>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</si>
  <si>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</si>
  <si>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</si>
  <si>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</si>
  <si>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</si>
  <si>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</si>
  <si>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</si>
  <si>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</si>
  <si>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</si>
  <si>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</si>
  <si>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</si>
  <si>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</si>
  <si>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</si>
  <si>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</si>
  <si>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</si>
  <si>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</si>
  <si>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</si>
  <si>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</si>
  <si>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</si>
  <si>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</si>
  <si>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</si>
  <si>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</si>
  <si>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</si>
  <si>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</si>
  <si>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</si>
  <si>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</si>
  <si>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</si>
  <si>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</si>
  <si>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</si>
  <si>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</si>
  <si>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</si>
  <si>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</si>
  <si>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</si>
  <si>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</si>
  <si>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</si>
  <si>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</si>
  <si>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</si>
  <si>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</si>
  <si>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</si>
  <si>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</si>
  <si>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</si>
  <si>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</si>
  <si>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</si>
  <si>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</si>
  <si>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</si>
  <si>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</si>
  <si>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</si>
  <si>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</si>
  <si>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</si>
  <si>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</si>
  <si>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</si>
  <si>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</si>
  <si>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</si>
  <si>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</si>
  <si>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</si>
  <si>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</si>
  <si>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</si>
  <si>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</si>
  <si>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</si>
  <si>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</si>
  <si>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</si>
  <si>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</si>
  <si>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</si>
  <si>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</si>
  <si>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</si>
  <si>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</si>
  <si>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</si>
  <si>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</si>
  <si>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</si>
  <si>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</si>
  <si>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</si>
  <si>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</si>
  <si>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</si>
  <si>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</si>
  <si>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</si>
  <si>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</si>
  <si>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</si>
  <si>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</si>
  <si>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</si>
  <si>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</si>
  <si>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</si>
  <si>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</si>
  <si>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</si>
  <si>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</si>
  <si>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</si>
  <si>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</si>
  <si>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</si>
  <si>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</si>
  <si>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</si>
  <si>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</si>
  <si>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</si>
  <si>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</si>
  <si>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</si>
  <si>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</si>
  <si>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</si>
  <si>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</si>
  <si>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</si>
  <si>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</si>
  <si>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</si>
  <si>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</si>
  <si>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</si>
  <si>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</si>
  <si>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</si>
  <si>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</si>
  <si>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</si>
  <si>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</si>
  <si>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</si>
  <si>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</si>
  <si>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</si>
  <si>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</si>
  <si>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</si>
  <si>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</si>
  <si>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</si>
  <si>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</si>
  <si>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</si>
  <si>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</si>
  <si>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</si>
  <si>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</si>
  <si>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</si>
  <si>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</si>
  <si>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</si>
  <si>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</si>
  <si>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</si>
  <si>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</si>
  <si>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</si>
  <si>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</si>
  <si>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</si>
  <si>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</si>
  <si>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</si>
  <si>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</si>
  <si>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</si>
  <si>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</si>
  <si>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</si>
  <si>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</si>
  <si>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</si>
  <si>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</si>
  <si>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</si>
  <si>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</si>
  <si>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</si>
  <si>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</si>
  <si>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</si>
  <si>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</si>
  <si>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</si>
  <si>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</si>
  <si>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</si>
  <si>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</si>
  <si>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</si>
  <si>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</si>
  <si>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</si>
  <si>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</si>
  <si>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</si>
  <si>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</si>
  <si>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</si>
  <si>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</si>
  <si>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</si>
  <si>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</si>
  <si>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</si>
  <si>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</si>
  <si>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</si>
  <si>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</si>
  <si>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</si>
  <si>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</si>
  <si>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</si>
  <si>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</si>
  <si>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</si>
  <si>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</si>
  <si>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</si>
  <si>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</si>
  <si>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</si>
  <si>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</si>
  <si>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</si>
  <si>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</si>
  <si>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</si>
  <si>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</si>
  <si>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</si>
  <si>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</si>
  <si>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</si>
  <si>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</si>
  <si>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</si>
  <si>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</si>
  <si>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</si>
  <si>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</si>
  <si>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</si>
  <si>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</si>
  <si>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</si>
  <si>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</si>
  <si>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</si>
  <si>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</si>
  <si>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</si>
  <si>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</si>
  <si>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</si>
  <si>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</si>
  <si>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</si>
  <si>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</si>
  <si>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4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</si>
  <si>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</si>
  <si>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</si>
  <si>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</si>
  <si>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</si>
  <si>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</si>
  <si>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</si>
  <si>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</si>
  <si>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</si>
  <si>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</si>
  <si>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</si>
  <si>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</si>
  <si>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</si>
  <si>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</si>
  <si>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</si>
  <si>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</si>
  <si>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</si>
  <si>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</si>
  <si>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</si>
  <si>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</si>
  <si>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</si>
  <si>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</si>
  <si>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</si>
  <si>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</si>
  <si>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</si>
  <si>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</si>
  <si>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</si>
  <si>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</si>
  <si>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</si>
  <si>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</si>
  <si>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</si>
  <si>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</si>
  <si>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</si>
  <si>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</si>
  <si>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</si>
  <si>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</si>
  <si>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</si>
  <si>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</si>
  <si>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</si>
  <si>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</si>
  <si>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</si>
  <si>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</si>
  <si>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</si>
  <si>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</si>
  <si>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</si>
  <si>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</si>
  <si>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</si>
  <si>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</si>
  <si>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</si>
  <si>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</si>
  <si>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</si>
  <si>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</si>
  <si>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</si>
  <si>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</si>
  <si>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</si>
  <si>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</si>
  <si>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</si>
  <si>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</si>
  <si>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</si>
  <si>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</si>
  <si>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</si>
  <si>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</si>
  <si>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</si>
  <si>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</si>
  <si>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</si>
  <si>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</si>
  <si>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</si>
  <si>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</si>
  <si>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</si>
  <si>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</si>
  <si>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</si>
  <si>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</si>
  <si>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</si>
  <si>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</si>
  <si>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</si>
  <si>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</si>
  <si>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</si>
  <si>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</si>
  <si>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</si>
  <si>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</si>
  <si>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</si>
  <si>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</si>
  <si>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</si>
  <si>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</si>
  <si>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</si>
  <si>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</si>
  <si>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</si>
  <si>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</si>
  <si>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</si>
  <si>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</si>
  <si>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</si>
  <si>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</si>
  <si>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</si>
  <si>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</si>
  <si>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</si>
  <si>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</si>
  <si>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</si>
  <si>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</si>
  <si>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</si>
  <si>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</si>
  <si>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</si>
  <si>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</si>
  <si>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</si>
  <si>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</si>
  <si>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</si>
  <si>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</si>
  <si>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</si>
  <si>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</si>
  <si>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</si>
  <si>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</si>
  <si>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</si>
  <si>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</si>
  <si>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</si>
  <si>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</si>
  <si>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</si>
  <si>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</si>
  <si>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</si>
  <si>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</si>
  <si>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</si>
  <si>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</si>
  <si>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</si>
  <si>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</si>
  <si>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</si>
  <si>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</si>
  <si>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</si>
  <si>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</si>
  <si>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</si>
  <si>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</si>
  <si>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</si>
  <si>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</si>
  <si>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</si>
  <si>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</si>
  <si>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</si>
  <si>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</si>
  <si>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</si>
  <si>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</si>
  <si>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</si>
  <si>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</si>
  <si>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</si>
  <si>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</si>
  <si>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</si>
  <si>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</si>
  <si>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</si>
  <si>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</si>
  <si>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</si>
  <si>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</si>
  <si>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</si>
  <si>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</si>
  <si>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</si>
  <si>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</si>
  <si>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</si>
  <si>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</si>
  <si>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</si>
  <si>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</si>
  <si>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</si>
  <si>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</si>
  <si>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</si>
  <si>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</si>
  <si>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</si>
  <si>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</si>
  <si>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</si>
  <si>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</si>
  <si>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</si>
  <si>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</si>
  <si>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</si>
  <si>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</si>
  <si>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</si>
  <si>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</si>
  <si>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</si>
  <si>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</si>
  <si>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</si>
  <si>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</si>
  <si>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</si>
  <si>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</si>
  <si>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</si>
  <si>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</si>
  <si>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</si>
  <si>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</si>
  <si>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</si>
  <si>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</si>
  <si>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</si>
  <si>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</si>
  <si>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</si>
  <si>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</si>
  <si>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</si>
  <si>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</si>
  <si>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</si>
  <si>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</si>
  <si>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</si>
  <si>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</si>
  <si>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</si>
  <si>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</si>
  <si>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</si>
  <si>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</si>
  <si>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</si>
  <si>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</si>
  <si>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</si>
  <si>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</si>
  <si>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</si>
  <si>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</si>
  <si>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</si>
  <si>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</si>
  <si>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</si>
  <si>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</si>
  <si>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</si>
  <si>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</si>
  <si>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</si>
  <si>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</si>
  <si>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</si>
  <si>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</si>
  <si>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</si>
  <si>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</si>
  <si>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</si>
  <si>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</si>
  <si>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</si>
  <si>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</si>
  <si>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4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</si>
  <si>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</si>
  <si>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</si>
  <si>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</si>
  <si>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</si>
  <si>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</si>
  <si>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</si>
  <si>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</si>
  <si>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</si>
  <si>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</si>
  <si>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</si>
  <si>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</si>
  <si>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</si>
  <si>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</si>
  <si>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</si>
  <si>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</si>
  <si>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</si>
  <si>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</si>
  <si>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</si>
  <si>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</si>
  <si>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</si>
  <si>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</si>
  <si>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</si>
  <si>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</si>
  <si>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</si>
  <si>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</si>
  <si>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</si>
  <si>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</si>
  <si>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</si>
  <si>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</si>
  <si>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</si>
  <si>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</si>
  <si>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</si>
  <si>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</si>
  <si>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</si>
  <si>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</si>
  <si>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</si>
  <si>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</si>
  <si>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</si>
  <si>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</si>
  <si>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</si>
  <si>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</si>
  <si>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</si>
  <si>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</si>
  <si>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</si>
  <si>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</si>
  <si>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</si>
  <si>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</si>
  <si>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</si>
  <si>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</si>
  <si>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</si>
  <si>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</si>
  <si>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</si>
  <si>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</si>
  <si>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</si>
  <si>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</si>
  <si>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</si>
  <si>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</si>
  <si>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</si>
  <si>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</si>
  <si>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</si>
  <si>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</si>
  <si>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</si>
  <si>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</si>
  <si>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</si>
  <si>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</si>
  <si>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</si>
  <si>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</si>
  <si>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</si>
  <si>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</si>
  <si>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</si>
  <si>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</si>
  <si>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</si>
  <si>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</si>
  <si>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</si>
  <si>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</si>
  <si>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</si>
  <si>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</si>
  <si>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</si>
  <si>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</si>
  <si>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</si>
  <si>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</si>
  <si>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</si>
  <si>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</si>
  <si>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</si>
  <si>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</si>
  <si>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</si>
  <si>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</si>
  <si>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</si>
  <si>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</si>
  <si>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</si>
  <si>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</si>
  <si>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</si>
  <si>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</si>
  <si>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</si>
  <si>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</si>
  <si>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</si>
  <si>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</si>
  <si>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</si>
  <si>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</si>
  <si>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</si>
  <si>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</si>
  <si>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</si>
  <si>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</si>
  <si>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</si>
  <si>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</si>
  <si>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</si>
  <si>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</si>
  <si>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</si>
  <si>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</si>
  <si>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</si>
  <si>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</si>
  <si>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</si>
  <si>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</si>
  <si>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</si>
  <si>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</si>
  <si>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</si>
  <si>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</si>
  <si>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</si>
  <si>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</si>
  <si>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</si>
  <si>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</si>
  <si>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</si>
  <si>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</si>
  <si>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</si>
  <si>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</si>
  <si>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</si>
  <si>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</si>
  <si>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</si>
  <si>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</si>
  <si>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</si>
  <si>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</si>
  <si>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</si>
  <si>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</si>
  <si>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</si>
  <si>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</si>
  <si>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</si>
  <si>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</si>
  <si>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</si>
  <si>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</si>
  <si>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</si>
  <si>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</si>
  <si>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</si>
  <si>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</si>
  <si>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</si>
  <si>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</si>
  <si>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</si>
  <si>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</si>
  <si>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</si>
  <si>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</si>
  <si>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</si>
  <si>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</si>
  <si>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</si>
  <si>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</si>
  <si>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</si>
  <si>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</si>
  <si>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</si>
  <si>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</si>
  <si>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</si>
  <si>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</si>
  <si>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</si>
  <si>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</si>
  <si>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</si>
  <si>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</si>
  <si>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</si>
  <si>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</si>
  <si>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</si>
  <si>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</si>
  <si>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</si>
  <si>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</si>
  <si>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</si>
  <si>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</si>
  <si>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</si>
  <si>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</si>
  <si>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</si>
  <si>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</si>
  <si>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</si>
  <si>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</si>
  <si>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</si>
  <si>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</si>
  <si>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</si>
  <si>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</si>
  <si>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</si>
  <si>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</si>
  <si>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</si>
  <si>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</si>
  <si>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</si>
  <si>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</si>
  <si>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</si>
  <si>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</si>
  <si>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</si>
  <si>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</si>
  <si>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</si>
  <si>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</si>
  <si>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</si>
  <si>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</si>
  <si>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</si>
  <si>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</si>
  <si>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</si>
  <si>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</si>
  <si>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4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</si>
  <si>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</si>
  <si>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</si>
  <si>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</si>
  <si>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</si>
  <si>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</si>
  <si>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</si>
  <si>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</si>
  <si>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</si>
  <si>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</si>
  <si>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</si>
  <si>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</si>
  <si>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</si>
  <si>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</si>
  <si>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</si>
  <si>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</si>
  <si>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</si>
  <si>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</si>
  <si>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</si>
  <si>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</si>
  <si>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</si>
  <si>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</si>
  <si>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</si>
  <si>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</si>
  <si>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</si>
  <si>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</si>
  <si>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</si>
  <si>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</si>
  <si>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</si>
  <si>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</si>
  <si>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</si>
  <si>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</si>
  <si>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</si>
  <si>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</si>
  <si>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</si>
  <si>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</si>
  <si>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</si>
  <si>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</si>
  <si>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</si>
  <si>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</si>
  <si>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</si>
  <si>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</si>
  <si>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</si>
  <si>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</si>
  <si>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</si>
  <si>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</si>
  <si>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</si>
  <si>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</si>
  <si>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</si>
  <si>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</si>
  <si>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</si>
  <si>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</si>
  <si>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</si>
  <si>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</si>
  <si>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4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</si>
  <si>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</si>
  <si>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</si>
  <si>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</si>
  <si>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</si>
  <si>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</si>
  <si>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</si>
  <si>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</si>
  <si>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</si>
  <si>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</si>
  <si>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</si>
  <si>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</si>
  <si>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</si>
  <si>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</si>
  <si>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</si>
  <si>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</si>
  <si>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</si>
  <si>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</si>
  <si>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</si>
  <si>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</si>
  <si>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</si>
  <si>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</si>
  <si>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</si>
  <si>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</si>
  <si>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</si>
  <si>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</si>
  <si>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</si>
  <si>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</si>
  <si>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</si>
  <si>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</si>
  <si>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</si>
  <si>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</si>
  <si>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</si>
  <si>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</si>
  <si>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</si>
  <si>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</si>
  <si>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</si>
  <si>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</si>
  <si>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</si>
  <si>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</si>
  <si>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</si>
  <si>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</si>
  <si>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</si>
  <si>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</si>
  <si>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</si>
  <si>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</si>
  <si>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</si>
  <si>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</si>
  <si>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</si>
  <si>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</si>
  <si>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</si>
  <si>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</si>
  <si>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</si>
  <si>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</si>
  <si>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</si>
  <si>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</si>
  <si>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</si>
  <si>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</si>
  <si>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</si>
  <si>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</si>
  <si>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</si>
  <si>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</si>
  <si>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</si>
  <si>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</si>
  <si>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</si>
  <si>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</si>
  <si>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</si>
  <si>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</si>
  <si>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</si>
  <si>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</si>
  <si>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</si>
  <si>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</si>
  <si>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</si>
  <si>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</si>
  <si>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</si>
  <si>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</si>
  <si>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</si>
  <si>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</si>
  <si>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</si>
  <si>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</si>
  <si>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</si>
  <si>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</si>
  <si>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</si>
  <si>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</si>
  <si>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</si>
  <si>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</si>
  <si>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</si>
  <si>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</si>
  <si>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</si>
  <si>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</si>
  <si>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</si>
  <si>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</si>
  <si>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</si>
  <si>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</si>
  <si>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</si>
  <si>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</si>
  <si>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</si>
  <si>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</si>
  <si>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</si>
  <si>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</si>
  <si>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</si>
  <si>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</si>
  <si>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</si>
  <si>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</si>
  <si>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</si>
  <si>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</si>
  <si>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</si>
  <si>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</si>
  <si>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</si>
  <si>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</si>
  <si>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</si>
  <si>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</si>
  <si>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</si>
  <si>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</si>
  <si>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</si>
  <si>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</si>
  <si>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</si>
  <si>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</si>
  <si>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</si>
  <si>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</si>
  <si>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</si>
  <si>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</si>
  <si>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</si>
  <si>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</si>
  <si>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</si>
  <si>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</si>
  <si>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</si>
  <si>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</si>
  <si>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</si>
  <si>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</si>
  <si>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</si>
  <si>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</si>
  <si>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</si>
  <si>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</si>
  <si>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</si>
  <si>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</si>
  <si>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</si>
  <si>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</si>
  <si>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</si>
  <si>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</si>
  <si>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</si>
  <si>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</si>
  <si>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</si>
  <si>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</si>
  <si>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</si>
  <si>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</si>
  <si>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</si>
  <si>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</si>
  <si>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</si>
  <si>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</si>
  <si>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</si>
  <si>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</si>
  <si>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</si>
  <si>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</si>
  <si>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</si>
  <si>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</si>
  <si>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</si>
  <si>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</si>
  <si>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</si>
  <si>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</si>
  <si>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</si>
  <si>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4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</si>
  <si>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</si>
  <si>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</si>
  <si>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</si>
  <si>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</si>
  <si>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</si>
  <si>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</si>
  <si>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</si>
  <si>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</si>
  <si>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</si>
  <si>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</si>
  <si>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</si>
  <si>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</si>
  <si>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</si>
  <si>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</si>
  <si>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</si>
  <si>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</si>
  <si>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</si>
  <si>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</si>
  <si>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</si>
  <si>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4" type="noConversion"/>
  </si>
  <si>
    <t>7-DaHall 1-RPP-01-01</t>
    <phoneticPr fontId="14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</si>
  <si>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</si>
  <si>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</si>
  <si>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</si>
  <si>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</si>
  <si>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</si>
  <si>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</si>
  <si>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</si>
  <si>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</si>
  <si>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</si>
  <si>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</si>
  <si>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</si>
  <si>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</si>
  <si>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</si>
  <si>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</si>
  <si>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</si>
  <si>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</si>
  <si>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</si>
  <si>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</si>
  <si>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</si>
  <si>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</si>
  <si>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</si>
  <si>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</si>
  <si>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</si>
  <si>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</si>
  <si>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</si>
  <si>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</si>
  <si>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</si>
  <si>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</si>
  <si>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</si>
  <si>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</si>
  <si>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</si>
  <si>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</si>
  <si>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</si>
  <si>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</si>
  <si>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</si>
  <si>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</si>
  <si>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</si>
  <si>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</si>
  <si>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</si>
  <si>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</si>
  <si>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</si>
  <si>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</si>
  <si>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</si>
  <si>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</si>
  <si>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</si>
  <si>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</si>
  <si>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</si>
  <si>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</si>
  <si>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</si>
  <si>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</si>
  <si>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</si>
  <si>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</si>
  <si>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</si>
  <si>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</si>
  <si>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</si>
  <si>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</si>
  <si>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</si>
  <si>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</si>
  <si>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</si>
  <si>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</si>
  <si>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</si>
  <si>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</si>
  <si>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</si>
  <si>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</si>
  <si>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</si>
  <si>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</si>
  <si>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</si>
  <si>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</si>
  <si>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</si>
  <si>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</si>
  <si>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</si>
  <si>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</si>
  <si>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</si>
  <si>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</si>
  <si>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</si>
  <si>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</si>
  <si>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</si>
  <si>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</si>
  <si>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</si>
  <si>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4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</si>
  <si>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</si>
  <si>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</si>
  <si>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</si>
  <si>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</si>
  <si>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</si>
  <si>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</si>
  <si>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</si>
  <si>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</si>
  <si>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</si>
  <si>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</si>
  <si>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</si>
  <si>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</si>
  <si>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</si>
  <si>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</si>
  <si>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</si>
  <si>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</si>
  <si>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</si>
  <si>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</si>
  <si>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</si>
  <si>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</si>
  <si>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</si>
  <si>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</si>
  <si>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</si>
  <si>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</si>
  <si>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</si>
  <si>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</si>
  <si>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4" type="noConversion"/>
  </si>
  <si>
    <t>[branch#001] [A] current</t>
  </si>
  <si>
    <t>[branch#001] [A] current</t>
    <phoneticPr fontId="14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</si>
  <si>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</si>
  <si>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</si>
  <si>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</si>
  <si>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</si>
  <si>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</si>
  <si>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</si>
  <si>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</si>
  <si>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</si>
  <si>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</si>
  <si>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</si>
  <si>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</si>
  <si>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</si>
  <si>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</si>
  <si>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</si>
  <si>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</si>
  <si>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</si>
  <si>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</si>
  <si>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</si>
  <si>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</si>
  <si>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</si>
  <si>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</si>
  <si>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</si>
  <si>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</si>
  <si>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</si>
  <si>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</si>
  <si>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</si>
  <si>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</si>
  <si>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</si>
  <si>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</si>
  <si>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</si>
  <si>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</si>
  <si>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</si>
  <si>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</si>
  <si>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</si>
  <si>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</si>
  <si>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</si>
  <si>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</si>
  <si>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</si>
  <si>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</si>
  <si>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</si>
  <si>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</si>
  <si>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</si>
  <si>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</si>
  <si>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</si>
  <si>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</si>
  <si>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</si>
  <si>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</si>
  <si>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</si>
  <si>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</si>
  <si>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</si>
  <si>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</si>
  <si>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</si>
  <si>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</si>
  <si>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4" type="noConversion"/>
  </si>
  <si>
    <t>PDU : 7-DaHall 1-PDU-02</t>
    <phoneticPr fontId="14" type="noConversion"/>
  </si>
  <si>
    <t>PDU : 7-DaHall 1-PDU-01</t>
    <phoneticPr fontId="14" type="noConversion"/>
  </si>
  <si>
    <t>PDU : 7-DaHall 1-RPP-02</t>
    <phoneticPr fontId="14" type="noConversion"/>
  </si>
  <si>
    <t>PDU : 7-DaHall 1-RPP-03</t>
    <phoneticPr fontId="14" type="noConversion"/>
  </si>
  <si>
    <t>PDU : 7-DaHall 1-PDU-03</t>
    <phoneticPr fontId="14" type="noConversion"/>
  </si>
  <si>
    <t>PDU : 7-DaHall 1-PDU-04</t>
    <phoneticPr fontId="14" type="noConversion"/>
  </si>
  <si>
    <t>PDU : 7-DaHall 1-RPP-04</t>
    <phoneticPr fontId="14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</si>
  <si>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</si>
  <si>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</si>
  <si>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</si>
  <si>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</si>
  <si>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</si>
  <si>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</si>
  <si>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</si>
  <si>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</si>
  <si>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</si>
  <si>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</si>
  <si>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</si>
  <si>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</si>
  <si>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</si>
  <si>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</si>
  <si>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</si>
  <si>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</si>
  <si>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</si>
  <si>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</si>
  <si>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</si>
  <si>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</si>
  <si>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</si>
  <si>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</si>
  <si>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</si>
  <si>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</si>
  <si>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</si>
  <si>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</si>
  <si>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</si>
  <si>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</si>
  <si>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</si>
  <si>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</si>
  <si>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</si>
  <si>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</si>
  <si>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</si>
  <si>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</si>
  <si>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</si>
  <si>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</si>
  <si>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</si>
  <si>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</si>
  <si>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</si>
  <si>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</si>
  <si>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</si>
  <si>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</si>
  <si>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</si>
  <si>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</si>
  <si>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</si>
  <si>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</si>
  <si>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</si>
  <si>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</si>
  <si>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</si>
  <si>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</si>
  <si>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</si>
  <si>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</si>
  <si>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</si>
  <si>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</si>
  <si>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</si>
  <si>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</si>
  <si>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</si>
  <si>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</si>
  <si>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</si>
  <si>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</si>
  <si>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</si>
  <si>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4" type="noConversion"/>
  </si>
  <si>
    <t>[branch#001] [S] I2</t>
  </si>
  <si>
    <t>[branch#001] [S] I2</t>
    <phoneticPr fontId="14" type="noConversion"/>
  </si>
  <si>
    <t>[branch#001] [T] I3</t>
  </si>
  <si>
    <t>[branch#001] [T] I3</t>
    <phoneticPr fontId="14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</si>
  <si>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</si>
  <si>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</si>
  <si>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</si>
  <si>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</si>
  <si>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</si>
  <si>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</si>
  <si>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</si>
  <si>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</si>
  <si>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</si>
  <si>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</si>
  <si>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</si>
  <si>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</si>
  <si>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</si>
  <si>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</si>
  <si>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</si>
  <si>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</si>
  <si>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</si>
  <si>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</si>
  <si>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</si>
  <si>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</si>
  <si>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</si>
  <si>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</si>
  <si>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</si>
  <si>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</si>
  <si>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</si>
  <si>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</si>
  <si>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</si>
  <si>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</si>
  <si>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</si>
  <si>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</si>
  <si>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4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</si>
  <si>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</si>
  <si>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</si>
  <si>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</si>
  <si>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</si>
  <si>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</si>
  <si>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</si>
  <si>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</si>
  <si>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</si>
  <si>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</si>
  <si>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</si>
  <si>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</si>
  <si>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</si>
  <si>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</si>
  <si>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</si>
  <si>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</si>
  <si>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</si>
  <si>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4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</si>
  <si>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</si>
  <si>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</si>
  <si>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</si>
  <si>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</si>
  <si>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</si>
  <si>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4" type="noConversion"/>
  </si>
  <si>
    <t>[branch#012] [S] I2</t>
    <phoneticPr fontId="14" type="noConversion"/>
  </si>
  <si>
    <t>[branch#012] [T] I3</t>
    <phoneticPr fontId="14" type="noConversion"/>
  </si>
  <si>
    <t>5-DaHall 1-CEP-05-01</t>
    <phoneticPr fontId="14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</si>
  <si>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</si>
  <si>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</si>
  <si>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</si>
  <si>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</si>
  <si>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</si>
  <si>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</si>
  <si>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</si>
  <si>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</si>
  <si>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</si>
  <si>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</si>
  <si>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</si>
  <si>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</si>
  <si>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</si>
  <si>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</si>
  <si>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</si>
  <si>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</si>
  <si>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</si>
  <si>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4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</si>
  <si>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</si>
  <si>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</si>
  <si>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</si>
  <si>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</si>
  <si>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</si>
  <si>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</si>
  <si>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</si>
  <si>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</si>
  <si>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</si>
  <si>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</si>
  <si>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</si>
  <si>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</si>
  <si>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4" type="noConversion"/>
  </si>
  <si>
    <t xml:space="preserve">0230 [branch#01] [S] I2 </t>
    <phoneticPr fontId="14" type="noConversion"/>
  </si>
  <si>
    <t xml:space="preserve">0255 [branch#01] [T] I3 </t>
    <phoneticPr fontId="14" type="noConversion"/>
  </si>
  <si>
    <t>포인트명</t>
    <phoneticPr fontId="14" type="noConversion"/>
  </si>
  <si>
    <t>장비명</t>
    <phoneticPr fontId="14" type="noConversion"/>
  </si>
  <si>
    <t>분기번호</t>
    <phoneticPr fontId="14" type="noConversion"/>
  </si>
  <si>
    <t>MIN</t>
    <phoneticPr fontId="14" type="noConversion"/>
  </si>
  <si>
    <t>MAX</t>
    <phoneticPr fontId="14" type="noConversion"/>
  </si>
  <si>
    <t>AVG</t>
    <phoneticPr fontId="14" type="noConversion"/>
  </si>
  <si>
    <t>월 평균 전류</t>
    <phoneticPr fontId="14" type="noConversion"/>
  </si>
  <si>
    <t>월 유효전력량</t>
    <phoneticPr fontId="14" type="noConversion"/>
  </si>
  <si>
    <t>5층 랙별 전기공급계통</t>
  </si>
  <si>
    <t>R5-4</t>
    <phoneticPr fontId="14" type="noConversion"/>
  </si>
  <si>
    <t>'23.11.10 준비완료</t>
    <phoneticPr fontId="14" type="noConversion"/>
  </si>
  <si>
    <t>R3-4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</si>
  <si>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4" type="noConversion"/>
  </si>
  <si>
    <t>RTX Rack#4 / R1-4-1</t>
    <phoneticPr fontId="14" type="noConversion"/>
  </si>
  <si>
    <t>RTX Rack#4 / R1-4-2</t>
    <phoneticPr fontId="14" type="noConversion"/>
  </si>
  <si>
    <t>'23.12.05 투입</t>
    <phoneticPr fontId="14" type="noConversion"/>
  </si>
  <si>
    <t>RTX Rack#4 / R1-4-3</t>
    <phoneticPr fontId="14" type="noConversion"/>
  </si>
  <si>
    <t>RTX Rack#4 / R1-4-4</t>
    <phoneticPr fontId="14" type="noConversion"/>
  </si>
  <si>
    <t>별도 측정 필요</t>
    <phoneticPr fontId="14" type="noConversion"/>
  </si>
  <si>
    <t>별도 측정 필요</t>
  </si>
  <si>
    <t>DEK차단기명칭</t>
    <phoneticPr fontId="14" type="noConversion"/>
  </si>
  <si>
    <t>DEK차단기명칭 (NEW)</t>
    <phoneticPr fontId="14" type="noConversion"/>
  </si>
  <si>
    <t>계측값</t>
    <phoneticPr fontId="14" type="noConversion"/>
  </si>
  <si>
    <t>구분</t>
    <phoneticPr fontId="14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</si>
  <si>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</si>
  <si>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</si>
  <si>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</si>
  <si>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</si>
  <si>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</si>
  <si>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</si>
  <si>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4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</si>
  <si>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</si>
  <si>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</si>
  <si>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</si>
  <si>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</si>
  <si>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</si>
  <si>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</si>
  <si>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</si>
  <si>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</si>
  <si>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</si>
  <si>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</si>
  <si>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</si>
  <si>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</si>
  <si>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</si>
  <si>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</si>
  <si>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</si>
  <si>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</si>
  <si>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</si>
  <si>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</si>
  <si>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</si>
  <si>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</si>
  <si>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</si>
  <si>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</si>
  <si>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</si>
  <si>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</si>
  <si>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</si>
  <si>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</si>
  <si>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</si>
  <si>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</si>
  <si>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</si>
  <si>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</si>
  <si>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</si>
  <si>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</si>
  <si>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</si>
  <si>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</si>
  <si>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</si>
  <si>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</si>
  <si>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</si>
  <si>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</si>
  <si>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</si>
  <si>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</si>
  <si>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</si>
  <si>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</si>
  <si>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</si>
  <si>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</si>
  <si>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</si>
  <si>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</si>
  <si>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</si>
  <si>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</si>
  <si>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</si>
  <si>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</si>
  <si>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</si>
  <si>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</si>
  <si>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</si>
  <si>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</si>
  <si>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</si>
  <si>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</si>
  <si>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</si>
  <si>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</si>
  <si>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</si>
  <si>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</si>
  <si>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</si>
  <si>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</si>
  <si>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</si>
  <si>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</si>
  <si>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</si>
  <si>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</si>
  <si>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</si>
  <si>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</si>
  <si>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</si>
  <si>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</si>
  <si>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</si>
  <si>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</si>
  <si>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</si>
  <si>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</si>
  <si>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</si>
  <si>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</si>
  <si>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</si>
  <si>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</si>
  <si>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</si>
  <si>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</si>
  <si>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</si>
  <si>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</si>
  <si>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</si>
  <si>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</si>
  <si>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</si>
  <si>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</si>
  <si>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</si>
  <si>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</si>
  <si>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</si>
  <si>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</si>
  <si>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</si>
  <si>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</si>
  <si>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</si>
  <si>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</si>
  <si>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</si>
  <si>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</si>
  <si>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</si>
  <si>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</si>
  <si>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</si>
  <si>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</si>
  <si>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</si>
  <si>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</si>
  <si>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</si>
  <si>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</si>
  <si>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</si>
  <si>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</si>
  <si>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</si>
  <si>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</si>
  <si>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</si>
  <si>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</si>
  <si>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</si>
  <si>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</si>
  <si>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</si>
  <si>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</si>
  <si>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</si>
  <si>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</si>
  <si>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</si>
  <si>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</si>
  <si>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</si>
  <si>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</si>
  <si>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</si>
  <si>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</si>
  <si>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</si>
  <si>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</si>
  <si>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</si>
  <si>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</si>
  <si>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</si>
  <si>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</si>
  <si>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</si>
  <si>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</si>
  <si>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</si>
  <si>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</si>
  <si>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</si>
  <si>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</si>
  <si>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</si>
  <si>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</si>
  <si>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</si>
  <si>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</si>
  <si>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</si>
  <si>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</si>
  <si>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</si>
  <si>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</si>
  <si>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</si>
  <si>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</si>
  <si>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</si>
  <si>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</si>
  <si>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</si>
  <si>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</si>
  <si>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</si>
  <si>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</si>
  <si>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</si>
  <si>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</si>
  <si>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</si>
  <si>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</si>
  <si>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</si>
  <si>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</si>
  <si>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</si>
  <si>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</si>
  <si>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</si>
  <si>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</si>
  <si>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</si>
  <si>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</si>
  <si>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</si>
  <si>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</si>
  <si>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</si>
  <si>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</si>
  <si>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</si>
  <si>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</si>
  <si>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</si>
  <si>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</si>
  <si>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</si>
  <si>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</si>
  <si>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</si>
  <si>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</si>
  <si>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</si>
  <si>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</si>
  <si>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</si>
  <si>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</si>
  <si>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</si>
  <si>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</si>
  <si>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</si>
  <si>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</si>
  <si>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</si>
  <si>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</si>
  <si>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</si>
  <si>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</si>
  <si>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</si>
  <si>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</si>
  <si>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</si>
  <si>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</si>
  <si>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</si>
  <si>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</si>
  <si>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</si>
  <si>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</si>
  <si>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</si>
  <si>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</si>
  <si>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</si>
  <si>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</si>
  <si>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</si>
  <si>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</si>
  <si>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</si>
  <si>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</si>
  <si>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</si>
  <si>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</si>
  <si>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</si>
  <si>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</si>
  <si>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</si>
  <si>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</si>
  <si>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</si>
  <si>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</si>
  <si>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</si>
  <si>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</si>
  <si>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</si>
  <si>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</si>
  <si>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</si>
  <si>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</si>
  <si>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</si>
  <si>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</si>
  <si>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</si>
  <si>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</si>
  <si>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</si>
  <si>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</si>
  <si>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</si>
  <si>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</si>
  <si>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</si>
  <si>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</si>
  <si>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</si>
  <si>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</si>
  <si>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</si>
  <si>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</si>
  <si>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</si>
  <si>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</si>
  <si>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</si>
  <si>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</si>
  <si>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</si>
  <si>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</si>
  <si>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</si>
  <si>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</si>
  <si>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</si>
  <si>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</si>
  <si>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</si>
  <si>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</si>
  <si>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</si>
  <si>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</si>
  <si>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</si>
  <si>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</si>
  <si>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</si>
  <si>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</si>
  <si>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</si>
  <si>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</si>
  <si>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</si>
  <si>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</si>
  <si>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</si>
  <si>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</si>
  <si>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</si>
  <si>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</si>
  <si>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</si>
  <si>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</si>
  <si>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</si>
  <si>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</si>
  <si>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</si>
  <si>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</si>
  <si>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</si>
  <si>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</si>
  <si>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</si>
  <si>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</si>
  <si>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</si>
  <si>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</si>
  <si>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</si>
  <si>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</si>
  <si>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</si>
  <si>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</si>
  <si>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</si>
  <si>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</si>
  <si>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</si>
  <si>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</si>
  <si>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</si>
  <si>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</si>
  <si>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</si>
  <si>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</si>
  <si>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</si>
  <si>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</si>
  <si>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</si>
  <si>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</si>
  <si>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</si>
  <si>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</si>
  <si>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</si>
  <si>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</si>
  <si>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</si>
  <si>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</si>
  <si>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</si>
  <si>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</si>
  <si>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</si>
  <si>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</si>
  <si>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</si>
  <si>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</si>
  <si>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</si>
  <si>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</si>
  <si>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</si>
  <si>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</si>
  <si>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</si>
  <si>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</si>
  <si>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</si>
  <si>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</si>
  <si>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</si>
  <si>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</si>
  <si>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</si>
  <si>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</si>
  <si>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</si>
  <si>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</si>
  <si>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</si>
  <si>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</si>
  <si>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</si>
  <si>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</si>
  <si>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</si>
  <si>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</si>
  <si>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</si>
  <si>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4" type="noConversion"/>
  </si>
  <si>
    <t>UPS A1-26 / 2P 30A</t>
  </si>
  <si>
    <t>2023.11.06 설치 (패더IT)</t>
    <phoneticPr fontId="14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</si>
  <si>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</si>
  <si>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</si>
  <si>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</si>
  <si>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</si>
  <si>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</si>
  <si>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</si>
  <si>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</si>
  <si>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</si>
  <si>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</si>
  <si>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</si>
  <si>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</si>
  <si>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</si>
  <si>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</si>
  <si>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</si>
  <si>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</si>
  <si>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</si>
  <si>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</si>
  <si>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</si>
  <si>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</si>
  <si>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</si>
  <si>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</si>
  <si>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</si>
  <si>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</si>
  <si>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</si>
  <si>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</si>
  <si>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</si>
  <si>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</si>
  <si>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</si>
  <si>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</si>
  <si>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</si>
  <si>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</si>
  <si>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</si>
  <si>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</si>
  <si>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</si>
  <si>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</si>
  <si>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</si>
  <si>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</si>
  <si>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</si>
  <si>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</si>
  <si>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</si>
  <si>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</si>
  <si>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</si>
  <si>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</si>
  <si>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</si>
  <si>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</si>
  <si>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</si>
  <si>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</si>
  <si>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</si>
  <si>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</si>
  <si>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</si>
  <si>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</si>
  <si>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</si>
  <si>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</si>
  <si>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</si>
  <si>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</si>
  <si>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</si>
  <si>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</si>
  <si>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</si>
  <si>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</si>
  <si>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</si>
  <si>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</si>
  <si>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</si>
  <si>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</si>
  <si>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</si>
  <si>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</si>
  <si>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</si>
  <si>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</si>
  <si>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</si>
  <si>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</si>
  <si>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</si>
  <si>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</si>
  <si>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</si>
  <si>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</si>
  <si>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</si>
  <si>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</si>
  <si>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</si>
  <si>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</si>
  <si>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</si>
  <si>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</si>
  <si>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</si>
  <si>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</si>
  <si>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</si>
  <si>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</si>
  <si>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</si>
  <si>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</si>
  <si>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</si>
  <si>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</si>
  <si>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</si>
  <si>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</si>
  <si>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</si>
  <si>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</si>
  <si>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</si>
  <si>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</si>
  <si>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</si>
  <si>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</si>
  <si>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</si>
  <si>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</si>
  <si>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</si>
  <si>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</si>
  <si>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</si>
  <si>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</si>
  <si>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</si>
  <si>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</si>
  <si>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</si>
  <si>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</si>
  <si>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</si>
  <si>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</si>
  <si>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</si>
  <si>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</si>
  <si>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</si>
  <si>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</si>
  <si>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</si>
  <si>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</si>
  <si>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</si>
  <si>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</si>
  <si>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</si>
  <si>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</si>
  <si>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</si>
  <si>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</si>
  <si>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</si>
  <si>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</si>
  <si>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</si>
  <si>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</si>
  <si>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</si>
  <si>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</si>
  <si>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</si>
  <si>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</si>
  <si>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</si>
  <si>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</si>
  <si>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</si>
  <si>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</si>
  <si>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</si>
  <si>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</si>
  <si>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</si>
  <si>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</si>
  <si>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</si>
  <si>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</si>
  <si>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</si>
  <si>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</si>
  <si>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</si>
  <si>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</si>
  <si>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</si>
  <si>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</si>
  <si>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</si>
  <si>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</si>
  <si>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4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</si>
  <si>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</si>
  <si>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</si>
  <si>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</si>
  <si>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</si>
  <si>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</si>
  <si>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</si>
  <si>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</si>
  <si>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</si>
  <si>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</si>
  <si>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</si>
  <si>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</si>
  <si>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</si>
  <si>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</si>
  <si>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</si>
  <si>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4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</si>
  <si>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</si>
  <si>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</si>
  <si>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</si>
  <si>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</si>
  <si>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</si>
  <si>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</si>
  <si>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</si>
  <si>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</si>
  <si>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</si>
  <si>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</si>
  <si>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</si>
  <si>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</si>
  <si>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</si>
  <si>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</si>
  <si>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</si>
  <si>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</si>
  <si>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</si>
  <si>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</si>
  <si>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</si>
  <si>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</si>
  <si>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</si>
  <si>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4" type="noConversion"/>
  </si>
  <si>
    <t>Sejong Telecom Inc.('23.10.12 투입)</t>
    <phoneticPr fontId="14" type="noConversion"/>
  </si>
  <si>
    <t>Digital Edge</t>
    <phoneticPr fontId="14" type="noConversion"/>
  </si>
  <si>
    <t>Shinhan financial Investment</t>
    <phoneticPr fontId="14" type="noConversion"/>
  </si>
  <si>
    <t>Quad Miner</t>
    <phoneticPr fontId="14" type="noConversion"/>
  </si>
  <si>
    <t>CARANG</t>
  </si>
  <si>
    <t>Delphicom Co., Ltd.</t>
  </si>
  <si>
    <t>Feather-IT</t>
    <phoneticPr fontId="14" type="noConversion"/>
  </si>
  <si>
    <t>eBID</t>
    <phoneticPr fontId="14" type="noConversion"/>
  </si>
  <si>
    <t>Exanet</t>
  </si>
  <si>
    <t>Net People Co., Ltd.</t>
  </si>
  <si>
    <t>Needs Telecom</t>
    <phoneticPr fontId="14" type="noConversion"/>
  </si>
  <si>
    <t>NTT KOREA Co., Ltd.</t>
    <phoneticPr fontId="14" type="noConversion"/>
  </si>
  <si>
    <t>UNSYS Co., Ltd.</t>
    <phoneticPr fontId="14" type="noConversion"/>
  </si>
  <si>
    <t>IT Train</t>
    <phoneticPr fontId="14" type="noConversion"/>
  </si>
  <si>
    <t>LG Hello Vision Co., Ltd.</t>
    <phoneticPr fontId="14" type="noConversion"/>
  </si>
  <si>
    <t>계약용량</t>
    <phoneticPr fontId="14" type="noConversion"/>
  </si>
  <si>
    <t>kW</t>
    <phoneticPr fontId="14" type="noConversion"/>
  </si>
  <si>
    <t>시간당 전력량</t>
    <phoneticPr fontId="14" type="noConversion"/>
  </si>
  <si>
    <t>남은 전력량</t>
    <phoneticPr fontId="14" type="noConversion"/>
  </si>
  <si>
    <t>전력초과여부</t>
    <phoneticPr fontId="14" type="noConversion"/>
  </si>
  <si>
    <t>사용초과 고객 수</t>
    <phoneticPr fontId="14" type="noConversion"/>
  </si>
  <si>
    <t>적정함</t>
    <phoneticPr fontId="14" type="noConversion"/>
  </si>
  <si>
    <t>무부하 랙</t>
    <phoneticPr fontId="14" type="noConversion"/>
  </si>
  <si>
    <t>미사용 랙</t>
    <phoneticPr fontId="14" type="noConversion"/>
  </si>
  <si>
    <t>고객사명 입력↓</t>
    <phoneticPr fontId="34" type="noConversion"/>
  </si>
  <si>
    <t>총 계약용량</t>
    <phoneticPr fontId="34" type="noConversion"/>
  </si>
  <si>
    <t>총 시간당 전력량</t>
    <phoneticPr fontId="34" type="noConversion"/>
  </si>
  <si>
    <t>총 남은 전력량</t>
    <phoneticPr fontId="34" type="noConversion"/>
  </si>
  <si>
    <t>전력초과여부</t>
    <phoneticPr fontId="34" type="noConversion"/>
  </si>
  <si>
    <t>위치</t>
    <phoneticPr fontId="14" type="noConversion"/>
  </si>
  <si>
    <t>7층</t>
    <phoneticPr fontId="14" type="noConversion"/>
  </si>
  <si>
    <t>6층</t>
    <phoneticPr fontId="14" type="noConversion"/>
  </si>
  <si>
    <t>5층</t>
    <phoneticPr fontId="14" type="noConversion"/>
  </si>
  <si>
    <t>4층</t>
    <phoneticPr fontId="14" type="noConversion"/>
  </si>
  <si>
    <t>Entry1</t>
    <phoneticPr fontId="14" type="noConversion"/>
  </si>
  <si>
    <t>Entry2</t>
    <phoneticPr fontId="14" type="noConversion"/>
  </si>
  <si>
    <t>Entry3</t>
  </si>
  <si>
    <t>Entry4</t>
  </si>
  <si>
    <t>Entry5</t>
  </si>
  <si>
    <t>Entry6</t>
  </si>
  <si>
    <t>Entry7</t>
  </si>
  <si>
    <t>Entry8</t>
    <phoneticPr fontId="14" type="noConversion"/>
  </si>
  <si>
    <t>Entry9</t>
    <phoneticPr fontId="14" type="noConversion"/>
  </si>
  <si>
    <t>Entry10</t>
    <phoneticPr fontId="14" type="noConversion"/>
  </si>
  <si>
    <t>DEKR
NO.</t>
  </si>
  <si>
    <t>계약용량</t>
  </si>
  <si>
    <t>kW</t>
  </si>
  <si>
    <t>↑ 위 셀에 고객사명을 입력하면 4~7층 고객사랙의 총 전력값이 나옵니다.</t>
    <phoneticPr fontId="14" type="noConversion"/>
  </si>
  <si>
    <t>SEL1층별 고객사 랙 전력데이터 현황</t>
    <phoneticPr fontId="14" type="noConversion"/>
  </si>
  <si>
    <t>DEK, 층간 Patch Cabinet</t>
  </si>
  <si>
    <t>DEK, 층간 Patch Cabinet</t>
    <phoneticPr fontId="14" type="noConversion"/>
  </si>
  <si>
    <t>B525</t>
    <phoneticPr fontId="14" type="noConversion"/>
  </si>
  <si>
    <t>B111</t>
    <phoneticPr fontId="14" type="noConversion"/>
  </si>
  <si>
    <t>B114</t>
    <phoneticPr fontId="14" type="noConversion"/>
  </si>
  <si>
    <t>C1210</t>
    <phoneticPr fontId="14" type="noConversion"/>
  </si>
  <si>
    <t>C1211</t>
    <phoneticPr fontId="14" type="noConversion"/>
  </si>
  <si>
    <t>쿼드마이너('24.01 예정)</t>
    <phoneticPr fontId="14" type="noConversion"/>
  </si>
  <si>
    <t>5-DaHall 1-PDU-17
싱텔
분전반(A)</t>
  </si>
  <si>
    <t>5-DaHall 1-PDU-18
싱텔
분전반(B)</t>
  </si>
  <si>
    <t>싱텔 PDU 월간 계측값  입력 필요</t>
    <phoneticPr fontId="14" type="noConversion"/>
  </si>
  <si>
    <t>kW(전월최대유효전력)</t>
    <phoneticPr fontId="14" type="noConversion"/>
  </si>
  <si>
    <t>4층 랙별 전기공급계통</t>
  </si>
  <si>
    <t>6층 랙별 전기공급계통</t>
  </si>
  <si>
    <t>7층 랙별 전기공급계통</t>
  </si>
  <si>
    <t>↓여기에 층별 PDU리스트 복사 및 붙여넣기 하세요!</t>
  </si>
  <si>
    <t>[branch#003] [A] W</t>
  </si>
  <si>
    <t>[branch#0] [A] W</t>
  </si>
  <si>
    <t>4층 상.하 키값</t>
  </si>
  <si>
    <t>상(A)</t>
  </si>
  <si>
    <t>하(B)</t>
  </si>
  <si>
    <t>4층 상 PDU번호</t>
  </si>
  <si>
    <t>4층 상 차단기번호</t>
  </si>
  <si>
    <t>4층 하 PDU번호</t>
  </si>
  <si>
    <t>4층 하 차단기번호</t>
  </si>
  <si>
    <t>4층 kW(전월최대유효전력)</t>
  </si>
  <si>
    <t>5층 상.하 키값</t>
  </si>
  <si>
    <t>5층 상 PDU번호</t>
  </si>
  <si>
    <t>5층 상 차단기번호</t>
  </si>
  <si>
    <t>5층 하 PDU번호</t>
  </si>
  <si>
    <t>5층 하 차단기번호</t>
  </si>
  <si>
    <t>5층 kW(전월최대유효전력)</t>
  </si>
  <si>
    <t>6층 상.하 키값</t>
  </si>
  <si>
    <t>6층 상 PDU번호</t>
  </si>
  <si>
    <t>6층 상 차단기번호</t>
  </si>
  <si>
    <t>6층 하 PDU번호</t>
  </si>
  <si>
    <t>6층 하 차단기번호</t>
  </si>
  <si>
    <t>6층 kW(전월최대유효전력)</t>
  </si>
  <si>
    <t>7층 상.하 키값</t>
  </si>
  <si>
    <t>7층 상 PDU번호</t>
  </si>
  <si>
    <t>7층 상 차단기번호</t>
  </si>
  <si>
    <t>7층 하 PDU번호</t>
  </si>
  <si>
    <t>7층 하 차단기번호</t>
  </si>
  <si>
    <t>7층 kW(전월최대유효전력)</t>
  </si>
  <si>
    <t>4-DaHall 1-PDU-02-100-1</t>
  </si>
  <si>
    <t>[branch#001] [A] W</t>
  </si>
  <si>
    <t>5-DaHall 1-PDU-11-30-3</t>
  </si>
  <si>
    <t>5-DaHall 1-PDU-12-30-3</t>
  </si>
  <si>
    <t>6-DaHall 1-PDU-07-30-36</t>
  </si>
  <si>
    <t>6-DaHall 1-PDU-08-30-36</t>
  </si>
  <si>
    <t>[branch#036] [A] W</t>
  </si>
  <si>
    <t>7-DaHall 1-PDU-03-225-6</t>
  </si>
  <si>
    <t>[branch#006] [A] W</t>
  </si>
  <si>
    <t>4-DaHall 1-PDU-01-100-1</t>
  </si>
  <si>
    <t>5-DaHall 1-PDU-11-30-5</t>
  </si>
  <si>
    <t>5-DaHall 1-PDU-12-30-5</t>
  </si>
  <si>
    <t>[branch#005] [A] W</t>
  </si>
  <si>
    <t>6-DaHall 1-PDU-07-30-38</t>
  </si>
  <si>
    <t>6-DaHall 1-PDU-08-30-38</t>
  </si>
  <si>
    <t>[branch#038] [A] W</t>
  </si>
  <si>
    <t>7-DaHall 1-PDU-04-150-1</t>
  </si>
  <si>
    <t>4-DaHall 1-PDU-10-200-2</t>
  </si>
  <si>
    <t>[branch#002] [A] W</t>
  </si>
  <si>
    <t>5-DaHall 1-PDU-11-30-9</t>
  </si>
  <si>
    <t>5-DaHall 1-PDU-12-20-26</t>
  </si>
  <si>
    <t>[branch#009] [A] W</t>
  </si>
  <si>
    <t>[branch#026] [A] W</t>
  </si>
  <si>
    <t>6-DaHall 1-PDU-07-30-40</t>
  </si>
  <si>
    <t>6-DaHall 1-PDU-08-30-40</t>
  </si>
  <si>
    <t>[branch#040] [A] W</t>
  </si>
  <si>
    <t>7-DaHall 1-A-4-35-32</t>
  </si>
  <si>
    <t>7-DaHall 1-B-4-35-32</t>
  </si>
  <si>
    <t>[branch#032] [A] W</t>
  </si>
  <si>
    <t>4-DaHall 1-PDU-10-200-3</t>
  </si>
  <si>
    <t>5-DaHall 1-PDU-11-20-26</t>
  </si>
  <si>
    <t>5-DaHall 1-PDU-12-20-30</t>
  </si>
  <si>
    <t>[branch#030] [A] W</t>
  </si>
  <si>
    <t>6-DaHall 1-PDU-07-30-42</t>
  </si>
  <si>
    <t>6-DaHall 1-PDU-08-30-42</t>
  </si>
  <si>
    <t>[branch#042] [A] W</t>
  </si>
  <si>
    <t>7-DaHall 1-PDU-01-30-37</t>
  </si>
  <si>
    <t>7-DaHall 1-PDU-02-30-37</t>
  </si>
  <si>
    <t>[branch#037] [A] W</t>
  </si>
  <si>
    <t>4-DaHall 1-PDU-02-100-3</t>
  </si>
  <si>
    <t>4-DaHall 1-PDU-01-100-3</t>
  </si>
  <si>
    <t>5-DaHall 1-PDU-11-30-11</t>
  </si>
  <si>
    <t>5-DaHall 1-PDU-12-30-9</t>
  </si>
  <si>
    <t>[branch#011] [A] W</t>
  </si>
  <si>
    <t>6-DaHall 1-PDU-07-30-44</t>
  </si>
  <si>
    <t>6-DaHall 1-PDU-08-30-44</t>
  </si>
  <si>
    <t>[branch#044] [A] W</t>
  </si>
  <si>
    <t>7-DaHall 1-A-4-100-58</t>
  </si>
  <si>
    <t>7-DaHall 1-B-4-100-58</t>
  </si>
  <si>
    <t>[branch#058] [A] W</t>
  </si>
  <si>
    <t>4-DaHall 1-PDU-02-100-4</t>
  </si>
  <si>
    <t>4-DaHall 1-PDU-01-100-4</t>
  </si>
  <si>
    <t>[branch#004] [A] W</t>
  </si>
  <si>
    <t>5-DaHall 1-PDU-11-30-13</t>
  </si>
  <si>
    <t>5-DaHall 1-PDU-12-30-11</t>
  </si>
  <si>
    <t>[branch#013] [A] W</t>
  </si>
  <si>
    <t>6-DaHall 1-PDU-07-30-46</t>
  </si>
  <si>
    <t>6-DaHall 1-PDU-08-30-46</t>
  </si>
  <si>
    <t>[branch#046] [A] W</t>
  </si>
  <si>
    <t>7-DaHall 1-A-4-100-56</t>
  </si>
  <si>
    <t>7-DaHall 1-B-4-35-56</t>
  </si>
  <si>
    <t>[branch#056] [A] W</t>
  </si>
  <si>
    <t>4-DaHall 1-PDU-02-100-5</t>
  </si>
  <si>
    <t>4-DaHall 1-PDU-01-100-5</t>
  </si>
  <si>
    <t>5-DaHall 1-PDU-07-30-1</t>
  </si>
  <si>
    <t>5-DaHall 1-PDU-08-30-7</t>
  </si>
  <si>
    <t>[branch#007] [A] W</t>
  </si>
  <si>
    <t>7-DaHall 1-A-4-50-59</t>
  </si>
  <si>
    <t>7-DaHall 1-B-4-50-59</t>
  </si>
  <si>
    <t>[branch#059] [A] W</t>
  </si>
  <si>
    <t>4-DaHall 1-PDU-02-100-2</t>
  </si>
  <si>
    <t>4-DaHall 1-PDU-01-100-2</t>
  </si>
  <si>
    <t>5-DaHall 1-PDU-07-30-3</t>
  </si>
  <si>
    <t>5-DaHall 1-PDU-08-30-3</t>
  </si>
  <si>
    <t>7-DaHall 1-A-4-50-25</t>
  </si>
  <si>
    <t>7-DaHall 1-B-4-50-25</t>
  </si>
  <si>
    <t>[branch#025] [A] W</t>
  </si>
  <si>
    <t>4-DaHall 1-PDU-04-100-2</t>
  </si>
  <si>
    <t>4-DaHall 1-PDU-03-100-2</t>
  </si>
  <si>
    <t>5-DaHall 1-PDU-07-30-5</t>
  </si>
  <si>
    <t>5-DaHall 1-PDU-08-30-5</t>
  </si>
  <si>
    <t>4-DaHall 1-PDU-04-100-3</t>
  </si>
  <si>
    <t>4-DaHall 1-PDU-03-100-3</t>
  </si>
  <si>
    <t>5-DaHall 1-PDU-07-30-2</t>
  </si>
  <si>
    <t>5-DaHall 1-PDU-08-30-2</t>
  </si>
  <si>
    <t>5-DaHall 1-PDU-11-20-28</t>
  </si>
  <si>
    <t>5-DaHall 1-PDU-12-20-28</t>
  </si>
  <si>
    <t>[branch#028] [A] W</t>
  </si>
  <si>
    <t>6-DaHall 1-PDU-07-30-54</t>
  </si>
  <si>
    <t>6-DaHall 1-PDU-08-30-54</t>
  </si>
  <si>
    <t>[branch#054] [A] W</t>
  </si>
  <si>
    <t>4-DaHall 1-PDU-08-100-2</t>
  </si>
  <si>
    <t>4-DaHall 1-PDU-07-100-2</t>
  </si>
  <si>
    <t>5-DaHall 1-PDU-07-30-4</t>
  </si>
  <si>
    <t>5-DaHall 1-PDU-08-30-4</t>
  </si>
  <si>
    <t>6-DaHall 1-PDU-07-30-53</t>
  </si>
  <si>
    <t>6-DaHall 1-PDU-08-30-53</t>
  </si>
  <si>
    <t>[branch#053] [A] W</t>
  </si>
  <si>
    <t>7-DaHall 1-B-4-100-31</t>
  </si>
  <si>
    <t>7-DaHall 1-A-4-100-31</t>
  </si>
  <si>
    <t>[branch#031] [A] W</t>
  </si>
  <si>
    <t>5-DaHall 1-PDU-07-30-6</t>
  </si>
  <si>
    <t>5-DaHall 1-PDU-08-30-6</t>
  </si>
  <si>
    <t>6-DaHall 1-PDU-07-30-51</t>
  </si>
  <si>
    <t>6-DaHall 1-PDU-08-30-51</t>
  </si>
  <si>
    <t>[branch#051] [A] W</t>
  </si>
  <si>
    <t>7-DaHall 1-B-4-100-30</t>
  </si>
  <si>
    <t>7-DaHall 1-A-4-100-30</t>
  </si>
  <si>
    <t>5-DaHall 1-PDU-11-20-15</t>
  </si>
  <si>
    <t>5-DaHall 1-PDU-12-20-13</t>
  </si>
  <si>
    <t>[branch#015] [A] W</t>
  </si>
  <si>
    <t>6-DaHall 1-PDU-07-30-49</t>
  </si>
  <si>
    <t>6-DaHall 1-PDU-08-30-49</t>
  </si>
  <si>
    <t>[branch#049] [A] W</t>
  </si>
  <si>
    <t>7-DaHall 1-A-4-100-29</t>
  </si>
  <si>
    <t>7-DaHall 1-B-4-100-29</t>
  </si>
  <si>
    <t>[branch#029] [A] W</t>
  </si>
  <si>
    <t>5-DaHall 1-PDU-11-20-17</t>
  </si>
  <si>
    <t>5-DaHall 1-PDU-12-20-15</t>
  </si>
  <si>
    <t>[branch#017] [A] W</t>
  </si>
  <si>
    <t>6-DaHall 1-PDU-03-30-16</t>
  </si>
  <si>
    <t>6-DaHall 1-PDU-04-30-16</t>
  </si>
  <si>
    <t>[branch#016] [A] W</t>
  </si>
  <si>
    <t>7-DaHall 1-A-4-35-34</t>
  </si>
  <si>
    <t>7-DaHall 1-B-4-35-34</t>
  </si>
  <si>
    <t>[branch#034] [A] W</t>
  </si>
  <si>
    <t>5-DaHall 1-PDU-15-30-11</t>
  </si>
  <si>
    <t>5-DaHall 1-PDU-16-30-11</t>
  </si>
  <si>
    <t>6-DaHall 1-PDU-03-30-18</t>
  </si>
  <si>
    <t>6-DaHall 1-PDU-04-30-18</t>
  </si>
  <si>
    <t>[branch#018] [A] W</t>
  </si>
  <si>
    <t>7-DaHall 1-A-4-100-3</t>
  </si>
  <si>
    <t>7-DaHall 1-B-4-100-3</t>
  </si>
  <si>
    <t>5-DaHall 1-PDU-15-30-14</t>
  </si>
  <si>
    <t>5-DaHall 1-PDU-16-30-14</t>
  </si>
  <si>
    <t>[branch#014] [A] W</t>
  </si>
  <si>
    <t>7-DaHall 1-A-4-50-41</t>
  </si>
  <si>
    <t>7-DaHall 1-B-4-50-41</t>
  </si>
  <si>
    <t>[branch#041] [A] W</t>
  </si>
  <si>
    <t>4-DaHall 1-PDU-08-100-6</t>
  </si>
  <si>
    <t>4-DaHall 1-PDU-07-100-6</t>
  </si>
  <si>
    <t>5-DaHall 1-PDU-11-20-19</t>
  </si>
  <si>
    <t>5-DaHall 1-PDU-12-20-17</t>
  </si>
  <si>
    <t>[branch#019] [A] W</t>
  </si>
  <si>
    <t>5-DaHall 1-PDU-11-20-21</t>
  </si>
  <si>
    <t>5-DaHall 1-PDU-12-20-19</t>
  </si>
  <si>
    <t>[branch#021] [A] W</t>
  </si>
  <si>
    <t>6-DaHall 1-PDU-07-30-8</t>
  </si>
  <si>
    <t>6-DaHall 1-PDU-08-30-8</t>
  </si>
  <si>
    <t>[branch#008] [A] W</t>
  </si>
  <si>
    <t>7-DaHall 1-PDU-01-30-5</t>
  </si>
  <si>
    <t>7-DaHall 1-PDU-02-30-3</t>
  </si>
  <si>
    <t>5-DaHall 1-PDU-11-20-23</t>
  </si>
  <si>
    <t>5-DaHall 1-PDU-12-20-21</t>
  </si>
  <si>
    <t>[branch#023] [A] W</t>
  </si>
  <si>
    <t>6-DaHall 1-PDU-07-30-10</t>
  </si>
  <si>
    <t>6-DaHall 1-PDU-08-30-10</t>
  </si>
  <si>
    <t>[branch#010] [A] W</t>
  </si>
  <si>
    <t>7-DaHall 1-RPP-01-30-40</t>
  </si>
  <si>
    <t>7-DaHall 1-RPP-02-30-38</t>
  </si>
  <si>
    <t>4-DaHall 1-PDU-08-100-4</t>
  </si>
  <si>
    <t>4-DaHall 1-PDU-07-100-4</t>
  </si>
  <si>
    <t>5-DaHall 1-PDU-11-20-25</t>
  </si>
  <si>
    <t>5-DaHall 1-PDU-12-20-23</t>
  </si>
  <si>
    <t>6-DaHall 1-PDU-07-30-12</t>
  </si>
  <si>
    <t>6-DaHall 1-PDU-08-30-12</t>
  </si>
  <si>
    <t>[branch#012] [A] W</t>
  </si>
  <si>
    <t>7-DaHall 1-RPP-01-20-25</t>
  </si>
  <si>
    <t>7-DaHall 1-RPP-01-30-20</t>
  </si>
  <si>
    <t>[branch#020] [A] W</t>
  </si>
  <si>
    <t>5-DaHall 1-PDU-15-20-28</t>
  </si>
  <si>
    <t>5-DaHall 1-PDU-16-20-28</t>
  </si>
  <si>
    <t>6-DaHall 1-PDU-07-30-14</t>
  </si>
  <si>
    <t>6-DaHall 1-PDU-08-30-14</t>
  </si>
  <si>
    <t>7-DaHall 1-B-4-35-46</t>
  </si>
  <si>
    <t>7-DaHall 1-A-4-35-42</t>
  </si>
  <si>
    <t>5-DaHall 1-PDU-11-20-27</t>
  </si>
  <si>
    <t>5-DaHall 1-PDU-12-20-25</t>
  </si>
  <si>
    <t>[branch#027] [A] W</t>
  </si>
  <si>
    <t>6-DaHall 1-PDU-01-30-48</t>
  </si>
  <si>
    <t>6-DaHall 1-PDU-02-30-48</t>
  </si>
  <si>
    <t>[branch#048] [A] W</t>
  </si>
  <si>
    <t>7-DaHall 1-A-4-35-43</t>
  </si>
  <si>
    <t>7-DaHall 1-B-4-50-47</t>
  </si>
  <si>
    <t>[branch#043] [A] W</t>
  </si>
  <si>
    <t>[branch#047] [A] W</t>
  </si>
  <si>
    <t>5-DaHall 1-PDU-11-20-29</t>
  </si>
  <si>
    <t>5-DaHall 1-PDU-12-20-27</t>
  </si>
  <si>
    <t>6-DaHall 1-PDU-05-30-50</t>
  </si>
  <si>
    <t>6-DaHall 1-PDU-06-30-50</t>
  </si>
  <si>
    <t>[branch#050] [A] W</t>
  </si>
  <si>
    <t>5-DaHall 1-PDU-15-30-7</t>
  </si>
  <si>
    <t>5-DaHall 1-PDU-16-30-7</t>
  </si>
  <si>
    <t>7-DaHall 1-A-4-35-44</t>
  </si>
  <si>
    <t>7-DaHall 1-B-4-35-48</t>
  </si>
  <si>
    <t>4-DaHall 1-PDU-08-100-8</t>
  </si>
  <si>
    <t>4-DaHall 1-PDU-07-100-8</t>
  </si>
  <si>
    <t>5-DaHall 1-PDU-15-30-9</t>
  </si>
  <si>
    <t>5-DaHall 1-PDU-16-30-9</t>
  </si>
  <si>
    <t>7-DaHall 1-PDU-02-30-8</t>
  </si>
  <si>
    <t>5-DaHall 1-PDU-13-30-3</t>
  </si>
  <si>
    <t>5-DaHall 1-PDU-12-20-32</t>
  </si>
  <si>
    <t>6-DaHall 1-PDU-07-30-22</t>
  </si>
  <si>
    <t>6-DaHall 1-PDU-08-30-22</t>
  </si>
  <si>
    <t>[branch#022] [A] W</t>
  </si>
  <si>
    <t>7-DaHall 1-A-4-35-50</t>
  </si>
  <si>
    <t>7-DaHall 1-B-4-35-50</t>
  </si>
  <si>
    <t>5-DaHall 1-PDU-13-30-5</t>
  </si>
  <si>
    <t>5-DaHall 1-PDU-14-30-3</t>
  </si>
  <si>
    <t>6-DaHall 1-PDU-07-30-24</t>
  </si>
  <si>
    <t>6-DaHall 1-PDU-08-30-24</t>
  </si>
  <si>
    <t>[branch#024] [A] W</t>
  </si>
  <si>
    <t>7-DaHall 1-A-4-50-46</t>
  </si>
  <si>
    <t>7-DaHall 1-B-4-50-49</t>
  </si>
  <si>
    <t>6-DaHall 1-PDU-07-30-26</t>
  </si>
  <si>
    <t>6-DaHall 1-PDU-08-30-26</t>
  </si>
  <si>
    <t>7-DaHall 1-A-4-35-54</t>
  </si>
  <si>
    <t>7-DaHall 1-B-4-35-54</t>
  </si>
  <si>
    <t>5-DaHall 1-PDU-11-30-6</t>
  </si>
  <si>
    <t>5-DaHall 1-PDU-12-30-4</t>
  </si>
  <si>
    <t>6-DaHall 1-PDU-07-30-28</t>
  </si>
  <si>
    <t>6-DaHall 1-PDU-08-30-28</t>
  </si>
  <si>
    <t>7-DaHall 1-A-4-50-26</t>
  </si>
  <si>
    <t>7-DaHall 1-B-4-50-26</t>
  </si>
  <si>
    <t>5-DaHall 1-PDU-11-20-8</t>
  </si>
  <si>
    <t>5-DaHall 1-PDU-12-30-6</t>
  </si>
  <si>
    <t>6-DaHall 1-PDU-03-30-33</t>
  </si>
  <si>
    <t>6-DaHall 1-PDU-04-30-33</t>
  </si>
  <si>
    <t>[branch#033] [A] W</t>
  </si>
  <si>
    <t>7-DaHall 1-A-4-50-28</t>
  </si>
  <si>
    <t>7-DaHall 1-B-4-50-28</t>
  </si>
  <si>
    <t>4-DaHall 1-PDU-08-100-7</t>
  </si>
  <si>
    <t>4-DaHall 1-PDU-07-100-7</t>
  </si>
  <si>
    <t>5-DaHall 1-PDU-11-20-10</t>
  </si>
  <si>
    <t>5-DaHall 1-PDU-12-30-8</t>
  </si>
  <si>
    <t>6-DaHall 1-PDU-03-30-35</t>
  </si>
  <si>
    <t>6-DaHall 1-PDU-04-30-35</t>
  </si>
  <si>
    <t>[branch#035] [A] W</t>
  </si>
  <si>
    <t>7-DaHall 1-PDU-01-30-9</t>
  </si>
  <si>
    <t>7-DaHall 1-PDU-02-30-9</t>
  </si>
  <si>
    <t>5-DaHall 1-PDU-11-20-12</t>
  </si>
  <si>
    <t>5-DaHall 1-PDU-12-20-10</t>
  </si>
  <si>
    <t>7-DaHall 1-PDU-01-30-7</t>
  </si>
  <si>
    <t>7-DaHall 1-PDU-02-30-7</t>
  </si>
  <si>
    <t>5-DaHall 1-PDU-11-20-14</t>
  </si>
  <si>
    <t>5-DaHall 1-PDU-12-20-12</t>
  </si>
  <si>
    <t>6-DaHall 1-PDU-03-30-24</t>
  </si>
  <si>
    <t>6-DaHall 1-PDU-04-30-24</t>
  </si>
  <si>
    <t>7-DaHall 1-A-4-50-27</t>
  </si>
  <si>
    <t>7-DaHall 1-B-4-50-57</t>
  </si>
  <si>
    <t>[branch#057] [A] W</t>
  </si>
  <si>
    <t>5-DaHall 1-PDU-11-20-16</t>
  </si>
  <si>
    <t>5-DaHall 1-PDU-12-20-14</t>
  </si>
  <si>
    <t>6-DaHall 1-PDU-03-30-22</t>
  </si>
  <si>
    <t>6-DaHall 1-PDU-04-30-22</t>
  </si>
  <si>
    <t>7-DaHall 1-A-4-50-33</t>
  </si>
  <si>
    <t>7-DaHall 1-B-4-50-33</t>
  </si>
  <si>
    <t>4-DaHall 1-PDU-08-100-3</t>
  </si>
  <si>
    <t>4-DaHall 1-PDU-07-100-3</t>
  </si>
  <si>
    <t>5-DaHall 1-PDU-11-20-18</t>
  </si>
  <si>
    <t>5-DaHall 1-PDU-12-20-16</t>
  </si>
  <si>
    <t>6-DaHall 1-PDU-03-30-26</t>
  </si>
  <si>
    <t>6-DaHall 1-PDU-04-30-26</t>
  </si>
  <si>
    <t>7-DaHall 1-A-4-50-10</t>
  </si>
  <si>
    <t>7-DaHall 1-B-4-50-43</t>
  </si>
  <si>
    <t>5-DaHall 1-PDU-11-20-20</t>
  </si>
  <si>
    <t>5-DaHall 1-PDU-12-20-18</t>
  </si>
  <si>
    <t>6-DaHall 1-PDU-03-30-38</t>
  </si>
  <si>
    <t>6-DaHall 1-PDU-04-30-38</t>
  </si>
  <si>
    <t>7-DaHall 1-A-4-50-11</t>
  </si>
  <si>
    <t>7-DaHall 1-B-4-50-44</t>
  </si>
  <si>
    <t>5-DaHall 1-PDU-13-20-11</t>
  </si>
  <si>
    <t>5-DaHall 1-PDU-14-30-9</t>
  </si>
  <si>
    <t>6-DaHall 1-PDU-03-30-28</t>
  </si>
  <si>
    <t>6-DaHall 1-PDU-04-30-28</t>
  </si>
  <si>
    <t>7-DaHall 1-A-4-50-18</t>
  </si>
  <si>
    <t>7-DaHall 1-B-4-50-45</t>
  </si>
  <si>
    <t>[branch#045] [A] W</t>
  </si>
  <si>
    <t>4-DaHall 1-PDU-08-100-5</t>
  </si>
  <si>
    <t>4-DaHall 1-PDU-07-100-5</t>
  </si>
  <si>
    <t>5-DaHall 1-PDU-13-20-13</t>
  </si>
  <si>
    <t>5-DaHall 1-PDU-14-20-11</t>
  </si>
  <si>
    <t>6-DaHall 1-PDU-03-30-30</t>
  </si>
  <si>
    <t>6-DaHall 1-PDU-04-30-30</t>
  </si>
  <si>
    <t>7-DaHall 1-A-4-50-45</t>
  </si>
  <si>
    <t>7-DaHall 1-B-4-50-51</t>
  </si>
  <si>
    <t>5-DaHall 1-PDU-13-20-15</t>
  </si>
  <si>
    <t>5-DaHall 1-PDU-14-20-13</t>
  </si>
  <si>
    <t>6-DaHall 1-PDU-03-30-32</t>
  </si>
  <si>
    <t>6-DaHall 1-PDU-04-30-32</t>
  </si>
  <si>
    <t>7-DaHall 1-A-4-35-52</t>
  </si>
  <si>
    <t>7-DaHall 1-B-4-35-52</t>
  </si>
  <si>
    <t>[branch#052] [A] W</t>
  </si>
  <si>
    <t>5-DaHall 1-PDU-13-20-17</t>
  </si>
  <si>
    <t>5-DaHall 1-PDU-14-20-15</t>
  </si>
  <si>
    <t>6-DaHall 1-PDU-03-30-34</t>
  </si>
  <si>
    <t>6-DaHall 1-PDU-04-30-34</t>
  </si>
  <si>
    <t>7-DaHall 1-A-4-35-53</t>
  </si>
  <si>
    <t>7-DaHall 1-B-4-35-53</t>
  </si>
  <si>
    <t>4-DaHall 1-PDU-08-100-1</t>
  </si>
  <si>
    <t>4-DaHall 1-PDU-07-100-1</t>
  </si>
  <si>
    <t>5-DaHall 1-PDU-15-30-12</t>
  </si>
  <si>
    <t>5-DaHall 1-PDU-16-30-12</t>
  </si>
  <si>
    <t>6-DaHall 1-PDU-03-30-36</t>
  </si>
  <si>
    <t>6-DaHall 1-PDU-04-30-36</t>
  </si>
  <si>
    <t>5-DaHall 1-PDU-13-20-19</t>
  </si>
  <si>
    <t>5-DaHall 1-PDU-14-20-17</t>
  </si>
  <si>
    <t>5-DaHall 1-PDU-11-20-22</t>
  </si>
  <si>
    <t>5-DaHall 1-PDU-12-20-22</t>
  </si>
  <si>
    <t>7-DaHall 1-A-3-50-47</t>
  </si>
  <si>
    <t>7-DaHall 1-B-3-50-47</t>
  </si>
  <si>
    <t>5-DaHall 1-PDU-13-20-21</t>
  </si>
  <si>
    <t>5-DaHall 1-PDU-14-20-19</t>
  </si>
  <si>
    <t>6-DaHall 1-PDU-03-30-40</t>
  </si>
  <si>
    <t>6-DaHall 1-PDU-04-30-40</t>
  </si>
  <si>
    <t>7-DaHall 1-A-3-50-46</t>
  </si>
  <si>
    <t>7-DaHall 1-B-3-50-46</t>
  </si>
  <si>
    <t>5-DaHall 1-PDU-13-20-23</t>
  </si>
  <si>
    <t>5-DaHall 1-PDU-14-20-21</t>
  </si>
  <si>
    <t>6-DaHall 1-PDU-03-30-42</t>
  </si>
  <si>
    <t>6-DaHall 1-PDU-04-30-42</t>
  </si>
  <si>
    <t>7-DaHall 1-A-3-50-44</t>
  </si>
  <si>
    <t>7-DaHall 1-B-3-50-44</t>
  </si>
  <si>
    <t>5-DaHall 1-PDU-11-20-30</t>
  </si>
  <si>
    <t>6-DaHall 1-PDU-03-30-44</t>
  </si>
  <si>
    <t>6-DaHall 1-PDU-04-30-44</t>
  </si>
  <si>
    <t>7-DaHall 1-PDU-01-30-48</t>
  </si>
  <si>
    <t>7-DaHall 1-PDU-02-30-48</t>
  </si>
  <si>
    <t>4-DaHall 1-PDU-08-100-10</t>
  </si>
  <si>
    <t>4-DaHall 1-PDU-07-100-10</t>
  </si>
  <si>
    <t>5-DaHall 1-PDU-13-20-25</t>
  </si>
  <si>
    <t>5-DaHall 1-PDU-14-20-23</t>
  </si>
  <si>
    <t>6-DaHall 1-PDU-03-30-46</t>
  </si>
  <si>
    <t>6-DaHall 1-PDU-04-30-46</t>
  </si>
  <si>
    <t>7-DaHall 1-A-3-50-41</t>
  </si>
  <si>
    <t>7-DaHall 1-B-3-50-41</t>
  </si>
  <si>
    <t>5-DaHall 1-PDU-13-20-31</t>
  </si>
  <si>
    <t>5-DaHall 1-PDU-14-20-29</t>
  </si>
  <si>
    <t>6-DaHall 1-PDU-03-30-48</t>
  </si>
  <si>
    <t>6-DaHall 1-PDU-04-30-48</t>
  </si>
  <si>
    <t>7-DaHall 1-A-3-50-10</t>
  </si>
  <si>
    <t>7-DaHall 1-B-3-50-10</t>
  </si>
  <si>
    <t>5-DaHall 1-PDU-13-30-4</t>
  </si>
  <si>
    <t>5-DaHall 1-PDU-14-20-31</t>
  </si>
  <si>
    <t>6-DaHall 1-PDU-07-30-45</t>
  </si>
  <si>
    <t>6-DaHall 1-PDU-08-30-47</t>
  </si>
  <si>
    <t>7-DaHall 1-A-3-50-7</t>
  </si>
  <si>
    <t>7-DaHall 1-B-3-50-7</t>
  </si>
  <si>
    <t>4-DaHall 1-PDU-08-100-9</t>
  </si>
  <si>
    <t>4-DaHall 1-PDU-07-100-9</t>
  </si>
  <si>
    <t>5-DaHall 1-PDU-13-30-6</t>
  </si>
  <si>
    <t>5-DaHall 1-PDU-14-30-4</t>
  </si>
  <si>
    <t>6-DaHall 1-PDU-05-30-1</t>
  </si>
  <si>
    <t>6-DaHall 1-PDU-06-30-1</t>
  </si>
  <si>
    <t>7-DaHall 1-A-3-50-6</t>
  </si>
  <si>
    <t>7-DaHall 1-B-3-50-6</t>
  </si>
  <si>
    <t>5-DaHall 1-PDU-13-30-8</t>
  </si>
  <si>
    <t>5-DaHall 1-PDU-14-30-6</t>
  </si>
  <si>
    <t>6-DaHall 1-PDU-07-30-43</t>
  </si>
  <si>
    <t>6-DaHall 1-PDU-08-30-45</t>
  </si>
  <si>
    <t>7-DaHall 1-A-3-50-5</t>
  </si>
  <si>
    <t>7-DaHall 1-B-3-50-5</t>
  </si>
  <si>
    <t>5-DaHall 1-PDU-13-30-10</t>
  </si>
  <si>
    <t>5-DaHall 1-PDU-14-30-8</t>
  </si>
  <si>
    <t>6-DaHall 1-PDU-05-30-3</t>
  </si>
  <si>
    <t>6-DaHall 1-PDU-06-30-3</t>
  </si>
  <si>
    <t>7-DaHall 1-A-2-50-48</t>
  </si>
  <si>
    <t>7-DaHall 1-B-2-50-48</t>
  </si>
  <si>
    <t>5-DaHall 1-PDU-13-20-12</t>
  </si>
  <si>
    <t>5-DaHall 1-PDU-14-30-10</t>
  </si>
  <si>
    <t>6-DaHall 1-PDU-07-30-41</t>
  </si>
  <si>
    <t>6-DaHall 1-PDU-08-30-43</t>
  </si>
  <si>
    <t>7-DaHall 1-A-2-35-47</t>
  </si>
  <si>
    <t>7-DaHall 1-B-2-35-47</t>
  </si>
  <si>
    <t>5-DaHall 1-PDU-13-20-14</t>
  </si>
  <si>
    <t>5-DaHall 1-PDU-14-20-12</t>
  </si>
  <si>
    <t>5-DaHall 1-PDU-13-20-16</t>
  </si>
  <si>
    <t>5-DaHall 1-PDU-14-20-14</t>
  </si>
  <si>
    <t>7-DaHall 1-A-2-35-53</t>
  </si>
  <si>
    <t>7-DaHall 1-B-2-35-53</t>
  </si>
  <si>
    <t>5-DaHall 1-PDU-11-20-24</t>
  </si>
  <si>
    <t>5-DaHall 1-PDU-12-20-24</t>
  </si>
  <si>
    <t>6-DaHall 1-PDU-05-30-7</t>
  </si>
  <si>
    <t>6-DaHall 1-PDU-06-30-7</t>
  </si>
  <si>
    <t>7-DaHall 1-A-2-16-44</t>
  </si>
  <si>
    <t>7-DaHall 1-B-2-16-46</t>
  </si>
  <si>
    <t>5-DaHall 1-PDU-13-20-22</t>
  </si>
  <si>
    <t>5-DaHall 1-PDU-14-20-20</t>
  </si>
  <si>
    <t>6-DaHall 1-PDU-05-30-9</t>
  </si>
  <si>
    <t>6-DaHall 1-PDU-06-30-9</t>
  </si>
  <si>
    <t>4-DaHall 1-PDU-06-100-10</t>
  </si>
  <si>
    <t>4-DaHall 1-PDU-05-100-10</t>
  </si>
  <si>
    <t>5-DaHall 1-PDU-13-20-24</t>
  </si>
  <si>
    <t>5-DaHall 1-PDU-14-20-22</t>
  </si>
  <si>
    <t>6-DaHall 1-PDU-05-30-11</t>
  </si>
  <si>
    <t>6-DaHall 1-PDU-06-30-11</t>
  </si>
  <si>
    <t>7-DaHall 1-A-2-35-58</t>
  </si>
  <si>
    <t>7-DaHall 1-B-2-35-58</t>
  </si>
  <si>
    <t>5-DaHall 1-PDU-13-20-26</t>
  </si>
  <si>
    <t>5-DaHall 1-PDU-14-20-24</t>
  </si>
  <si>
    <t>6-DaHall 1-PDU-05-30-13</t>
  </si>
  <si>
    <t>6-DaHall 1-PDU-06-30-13</t>
  </si>
  <si>
    <t>7-DaHall 1-RPP-01-20-7</t>
  </si>
  <si>
    <t>5-DaHall 1-PDU-15-30-10</t>
  </si>
  <si>
    <t>5-DaHall 1-PDU-16-30-10</t>
  </si>
  <si>
    <t>6-DaHall 1-PDU-05-30-15</t>
  </si>
  <si>
    <t>6-DaHall 1-PDU-06-30-15</t>
  </si>
  <si>
    <t>7-DaHall 1-A-2-50-23</t>
  </si>
  <si>
    <t>7-DaHall 1-B-2-50-23</t>
  </si>
  <si>
    <t>5-DaHall 1-PDU-13-20-28</t>
  </si>
  <si>
    <t>5-DaHall 1-PDU-14-20-26</t>
  </si>
  <si>
    <t>6-DaHall 1-PDU-05-30-17</t>
  </si>
  <si>
    <t>6-DaHall 1-PDU-06-30-17</t>
  </si>
  <si>
    <t>7-DaHall 1-A-2-50-7</t>
  </si>
  <si>
    <t>7-DaHall 1-B-2-50-7</t>
  </si>
  <si>
    <t>5-DaHall 1-PDU-15-30-8</t>
  </si>
  <si>
    <t>5-DaHall 1-PDU-16-30-8</t>
  </si>
  <si>
    <t>6-DaHall 1-PDU-05-30-19</t>
  </si>
  <si>
    <t>6-DaHall 1-PDU-06-30-19</t>
  </si>
  <si>
    <t>5-DaHall 1-PDU-13-20-30</t>
  </si>
  <si>
    <t>5-DaHall 1-PDU-14-20-28</t>
  </si>
  <si>
    <t>7-DaHall 1-A-2-35-62</t>
  </si>
  <si>
    <t>7-DaHall 1-B-2-35-62</t>
  </si>
  <si>
    <t>[branch#062] [A] W</t>
  </si>
  <si>
    <t>5-DaHall 1-PDU-13-20-32</t>
  </si>
  <si>
    <t>5-DaHall 1-PDU-14-20-30</t>
  </si>
  <si>
    <t>7-DaHall 1-A-2-35-63</t>
  </si>
  <si>
    <t>7-DaHall 1-B-2-35-63</t>
  </si>
  <si>
    <t>[branch#063] [A] W</t>
  </si>
  <si>
    <t>5-DaHall 1-PDU-03-30-32</t>
  </si>
  <si>
    <t>5-DaHall 1-PDU-04-30-32</t>
  </si>
  <si>
    <t>7-DaHall 1-A-3-50-57</t>
  </si>
  <si>
    <t>7-DaHall 1-B-3-50-57</t>
  </si>
  <si>
    <t>5-DaHall 1-PDU-03-30-34</t>
  </si>
  <si>
    <t>5-DaHall 1-PDU-04-30-34</t>
  </si>
  <si>
    <t>6-DaHall 1-PDU-05-30-25</t>
  </si>
  <si>
    <t>6-DaHall 1-PDU-06-30-25</t>
  </si>
  <si>
    <t>7-DaHall 1-A-3-50-58</t>
  </si>
  <si>
    <t>7-DaHall 1-B-3-50-58</t>
  </si>
  <si>
    <t>5-DaHall 1-PDU-03-30-36</t>
  </si>
  <si>
    <t>5-DaHall 1-PDU-04-30-36</t>
  </si>
  <si>
    <t>6-DaHall 1-PDU-05-30-27</t>
  </si>
  <si>
    <t>6-DaHall 1-PDU-06-30-27</t>
  </si>
  <si>
    <t>7-DaHall 1-A-3-100-1</t>
  </si>
  <si>
    <t>7-DaHall 1-B-3-100-1</t>
  </si>
  <si>
    <t>4-DaHall 1-PDU-06-100-9</t>
  </si>
  <si>
    <t>4-DaHall 1-PDU-05-100-9</t>
  </si>
  <si>
    <t>5-DaHall 1-PDU-03-30-38</t>
  </si>
  <si>
    <t>5-DaHall 1-PDU-04-30-38</t>
  </si>
  <si>
    <t>6-DaHall 1-PDU-05-30-29</t>
  </si>
  <si>
    <t>6-DaHall 1-PDU-06-30-29</t>
  </si>
  <si>
    <t>7-DaHall 1-A-3-100-2</t>
  </si>
  <si>
    <t>7-DaHall 1-B-3-100-2</t>
  </si>
  <si>
    <t>5-DaHall 1-PDU-03-30-40</t>
  </si>
  <si>
    <t>5-DaHall 1-PDU-04-30-40</t>
  </si>
  <si>
    <t>6-DaHall 1-PDU-05-30-23</t>
  </si>
  <si>
    <t>6-DaHall 1-PDU-06-30-23</t>
  </si>
  <si>
    <t>7-DaHall 1-A-3-50-3</t>
  </si>
  <si>
    <t>7-DaHall 1-B-3-50-3</t>
  </si>
  <si>
    <t>5-DaHall 1-PDU-03-30-42</t>
  </si>
  <si>
    <t>5-DaHall 1-PDU-04-30-42</t>
  </si>
  <si>
    <t>6-DaHall 1-PDU-05-30-31</t>
  </si>
  <si>
    <t>6-DaHall 1-PDU-06-30-31</t>
  </si>
  <si>
    <t>7-DaHall 1-A-3-50-42</t>
  </si>
  <si>
    <t>7-DaHall 1-B-3-50-42</t>
  </si>
  <si>
    <t>5-DaHall 1-PDU-03-30-44</t>
  </si>
  <si>
    <t>5-DaHall 1-PDU-04-30-44</t>
  </si>
  <si>
    <t>6-DaHall 1-PDU-05-30-33</t>
  </si>
  <si>
    <t>6-DaHall 1-PDU-06-30-33</t>
  </si>
  <si>
    <t>7-DaHall 1-A-3-50-43</t>
  </si>
  <si>
    <t>7-DaHall 1-B-3-50-43</t>
  </si>
  <si>
    <t>5-DaHall 1-PDU-03-30-46</t>
  </si>
  <si>
    <t>5-DaHall 1-PDU-04-30-46</t>
  </si>
  <si>
    <t>6-DaHall 1-PDU-05-30-35</t>
  </si>
  <si>
    <t>6-DaHall 1-PDU-06-30-35</t>
  </si>
  <si>
    <t>7-DaHall 1-A-3-50-27</t>
  </si>
  <si>
    <t>7-DaHall 1-B-3-50-27</t>
  </si>
  <si>
    <t>5-DaHall 1-PDU-03-30-48</t>
  </si>
  <si>
    <t>5-DaHall 1-PDU-04-30-48</t>
  </si>
  <si>
    <t>7-DaHall 1-A-3-50-26</t>
  </si>
  <si>
    <t>7-DaHall 1-B-3-50-26</t>
  </si>
  <si>
    <t>5-DaHall 1-PDU-03-30-50</t>
  </si>
  <si>
    <t>5-DaHall 1-PDU-04-30-50</t>
  </si>
  <si>
    <t>6-DaHall 1-PDU-11-30-23</t>
  </si>
  <si>
    <t>6-DaHall 1-PDU-12-30-23</t>
  </si>
  <si>
    <t>7-DaHall 1-A-3-35-53</t>
  </si>
  <si>
    <t>7-DaHall 1-B-3-35-52</t>
  </si>
  <si>
    <t>5-DaHall 1-PDU-03-30-47</t>
  </si>
  <si>
    <t>5-DaHall 1-PDU-04-30-47</t>
  </si>
  <si>
    <t>6-DaHall 1-PDU-11-30-25</t>
  </si>
  <si>
    <t>6-DaHall 1-PDU-12-30-25</t>
  </si>
  <si>
    <t>7-DaHall 1-A-2-35-52</t>
  </si>
  <si>
    <t>7-DaHall 1-B-2-35-52</t>
  </si>
  <si>
    <t>5-DaHall 1-PDU-03-30-49</t>
  </si>
  <si>
    <t>5-DaHall 1-PDU-04-30-49</t>
  </si>
  <si>
    <t>6-DaHall 1-PDU-11-30-27</t>
  </si>
  <si>
    <t>6-DaHall 1-PDU-12-30-27</t>
  </si>
  <si>
    <t>5-DaHall 1-PDU-03-30-2</t>
  </si>
  <si>
    <t>5-DaHall 1-PDU-04-30-2</t>
  </si>
  <si>
    <t>6-DaHall 1-PDU-11-30-49</t>
  </si>
  <si>
    <t>6-DaHall 1-PDU-12-30-49</t>
  </si>
  <si>
    <t>7-DaHall 1-A-2-35-49</t>
  </si>
  <si>
    <t>7-DaHall 1-B-2-35-49</t>
  </si>
  <si>
    <t>4-DaHall 1-PDU-06-100-8</t>
  </si>
  <si>
    <t>4-DaHall 1-PDU-05-100-8</t>
  </si>
  <si>
    <t>5-DaHall 1-PDU-03-30-4</t>
  </si>
  <si>
    <t>5-DaHall 1-PDU-04-30-4</t>
  </si>
  <si>
    <t>6-DaHall 1-PDU-11-30-29</t>
  </si>
  <si>
    <t>6-DaHall 1-PDU-12-30-29</t>
  </si>
  <si>
    <t>5-DaHall 1-PDU-03-30-41</t>
  </si>
  <si>
    <t>5-DaHall 1-PDU-04-30-41</t>
  </si>
  <si>
    <t>6-DaHall 1-PDU-11-30-31</t>
  </si>
  <si>
    <t>6-DaHall 1-PDU-12-30-31</t>
  </si>
  <si>
    <t>5-DaHall 1-PDU-03-30-6</t>
  </si>
  <si>
    <t>5-DaHall 1-PDU-04-30-6</t>
  </si>
  <si>
    <t>6-DaHall 1-PDU-11-30-47</t>
  </si>
  <si>
    <t>6-DaHall 1-PDU-12-30-47</t>
  </si>
  <si>
    <t>7-DaHall 1-A-2-35-10</t>
  </si>
  <si>
    <t>7-DaHall 1-B-2-35-10</t>
  </si>
  <si>
    <t>5-DaHall 1-PDU-03-30-8</t>
  </si>
  <si>
    <t>5-DaHall 1-PDU-04-30-8</t>
  </si>
  <si>
    <t>6-DaHall 1-PDU-11-30-33</t>
  </si>
  <si>
    <t>6-DaHall 1-PDU-12-30-33</t>
  </si>
  <si>
    <t>5-DaHall 1-PDU-03-30-43</t>
  </si>
  <si>
    <t>5-DaHall 1-PDU-04-30-43</t>
  </si>
  <si>
    <t>7-DaHall 1-A-3-100-60</t>
  </si>
  <si>
    <t>7-DaHall 1-B-3-100-60</t>
  </si>
  <si>
    <t>[branch#060] [A] W</t>
  </si>
  <si>
    <t>5-DaHall 1-PDU-03-30-10</t>
  </si>
  <si>
    <t>5-DaHall 1-PDU-04-30-10</t>
  </si>
  <si>
    <t>7-DaHall 1-A-3-100-28</t>
  </si>
  <si>
    <t>7-DaHall 1-B-3-100-28</t>
  </si>
  <si>
    <t>5-DaHall 1-PDU-03-30-12</t>
  </si>
  <si>
    <t>5-DaHall 1-PDU-04-30-12</t>
  </si>
  <si>
    <t>7-DaHall 1-A-3-50-15</t>
  </si>
  <si>
    <t>7-DaHall 1-B-3-50-15</t>
  </si>
  <si>
    <t>5-DaHall 1-PDU-03-30-45</t>
  </si>
  <si>
    <t>5-DaHall 1-PDU-04-30-45</t>
  </si>
  <si>
    <t>7-DaHall 1-A-3-50-16</t>
  </si>
  <si>
    <t>7-DaHall 1-B-3-50-16</t>
  </si>
  <si>
    <t>5-DaHall 1-PDU-03-30-14</t>
  </si>
  <si>
    <t>5-DaHall 1-PDU-04-30-14</t>
  </si>
  <si>
    <t>6-DaHall 1-PDU-01-30-25</t>
  </si>
  <si>
    <t>6-DaHall 1-PDU-02-30-25</t>
  </si>
  <si>
    <t>7-DaHall 1-A-3-50-17</t>
  </si>
  <si>
    <t>7-DaHall 1-B-3-50-17</t>
  </si>
  <si>
    <t>5-DaHall 1-PDU-03-30-37</t>
  </si>
  <si>
    <t>5-DaHall 1-PDU-04-30-37</t>
  </si>
  <si>
    <t>6-DaHall 1-PDU-01-30-27</t>
  </si>
  <si>
    <t>6-DaHall 1-PDU-02-30-27</t>
  </si>
  <si>
    <t>7-DaHall 1-A-3-35-23</t>
  </si>
  <si>
    <t>7-DaHall 1-B-3-35-24</t>
  </si>
  <si>
    <t>4-DaHall 1-PDU-06-100-7</t>
  </si>
  <si>
    <t>4-DaHall 1-PDU-05-100-7</t>
  </si>
  <si>
    <t>5-DaHall 1-PDU-03-30-16</t>
  </si>
  <si>
    <t>5-DaHall 1-PDU-04-30-16</t>
  </si>
  <si>
    <t>6-DaHall 1-PDU-01-30-29</t>
  </si>
  <si>
    <t>6-DaHall 1-PDU-02-30-29</t>
  </si>
  <si>
    <t>7-DaHall 1-A-3-100-59</t>
  </si>
  <si>
    <t>7-DaHall 1-B-3-100-59</t>
  </si>
  <si>
    <t>5-DaHall 1-PDU-03-30-39</t>
  </si>
  <si>
    <t>5-DaHall 1-PDU-04-30-39</t>
  </si>
  <si>
    <t>6-DaHall 1-PDU-01-30-31</t>
  </si>
  <si>
    <t>6-DaHall 1-PDU-02-30-31</t>
  </si>
  <si>
    <t>5-DaHall 1-PDU-03-30-18</t>
  </si>
  <si>
    <t>5-DaHall 1-PDU-04-30-18</t>
  </si>
  <si>
    <t>6-DaHall 1-PDU-01-30-33</t>
  </si>
  <si>
    <t>6-DaHall 1-PDU-02-30-33</t>
  </si>
  <si>
    <t>5-DaHall 1-PDU-03-30-20</t>
  </si>
  <si>
    <t>5-DaHall 1-PDU-04-30-20</t>
  </si>
  <si>
    <t>6-DaHall 1-PDU-01-30-35</t>
  </si>
  <si>
    <t>6-DaHall 1-PDU-02-30-35</t>
  </si>
  <si>
    <t>7-DaHall 1-PDU-01-30-29</t>
  </si>
  <si>
    <t>5-DaHall 1-PDU-03-30-22</t>
  </si>
  <si>
    <t>5-DaHall 1-PDU-04-30-22</t>
  </si>
  <si>
    <t>6-DaHall 1-PDU-01-30-37</t>
  </si>
  <si>
    <t>6-DaHall 1-PDU-02-30-37</t>
  </si>
  <si>
    <t>5-DaHall 1-PDU-03-30-24</t>
  </si>
  <si>
    <t>5-DaHall 1-PDU-04-30-24</t>
  </si>
  <si>
    <t>6-DaHall 1-PDU-01-30-39</t>
  </si>
  <si>
    <t>6-DaHall 1-PDU-02-30-39</t>
  </si>
  <si>
    <t>[branch#039] [A] W</t>
  </si>
  <si>
    <t>7-DaHall 1-PDU-01-30-18</t>
  </si>
  <si>
    <t>7-DaHall 1-PDU-02-30-18</t>
  </si>
  <si>
    <t>5-DaHall 1-PDU-03-30-26</t>
  </si>
  <si>
    <t>5-DaHall 1-PDU-04-30-26</t>
  </si>
  <si>
    <t>6-DaHall 1-PDU-01-30-41</t>
  </si>
  <si>
    <t>6-DaHall 1-PDU-02-30-41</t>
  </si>
  <si>
    <t>7-DaHall 1-PDU-01-30-20</t>
  </si>
  <si>
    <t>7-DaHall 1-PDU-02-30-20</t>
  </si>
  <si>
    <t>5-DaHall 1-PDU-03-30-28</t>
  </si>
  <si>
    <t>5-DaHall 1-PDU-04-30-28</t>
  </si>
  <si>
    <t>6-DaHall 1-PDU-01-30-49</t>
  </si>
  <si>
    <t>6-DaHall 1-PDU-02-30-30</t>
  </si>
  <si>
    <t>7-DaHall 1-PDU-01-30-22</t>
  </si>
  <si>
    <t>7-DaHall 1-PDU-02-30-22</t>
  </si>
  <si>
    <t>5-DaHall 1-PDU-03-30-30</t>
  </si>
  <si>
    <t>5-DaHall 1-PDU-04-30-30</t>
  </si>
  <si>
    <t>7-DaHall 1-PDU-01-30-24</t>
  </si>
  <si>
    <t>7-DaHall 1-PDU-02-30-24</t>
  </si>
  <si>
    <t>5-DaHall 1-PDU-01-30-46</t>
  </si>
  <si>
    <t>5-DaHall 1-PDU-02-30-46</t>
  </si>
  <si>
    <t>7-DaHall 1-PDU-01-30-26</t>
  </si>
  <si>
    <t>7-DaHall 1-PDU-02-30-26</t>
  </si>
  <si>
    <t>4-DaHall 1-PDU-06-100-6</t>
  </si>
  <si>
    <t>4-DaHall 1-PDU-05-100-6</t>
  </si>
  <si>
    <t>6-DaHall 1-PDU-01-30-45</t>
  </si>
  <si>
    <t>6-DaHall 1-PDU-02-30-45</t>
  </si>
  <si>
    <t>7-DaHall 1-PDU-01-30-28</t>
  </si>
  <si>
    <t>7-DaHall 1-PDU-02-30-28</t>
  </si>
  <si>
    <t>5-DaHall 1-PDU-03-30-5</t>
  </si>
  <si>
    <t>5-DaHall 1-PDU-04-30-5</t>
  </si>
  <si>
    <t>6-DaHall 1-PDU-01-30-47</t>
  </si>
  <si>
    <t>6-DaHall 1-PDU-02-30-47</t>
  </si>
  <si>
    <t>7-DaHall 1-PDU-01-    30AT-40</t>
  </si>
  <si>
    <t>7-DaHall 1-PDU-02-    30AT-40</t>
  </si>
  <si>
    <t>5-DaHall 1-PDU-03-30-7</t>
  </si>
  <si>
    <t>5-DaHall 1-PDU-04-30-7</t>
  </si>
  <si>
    <t>6-DaHall 1-PDU-05-30-48</t>
  </si>
  <si>
    <t>6-DaHall 1-PDU-06-30-48</t>
  </si>
  <si>
    <t>7-DaHall 1-PDU-01-    30AT-38</t>
  </si>
  <si>
    <t>7-DaHall 1-PDU-02-    30AT-38</t>
  </si>
  <si>
    <t>5-DaHall 1-PDU-03-30-9</t>
  </si>
  <si>
    <t>5-DaHall 1-PDU-04-30-9</t>
  </si>
  <si>
    <t>6-DaHall 1-PDU-01-30-18</t>
  </si>
  <si>
    <t>6-DaHall 1-PDU-02-30-34</t>
  </si>
  <si>
    <t>7-DaHall 1-PDU-01-    30AT-36</t>
  </si>
  <si>
    <t>7-DaHall 1-PDU-02-    30AT-36</t>
  </si>
  <si>
    <t>5-DaHall 1-PDU-03-30-11</t>
  </si>
  <si>
    <t>5-DaHall 1-PDU-04-30-11</t>
  </si>
  <si>
    <t>6-DaHall 1-PDU-01-30-20</t>
  </si>
  <si>
    <t>6-DaHall 1-PDU-02-30-20</t>
  </si>
  <si>
    <t>7-DaHall 1-A-3-35-22</t>
  </si>
  <si>
    <t>7-DaHall 1-B-3-35-22</t>
  </si>
  <si>
    <t>5-DaHall 1-PDU-03-30-13</t>
  </si>
  <si>
    <t>5-DaHall 1-PDU-04-30-13</t>
  </si>
  <si>
    <t>6-DaHall 1-PDU-01-30-22</t>
  </si>
  <si>
    <t>6-DaHall 1-PDU-02-30-22</t>
  </si>
  <si>
    <t>7-DaHall 1-A-3-35-51</t>
  </si>
  <si>
    <t>7-DaHall 1-B-3-35-51</t>
  </si>
  <si>
    <t>5-DaHall 1-PDU-03-30-15</t>
  </si>
  <si>
    <t>5-DaHall 1-PDU-04-30-15</t>
  </si>
  <si>
    <t>6-DaHall 1-PDU-01-30-24</t>
  </si>
  <si>
    <t>6-DaHall 1-PDU-02-30-24</t>
  </si>
  <si>
    <t>7-DaHall 1-A-3-35-50</t>
  </si>
  <si>
    <t>7-DaHall 1-B-3-35-50</t>
  </si>
  <si>
    <t>5-DaHall 1-PDU-03-30-17</t>
  </si>
  <si>
    <t>5-DaHall 1-PDU-04-30-17</t>
  </si>
  <si>
    <t>6-DaHall 1-PDU-01-30-26</t>
  </si>
  <si>
    <t>6-DaHall 1-PDU-02-30-26</t>
  </si>
  <si>
    <t>7-DaHall 1-A-3-50-49</t>
  </si>
  <si>
    <t>7-DaHall 1-B-3-35-49</t>
  </si>
  <si>
    <t>6-DaHall 1-PDU-01-30-28</t>
  </si>
  <si>
    <t>6-DaHall 1-PDU-02-30-28</t>
  </si>
  <si>
    <t>7-DaHall 1-A-3-50-21</t>
  </si>
  <si>
    <t>7-DaHall 1-B-3-50-21</t>
  </si>
  <si>
    <t>7-DaHall 1-A-3-35-20</t>
  </si>
  <si>
    <t>7-DaHall 1-B-3-50-20</t>
  </si>
  <si>
    <t>6-DaHall 1-PDU-05-30-37</t>
  </si>
  <si>
    <t>6-DaHall 1-PDU-06-30-37</t>
  </si>
  <si>
    <t>7-DaHall 1-A-3-35-52</t>
  </si>
  <si>
    <t>7-DaHall 1-B-3-35-23</t>
  </si>
  <si>
    <t>5-DaHall 1-PDU-03-30-35</t>
  </si>
  <si>
    <t>5-DaHall 1-PDU-04-30-35</t>
  </si>
  <si>
    <t>6-DaHall 1-PDU-05-30-39</t>
  </si>
  <si>
    <t>6-DaHall 1-PDU-06-30-39</t>
  </si>
  <si>
    <t>7-DaHall 1-A-3-35-55</t>
  </si>
  <si>
    <t>7-DaHall 1-B-3-35-54</t>
  </si>
  <si>
    <t>[branch#055] [A] W</t>
  </si>
  <si>
    <t>4-DaHall 1-PDU-06-100-5</t>
  </si>
  <si>
    <t>4-DaHall 1-PDU-05-100-5</t>
  </si>
  <si>
    <t>6-DaHall 1-PDU-05-30-41</t>
  </si>
  <si>
    <t>6-DaHall 1-PDU-06-30-41</t>
  </si>
  <si>
    <t>7-DaHall 1-A-3-35-19</t>
  </si>
  <si>
    <t>7-DaHall 1-B-3-50-19</t>
  </si>
  <si>
    <t>6-DaHall 1-PDU-05-30-43</t>
  </si>
  <si>
    <t>6-DaHall 1-PDU-06-30-43</t>
  </si>
  <si>
    <t>7-DaHall 1-A-3-35-18</t>
  </si>
  <si>
    <t>7-DaHall 1-B-3-35-18</t>
  </si>
  <si>
    <t>6-DaHall 1-PDU-05-30-45</t>
  </si>
  <si>
    <t>6-DaHall 1-PDU-06-30-45</t>
  </si>
  <si>
    <t>7-DaHall 1-A-2-50-22</t>
  </si>
  <si>
    <t>7-DaHall 1-B-2-50-22</t>
  </si>
  <si>
    <t>6-DaHall 1-PDU-05-30-47</t>
  </si>
  <si>
    <t>6-DaHall 1-PDU-06-30-47</t>
  </si>
  <si>
    <t>7-DaHall 1-PDU-01-30-14</t>
  </si>
  <si>
    <t>7-DaHall 1-PDU-02-30-14</t>
  </si>
  <si>
    <t>6-DaHall 1-PDU-05-30-51</t>
  </si>
  <si>
    <t>6-DaHall 1-PDU-06-30-51</t>
  </si>
  <si>
    <t>7-DaHall 1-PDU-01-30-16</t>
  </si>
  <si>
    <t>7-DaHall 1-PDU-02-30-16</t>
  </si>
  <si>
    <t>6-DaHall 1-PDU-05-30-53</t>
  </si>
  <si>
    <t>6-DaHall 1-PDU-06-30-53</t>
  </si>
  <si>
    <t>6-DaHall 1-PDU-05-30-49</t>
  </si>
  <si>
    <t>6-DaHall 1-PDU-06-30-49</t>
  </si>
  <si>
    <t>6-DaHall 1-PDU-03-30-1</t>
  </si>
  <si>
    <t>6-DaHall 1-PDU-04-30-1</t>
  </si>
  <si>
    <t>4-DaHall 1-PDU-06-100-4</t>
  </si>
  <si>
    <t>4-DaHall 1-PDU-05-100-4</t>
  </si>
  <si>
    <t>6-DaHall 1-PDU-03-30-3</t>
  </si>
  <si>
    <t>6-DaHall 1-PDU-04-30-3</t>
  </si>
  <si>
    <t>6-DaHall 1-PDU-03-30-5</t>
  </si>
  <si>
    <t>6-DaHall 1-PDU-04-30-5</t>
  </si>
  <si>
    <t>7-DaHall 1-A-2-50-12</t>
  </si>
  <si>
    <t>7-DaHall 1-B-2-50-12</t>
  </si>
  <si>
    <t>6-DaHall 1-PDU-03-30-7</t>
  </si>
  <si>
    <t>6-DaHall 1-PDU-04-30-7</t>
  </si>
  <si>
    <t>7-DaHall 1-A-2-50-66</t>
  </si>
  <si>
    <t>7-DaHall 1-B-2-50-66</t>
  </si>
  <si>
    <t>[branch#066] [A] W</t>
  </si>
  <si>
    <t>6-DaHall 1-PDU-03-30-9</t>
  </si>
  <si>
    <t>6-DaHall 1-PDU-04-30-9</t>
  </si>
  <si>
    <t>7-DaHall 1-A-2-50-67</t>
  </si>
  <si>
    <t>7-DaHall 1-B-2-50-67</t>
  </si>
  <si>
    <t>[branch#067] [A] W</t>
  </si>
  <si>
    <t>6-DaHall 1-PDU-03-30-11</t>
  </si>
  <si>
    <t>6-DaHall 1-PDU-04-30-11</t>
  </si>
  <si>
    <t>7-DaHall 1-A-2-35-65</t>
  </si>
  <si>
    <t>7-DaHall 1-B-2-35-65</t>
  </si>
  <si>
    <t>[branch#065] [A] W</t>
  </si>
  <si>
    <t>6-DaHall 1-PDU-03-30-13</t>
  </si>
  <si>
    <t>6-DaHall 1-PDU-04-30-13</t>
  </si>
  <si>
    <t>7-DaHall 1-A-2-50-64</t>
  </si>
  <si>
    <t>7-DaHall 1-B-2-50-64</t>
  </si>
  <si>
    <t>[branch#064] [A] W</t>
  </si>
  <si>
    <t>6-DaHall 1-PDU-03-30-15</t>
  </si>
  <si>
    <t>6-DaHall 1-PDU-04-30-15</t>
  </si>
  <si>
    <t>7-DaHall 1-A-2-35-60</t>
  </si>
  <si>
    <t>7-DaHall 1-B-2-35-60</t>
  </si>
  <si>
    <t>6-DaHall 1-PDU-03-30-17</t>
  </si>
  <si>
    <t>6-DaHall 1-PDU-04-30-17</t>
  </si>
  <si>
    <t>7-DaHall 1-A-2-35-61</t>
  </si>
  <si>
    <t>7-DaHall 1-B-2-35-61</t>
  </si>
  <si>
    <t>[branch#061] [A] W</t>
  </si>
  <si>
    <t>7-DaHall 1-A-2-35-59</t>
  </si>
  <si>
    <t>7-DaHall 1-B-2-35-59</t>
  </si>
  <si>
    <t>6-DaHall 1-PDU-05-30-20</t>
  </si>
  <si>
    <t>6-DaHall 1-PDU-06-30-20</t>
  </si>
  <si>
    <t>7-DaHall 1-A-2-35-56</t>
  </si>
  <si>
    <t>7-DaHall 1-B-2-35-56</t>
  </si>
  <si>
    <t>6-DaHall 1-PDU-05-30-22</t>
  </si>
  <si>
    <t>6-DaHall 1-PDU-06-30-22</t>
  </si>
  <si>
    <t>7-DaHall 1-A-2-35-55</t>
  </si>
  <si>
    <t>7-DaHall 1-B-2-35-55</t>
  </si>
  <si>
    <t>4-DaHall 1-PDU-06-100-3</t>
  </si>
  <si>
    <t>4-DaHall 1-PDU-05-100-3</t>
  </si>
  <si>
    <t>5-DaHall 1-PDU-05-30-1</t>
  </si>
  <si>
    <t>5-DaHall 1-PDU-06-30-1</t>
  </si>
  <si>
    <t>6-DaHall 1-PDU-05-30-24</t>
  </si>
  <si>
    <t>6-DaHall 1-PDU-06-30-24</t>
  </si>
  <si>
    <t>7-DaHall 1-A-2-35-54</t>
  </si>
  <si>
    <t>7-DaHall 1-B-2-35-54</t>
  </si>
  <si>
    <t>5-DaHall 1-PDU-05-30-3</t>
  </si>
  <si>
    <t>5-DaHall 1-PDU-06-30-3</t>
  </si>
  <si>
    <t>6-DaHall 1-PDU-05-30-26</t>
  </si>
  <si>
    <t>6-DaHall 1-PDU-06-30-26</t>
  </si>
  <si>
    <t>7-DaHall 1-A-2-35-57</t>
  </si>
  <si>
    <t>7-DaHall 1-B-2-35-57</t>
  </si>
  <si>
    <t>5-DaHall 1-PDU-05-30-5</t>
  </si>
  <si>
    <t>5-DaHall 1-PDU-06-30-5</t>
  </si>
  <si>
    <t>6-DaHall 1-PDU-05-30-28</t>
  </si>
  <si>
    <t>6-DaHall 1-PDU-06-30-28</t>
  </si>
  <si>
    <t>5-DaHall 1-PDU-05-30-9</t>
  </si>
  <si>
    <t>5-DaHall 1-PDU-06-30-7</t>
  </si>
  <si>
    <t>6-DaHall 1-PDU-05-30-30</t>
  </si>
  <si>
    <t>6-DaHall 1-PDU-06-30-30</t>
  </si>
  <si>
    <t>7-DaHall 1-A-1-50-20</t>
  </si>
  <si>
    <t>7-DaHall 1-B-1-50-20</t>
  </si>
  <si>
    <t>5-DaHall 1-PDU-05-30-11</t>
  </si>
  <si>
    <t>5-DaHall 1-PDU-06-30-9</t>
  </si>
  <si>
    <t>6-DaHall 1-PDU-05-30-32</t>
  </si>
  <si>
    <t>6-DaHall 1-PDU-06-30-32</t>
  </si>
  <si>
    <t>5-DaHall 1-PDU-05-30-13</t>
  </si>
  <si>
    <t>5-DaHall 1-PDU-06-30-11</t>
  </si>
  <si>
    <t>6-DaHall 1-PDU-05-30-34</t>
  </si>
  <si>
    <t>6-DaHall 1-PDU-06-30-34</t>
  </si>
  <si>
    <t>7-DaHall 1-A-1-35-11(1)</t>
  </si>
  <si>
    <t>7-DaHall 1-B-1-35-14(1)</t>
  </si>
  <si>
    <t>[branch#011(1)] [A] W</t>
  </si>
  <si>
    <t>[branch#014(1)] [A] W</t>
  </si>
  <si>
    <t>5-DaHall 1-PDU-05-30-15</t>
  </si>
  <si>
    <t>5-DaHall 1-PDU-06-30-15</t>
  </si>
  <si>
    <t>6-DaHall 1-PDU-05-30-36</t>
  </si>
  <si>
    <t>6-DaHall 1-PDU-06-30-36</t>
  </si>
  <si>
    <t>7-DaHall 1-A-1-35-15(2)</t>
  </si>
  <si>
    <t>7-DaHall 1-B-1-35-15(2)</t>
  </si>
  <si>
    <t>[branch#015(2)] [A] W</t>
  </si>
  <si>
    <t>5-DaHall 1-PDU-05-30-17</t>
  </si>
  <si>
    <t>5-DaHall 1-PDU-06-30-17</t>
  </si>
  <si>
    <t>6-DaHall 1-PDU-05-30-54</t>
  </si>
  <si>
    <t>6-DaHall 1-PDU-06-30-54</t>
  </si>
  <si>
    <t>7-DaHall 1-B-1-35-16</t>
  </si>
  <si>
    <t>7-DaHall 1-A-1-35-16</t>
  </si>
  <si>
    <t>6-DaHall 1-PDU-05-30-2</t>
  </si>
  <si>
    <t>6-DaHall 1-PDU-06-30-2</t>
  </si>
  <si>
    <t>7-DaHall 1-A-1-50-17</t>
  </si>
  <si>
    <t>7-DaHall 1-B-1-50-17</t>
  </si>
  <si>
    <t>5-DaHall 1-PDU-05-30-19</t>
  </si>
  <si>
    <t>5-DaHall 1-PDU-06-30-19</t>
  </si>
  <si>
    <t>6-DaHall 1-PDU-05-30-4</t>
  </si>
  <si>
    <t>6-DaHall 1-PDU-06-30-4</t>
  </si>
  <si>
    <t>7-DaHall 1-A-1-50-56</t>
  </si>
  <si>
    <t>7-DaHall 1-B-1-50-56</t>
  </si>
  <si>
    <t>4-DaHall 1-PDU-06-100-2</t>
  </si>
  <si>
    <t>4-DaHall 1-PDU-05-100-2</t>
  </si>
  <si>
    <t>5-DaHall 1-PDU-05-30-21</t>
  </si>
  <si>
    <t>5-DaHall 1-PDU-06-30-21</t>
  </si>
  <si>
    <t>6-DaHall 1-PDU-05-30-6</t>
  </si>
  <si>
    <t>6-DaHall 1-PDU-06-30-6</t>
  </si>
  <si>
    <t>7-DaHall 1-A-1-100-19</t>
  </si>
  <si>
    <t>7-DaHall 1-B-1-100-19</t>
  </si>
  <si>
    <t>5-DaHall 1-PDU-05-30-23</t>
  </si>
  <si>
    <t>5-DaHall 1-PDU-06-30-23</t>
  </si>
  <si>
    <t>6-DaHall 1-PDU-05-30-8</t>
  </si>
  <si>
    <t>6-DaHall 1-PDU-06-30-8</t>
  </si>
  <si>
    <t>7-DaHall 1-RPP-01-30-32</t>
  </si>
  <si>
    <t>7-DaHall 1-RPP-02-30-26</t>
  </si>
  <si>
    <t>5-DaHall 1-PDU-05-30-27</t>
  </si>
  <si>
    <t>5-DaHall 1-PDU-06-30-25</t>
  </si>
  <si>
    <t>6-DaHall 1-PDU-05-30-10</t>
  </si>
  <si>
    <t>6-DaHall 1-PDU-06-30-10</t>
  </si>
  <si>
    <t>5-DaHall 1-PDU-05-30-29</t>
  </si>
  <si>
    <t>5-DaHall 1-PDU-06-30-27</t>
  </si>
  <si>
    <t>6-DaHall 1-PDU-05-30-12</t>
  </si>
  <si>
    <t>6-DaHall 1-PDU-06-30-12</t>
  </si>
  <si>
    <t>7-DaHall 1-RPP-01-30-12</t>
  </si>
  <si>
    <t>7-DaHall 1-RPP-02-20-17</t>
  </si>
  <si>
    <t>5-DaHall 1-PDU-05-30-31</t>
  </si>
  <si>
    <t>5-DaHall 1-PDU-06-30-29</t>
  </si>
  <si>
    <t>6-DaHall 1-PDU-05-30-14</t>
  </si>
  <si>
    <t>6-DaHall 1-PDU-06-30-14</t>
  </si>
  <si>
    <t>7-DaHall 1-A-1-35-44</t>
  </si>
  <si>
    <t>7-DaHall 1-B-1-35-6</t>
  </si>
  <si>
    <t>5-DaHall 1-PDU-05-30-33</t>
  </si>
  <si>
    <t>5-DaHall 1-PDU-06-30-33</t>
  </si>
  <si>
    <t>6-DaHall 1-PDU-05-30-16</t>
  </si>
  <si>
    <t>6-DaHall 1-PDU-06-30-16</t>
  </si>
  <si>
    <t>7-DaHall 1-RPP-01-30-10</t>
  </si>
  <si>
    <t>7-DaHall 1-RPP-02-20-15</t>
  </si>
  <si>
    <t>5-DaHall 1-PDU-05-30-35</t>
  </si>
  <si>
    <t>5-DaHall 1-PDU-06-30-35</t>
  </si>
  <si>
    <t>6-DaHall 1-PDU-01-30-43</t>
  </si>
  <si>
    <t>6-DaHall 1-PDU-02-30-43</t>
  </si>
  <si>
    <t>7-DaHall 1-A-1-35-43</t>
  </si>
  <si>
    <t>7-DaHall 1-B-1-35-5</t>
  </si>
  <si>
    <t>6-DaHall 1-PDU-01-30-42</t>
  </si>
  <si>
    <t>6-DaHall 1-PDU-02-30-42</t>
  </si>
  <si>
    <t>7-DaHall 1-RPP-01-30-8</t>
  </si>
  <si>
    <t>7-DaHall 1-RPP-02-20-13</t>
  </si>
  <si>
    <t>7-DaHall 1-PDU-01-30-8</t>
  </si>
  <si>
    <t>7-DaHall 1-RPP-02-20-9</t>
  </si>
  <si>
    <t>5-DaHall 1-PDU-05-30-37</t>
  </si>
  <si>
    <t>5-DaHall 1-PDU-06-30-37</t>
  </si>
  <si>
    <t>6-DaHall 1-PDU-05-30-38</t>
  </si>
  <si>
    <t>6-DaHall 1-PDU-06-30-38</t>
  </si>
  <si>
    <t>4-DaHall 1-PDU-06-100-1</t>
  </si>
  <si>
    <t>4-DaHall 1-PDU-05-100-1</t>
  </si>
  <si>
    <t>5-DaHall 1-PDU-05-30-39</t>
  </si>
  <si>
    <t>5-DaHall 1-PDU-06-30-39</t>
  </si>
  <si>
    <t>6-DaHall 1-PDU-05-30-40</t>
  </si>
  <si>
    <t>6-DaHall 1-PDU-06-30-40</t>
  </si>
  <si>
    <t>5-DaHall 1-PDU-05-30-41</t>
  </si>
  <si>
    <t>5-DaHall 1-PDU-06-30-41</t>
  </si>
  <si>
    <t>6-DaHall 1-PDU-05-30-42</t>
  </si>
  <si>
    <t>6-DaHall 1-PDU-06-30-42</t>
  </si>
  <si>
    <t>7-DaHall 1-A-1-100-24</t>
  </si>
  <si>
    <t>7-DaHall 1-B-1-100-24</t>
  </si>
  <si>
    <t>5-DaHall 1-PDU-05-30-45</t>
  </si>
  <si>
    <t>5-DaHall 1-PDU-06-30-43</t>
  </si>
  <si>
    <t>6-DaHall 1-PDU-05-30-44</t>
  </si>
  <si>
    <t>6-DaHall 1-PDU-06-30-44</t>
  </si>
  <si>
    <t>7-DaHall 1-A-1-100-7</t>
  </si>
  <si>
    <t>7-DaHall 1-B-1-100-7</t>
  </si>
  <si>
    <t>5-DaHall 1-PDU-05-30-47</t>
  </si>
  <si>
    <t>5-DaHall 1-PDU-06-30-45</t>
  </si>
  <si>
    <t>6-DaHall 1-PDU-05-30-46</t>
  </si>
  <si>
    <t>6-DaHall 1-PDU-06-30-46</t>
  </si>
  <si>
    <t>7-DaHall 1-A-1-50-57</t>
  </si>
  <si>
    <t>7-DaHall 1-B-1-50-57</t>
  </si>
  <si>
    <t>5-DaHall 1-PDU-05-30-49</t>
  </si>
  <si>
    <t>5-DaHall 1-PDU-06-30-47</t>
  </si>
  <si>
    <t>6-DaHall 1-PDU-13-30-1</t>
  </si>
  <si>
    <t>6-DaHall 1-PDU-14-30-1</t>
  </si>
  <si>
    <t>7-DaHall 1-A-1-50-21</t>
  </si>
  <si>
    <t>7-DaHall 1-B-1-50-21</t>
  </si>
  <si>
    <t>5-DaHall 1-PDU-05-30-51</t>
  </si>
  <si>
    <t>5-DaHall 1-PDU-06-30-51</t>
  </si>
  <si>
    <t>6-DaHall 1-PDU-13-30-3</t>
  </si>
  <si>
    <t>6-DaHall 1-PDU-14-30-3</t>
  </si>
  <si>
    <t>7-DaHall 1-A-1-100-18</t>
  </si>
  <si>
    <t>7-DaHall 1-B-1-100-18</t>
  </si>
  <si>
    <t>5-DaHall 1-PDU-05-30-53</t>
  </si>
  <si>
    <t>5-DaHall 1-PDU-06-30-53</t>
  </si>
  <si>
    <t>6-DaHall 1-PDU-13-30-5</t>
  </si>
  <si>
    <t>6-DaHall 1-PDU-14-30-5</t>
  </si>
  <si>
    <t>7-DaHall 1-A-1-100-23</t>
  </si>
  <si>
    <t>7-DaHall 1-B-1-100-23</t>
  </si>
  <si>
    <t>6-DaHall 1-PDU-13-30-7</t>
  </si>
  <si>
    <t>6-DaHall 1-PDU-14-30-7</t>
  </si>
  <si>
    <t>7-DaHall 1-PDU-01-30-30</t>
  </si>
  <si>
    <t>7-DaHall 1-PDU-02-30-30</t>
  </si>
  <si>
    <t>7-DaHall 1-PDU-01-30-13</t>
  </si>
  <si>
    <t>7-DaHall 1-PDU-02-30-13</t>
  </si>
  <si>
    <t>5-DaHall 1-PDU-19-50-22</t>
  </si>
  <si>
    <t>5-DaHall 1-PDU-20-50-22</t>
  </si>
  <si>
    <t>7-DaHall 1-PDU-01-30-11</t>
  </si>
  <si>
    <t>7-DaHall 1-PDU-02-30-11</t>
  </si>
  <si>
    <t>4-DaHall 1-PDU-02-100-6</t>
  </si>
  <si>
    <t>4-DaHall 1-PDU-01-100-6</t>
  </si>
  <si>
    <t>5-DaHall 1-PDU-21-50-22</t>
  </si>
  <si>
    <t>5-DaHall 1-PDU-22-50-22</t>
  </si>
  <si>
    <t>6-DaHall 1-PDU-13-30-52</t>
  </si>
  <si>
    <t>6-DaHall 1-PDU-14-30-52</t>
  </si>
  <si>
    <t>7-DaHall 1-PDU-01-30-17</t>
  </si>
  <si>
    <t>7-DaHall 1-PDU-02-30-17</t>
  </si>
  <si>
    <t>5-DaHall 1-PDU-19-50-20</t>
  </si>
  <si>
    <t>5-DaHall 1-PDU-20-50-20</t>
  </si>
  <si>
    <t>6-DaHall 1-PDU-11-30-3</t>
  </si>
  <si>
    <t>6-DaHall 1-PDU-12-30-3</t>
  </si>
  <si>
    <t>7-DaHall 1-PDU-01-30-27</t>
  </si>
  <si>
    <t>7-DaHall 1-PDU-02-30-27</t>
  </si>
  <si>
    <t>5-DaHall 1-PDU-21-50-20</t>
  </si>
  <si>
    <t>5-DaHall 1-PDU-22-50-20</t>
  </si>
  <si>
    <t>6-DaHall 1-PDU-11-30-5</t>
  </si>
  <si>
    <t>6-DaHall 1-PDU-12-30-5</t>
  </si>
  <si>
    <t>7-DaHall 1-PDU-01-30-19</t>
  </si>
  <si>
    <t>7-DaHall 1-PDU-02-30-19</t>
  </si>
  <si>
    <t>5-DaHall 1-PDU-19-50-18</t>
  </si>
  <si>
    <t>5-DaHall 1-PDU-20-50-18</t>
  </si>
  <si>
    <t>6-DaHall 1-PDU-11-30-7</t>
  </si>
  <si>
    <t>6-DaHall 1-PDU-12-30-7</t>
  </si>
  <si>
    <t>7-DaHall 1-PDU-01-30-21</t>
  </si>
  <si>
    <t>7-DaHall 1-PDU-02-30-21</t>
  </si>
  <si>
    <t>5-DaHall 1-PDU-21-50-18</t>
  </si>
  <si>
    <t>5-DaHall 1-PDU-22-50-18</t>
  </si>
  <si>
    <t>6-DaHall 1-PDU-11-30-9</t>
  </si>
  <si>
    <t>6-DaHall 1-PDU-12-30-9</t>
  </si>
  <si>
    <t>7-DaHall 1-PDU-01-30-23</t>
  </si>
  <si>
    <t>7-DaHall 1-PDU-02-30-23</t>
  </si>
  <si>
    <t>5-DaHall 1-PDU-19-50-16</t>
  </si>
  <si>
    <t>5-DaHall 1-PDU-20-50-16</t>
  </si>
  <si>
    <t>6-DaHall 1-PDU-11-30-11</t>
  </si>
  <si>
    <t>6-DaHall 1-PDU-12-30-11</t>
  </si>
  <si>
    <t>7-DaHall 1-PDU-01-30-25</t>
  </si>
  <si>
    <t>7-DaHall 1-PDU-02-30-25</t>
  </si>
  <si>
    <t>5-DaHall 1-PDU-21-50-16</t>
  </si>
  <si>
    <t>5-DaHall 1-PDU-22-50-16</t>
  </si>
  <si>
    <t>6-DaHall 1-PDU-11-30-13</t>
  </si>
  <si>
    <t>6-DaHall 1-PDU-09-30-31</t>
  </si>
  <si>
    <t>7-DaHall 1-PDU-01-30-32</t>
  </si>
  <si>
    <t>7-DaHall 1-PDU-02-30-32</t>
  </si>
  <si>
    <t>5-DaHall 1-PDU-19-50-21</t>
  </si>
  <si>
    <t>5-DaHall 1-PDU-20-50-21</t>
  </si>
  <si>
    <t>6-DaHall 1-PDU-11-30-15</t>
  </si>
  <si>
    <t>6-DaHall 1-PDU-12-30-15</t>
  </si>
  <si>
    <t>7-DaHall 1-PDU-01-30-41</t>
  </si>
  <si>
    <t>7-DaHall 1-PDU-02-30-41</t>
  </si>
  <si>
    <t>5-DaHall 1-PDU-21-50-21</t>
  </si>
  <si>
    <t>5-DaHall 1-PDU-22-50-21</t>
  </si>
  <si>
    <t>6-DaHall 1-PDU-11-30-17</t>
  </si>
  <si>
    <t>6-DaHall 1-PDU-12-30-17</t>
  </si>
  <si>
    <t>7-DaHall 1-RPP-01-20-19</t>
  </si>
  <si>
    <t>7-DaHall 1-RPP-02-30-10</t>
  </si>
  <si>
    <t>5-DaHall 1-PDU-19-30-19</t>
  </si>
  <si>
    <t>5-DaHall 1-PDU-20-30-19</t>
  </si>
  <si>
    <t>7-DaHall 1-PDU-01-30-44</t>
  </si>
  <si>
    <t>7-DaHall 1-PDU-02-30-44</t>
  </si>
  <si>
    <t>4-DaHall 1-PDU-02-100-7</t>
  </si>
  <si>
    <t>4-DaHall 1-PDU-01-100-7</t>
  </si>
  <si>
    <t>5-DaHall 1-PDU-21-30-19</t>
  </si>
  <si>
    <t>5-DaHall 1-PDU-22-30-19</t>
  </si>
  <si>
    <t>6-DaHall 1-PDU-11-30-2</t>
  </si>
  <si>
    <t>6-DaHall 1-PDU-12-30-2</t>
  </si>
  <si>
    <t>7-DaHall 1-PDU-01-30-2</t>
  </si>
  <si>
    <t>7-DaHall 1-PDU-02-30-2</t>
  </si>
  <si>
    <t>5-DaHall 1-PDU-19-30-17</t>
  </si>
  <si>
    <t>5-DaHall 1-PDU-20-30-17</t>
  </si>
  <si>
    <t>6-DaHall 1-PDU-11-30-4</t>
  </si>
  <si>
    <t>6-DaHall 1-PDU-12-30-4</t>
  </si>
  <si>
    <t>7-DaHall 1-A-1-35-50</t>
  </si>
  <si>
    <t>7-DaHall 1-B-1-50-47</t>
  </si>
  <si>
    <t>5-DaHall 1-PDU-21-30-17</t>
  </si>
  <si>
    <t>5-DaHall 1-PDU-22-30-17</t>
  </si>
  <si>
    <t>6-DaHall 1-PDU-11-30-6</t>
  </si>
  <si>
    <t>6-DaHall 1-PDU-12-30-6</t>
  </si>
  <si>
    <t>7-DaHall 1-PDU-01-30-46</t>
  </si>
  <si>
    <t>7-DaHall 1-PDU-02-30-46</t>
  </si>
  <si>
    <t>5-DaHall 1-PDU-19-30-15</t>
  </si>
  <si>
    <t>5-DaHall 1-PDU-20-30-15</t>
  </si>
  <si>
    <t>6-DaHall 1-PDU-11-30-8</t>
  </si>
  <si>
    <t>6-DaHall 1-PDU-12-30-8</t>
  </si>
  <si>
    <t>7-DaHall 1-RPP-01-30-24</t>
  </si>
  <si>
    <t>7-DaHall 1-RPP-02-30-18</t>
  </si>
  <si>
    <t>5-DaHall 1-PDU-21-30-15</t>
  </si>
  <si>
    <t>5-DaHall 1-PDU-22-30-15</t>
  </si>
  <si>
    <t>6-DaHall 1-PDU-11-30-10</t>
  </si>
  <si>
    <t>6-DaHall 1-PDU-12-30-10</t>
  </si>
  <si>
    <t>7-DaHall 1-RPP-01-20-33</t>
  </si>
  <si>
    <t>7-DaHall 1-RPP-02-20-29</t>
  </si>
  <si>
    <t>5-DaHall 1-PDU-19-30-14</t>
  </si>
  <si>
    <t>5-DaHall 1-PDU-20-30-14</t>
  </si>
  <si>
    <t>6-DaHall 1-PDU-11-30-12</t>
  </si>
  <si>
    <t>6-DaHall 1-PDU-12-30-12</t>
  </si>
  <si>
    <t>7-DaHall 1-RPP-01-30-22</t>
  </si>
  <si>
    <t>7-DaHall 1-RPP-02-30-16</t>
  </si>
  <si>
    <t>5-DaHall 1-PDU-21-30-14</t>
  </si>
  <si>
    <t>5-DaHall 1-PDU-22-30-14</t>
  </si>
  <si>
    <t>6-DaHall 1-PDU-11-30-14</t>
  </si>
  <si>
    <t>6-DaHall 1-PDU-10-30-21</t>
  </si>
  <si>
    <t>7-DaHall 1-PDU-01-30-1</t>
  </si>
  <si>
    <t>7-DaHall 1-PDU-02-30-1</t>
  </si>
  <si>
    <t>5-DaHall 1-PDU-19-30-12</t>
  </si>
  <si>
    <t>5-DaHall 1-PDU-20-30-12</t>
  </si>
  <si>
    <t>6-DaHall 1-PDU-11-30-16</t>
  </si>
  <si>
    <t>6-DaHall 1-PDU-12-30-16</t>
  </si>
  <si>
    <t>7-DaHall 1-PDU-01-30-12</t>
  </si>
  <si>
    <t>7-DaHall 1-PDU-02-30-12</t>
  </si>
  <si>
    <t>5-DaHall 1-PDU-21-30-12</t>
  </si>
  <si>
    <t>5-DaHall 1-PDU-22-30-12</t>
  </si>
  <si>
    <t>6-DaHall 1-PDU-11-30-18</t>
  </si>
  <si>
    <t>6-DaHall 1-PDU-12-30-18</t>
  </si>
  <si>
    <t>5-DaHall 1-PDU-19-50-10</t>
  </si>
  <si>
    <t>5-DaHall 1-PDU-20-50-10</t>
  </si>
  <si>
    <t>5-DaHall 1-PDU-21-50-10</t>
  </si>
  <si>
    <t>5-DaHall 1-PDU-22-50-10</t>
  </si>
  <si>
    <t>6-DaHall 1-PDU-09-30-1</t>
  </si>
  <si>
    <t>6-DaHall 1-PDU-10-30-1</t>
  </si>
  <si>
    <t>4-DaHall 1-PDU-04-100-8</t>
  </si>
  <si>
    <t>4-DaHall 1-PDU-03-100-8</t>
  </si>
  <si>
    <t>5-DaHall 1-PDU-19-50-8</t>
  </si>
  <si>
    <t>5-DaHall 1-PDU-20-50-8</t>
  </si>
  <si>
    <t>6-DaHall 1-PDU-09-30-3</t>
  </si>
  <si>
    <t>6-DaHall 1-PDU-10-30-3</t>
  </si>
  <si>
    <t>5-DaHall 1-PDU-21-50-8</t>
  </si>
  <si>
    <t>5-DaHall 1-PDU-22-50-8</t>
  </si>
  <si>
    <t>6-DaHall 1-PDU-09-30-5</t>
  </si>
  <si>
    <t>6-DaHall 1-PDU-10-30-5</t>
  </si>
  <si>
    <t>7-DaHall 1-RPP-01-20-39</t>
  </si>
  <si>
    <t>7-DaHall 1-RPP-02-30-40</t>
  </si>
  <si>
    <t>5-DaHall 1-PDU-19-50-24</t>
  </si>
  <si>
    <t>5-DaHall 1-PDU-20-50-24</t>
  </si>
  <si>
    <t>6-DaHall 1-PDU-13-30-32</t>
  </si>
  <si>
    <t>6-DaHall 1-PDU-14-30-34</t>
  </si>
  <si>
    <t>7-DaHall 1-B-5-35-40</t>
  </si>
  <si>
    <t>7-DaHall 1-A-5-35-41</t>
  </si>
  <si>
    <t>5-DaHall 1-PDU-21-50-24</t>
  </si>
  <si>
    <t>5-DaHall 1-PDU-22-50-24</t>
  </si>
  <si>
    <t>6-DaHall 1-PDU-13-30-30</t>
  </si>
  <si>
    <t>6-DaHall 1-PDU-14-30-30</t>
  </si>
  <si>
    <t>7-DaHall 1-RPP-01-20-35</t>
  </si>
  <si>
    <t>7-DaHall 1-RPP-02-30-34</t>
  </si>
  <si>
    <t>5-DaHall 1-PDU-19-30-6</t>
  </si>
  <si>
    <t>5-DaHall 1-PDU-20-30-6</t>
  </si>
  <si>
    <t>6-DaHall 1-PDU-09-30-7</t>
  </si>
  <si>
    <t>6-DaHall 1-PDU-10-30-7</t>
  </si>
  <si>
    <t>7-DaHall 1-RPP-01-30-18</t>
  </si>
  <si>
    <t>7-DaHall 1-PDU-02-30-29</t>
  </si>
  <si>
    <t>5-DaHall 1-PDU-21-30-6</t>
  </si>
  <si>
    <t>5-DaHall 1-PDU-22-30-6</t>
  </si>
  <si>
    <t>6-DaHall 1-PDU-13-30-34</t>
  </si>
  <si>
    <t>6-DaHall 1-PDU-14-30-32</t>
  </si>
  <si>
    <t>7-DaHall 1-RPP-02-30-36</t>
  </si>
  <si>
    <t>5-DaHall 1-PDU-19-50-4</t>
  </si>
  <si>
    <t>5-DaHall 1-PDU-20-50-4</t>
  </si>
  <si>
    <t>6-DaHall 1-PDU-13-30-28</t>
  </si>
  <si>
    <t>6-DaHall 1-PDU-14-30-28</t>
  </si>
  <si>
    <t>7-DaHall 1-PDU-01-30-3</t>
  </si>
  <si>
    <t>7-DaHall 1-RPP-01-30-16</t>
  </si>
  <si>
    <t>5-DaHall 1-PDU-21-50-4</t>
  </si>
  <si>
    <t>5-DaHall 1-PDU-22-50-4</t>
  </si>
  <si>
    <t>6-DaHall 1-PDU-09-30-9</t>
  </si>
  <si>
    <t>6-DaHall 1-PDU-10-30-9</t>
  </si>
  <si>
    <t>7-DaHall 1-RPP-01-30-26</t>
  </si>
  <si>
    <t>7-DaHall 1-RPP-02-30-20</t>
  </si>
  <si>
    <t>5-DaHall 1-PDU-19-50-2</t>
  </si>
  <si>
    <t>5-DaHall 1-PDU-20-50-2</t>
  </si>
  <si>
    <t>6-DaHall 1-PDU-09-30-11</t>
  </si>
  <si>
    <t>6-DaHall 1-PDU-10-30-11</t>
  </si>
  <si>
    <t>5-DaHall 1-PDU-21-50-2</t>
  </si>
  <si>
    <t>5-DaHall 1-PDU-22-50-2</t>
  </si>
  <si>
    <t>6-DaHall 1-PDU-09-30-13</t>
  </si>
  <si>
    <t>6-DaHall 1-PDU-10-30-13</t>
  </si>
  <si>
    <t>5-DaHall 1-PDU-19-50-13</t>
  </si>
  <si>
    <t>5-DaHall 1-PDU-20-50-13</t>
  </si>
  <si>
    <t>6-DaHall 1-PDU-09-30-15</t>
  </si>
  <si>
    <t>6-DaHall 1-PDU-10-30-15</t>
  </si>
  <si>
    <t>7-DaHall 1-A-1-35-51</t>
  </si>
  <si>
    <t>7-DaHall 1-B-1-35-51</t>
  </si>
  <si>
    <t>5-DaHall 1-PDU-21-50-13</t>
  </si>
  <si>
    <t>5-DaHall 1-PDU-22-50-13</t>
  </si>
  <si>
    <t>6-DaHall 1-PDU-09-30-17</t>
  </si>
  <si>
    <t>6-DaHall 1-PDU-10-30-17</t>
  </si>
  <si>
    <t>4-DaHall 1-PDU-04-100-7</t>
  </si>
  <si>
    <t>4-DaHall 1-PDU-03-100-7</t>
  </si>
  <si>
    <t>5-DaHall 1-PDU-19-50-11</t>
  </si>
  <si>
    <t>5-DaHall 1-PDU-20-50-11</t>
  </si>
  <si>
    <t>7-DaHall 1-RPP-01--36</t>
  </si>
  <si>
    <t>7-DaHall 1-RPP-02-30-30</t>
  </si>
  <si>
    <t>5-DaHall 1-PDU-21-50-11</t>
  </si>
  <si>
    <t>5-DaHall 1-PDU-22-50-11</t>
  </si>
  <si>
    <t>6-DaHall 1-PDU-09-30-2</t>
  </si>
  <si>
    <t>6-DaHall 1-PDU-10-30-2</t>
  </si>
  <si>
    <t>7-DaHall 1-RPP-01-30-14</t>
  </si>
  <si>
    <t>7-DaHall 1-RPP-02-20-27</t>
  </si>
  <si>
    <t>5-DaHall 1-PDU-19-50-9</t>
  </si>
  <si>
    <t>5-DaHall 1-PDU-20-50-9</t>
  </si>
  <si>
    <t>6-DaHall 1-PDU-09-30-4</t>
  </si>
  <si>
    <t>6-DaHall 1-PDU-10-30-4</t>
  </si>
  <si>
    <t>7-DaHall 1-RPP-02-20-25</t>
  </si>
  <si>
    <t>5-DaHall 1-PDU-21-50-9</t>
  </si>
  <si>
    <t>5-DaHall 1-PDU-22-50-9</t>
  </si>
  <si>
    <t>6-DaHall 1-PDU-09-30-6</t>
  </si>
  <si>
    <t>6-DaHall 1-PDU-10-30-6</t>
  </si>
  <si>
    <t>7-DaHall 1-RPP-02-20-23</t>
  </si>
  <si>
    <t>5-DaHall 1-PDU-19-50-7</t>
  </si>
  <si>
    <t>5-DaHall 1-PDU-20-50-7</t>
  </si>
  <si>
    <t>6-DaHall 1-PDU-09-30-8</t>
  </si>
  <si>
    <t>6-DaHall 1-PDU-10-30-8</t>
  </si>
  <si>
    <t>7-DaHall 1-RPP-02-20-21</t>
  </si>
  <si>
    <t>5-DaHall 1-PDU-21-50-7</t>
  </si>
  <si>
    <t>5-DaHall 1-PDU-22-50-7</t>
  </si>
  <si>
    <t>6-DaHall 1-PDU-09-30-10</t>
  </si>
  <si>
    <t>6-DaHall 1-PDU-10-30-10</t>
  </si>
  <si>
    <t>7-DaHall 1-RPP-01-30-4</t>
  </si>
  <si>
    <t>5-DaHall 1-PDU-19-50-23</t>
  </si>
  <si>
    <t>5-DaHall 1-PDU-20-50-23</t>
  </si>
  <si>
    <t>6-DaHall 1-PDU-09-30-12</t>
  </si>
  <si>
    <t>6-DaHall 1-PDU-10-30-12</t>
  </si>
  <si>
    <t>7-DaHall 1-RPP-01-30-6</t>
  </si>
  <si>
    <t>5-DaHall 1-PDU-21-50-23</t>
  </si>
  <si>
    <t>5-DaHall 1-PDU-22-50-23</t>
  </si>
  <si>
    <t>6-DaHall 1-PDU-09-30-14</t>
  </si>
  <si>
    <t>6-DaHall 1-PDU-10-30-14</t>
  </si>
  <si>
    <t>7-DaHall 1-RPP-02-20-19</t>
  </si>
  <si>
    <t>5-DaHall 1-PDU-19-50-5</t>
  </si>
  <si>
    <t>5-DaHall 1-PDU-20-50-5</t>
  </si>
  <si>
    <t>6-DaHall 1-PDU-09-30-16</t>
  </si>
  <si>
    <t>6-DaHall 1-PDU-10-30-16</t>
  </si>
  <si>
    <t>5-DaHall 1-PDU-21-50-5</t>
  </si>
  <si>
    <t>5-DaHall 1-PDU-22-50-5</t>
  </si>
  <si>
    <t>6-DaHall 1-PDU-09-30-18</t>
  </si>
  <si>
    <t>6-DaHall 1-PDU-10-30-18</t>
  </si>
  <si>
    <t>5-DaHall 1-PDU-19-50-3</t>
  </si>
  <si>
    <t>5-DaHall 1-PDU-20-50-3</t>
  </si>
  <si>
    <t>7-DaHall 1-RPP-01-20-11</t>
  </si>
  <si>
    <t>5-DaHall 1-PDU-21-50-3</t>
  </si>
  <si>
    <t>5-DaHall 1-PDU-22-50-3</t>
  </si>
  <si>
    <t>6-DaHall 1-PDU-09-30-20</t>
  </si>
  <si>
    <t>6-DaHall 1-PDU-10-30-20</t>
  </si>
  <si>
    <t>7-DaHall 1-RPP-01-30-38</t>
  </si>
  <si>
    <t>7-DaHall 1-RPP-02-30-32</t>
  </si>
  <si>
    <t>4-DaHall 1-PDU-04-100-6</t>
  </si>
  <si>
    <t>4-DaHall 1-PDU-03-100-6</t>
  </si>
  <si>
    <t>5-DaHall 1-PDU-19-50-1</t>
  </si>
  <si>
    <t>5-DaHall 1-PDU-20-50-1</t>
  </si>
  <si>
    <t>6-DaHall 1-PDU-09-30-22</t>
  </si>
  <si>
    <t>6-DaHall 1-PDU-10-30-22</t>
  </si>
  <si>
    <t>7-DaHall 1-RPP-01-30-34</t>
  </si>
  <si>
    <t>7-DaHall 1-RPP-02-30-28</t>
  </si>
  <si>
    <t>5-DaHall 1-PDU-21-50-1</t>
  </si>
  <si>
    <t>5-DaHall 1-PDU-22-50-1</t>
  </si>
  <si>
    <t>6-DaHall 1-PDU-09-30-24</t>
  </si>
  <si>
    <t>6-DaHall 1-PDU-10-30-48</t>
  </si>
  <si>
    <t>7-DaHall 1-PDU-01-30-6</t>
  </si>
  <si>
    <t>7-DaHall 1-PDU-02-30-6</t>
  </si>
  <si>
    <t>5-DaHall 1-PDU-05-30-2</t>
  </si>
  <si>
    <t>5-DaHall 1-PDU-06-30-2</t>
  </si>
  <si>
    <t>6-DaHall 1-PDU-09-30-26</t>
  </si>
  <si>
    <t>6-DaHall 1-PDU-10-30-26</t>
  </si>
  <si>
    <t>7-DaHall 1-PDU-01-30-54</t>
  </si>
  <si>
    <t>7-DaHall 1-PDU-02-30-53</t>
  </si>
  <si>
    <t>5-DaHall 1-PDU-05-30-4</t>
  </si>
  <si>
    <t>5-DaHall 1-PDU-06-30-4</t>
  </si>
  <si>
    <t>6-DaHall 1-PDU-09-30-28</t>
  </si>
  <si>
    <t>6-DaHall 1-PDU-10-30-28</t>
  </si>
  <si>
    <t>7-DaHall 1-RPP-03-50-2</t>
  </si>
  <si>
    <t>7-DaHall 1-RPP-04-50-2</t>
  </si>
  <si>
    <t>5-DaHall 1-PDU-05-30-6</t>
  </si>
  <si>
    <t>5-DaHall 1-PDU-06-30-6</t>
  </si>
  <si>
    <t>6-DaHall 1-PDU-09-30-30</t>
  </si>
  <si>
    <t>6-DaHall 1-PDU-10-30-30</t>
  </si>
  <si>
    <t>7-DaHall 1-RPP-02-30-14</t>
  </si>
  <si>
    <t>5-DaHall 1-PDU-05-30-8</t>
  </si>
  <si>
    <t>5-DaHall 1-PDU-06-30-8</t>
  </si>
  <si>
    <t>6-DaHall 1-PDU-09-30-32</t>
  </si>
  <si>
    <t>6-DaHall 1-PDU-10-30-32</t>
  </si>
  <si>
    <t>5-DaHall 1-PDU-05-30-10</t>
  </si>
  <si>
    <t>5-DaHall 1-PDU-06-30-10</t>
  </si>
  <si>
    <t>6-DaHall 1-PDU-09-30-34</t>
  </si>
  <si>
    <t>6-DaHall 1-PDU-10-30-34</t>
  </si>
  <si>
    <t>7-DaHall 1-PDU-01-30-4</t>
  </si>
  <si>
    <t>7-DaHall 1-PDU-02-30-4</t>
  </si>
  <si>
    <t>5-DaHall 1-PDU-05-30-12</t>
  </si>
  <si>
    <t>5-DaHall 1-PDU-06-30-12</t>
  </si>
  <si>
    <t>6-DaHall 1-PDU-09-30-36</t>
  </si>
  <si>
    <t>6-DaHall 1-PDU-10-30-36</t>
  </si>
  <si>
    <t>5-DaHall 1-PDU-05-30-14</t>
  </si>
  <si>
    <t>5-DaHall 1-PDU-06-30-16</t>
  </si>
  <si>
    <t>6-DaHall 1-PDU-01-30-17</t>
  </si>
  <si>
    <t>6-DaHall 1-PDU-02-30-17</t>
  </si>
  <si>
    <t>5-DaHall 1-PDU-05-30-16</t>
  </si>
  <si>
    <t>5-DaHall 1-PDU-06-30-18</t>
  </si>
  <si>
    <t>6-DaHall 1-PDU-01-30-15</t>
  </si>
  <si>
    <t>6-DaHall 1-PDU-02-30-15</t>
  </si>
  <si>
    <t>6-DaHall 1-PDU-01-30-13</t>
  </si>
  <si>
    <t>6-DaHall 1-PDU-02-30-13</t>
  </si>
  <si>
    <t>7-DaHall 1-RPP-01-20-23</t>
  </si>
  <si>
    <t>7-DaHall 1-RPP-02-30-12</t>
  </si>
  <si>
    <t>6-DaHall 1-PDU-01-30-11</t>
  </si>
  <si>
    <t>6-DaHall 1-PDU-02-30-11</t>
  </si>
  <si>
    <t>7-DaHall 1-RPP-01-20-37</t>
  </si>
  <si>
    <t>7-DaHall 1-RPP-02-30-8</t>
  </si>
  <si>
    <t>4-DaHall 1-PDU-04-100-5</t>
  </si>
  <si>
    <t>4-DaHall 1-PDU-03-100-5</t>
  </si>
  <si>
    <t>5-DaHall 1-PDU-05-30-18</t>
  </si>
  <si>
    <t>5-DaHall 1-PDU-06-30-20</t>
  </si>
  <si>
    <t>6-DaHall 1-PDU-01-30-9</t>
  </si>
  <si>
    <t>6-DaHall 1-PDU-02-30-9</t>
  </si>
  <si>
    <t>7-DaHall 1-PDU-01-30-10</t>
  </si>
  <si>
    <t>7-DaHall 1-PDU-02-30-10</t>
  </si>
  <si>
    <t>5-DaHall 1-PDU-05-30-20</t>
  </si>
  <si>
    <t>5-DaHall 1-PDU-06-30-22</t>
  </si>
  <si>
    <t>6-DaHall 1-PDU-01-30-7</t>
  </si>
  <si>
    <t>6-DaHall 1-PDU-02-30-7</t>
  </si>
  <si>
    <t>7-DaHall 1-PDU-01-30-42</t>
  </si>
  <si>
    <t>7-DaHall 1-PDU-02-30-42</t>
  </si>
  <si>
    <t>5-DaHall 1-PDU-05-30-22</t>
  </si>
  <si>
    <t>5-DaHall 1-PDU-06-30-24</t>
  </si>
  <si>
    <t>6-DaHall 1-PDU--30-</t>
  </si>
  <si>
    <t>5-DaHall 1-PDU-05-30-24</t>
  </si>
  <si>
    <t>5-DaHall 1-PDU-06-30-26</t>
  </si>
  <si>
    <t>5-DaHall 1-PDU-05-30-26</t>
  </si>
  <si>
    <t>5-DaHall 1-PDU-06-30-28</t>
  </si>
  <si>
    <t>7-DaHall 1-PDU-01-30-34</t>
  </si>
  <si>
    <t>7-DaHall 1-PDU-02-30-34</t>
  </si>
  <si>
    <t>5-DaHall 1-PDU-05-30-28</t>
  </si>
  <si>
    <t>5-DaHall 1-PDU-06-30-30</t>
  </si>
  <si>
    <t>6-DaHall 1-PDU-01-30-2</t>
  </si>
  <si>
    <t>6-DaHall 1-PDU-02-30-2</t>
  </si>
  <si>
    <t>7-DaHall 1-B-5-100-48</t>
  </si>
  <si>
    <t>7-DaHall 1-B-1-100-41</t>
  </si>
  <si>
    <t>5-DaHall 1-PDU-05-30-30</t>
  </si>
  <si>
    <t>5-DaHall 1-PDU-06-30-34</t>
  </si>
  <si>
    <t>6-DaHall 1-PDU-01-30-36</t>
  </si>
  <si>
    <t>6-DaHall 1-PDU-02-30-36</t>
  </si>
  <si>
    <t>7-DaHall 1-PDU-01-30-15</t>
  </si>
  <si>
    <t>7-DaHall 1-PDU-02-30-15</t>
  </si>
  <si>
    <t>5-DaHall 1-PDU-05-30-32</t>
  </si>
  <si>
    <t>5-DaHall 1-PDU-06-30-36</t>
  </si>
  <si>
    <t>6-DaHall 1-PDU-01-30-38</t>
  </si>
  <si>
    <t>6-DaHall 1-PDU-02-30-38</t>
  </si>
  <si>
    <t>6-DaHall 1-PDU-01-30-4</t>
  </si>
  <si>
    <t>6-DaHall 1-PDU-02-30-4</t>
  </si>
  <si>
    <t>7-DaHall 1-PDU-01-30-35</t>
  </si>
  <si>
    <t>7-DaHall 1-PDU-02-30-35</t>
  </si>
  <si>
    <t>6-DaHall 1-PDU-01-30-6</t>
  </si>
  <si>
    <t>6-DaHall 1-PDU-02-30-6</t>
  </si>
  <si>
    <t>7-DaHall 1-PDU-01-30-33</t>
  </si>
  <si>
    <t>7-DaHall 1-PDU-02-30-33</t>
  </si>
  <si>
    <t>5-DaHall 1-PDU-01-30-1</t>
  </si>
  <si>
    <t>5-DaHall 1-PDU-02-30-1</t>
  </si>
  <si>
    <t>6-DaHall 1-PDU-01-30-8</t>
  </si>
  <si>
    <t>6-DaHall 1-PDU-02-30-8</t>
  </si>
  <si>
    <t>7-DaHall 1-PDU-01-30-31</t>
  </si>
  <si>
    <t>7-DaHall 1-PDU-02-30-31</t>
  </si>
  <si>
    <t>5-DaHall 1-PDU-01-30-3</t>
  </si>
  <si>
    <t>5-DaHall 1-PDU-02-30-3</t>
  </si>
  <si>
    <t>6-DaHall 1-PDU-01-30-10</t>
  </si>
  <si>
    <t>6-DaHall 1-PDU-02-30-10</t>
  </si>
  <si>
    <t>7-DaHall 1-PDU-01-30-39</t>
  </si>
  <si>
    <t>7-DaHall 1-PDU-02-30-39</t>
  </si>
  <si>
    <t>5-DaHall 1-PDU-01-30-5</t>
  </si>
  <si>
    <t>5-DaHall 1-PDU-02-30-5</t>
  </si>
  <si>
    <t>6-DaHall 1-PDU-01-30-12</t>
  </si>
  <si>
    <t>6-DaHall 1-PDU-02-30-12</t>
  </si>
  <si>
    <t>5-DaHall 1-PDU-01-30-7</t>
  </si>
  <si>
    <t>5-DaHall 1-PDU-02-30-7</t>
  </si>
  <si>
    <t>6-DaHall 1-PDU-01-30-14</t>
  </si>
  <si>
    <t>6-DaHall 1-PDU-02-30-14</t>
  </si>
  <si>
    <t>5-DaHall 1-PDU-01-30-9</t>
  </si>
  <si>
    <t>5-DaHall 1-PDU-02-30-9</t>
  </si>
  <si>
    <t>6-DaHall 1-PDU-01-30-16</t>
  </si>
  <si>
    <t>6-DaHall 1-PDU-02-30-16</t>
  </si>
  <si>
    <t>5-DaHall 1-PDU-01-30-11</t>
  </si>
  <si>
    <t>5-DaHall 1-PDU-02-30-11</t>
  </si>
  <si>
    <t>6-DaHall 1-PDU-11-30-19</t>
  </si>
  <si>
    <t>6-DaHall 1-PDU-12-30-19</t>
  </si>
  <si>
    <t>5-DaHall 1-PDU-01-30-13</t>
  </si>
  <si>
    <t>5-DaHall 1-PDU-02-30-13</t>
  </si>
  <si>
    <t>6-DaHall 1-PDU-11-30-44</t>
  </si>
  <si>
    <t>6-DaHall 1-PDU-12-30-44</t>
  </si>
  <si>
    <t>5-DaHall 1-PDU-01-30-15</t>
  </si>
  <si>
    <t>5-DaHall 1-PDU-02-30-15</t>
  </si>
  <si>
    <t>6-DaHall 1-PDU-13-30-2</t>
  </si>
  <si>
    <t>7-DaHall 1-RPP-03-50-8</t>
  </si>
  <si>
    <t>7-DaHall 1-RPP-04-50-8</t>
  </si>
  <si>
    <t>5-DaHall 1-PDU-01-30-17</t>
  </si>
  <si>
    <t>5-DaHall 1-PDU-02-30-17</t>
  </si>
  <si>
    <t>6-DaHall 1-PDU-13-30-4</t>
  </si>
  <si>
    <t>7-DaHall 1-RPP-03-50-6</t>
  </si>
  <si>
    <t>7-DaHall 1-RPP-04-50-6</t>
  </si>
  <si>
    <t>5-DaHall 1-PDU-01-30-31</t>
  </si>
  <si>
    <t>5-DaHall 1-PDU-02-30-31</t>
  </si>
  <si>
    <t>6-DaHall 1-PDU-14-30-2</t>
  </si>
  <si>
    <t>7-DaHall 1-RPP-03-50-10</t>
  </si>
  <si>
    <t>7-DaHall 1-RPP-04-50-10</t>
  </si>
  <si>
    <t>5-DaHall 1-PDU-01-30-33</t>
  </si>
  <si>
    <t>5-DaHall 1-PDU-02-30-33</t>
  </si>
  <si>
    <t>6-DaHall 1-PDU-14-30-4</t>
  </si>
  <si>
    <t>7-DaHall 1-RPP-03-50-9</t>
  </si>
  <si>
    <t>7-DaHall 1-RPP-04-50-9</t>
  </si>
  <si>
    <t>5-DaHall 1-PDU-01-30-35</t>
  </si>
  <si>
    <t>5-DaHall 1-PDU-02-30-35</t>
  </si>
  <si>
    <t>6-DaHall 1-PDU-14-30-20</t>
  </si>
  <si>
    <t>7-DaHall 1-B-5-35-42</t>
  </si>
  <si>
    <t>7-DaHall 1-A-5-35-42</t>
  </si>
  <si>
    <t>5-DaHall 1-PDU-01-30-37</t>
  </si>
  <si>
    <t>5-DaHall 1-PDU-02-30-37</t>
  </si>
  <si>
    <t>6-DaHall 1-PDU-13-30-40</t>
  </si>
  <si>
    <t>7-DaHall 1-B-5-35-43</t>
  </si>
  <si>
    <t>7-DaHall 1-A-5-35-43</t>
  </si>
  <si>
    <t>5-DaHall 1-PDU-01-30-39</t>
  </si>
  <si>
    <t>5-DaHall 1-PDU-02-30-39</t>
  </si>
  <si>
    <t>6-DaHall 1-PDU-01-30-50</t>
  </si>
  <si>
    <t>7-DaHall 1-RPP-03-50-7</t>
  </si>
  <si>
    <t>7-DaHall 1-RPP-04-50-7</t>
  </si>
  <si>
    <t>5-DaHall 1-PDU-01-30-41</t>
  </si>
  <si>
    <t>5-DaHall 1-PDU-02-30-41</t>
  </si>
  <si>
    <t>6-DaHall 1-PDU-01-30-46</t>
  </si>
  <si>
    <t>7-DaHall 1-RPP-03-50-5</t>
  </si>
  <si>
    <t>7-DaHall 1-RPP-04-50-5</t>
  </si>
  <si>
    <t>5-DaHall 1-PDU-01-30-43</t>
  </si>
  <si>
    <t>5-DaHall 1-PDU-02-30-43</t>
  </si>
  <si>
    <t>7-DaHall 1-RPP-03-50-3</t>
  </si>
  <si>
    <t>7-DaHall 1-RPP-04-50-3</t>
  </si>
  <si>
    <t>5-DaHall 1-PDU-01-30-45</t>
  </si>
  <si>
    <t>5-DaHall 1-PDU-02-30-45</t>
  </si>
  <si>
    <t>7-DaHall 1-RPP-03-50-1</t>
  </si>
  <si>
    <t>7-DaHall 1-RPP-04-50-1</t>
  </si>
  <si>
    <t>5-DaHall 1-PDU-01-30-47</t>
  </si>
  <si>
    <t>5-DaHall 1-PDU-02-30-47</t>
  </si>
  <si>
    <t>5-DaHall 1-PDU-01-30-19</t>
  </si>
  <si>
    <t>5-DaHall 1-PDU-02-30-19</t>
  </si>
  <si>
    <t>5-DaHall 1-PDU-01-30-21</t>
  </si>
  <si>
    <t>5-DaHall 1-PDU-02-30-21</t>
  </si>
  <si>
    <t>7-DaHall 1-PDU-02-30-49</t>
  </si>
  <si>
    <t>5-DaHall 1-PDU-01-30-23</t>
  </si>
  <si>
    <t>5-DaHall 1-PDU-02-30-23</t>
  </si>
  <si>
    <t>7-DaHall 1-PDU-02-30-51</t>
  </si>
  <si>
    <t>5-DaHall 1-PDU-01-30-25</t>
  </si>
  <si>
    <t>5-DaHall 1-PDU-02-30-25</t>
  </si>
  <si>
    <t>7-DaHall 1-PDU-03-225-2</t>
  </si>
  <si>
    <t>5-DaHall 1-PDU-01-30-42</t>
  </si>
  <si>
    <t>7-DaHall 1-RPP-01-20-1</t>
  </si>
  <si>
    <t>5-DaHall 1-PDU-01-30-44</t>
  </si>
  <si>
    <t>5-DaHall 1-PDU-02-30-44</t>
  </si>
  <si>
    <t>7-DaHall 1-RPP-01-30-2</t>
  </si>
  <si>
    <t>5-DaHall 1-PDU-01-30-4</t>
  </si>
  <si>
    <t>5-DaHall 1-PDU-02-30-4</t>
  </si>
  <si>
    <t>7-DaHall 1-RPP-01-20-3</t>
  </si>
  <si>
    <t>5-DaHall 1-PDU-01-30-6</t>
  </si>
  <si>
    <t>5-DaHall 1-PDU-02-30-6</t>
  </si>
  <si>
    <t>7-DaHall 1-RPP-01-20-5</t>
  </si>
  <si>
    <t>5-DaHall 1-PDU-01-30-10</t>
  </si>
  <si>
    <t>7-DaHall 1-RPP-01-20-9</t>
  </si>
  <si>
    <t>5-DaHall 1-PDU-02-30-10</t>
  </si>
  <si>
    <t>7-DaHall 1-RPP-01-20-13</t>
  </si>
  <si>
    <t>7-DaHall 1-RPP-01-20-15</t>
  </si>
  <si>
    <t>5-DaHall 1-PDU-01-30-50</t>
  </si>
  <si>
    <t>5-DaHall 1-PDU-02-30-50</t>
  </si>
  <si>
    <t>7-DaHall 1-RPP-01-20-17</t>
  </si>
  <si>
    <t>5-DaHall 1-PDU-01-60-2</t>
  </si>
  <si>
    <t>5-DaHall 1-PDU-02-60-2</t>
  </si>
  <si>
    <t>7-DaHall 1-RPP-01-20-27</t>
  </si>
  <si>
    <t>5-DaHall 1-PDU-01-30-48</t>
  </si>
  <si>
    <t>5-DaHall 1-PDU-02-30-48</t>
  </si>
  <si>
    <t>7-DaHall 1-RPP-01-30-28</t>
  </si>
  <si>
    <t>5-DaHall 1-PDU-03-30-21</t>
  </si>
  <si>
    <t>5-DaHall 1-PDU-04-30-21</t>
  </si>
  <si>
    <t>7-DaHall 1-RPP-01-20-29</t>
  </si>
  <si>
    <t>5-DaHall 1-PDU-03-30-23</t>
  </si>
  <si>
    <t>5-DaHall 1-PDU-04-30-23</t>
  </si>
  <si>
    <t>7-DaHall 1-RPP-01-30-30</t>
  </si>
  <si>
    <t>5-DaHall 1-PDU-03-30-25</t>
  </si>
  <si>
    <t>5-DaHall 1-PDU-04-30-25</t>
  </si>
  <si>
    <t>7-DaHall 1-RPP-01-20-31</t>
  </si>
  <si>
    <t>5-DaHall 1-PDU-03-30-27</t>
  </si>
  <si>
    <t>5-DaHall 1-PDU-04-30-27</t>
  </si>
  <si>
    <t>7-DaHall 1-PDU-02-30-50</t>
  </si>
  <si>
    <t>5-DaHall 1-PDU-03-30-29</t>
  </si>
  <si>
    <t>5-DaHall 1-PDU-04-30-29</t>
  </si>
  <si>
    <t>7-DaHall 1-PDU-02-30-52</t>
  </si>
  <si>
    <t>5-DaHall 1-PDU-03-30-31</t>
  </si>
  <si>
    <t>5-DaHall 1-PDU-04-30-31</t>
  </si>
  <si>
    <t>7-DaHall 1-PDU-02-30-54</t>
  </si>
  <si>
    <t>5-DaHall 1-PDU-03-30-33</t>
  </si>
  <si>
    <t>5-DaHall 1-PDU-04-30-33</t>
  </si>
  <si>
    <t>7-DaHall 1-PDU-01-30-52</t>
  </si>
  <si>
    <t>5-DaHall 1-PDU-03-30-1</t>
  </si>
  <si>
    <t>5-DaHall 1-PDU-04-30-1</t>
  </si>
  <si>
    <t>7-DaHall 1-RPP-02-20-1</t>
  </si>
  <si>
    <t>5-DaHall 1-PDU-03-30-3</t>
  </si>
  <si>
    <t>5-DaHall 1-PDU-04-30-3</t>
  </si>
  <si>
    <t>7-DaHall 1-RPP-02-30-2</t>
  </si>
  <si>
    <t>5-DaHall 1-PDU-01-30-12</t>
  </si>
  <si>
    <t>5-DaHall 1-PDU-02-30-12</t>
  </si>
  <si>
    <t>7-DaHall 1-RPP-02-20-3</t>
  </si>
  <si>
    <t>5-DaHall 1-PDU-01-30-14</t>
  </si>
  <si>
    <t>5-DaHall 1-PDU-02-30-14</t>
  </si>
  <si>
    <t>7-DaHall 1-RPP-02-30-6</t>
  </si>
  <si>
    <t>5-DaHall 1-PDU-01-30-16</t>
  </si>
  <si>
    <t>5-DaHall 1-PDU-02-30-16</t>
  </si>
  <si>
    <t>7-DaHall 1-RPP-02-20-7</t>
  </si>
  <si>
    <t>5-DaHall 1-PDU-01-30-18</t>
  </si>
  <si>
    <t>5-DaHall 1-PDU-02-30-18</t>
  </si>
  <si>
    <t>7-DaHall 1-RPP-02-20-11</t>
  </si>
  <si>
    <t>5-DaHall 1-PDU-01-30-20</t>
  </si>
  <si>
    <t>5-DaHall 1-PDU-02-30-20</t>
  </si>
  <si>
    <t>7-DaHall 1-RPP-02-30-22</t>
  </si>
  <si>
    <t>5-DaHall 1-PDU-01-30-22</t>
  </si>
  <si>
    <t>5-DaHall 1-PDU-02-30-22</t>
  </si>
  <si>
    <t>7-DaHall 1-RPP-02-30-24</t>
  </si>
  <si>
    <t>5-DaHall 1-PDU-01-30-24</t>
  </si>
  <si>
    <t>5-DaHall 1-PDU-02-30-24</t>
  </si>
  <si>
    <t>7-DaHall 1-RPP-02-20-35</t>
  </si>
  <si>
    <t>5-DaHall 1-PDU-01-30-26</t>
  </si>
  <si>
    <t>5-DaHall 1-PDU-02-30-26</t>
  </si>
  <si>
    <t>7-DaHall 1-RPP-02-20-37</t>
  </si>
  <si>
    <t>5-DaHall 1-PDU-01-30-28</t>
  </si>
  <si>
    <t>5-DaHall 1-PDU-02-30-28</t>
  </si>
  <si>
    <t>7-DaHall 1-RPP-02-20-38</t>
  </si>
  <si>
    <t>5-DaHall 1-PDU-01-30-30</t>
  </si>
  <si>
    <t>5-DaHall 1-PDU-02-30-30</t>
  </si>
  <si>
    <t>7-DaHall 1-RPP-02-20-39</t>
  </si>
  <si>
    <t>5-DaHall 1-PDU-01-30-32</t>
  </si>
  <si>
    <t>5-DaHall 1-PDU-02-30-32</t>
  </si>
  <si>
    <t>5-DaHall 1-PDU-01-30-34</t>
  </si>
  <si>
    <t>5-DaHall 1-PDU-02-30-34</t>
  </si>
  <si>
    <t>5-DaHall 1-PDU-01-30-36</t>
  </si>
  <si>
    <t>5-DaHall 1-PDU-02-30-36</t>
  </si>
  <si>
    <t>5-DaHall 1-PDU-01-30-38</t>
  </si>
  <si>
    <t>5-DaHall 1-PDU-02-30-38</t>
  </si>
  <si>
    <t>5-DaHall 1-PDU-02-30-40</t>
  </si>
  <si>
    <t>5-DaHall 1-PDU-01-30-49</t>
  </si>
  <si>
    <t>5-DaHall 1-PDU-02-30-49</t>
  </si>
  <si>
    <t>5-DaHall 1-PDU-01-30-2</t>
  </si>
  <si>
    <t>5-DaHall 1-PDU-02-30-2</t>
  </si>
  <si>
    <t>5-DaHall 1-PDU-01-30-8</t>
  </si>
  <si>
    <t>5-DaHall 1-PDU-02-30-8</t>
  </si>
  <si>
    <t>5-DaHall 1-PDU-01-30-27</t>
  </si>
  <si>
    <t>5-DaHall 1-PDU-02-30-27</t>
  </si>
  <si>
    <t>5-DaHall 1-PDU-01-30-29</t>
  </si>
  <si>
    <t>5-DaHall 1-PDU-02-30-29</t>
  </si>
  <si>
    <t>5-DaHall 1-PDU-14-20-32</t>
  </si>
  <si>
    <t>5-DaHall 1-PDU-15-30-13</t>
  </si>
  <si>
    <t>5-DaHall 1-PDU-16-30-13</t>
  </si>
  <si>
    <t>5-DaHall 1-PDU-15-20-23</t>
  </si>
  <si>
    <t>5-DaHall 1-PDU-15-20-29</t>
  </si>
  <si>
    <t>5-DaHall 1-PDU-16-20-15</t>
  </si>
  <si>
    <t>5-DaHall 1-PDU-16-20-17</t>
  </si>
  <si>
    <t>5-DaHall 1-PDU-16-20-19</t>
  </si>
  <si>
    <t>5-DaHall 1-PDU-16-20-23</t>
  </si>
  <si>
    <t>5-DaHall 1-PDU-16-20-25</t>
  </si>
  <si>
    <t>5-DaHall 1-PDU-16-20-27</t>
  </si>
  <si>
    <t>5-DaHall 1-PDU-16-20-29</t>
  </si>
  <si>
    <t>5-DaHall 1-PDU-16-20-24</t>
  </si>
  <si>
    <t>5-DaHall 1-PDU-16-20-30</t>
  </si>
  <si>
    <t>5-DaHall 1-PDU-15-50-1</t>
  </si>
  <si>
    <t>5-DaHall 1-PDU-15-50-2</t>
  </si>
  <si>
    <t>5-DaHall 1-PDU-16-50-1</t>
  </si>
  <si>
    <t>5-DaHall 1-PDU-16-50-2</t>
  </si>
  <si>
    <t>5-DaHall 1-PDU-16-20-21</t>
  </si>
  <si>
    <t>5-DaHall 1-PDU-16-50-20</t>
  </si>
  <si>
    <t>5-DaHall 1-PDU-16-50-22</t>
  </si>
  <si>
    <t>kW(전월최대유효전력)</t>
  </si>
  <si>
    <t>피크값</t>
    <phoneticPr fontId="14" type="noConversion"/>
  </si>
  <si>
    <t>5층 랙별 전기공급계통</t>
    <phoneticPr fontId="14" type="noConversion"/>
  </si>
  <si>
    <t>Customer</t>
    <phoneticPr fontId="34" type="noConversion"/>
  </si>
  <si>
    <t>Description</t>
    <phoneticPr fontId="34" type="noConversion"/>
  </si>
  <si>
    <t>총사용량</t>
    <phoneticPr fontId="34" type="noConversion"/>
  </si>
  <si>
    <t>계약용량</t>
    <phoneticPr fontId="34" type="noConversion"/>
  </si>
  <si>
    <t>남은용량</t>
    <phoneticPr fontId="34" type="noConversion"/>
  </si>
  <si>
    <t>Attachments: PowerReport</t>
    <phoneticPr fontId="34" type="noConversion"/>
  </si>
  <si>
    <t>Peak Power</t>
    <phoneticPr fontId="34" type="noConversion"/>
  </si>
  <si>
    <t>Remaining Power</t>
  </si>
  <si>
    <t>Subscribed Power</t>
  </si>
  <si>
    <t>Subscribed Power</t>
    <phoneticPr fontId="34" type="noConversion"/>
  </si>
  <si>
    <t>PowerUsage Total</t>
    <phoneticPr fontId="34" type="noConversion"/>
  </si>
  <si>
    <t>최대전력</t>
    <phoneticPr fontId="34" type="noConversion"/>
  </si>
  <si>
    <t>Description</t>
  </si>
  <si>
    <t xml:space="preserve">Power </t>
  </si>
  <si>
    <t>Total Power Usage for Customer XXYY</t>
  </si>
  <si>
    <t>Power Usage Total</t>
  </si>
  <si>
    <t>70.32 kW</t>
  </si>
  <si>
    <t>81.00 KVA</t>
  </si>
  <si>
    <t>10.68 kW</t>
  </si>
  <si>
    <t xml:space="preserve">Attachments </t>
  </si>
  <si>
    <t>Sample</t>
    <phoneticPr fontId="34" type="noConversion"/>
  </si>
  <si>
    <t>(고객사한테 보여줄필요 X)</t>
    <phoneticPr fontId="34" type="noConversion"/>
  </si>
  <si>
    <t>평균값</t>
    <phoneticPr fontId="14" type="noConversion"/>
  </si>
  <si>
    <t>Average Power</t>
    <phoneticPr fontId="34" type="noConversion"/>
  </si>
  <si>
    <t xml:space="preserve">층수 : </t>
    <phoneticPr fontId="14" type="noConversion"/>
  </si>
  <si>
    <t>평균전력</t>
    <phoneticPr fontId="34" type="noConversion"/>
  </si>
  <si>
    <t>미디어꾼</t>
    <phoneticPr fontId="14" type="noConversion"/>
  </si>
  <si>
    <t>시간당 전력량
[kwh]</t>
    <phoneticPr fontId="14" type="noConversion"/>
  </si>
  <si>
    <t>월간 사용전력량[kwh]</t>
    <phoneticPr fontId="14" type="noConversion"/>
  </si>
  <si>
    <t>4-DaHall 1-PDU-11</t>
  </si>
  <si>
    <t>4-DaHall 1-PDU-12</t>
  </si>
  <si>
    <t>4-DaHall 1-PDU-13</t>
  </si>
  <si>
    <t>4-DaHall 1-PDU-14</t>
  </si>
  <si>
    <t>4-DaHall 1-RPP-01</t>
    <phoneticPr fontId="14" type="noConversion"/>
  </si>
  <si>
    <t>4-DaHall 1-RPP-02</t>
    <phoneticPr fontId="14" type="noConversion"/>
  </si>
  <si>
    <t>4-DaHall 1-PDU-11</t>
    <phoneticPr fontId="14" type="noConversion"/>
  </si>
  <si>
    <t>RPP-01</t>
    <phoneticPr fontId="14" type="noConversion"/>
  </si>
  <si>
    <t>4P 125A</t>
    <phoneticPr fontId="14" type="noConversion"/>
  </si>
  <si>
    <t>A401_A</t>
    <phoneticPr fontId="14" type="noConversion"/>
  </si>
  <si>
    <t>A402_A1</t>
    <phoneticPr fontId="14" type="noConversion"/>
  </si>
  <si>
    <t>A403_A</t>
    <phoneticPr fontId="14" type="noConversion"/>
  </si>
  <si>
    <t>A404_A1</t>
    <phoneticPr fontId="14" type="noConversion"/>
  </si>
  <si>
    <t>A405_A</t>
    <phoneticPr fontId="14" type="noConversion"/>
  </si>
  <si>
    <t>A406_A1</t>
    <phoneticPr fontId="14" type="noConversion"/>
  </si>
  <si>
    <t>A407_A</t>
    <phoneticPr fontId="14" type="noConversion"/>
  </si>
  <si>
    <t>A408_A1</t>
    <phoneticPr fontId="14" type="noConversion"/>
  </si>
  <si>
    <t>A409_A</t>
    <phoneticPr fontId="14" type="noConversion"/>
  </si>
  <si>
    <t>A410_A</t>
    <phoneticPr fontId="14" type="noConversion"/>
  </si>
  <si>
    <t>A501_A</t>
    <phoneticPr fontId="14" type="noConversion"/>
  </si>
  <si>
    <t>A502_A</t>
    <phoneticPr fontId="14" type="noConversion"/>
  </si>
  <si>
    <t>A503_A1</t>
    <phoneticPr fontId="14" type="noConversion"/>
  </si>
  <si>
    <t>A504_A</t>
    <phoneticPr fontId="14" type="noConversion"/>
  </si>
  <si>
    <t>A505_A</t>
    <phoneticPr fontId="14" type="noConversion"/>
  </si>
  <si>
    <t>A506_A1</t>
    <phoneticPr fontId="14" type="noConversion"/>
  </si>
  <si>
    <t>A507_A</t>
    <phoneticPr fontId="14" type="noConversion"/>
  </si>
  <si>
    <t>A508_A</t>
    <phoneticPr fontId="14" type="noConversion"/>
  </si>
  <si>
    <t>A509_A</t>
    <phoneticPr fontId="14" type="noConversion"/>
  </si>
  <si>
    <t>A510_A</t>
    <phoneticPr fontId="14" type="noConversion"/>
  </si>
  <si>
    <t>A601_A</t>
    <phoneticPr fontId="14" type="noConversion"/>
  </si>
  <si>
    <t>A602_A</t>
    <phoneticPr fontId="14" type="noConversion"/>
  </si>
  <si>
    <t>A603_A</t>
    <phoneticPr fontId="14" type="noConversion"/>
  </si>
  <si>
    <t>A604_A</t>
    <phoneticPr fontId="14" type="noConversion"/>
  </si>
  <si>
    <t>A605_A</t>
    <phoneticPr fontId="14" type="noConversion"/>
  </si>
  <si>
    <t>A606_A</t>
    <phoneticPr fontId="14" type="noConversion"/>
  </si>
  <si>
    <t>A607_A</t>
    <phoneticPr fontId="14" type="noConversion"/>
  </si>
  <si>
    <t>A608_A</t>
    <phoneticPr fontId="14" type="noConversion"/>
  </si>
  <si>
    <t>A609_A</t>
    <phoneticPr fontId="14" type="noConversion"/>
  </si>
  <si>
    <t>A610_A</t>
    <phoneticPr fontId="14" type="noConversion"/>
  </si>
  <si>
    <t>A402_A2</t>
    <phoneticPr fontId="14" type="noConversion"/>
  </si>
  <si>
    <t>A503_A2</t>
    <phoneticPr fontId="14" type="noConversion"/>
  </si>
  <si>
    <t>A506_A2</t>
    <phoneticPr fontId="14" type="noConversion"/>
  </si>
  <si>
    <t>08_A</t>
    <phoneticPr fontId="14" type="noConversion"/>
  </si>
  <si>
    <t>07_A</t>
    <phoneticPr fontId="14" type="noConversion"/>
  </si>
  <si>
    <t>06_A</t>
    <phoneticPr fontId="14" type="noConversion"/>
  </si>
  <si>
    <t>05_A</t>
    <phoneticPr fontId="14" type="noConversion"/>
  </si>
  <si>
    <t>4-DaHall 1-PDU-12</t>
    <phoneticPr fontId="14" type="noConversion"/>
  </si>
  <si>
    <t>A401_B</t>
  </si>
  <si>
    <t>A402_B1</t>
  </si>
  <si>
    <t>A403_B</t>
  </si>
  <si>
    <t>A404_B1</t>
  </si>
  <si>
    <t>A405_B</t>
  </si>
  <si>
    <t>A406_B1</t>
  </si>
  <si>
    <t>A407_B</t>
  </si>
  <si>
    <t>A408_B1</t>
  </si>
  <si>
    <t>A409_B</t>
  </si>
  <si>
    <t>A410_B</t>
  </si>
  <si>
    <t>A501_B</t>
  </si>
  <si>
    <t>A502_B</t>
  </si>
  <si>
    <t>A503_B1</t>
  </si>
  <si>
    <t>A504_B</t>
  </si>
  <si>
    <t>A505_B</t>
  </si>
  <si>
    <t>A506_B1</t>
  </si>
  <si>
    <t>A507_B</t>
  </si>
  <si>
    <t>A508_B</t>
  </si>
  <si>
    <t>A509_B</t>
  </si>
  <si>
    <t>A510_B</t>
  </si>
  <si>
    <t>A601_B</t>
  </si>
  <si>
    <t>A602_B</t>
  </si>
  <si>
    <t>A603_B</t>
  </si>
  <si>
    <t>A604_B</t>
  </si>
  <si>
    <t>A605_B</t>
  </si>
  <si>
    <t>A606_B</t>
  </si>
  <si>
    <t>A607_B</t>
  </si>
  <si>
    <t>A608_B</t>
  </si>
  <si>
    <t>A609_B</t>
  </si>
  <si>
    <t>A610_B</t>
  </si>
  <si>
    <t>A402_B2</t>
  </si>
  <si>
    <t>A503_B2</t>
  </si>
  <si>
    <t>A506_B2</t>
  </si>
  <si>
    <t>08_B</t>
  </si>
  <si>
    <t>07_B</t>
  </si>
  <si>
    <t>06_B</t>
  </si>
  <si>
    <t>05_B</t>
  </si>
  <si>
    <t>4-DaHall 1-PDU-13</t>
    <phoneticPr fontId="14" type="noConversion"/>
  </si>
  <si>
    <t>A701_A1</t>
    <phoneticPr fontId="14" type="noConversion"/>
  </si>
  <si>
    <t>A701_A2</t>
    <phoneticPr fontId="14" type="noConversion"/>
  </si>
  <si>
    <t>A702_A1</t>
    <phoneticPr fontId="14" type="noConversion"/>
  </si>
  <si>
    <t>A702_A2</t>
    <phoneticPr fontId="14" type="noConversion"/>
  </si>
  <si>
    <t>A703_A</t>
    <phoneticPr fontId="14" type="noConversion"/>
  </si>
  <si>
    <t>A704_A</t>
    <phoneticPr fontId="14" type="noConversion"/>
  </si>
  <si>
    <t>A705_A</t>
    <phoneticPr fontId="14" type="noConversion"/>
  </si>
  <si>
    <t>A706_A1</t>
    <phoneticPr fontId="14" type="noConversion"/>
  </si>
  <si>
    <t>A707_A</t>
    <phoneticPr fontId="14" type="noConversion"/>
  </si>
  <si>
    <t>A708_A</t>
    <phoneticPr fontId="14" type="noConversion"/>
  </si>
  <si>
    <t>A709_A</t>
    <phoneticPr fontId="14" type="noConversion"/>
  </si>
  <si>
    <t>A710_A</t>
    <phoneticPr fontId="14" type="noConversion"/>
  </si>
  <si>
    <t>A801_A</t>
    <phoneticPr fontId="14" type="noConversion"/>
  </si>
  <si>
    <t>A802_A</t>
    <phoneticPr fontId="14" type="noConversion"/>
  </si>
  <si>
    <t>A803_A</t>
    <phoneticPr fontId="14" type="noConversion"/>
  </si>
  <si>
    <t>A805_A1</t>
    <phoneticPr fontId="14" type="noConversion"/>
  </si>
  <si>
    <t>A805_A2</t>
    <phoneticPr fontId="14" type="noConversion"/>
  </si>
  <si>
    <t>A806_A1</t>
    <phoneticPr fontId="14" type="noConversion"/>
  </si>
  <si>
    <t>A807_A</t>
    <phoneticPr fontId="14" type="noConversion"/>
  </si>
  <si>
    <t>A808_A</t>
    <phoneticPr fontId="14" type="noConversion"/>
  </si>
  <si>
    <t>A809_A</t>
    <phoneticPr fontId="14" type="noConversion"/>
  </si>
  <si>
    <t>A810_A</t>
    <phoneticPr fontId="14" type="noConversion"/>
  </si>
  <si>
    <t>A901_A</t>
    <phoneticPr fontId="14" type="noConversion"/>
  </si>
  <si>
    <t>A907_A2</t>
    <phoneticPr fontId="14" type="noConversion"/>
  </si>
  <si>
    <t>A902_A</t>
    <phoneticPr fontId="14" type="noConversion"/>
  </si>
  <si>
    <t>A903_A</t>
    <phoneticPr fontId="14" type="noConversion"/>
  </si>
  <si>
    <t>A904_A</t>
    <phoneticPr fontId="14" type="noConversion"/>
  </si>
  <si>
    <t>A905_A</t>
    <phoneticPr fontId="14" type="noConversion"/>
  </si>
  <si>
    <t>A906_A</t>
    <phoneticPr fontId="14" type="noConversion"/>
  </si>
  <si>
    <t>A907_A1</t>
    <phoneticPr fontId="14" type="noConversion"/>
  </si>
  <si>
    <t>A908_A</t>
    <phoneticPr fontId="14" type="noConversion"/>
  </si>
  <si>
    <t>A909_A</t>
    <phoneticPr fontId="14" type="noConversion"/>
  </si>
  <si>
    <t>A910_A</t>
    <phoneticPr fontId="14" type="noConversion"/>
  </si>
  <si>
    <t>A706_A2</t>
    <phoneticPr fontId="14" type="noConversion"/>
  </si>
  <si>
    <t>A806_A2</t>
    <phoneticPr fontId="14" type="noConversion"/>
  </si>
  <si>
    <t>04_A</t>
    <phoneticPr fontId="14" type="noConversion"/>
  </si>
  <si>
    <t>03_A</t>
    <phoneticPr fontId="14" type="noConversion"/>
  </si>
  <si>
    <t>02_A</t>
    <phoneticPr fontId="14" type="noConversion"/>
  </si>
  <si>
    <t>01_A</t>
    <phoneticPr fontId="14" type="noConversion"/>
  </si>
  <si>
    <t>4-DaHall 1-PDU-14</t>
    <phoneticPr fontId="14" type="noConversion"/>
  </si>
  <si>
    <t>A701_B1</t>
  </si>
  <si>
    <t>A701_B2</t>
  </si>
  <si>
    <t>A702_B1</t>
  </si>
  <si>
    <t>A702_B2</t>
  </si>
  <si>
    <t>A703_B</t>
  </si>
  <si>
    <t>A704_B</t>
  </si>
  <si>
    <t>A705_B</t>
  </si>
  <si>
    <t>A706_B1</t>
  </si>
  <si>
    <t>A707_B</t>
  </si>
  <si>
    <t>A708_B</t>
  </si>
  <si>
    <t>A709_B</t>
  </si>
  <si>
    <t>A710_B</t>
  </si>
  <si>
    <t>A801_B</t>
  </si>
  <si>
    <t>A802_B</t>
  </si>
  <si>
    <t>A803_B</t>
  </si>
  <si>
    <t>A805_B1</t>
  </si>
  <si>
    <t>A805_B2</t>
  </si>
  <si>
    <t>A806_B1</t>
  </si>
  <si>
    <t>A807_B</t>
  </si>
  <si>
    <t>A808_B</t>
  </si>
  <si>
    <t>A809_B</t>
  </si>
  <si>
    <t>A810_B</t>
  </si>
  <si>
    <t>A901_B</t>
  </si>
  <si>
    <t>A907_B2</t>
  </si>
  <si>
    <t>A902_B</t>
  </si>
  <si>
    <t>A903_B</t>
  </si>
  <si>
    <t>A904_B</t>
  </si>
  <si>
    <t>A905_B</t>
  </si>
  <si>
    <t>A906_B</t>
  </si>
  <si>
    <t>A907_B1</t>
  </si>
  <si>
    <t>A908_B</t>
  </si>
  <si>
    <t>A909_B</t>
  </si>
  <si>
    <t>A910_B</t>
  </si>
  <si>
    <t>A706_B2</t>
  </si>
  <si>
    <t>A806_B2</t>
  </si>
  <si>
    <t>04_B</t>
  </si>
  <si>
    <t>03_B</t>
  </si>
  <si>
    <t>02_B</t>
  </si>
  <si>
    <t>01_B</t>
  </si>
  <si>
    <t>Main CB   3P 125A</t>
    <phoneticPr fontId="14" type="noConversion"/>
  </si>
  <si>
    <t>A404_A2</t>
    <phoneticPr fontId="14" type="noConversion"/>
  </si>
  <si>
    <t>A404_B2</t>
    <phoneticPr fontId="14" type="noConversion"/>
  </si>
  <si>
    <t>A406_A2</t>
    <phoneticPr fontId="14" type="noConversion"/>
  </si>
  <si>
    <t>A406_B2</t>
    <phoneticPr fontId="14" type="noConversion"/>
  </si>
  <si>
    <t>A408_A2</t>
    <phoneticPr fontId="14" type="noConversion"/>
  </si>
  <si>
    <t>A408_B2</t>
    <phoneticPr fontId="14" type="noConversion"/>
  </si>
  <si>
    <t>A804_A</t>
    <phoneticPr fontId="14" type="noConversion"/>
  </si>
  <si>
    <t>A804_B</t>
    <phoneticPr fontId="14" type="noConversion"/>
  </si>
  <si>
    <t>A401</t>
    <phoneticPr fontId="14" type="noConversion"/>
  </si>
  <si>
    <t>GS ITM</t>
    <phoneticPr fontId="14" type="noConversion"/>
  </si>
  <si>
    <t>A403</t>
  </si>
  <si>
    <t>GS ITM</t>
  </si>
  <si>
    <t>미계약</t>
    <phoneticPr fontId="14" type="noConversion"/>
  </si>
  <si>
    <t>A404</t>
  </si>
  <si>
    <t>A405</t>
  </si>
  <si>
    <t>A406</t>
  </si>
  <si>
    <t>A407</t>
  </si>
  <si>
    <t>A408</t>
  </si>
  <si>
    <t>A409</t>
  </si>
  <si>
    <t>A410</t>
  </si>
  <si>
    <t>A505</t>
  </si>
  <si>
    <t>A509</t>
  </si>
  <si>
    <t>A607</t>
  </si>
  <si>
    <t>A609</t>
  </si>
  <si>
    <t>A701</t>
    <phoneticPr fontId="14" type="noConversion"/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</si>
  <si>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</si>
  <si>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</si>
  <si>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</si>
  <si>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</si>
  <si>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</si>
  <si>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</si>
  <si>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</si>
  <si>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</si>
  <si>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</si>
  <si>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A801</t>
    <phoneticPr fontId="14" type="noConversion"/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</si>
  <si>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</si>
  <si>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</si>
  <si>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</si>
  <si>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</si>
  <si>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</si>
  <si>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</si>
  <si>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</si>
  <si>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</si>
  <si>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</si>
  <si>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A901</t>
    <phoneticPr fontId="14" type="noConversion"/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</si>
  <si>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</si>
  <si>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</si>
  <si>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</si>
  <si>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</si>
  <si>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</si>
  <si>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</si>
  <si>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</si>
  <si>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</si>
  <si>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</si>
  <si>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=INDEX('각층분기별_유효전력최대(전월)'!C4:C2020,MATCH(1,("4-DaHall 1-PDU-04"='각층분기별_유효전력최대(전월)'!A4:A2020)*("[branch#006] [A] W"='각층분기별_유효전력최대(전월)'!B4:B2020),0))+INDEX('각층분기별_유효전력최대(전월)'!C4:C2020,MATCH(1,("4-DaHall 1-PDU-03"='각층분기별_유효전력최대(전월)'!A4:A2020)*("[branch#006] [A] W"='각층분기별_유효전력최대(전월)'!B4:B2020),0))</t>
    <phoneticPr fontId="14" type="noConversion"/>
  </si>
  <si>
    <t>4-CRACRm-CEP-01</t>
  </si>
  <si>
    <t>0155 [branch#01] [A] W</t>
  </si>
  <si>
    <t>5-CRACRm-CEP-01</t>
  </si>
  <si>
    <t>0295 [branch#02] [A] W</t>
  </si>
  <si>
    <t>0435 [branch#03] [A] W</t>
  </si>
  <si>
    <t>0575 [branch#04] [A] W</t>
  </si>
  <si>
    <t>4-CRACRm-CEP-02</t>
  </si>
  <si>
    <t>5-CRACRm-CEP-02</t>
  </si>
  <si>
    <t>4-DaHall 1-CEP-05</t>
  </si>
  <si>
    <t>0715 [branch#05] [A] W</t>
  </si>
  <si>
    <t>0855 [branch#06] [A] W</t>
  </si>
  <si>
    <t>0995 [branch#07] [A] W</t>
  </si>
  <si>
    <t>1135 [branch#08] [A] W</t>
  </si>
  <si>
    <t>1275 [branch#09] [A] W</t>
  </si>
  <si>
    <t>1415 [branch#10] [A] W</t>
  </si>
  <si>
    <t>1555 [branch#11] [A] W</t>
  </si>
  <si>
    <t>1695 [branch#12] [A] W</t>
  </si>
  <si>
    <t>[branch#068] [A] W</t>
  </si>
  <si>
    <t>[branch#069] [A] W</t>
  </si>
  <si>
    <t>[branch#070] [A] W</t>
  </si>
  <si>
    <t>[branch#071] [A] W</t>
  </si>
  <si>
    <t>[branch#072] [A] W</t>
  </si>
  <si>
    <t>[branch#073] [A] W</t>
  </si>
  <si>
    <t>[branch#074] [A] W</t>
  </si>
  <si>
    <t>[branch#075] [A] W</t>
  </si>
  <si>
    <t>[branch#076] [A] W</t>
  </si>
  <si>
    <t>[branch#077] [A] W</t>
  </si>
  <si>
    <t>[branch#078] [A] W</t>
  </si>
  <si>
    <t>[branch#079] [A] W</t>
  </si>
  <si>
    <t>[branch#080] [A] W</t>
  </si>
  <si>
    <t>4-DaHall 1-RPP-01</t>
  </si>
  <si>
    <t>4-DaHall 1-RPP-02</t>
  </si>
  <si>
    <t>4-EPS-CEP-06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</si>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</sst>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#,##0.00&quot; ㎾&quot;"/>
    <numFmt numFmtId="203" formatCode="_-* #,##0.0&quot;kVA&quot;"/>
  </numFmts>
  <fonts count="116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  <font>
      <b/>
      <sz val="11"/>
      <color rgb="FF4F81BD"/>
      <name val="돋움"/>
      <family val="3"/>
      <charset val="129"/>
    </font>
    <font>
      <b/>
      <sz val="8"/>
      <color rgb="FFF2F2F2"/>
      <name val="Noto Sans"/>
      <family val="2"/>
    </font>
    <font>
      <b/>
      <sz val="8"/>
      <color rgb="FF010028"/>
      <name val="Noto Sans"/>
      <family val="2"/>
    </font>
    <font>
      <sz val="8"/>
      <color rgb="FF000000"/>
      <name val="Noto Sans"/>
      <family val="2"/>
    </font>
    <font>
      <sz val="9"/>
      <color rgb="FF010028"/>
      <name val="Noto Sans"/>
      <family val="2"/>
    </font>
    <font>
      <b/>
      <sz val="9"/>
      <color rgb="FF010028"/>
      <name val="Noto Sans"/>
      <family val="2"/>
    </font>
    <font>
      <b/>
      <sz val="9"/>
      <color rgb="FFFFFFFF"/>
      <name val="Noto Sans"/>
      <family val="2"/>
    </font>
  </fonts>
  <fills count="4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79646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042AA6"/>
        <bgColor indexed="64"/>
      </patternFill>
    </fill>
  </fills>
  <borders count="542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/>
      <bottom/>
      <diagonal/>
    </border>
    <border>
      <left/>
      <right style="thick">
        <color rgb="FF0000CC"/>
      </right>
      <top style="thin">
        <color indexed="64"/>
      </top>
      <bottom style="double">
        <color indexed="64"/>
      </bottom>
      <diagonal/>
    </border>
    <border>
      <left/>
      <right style="thick">
        <color rgb="FF0000CC"/>
      </right>
      <top style="double">
        <color indexed="64"/>
      </top>
      <bottom/>
      <diagonal/>
    </border>
    <border>
      <left/>
      <right style="thick">
        <color rgb="FF0000CC"/>
      </right>
      <top/>
      <bottom style="double">
        <color indexed="64"/>
      </bottom>
      <diagonal/>
    </border>
    <border diagonalUp="1">
      <left/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/>
      <right style="thick">
        <color rgb="FF0000CC"/>
      </right>
      <top/>
      <bottom/>
      <diagonal style="thin">
        <color indexed="64"/>
      </diagonal>
    </border>
    <border diagonalUp="1">
      <left/>
      <right style="thick">
        <color rgb="FF0000CC"/>
      </right>
      <top/>
      <bottom style="double">
        <color indexed="64"/>
      </bottom>
      <diagonal style="thin">
        <color indexed="64"/>
      </diagonal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ck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/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 style="thin">
        <color indexed="64"/>
      </top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 style="double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ck">
        <color rgb="FF0000CC"/>
      </top>
      <bottom/>
      <diagonal/>
    </border>
    <border>
      <left/>
      <right style="thick">
        <color rgb="FF0000CC"/>
      </right>
      <top/>
      <bottom style="medium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/>
      <right style="thick">
        <color rgb="FF0000CC"/>
      </right>
      <top style="double">
        <color indexed="64"/>
      </top>
      <bottom style="thick">
        <color rgb="FF0000CC"/>
      </bottom>
      <diagonal/>
    </border>
    <border diagonalUp="1"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thick">
        <color rgb="FF0000CC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ck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ck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medium">
        <color indexed="64"/>
      </right>
      <top style="medium">
        <color rgb="FF000000"/>
      </top>
      <bottom/>
      <diagonal/>
    </border>
    <border>
      <left/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rgb="FF000000"/>
      </bottom>
      <diagonal/>
    </border>
    <border>
      <left style="thick">
        <color rgb="FF0000CC"/>
      </left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medium">
        <color indexed="64"/>
      </right>
      <top/>
      <bottom style="medium">
        <color rgb="FF000000"/>
      </bottom>
      <diagonal/>
    </border>
    <border>
      <left/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/>
      <diagonal/>
    </border>
    <border>
      <left/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/>
      <bottom/>
      <diagonal/>
    </border>
    <border>
      <left style="medium">
        <color rgb="FF042AA6"/>
      </left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/>
      <top style="medium">
        <color rgb="FF042AA6"/>
      </top>
      <bottom/>
      <diagonal/>
    </border>
    <border>
      <left/>
      <right/>
      <top style="medium">
        <color rgb="FF042AA6"/>
      </top>
      <bottom/>
      <diagonal/>
    </border>
    <border>
      <left/>
      <right style="medium">
        <color rgb="FF042AA6"/>
      </right>
      <top style="medium">
        <color rgb="FF042AA6"/>
      </top>
      <bottom/>
      <diagonal/>
    </border>
    <border>
      <left style="medium">
        <color rgb="FF042AA6"/>
      </left>
      <right/>
      <top/>
      <bottom style="medium">
        <color rgb="FF042AA6"/>
      </bottom>
      <diagonal/>
    </border>
    <border>
      <left/>
      <right/>
      <top/>
      <bottom style="medium">
        <color rgb="FF042AA6"/>
      </bottom>
      <diagonal/>
    </border>
    <border>
      <left/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/>
      <top/>
      <bottom style="medium">
        <color indexed="64"/>
      </bottom>
      <diagonal/>
    </border>
    <border>
      <left/>
      <right style="medium">
        <color rgb="FF042AA6"/>
      </right>
      <top/>
      <bottom style="medium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 style="thin">
        <color auto="1"/>
      </bottom>
      <diagonal/>
    </border>
    <border>
      <left style="thick">
        <color rgb="FF0000CC"/>
      </left>
      <right style="double">
        <color indexed="64"/>
      </right>
      <top style="thin">
        <color auto="1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</borders>
  <cellStyleXfs count="13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/>
    <xf numFmtId="0" fontId="36" fillId="0" borderId="0"/>
    <xf numFmtId="41" fontId="36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</cellStyleXfs>
  <cellXfs count="403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6" fillId="0" borderId="0" xfId="0" applyFont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80" fontId="16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180" fontId="16" fillId="0" borderId="18" xfId="0" applyNumberFormat="1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/>
    </xf>
    <xf numFmtId="0" fontId="15" fillId="0" borderId="16" xfId="0" quotePrefix="1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6" fillId="0" borderId="21" xfId="0" applyNumberFormat="1" applyFont="1" applyBorder="1" applyAlignment="1">
      <alignment horizontal="center" vertical="center" wrapText="1"/>
    </xf>
    <xf numFmtId="0" fontId="15" fillId="0" borderId="22" xfId="0" quotePrefix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6" fillId="0" borderId="25" xfId="0" applyNumberFormat="1" applyFont="1" applyBorder="1" applyAlignment="1">
      <alignment horizontal="center" vertical="center" wrapText="1"/>
    </xf>
    <xf numFmtId="0" fontId="15" fillId="0" borderId="26" xfId="0" quotePrefix="1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6" fillId="0" borderId="28" xfId="0" applyNumberFormat="1" applyFont="1" applyBorder="1" applyAlignment="1">
      <alignment horizontal="center" vertical="center" wrapText="1"/>
    </xf>
    <xf numFmtId="0" fontId="15" fillId="0" borderId="29" xfId="0" quotePrefix="1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5" fillId="0" borderId="1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5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9" fillId="0" borderId="0" xfId="0" applyFont="1">
      <alignment vertical="center"/>
    </xf>
    <xf numFmtId="178" fontId="22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5" fillId="2" borderId="32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177" fontId="16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 wrapText="1"/>
    </xf>
    <xf numFmtId="177" fontId="16" fillId="0" borderId="15" xfId="0" applyNumberFormat="1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180" fontId="16" fillId="0" borderId="41" xfId="0" applyNumberFormat="1" applyFont="1" applyBorder="1" applyAlignment="1">
      <alignment horizontal="center" vertical="center" wrapText="1"/>
    </xf>
    <xf numFmtId="177" fontId="16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77" fontId="16" fillId="0" borderId="25" xfId="0" applyNumberFormat="1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 wrapText="1"/>
    </xf>
    <xf numFmtId="0" fontId="15" fillId="0" borderId="45" xfId="0" quotePrefix="1" applyFont="1" applyBorder="1" applyAlignment="1">
      <alignment horizontal="center" vertical="center"/>
    </xf>
    <xf numFmtId="0" fontId="15" fillId="0" borderId="43" xfId="0" quotePrefix="1" applyFont="1" applyBorder="1" applyAlignment="1">
      <alignment horizontal="center" vertical="center"/>
    </xf>
    <xf numFmtId="0" fontId="15" fillId="0" borderId="42" xfId="0" quotePrefix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180" fontId="16" fillId="0" borderId="47" xfId="0" applyNumberFormat="1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177" fontId="16" fillId="0" borderId="47" xfId="0" applyNumberFormat="1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wrapText="1"/>
    </xf>
    <xf numFmtId="180" fontId="16" fillId="0" borderId="11" xfId="0" applyNumberFormat="1" applyFont="1" applyBorder="1" applyAlignment="1">
      <alignment horizontal="center" vertical="center" wrapText="1"/>
    </xf>
    <xf numFmtId="177" fontId="16" fillId="0" borderId="11" xfId="0" applyNumberFormat="1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/>
    </xf>
    <xf numFmtId="177" fontId="16" fillId="0" borderId="18" xfId="0" applyNumberFormat="1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/>
    </xf>
    <xf numFmtId="177" fontId="16" fillId="0" borderId="21" xfId="0" applyNumberFormat="1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5" fillId="0" borderId="37" xfId="0" quotePrefix="1" applyFont="1" applyBorder="1" applyAlignment="1">
      <alignment horizontal="center" vertical="center"/>
    </xf>
    <xf numFmtId="0" fontId="15" fillId="0" borderId="54" xfId="0" quotePrefix="1" applyFont="1" applyBorder="1" applyAlignment="1">
      <alignment horizontal="center" vertical="center"/>
    </xf>
    <xf numFmtId="0" fontId="15" fillId="0" borderId="55" xfId="0" quotePrefix="1" applyFont="1" applyBorder="1" applyAlignment="1">
      <alignment horizontal="center" vertical="center"/>
    </xf>
    <xf numFmtId="0" fontId="15" fillId="0" borderId="48" xfId="0" quotePrefix="1" applyFont="1" applyBorder="1" applyAlignment="1">
      <alignment horizontal="center" vertical="center"/>
    </xf>
    <xf numFmtId="0" fontId="15" fillId="0" borderId="49" xfId="0" quotePrefix="1" applyFont="1" applyBorder="1" applyAlignment="1">
      <alignment horizontal="center" vertical="center"/>
    </xf>
    <xf numFmtId="0" fontId="15" fillId="0" borderId="51" xfId="0" quotePrefix="1" applyFont="1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16" fillId="0" borderId="20" xfId="0" applyFont="1" applyBorder="1" applyAlignment="1">
      <alignment horizontal="center" vertical="center"/>
    </xf>
    <xf numFmtId="0" fontId="15" fillId="0" borderId="59" xfId="0" quotePrefix="1" applyFont="1" applyBorder="1" applyAlignment="1">
      <alignment horizontal="center" vertical="center"/>
    </xf>
    <xf numFmtId="0" fontId="15" fillId="0" borderId="60" xfId="0" quotePrefix="1" applyFont="1" applyBorder="1" applyAlignment="1">
      <alignment horizontal="center" vertical="center"/>
    </xf>
    <xf numFmtId="0" fontId="16" fillId="0" borderId="61" xfId="0" applyFont="1" applyBorder="1" applyAlignment="1">
      <alignment horizontal="center" vertical="center" wrapText="1"/>
    </xf>
    <xf numFmtId="0" fontId="16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3" fillId="0" borderId="0" xfId="0" applyNumberFormat="1" applyFont="1" applyAlignment="1">
      <alignment horizontal="center" vertical="center" wrapText="1"/>
    </xf>
    <xf numFmtId="181" fontId="23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5" fillId="2" borderId="7" xfId="0" applyNumberFormat="1" applyFont="1" applyFill="1" applyBorder="1" applyAlignment="1">
      <alignment horizontal="center" vertical="center"/>
    </xf>
    <xf numFmtId="181" fontId="15" fillId="2" borderId="8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5" fillId="2" borderId="53" xfId="0" applyNumberFormat="1" applyFont="1" applyFill="1" applyBorder="1" applyAlignment="1">
      <alignment horizontal="center" vertical="center"/>
    </xf>
    <xf numFmtId="181" fontId="15" fillId="2" borderId="32" xfId="0" applyNumberFormat="1" applyFont="1" applyFill="1" applyBorder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3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5" fillId="0" borderId="34" xfId="0" applyNumberFormat="1" applyFont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7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5" fillId="0" borderId="37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28" fillId="0" borderId="11" xfId="0" applyNumberFormat="1" applyFont="1" applyBorder="1" applyAlignment="1">
      <alignment horizontal="center" vertical="center"/>
    </xf>
    <xf numFmtId="181" fontId="13" fillId="0" borderId="16" xfId="0" applyNumberFormat="1" applyFont="1" applyBorder="1" applyAlignment="1">
      <alignment horizontal="center" vertical="center" wrapText="1"/>
    </xf>
    <xf numFmtId="181" fontId="15" fillId="0" borderId="37" xfId="0" quotePrefix="1" applyNumberFormat="1" applyFont="1" applyBorder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 wrapText="1"/>
    </xf>
    <xf numFmtId="181" fontId="13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3" fillId="0" borderId="18" xfId="0" applyNumberFormat="1" applyFont="1" applyBorder="1" applyAlignment="1">
      <alignment horizontal="center" vertical="center" wrapText="1"/>
    </xf>
    <xf numFmtId="181" fontId="15" fillId="0" borderId="54" xfId="0" quotePrefix="1" applyNumberFormat="1" applyFont="1" applyBorder="1" applyAlignment="1">
      <alignment horizontal="center" vertical="center"/>
    </xf>
    <xf numFmtId="181" fontId="15" fillId="0" borderId="55" xfId="0" quotePrefix="1" applyNumberFormat="1" applyFon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 wrapText="1"/>
    </xf>
    <xf numFmtId="181" fontId="28" fillId="0" borderId="15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 wrapText="1"/>
    </xf>
    <xf numFmtId="181" fontId="15" fillId="0" borderId="42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 wrapText="1"/>
    </xf>
    <xf numFmtId="181" fontId="15" fillId="0" borderId="48" xfId="0" quotePrefix="1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 wrapText="1"/>
    </xf>
    <xf numFmtId="181" fontId="15" fillId="0" borderId="51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28" fillId="0" borderId="25" xfId="0" applyNumberFormat="1" applyFont="1" applyBorder="1" applyAlignment="1">
      <alignment horizontal="center" vertical="center"/>
    </xf>
    <xf numFmtId="181" fontId="28" fillId="0" borderId="18" xfId="0" applyNumberFormat="1" applyFont="1" applyBorder="1" applyAlignment="1">
      <alignment horizontal="center" vertical="center"/>
    </xf>
    <xf numFmtId="181" fontId="15" fillId="0" borderId="48" xfId="0" applyNumberFormat="1" applyFont="1" applyBorder="1" applyAlignment="1">
      <alignment horizontal="center" vertical="center"/>
    </xf>
    <xf numFmtId="181" fontId="15" fillId="0" borderId="49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28" fillId="0" borderId="41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28" fillId="0" borderId="47" xfId="0" applyNumberFormat="1" applyFont="1" applyBorder="1" applyAlignment="1">
      <alignment horizontal="center" vertical="center"/>
    </xf>
    <xf numFmtId="181" fontId="15" fillId="0" borderId="55" xfId="0" applyNumberFormat="1" applyFont="1" applyBorder="1" applyAlignment="1">
      <alignment horizontal="center" vertical="center"/>
    </xf>
    <xf numFmtId="181" fontId="15" fillId="0" borderId="51" xfId="0" applyNumberFormat="1" applyFont="1" applyBorder="1" applyAlignment="1">
      <alignment horizontal="center" vertical="center"/>
    </xf>
    <xf numFmtId="181" fontId="15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8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8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8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8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176" fontId="16" fillId="0" borderId="103" xfId="2" applyNumberFormat="1" applyFont="1" applyBorder="1">
      <alignment vertical="center"/>
    </xf>
    <xf numFmtId="176" fontId="16" fillId="0" borderId="6" xfId="2" applyNumberFormat="1" applyFont="1" applyBorder="1">
      <alignment vertical="center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3" fillId="7" borderId="17" xfId="0" applyNumberFormat="1" applyFont="1" applyFill="1" applyBorder="1" applyAlignment="1">
      <alignment horizontal="center" vertical="center"/>
    </xf>
    <xf numFmtId="181" fontId="13" fillId="7" borderId="24" xfId="0" applyNumberFormat="1" applyFont="1" applyFill="1" applyBorder="1" applyAlignment="1">
      <alignment horizontal="center" vertical="center"/>
    </xf>
    <xf numFmtId="181" fontId="13" fillId="7" borderId="40" xfId="0" applyNumberFormat="1" applyFont="1" applyFill="1" applyBorder="1" applyAlignment="1">
      <alignment horizontal="center" vertical="center"/>
    </xf>
    <xf numFmtId="181" fontId="13" fillId="7" borderId="46" xfId="0" applyNumberFormat="1" applyFont="1" applyFill="1" applyBorder="1" applyAlignment="1">
      <alignment horizontal="center" vertical="center"/>
    </xf>
    <xf numFmtId="176" fontId="32" fillId="0" borderId="6" xfId="2" applyNumberFormat="1" applyFont="1" applyBorder="1">
      <alignment vertical="center"/>
    </xf>
    <xf numFmtId="181" fontId="13" fillId="7" borderId="14" xfId="0" applyNumberFormat="1" applyFont="1" applyFill="1" applyBorder="1" applyAlignment="1">
      <alignment horizontal="center" vertical="center"/>
    </xf>
    <xf numFmtId="181" fontId="27" fillId="7" borderId="16" xfId="0" applyNumberFormat="1" applyFont="1" applyFill="1" applyBorder="1" applyAlignment="1">
      <alignment horizontal="center" vertical="center" wrapText="1"/>
    </xf>
    <xf numFmtId="181" fontId="13" fillId="7" borderId="10" xfId="0" applyNumberFormat="1" applyFont="1" applyFill="1" applyBorder="1" applyAlignment="1">
      <alignment horizontal="center" vertical="center"/>
    </xf>
    <xf numFmtId="0" fontId="16" fillId="7" borderId="14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 wrapText="1"/>
    </xf>
    <xf numFmtId="0" fontId="16" fillId="7" borderId="14" xfId="0" applyFont="1" applyFill="1" applyBorder="1" applyAlignment="1">
      <alignment horizontal="center" vertical="center" wrapText="1"/>
    </xf>
    <xf numFmtId="176" fontId="16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181" fontId="27" fillId="7" borderId="26" xfId="0" applyNumberFormat="1" applyFont="1" applyFill="1" applyBorder="1" applyAlignment="1">
      <alignment horizontal="center" vertical="center" wrapText="1"/>
    </xf>
    <xf numFmtId="181" fontId="27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7" fillId="7" borderId="13" xfId="0" applyNumberFormat="1" applyFont="1" applyFill="1" applyBorder="1" applyAlignment="1">
      <alignment horizontal="center" vertical="center" wrapText="1"/>
    </xf>
    <xf numFmtId="181" fontId="27" fillId="7" borderId="10" xfId="0" applyNumberFormat="1" applyFont="1" applyFill="1" applyBorder="1" applyAlignment="1">
      <alignment horizontal="center" vertical="center"/>
    </xf>
    <xf numFmtId="181" fontId="27" fillId="7" borderId="14" xfId="0" applyNumberFormat="1" applyFont="1" applyFill="1" applyBorder="1" applyAlignment="1">
      <alignment horizontal="center" vertical="center"/>
    </xf>
    <xf numFmtId="181" fontId="27" fillId="7" borderId="44" xfId="0" applyNumberFormat="1" applyFont="1" applyFill="1" applyBorder="1" applyAlignment="1">
      <alignment horizontal="center" vertical="center" wrapText="1"/>
    </xf>
    <xf numFmtId="181" fontId="27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5" fillId="0" borderId="15" xfId="0" applyNumberFormat="1" applyFont="1" applyBorder="1" applyAlignment="1">
      <alignment horizontal="center" vertical="center"/>
    </xf>
    <xf numFmtId="181" fontId="15" fillId="0" borderId="127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35" fillId="0" borderId="18" xfId="0" applyNumberFormat="1" applyFont="1" applyBorder="1" applyAlignment="1">
      <alignment horizontal="center" vertical="center"/>
    </xf>
    <xf numFmtId="181" fontId="35" fillId="0" borderId="11" xfId="0" applyNumberFormat="1" applyFont="1" applyBorder="1" applyAlignment="1">
      <alignment horizontal="center" vertical="center"/>
    </xf>
    <xf numFmtId="181" fontId="35" fillId="0" borderId="25" xfId="0" applyNumberFormat="1" applyFont="1" applyBorder="1" applyAlignment="1">
      <alignment horizontal="center" vertical="center"/>
    </xf>
    <xf numFmtId="181" fontId="15" fillId="0" borderId="130" xfId="0" applyNumberFormat="1" applyFont="1" applyBorder="1" applyAlignment="1">
      <alignment horizontal="center" vertical="center"/>
    </xf>
    <xf numFmtId="181" fontId="15" fillId="0" borderId="131" xfId="0" quotePrefix="1" applyNumberFormat="1" applyFont="1" applyBorder="1" applyAlignment="1">
      <alignment horizontal="center" vertical="center"/>
    </xf>
    <xf numFmtId="181" fontId="15" fillId="5" borderId="34" xfId="0" applyNumberFormat="1" applyFont="1" applyFill="1" applyBorder="1" applyAlignment="1">
      <alignment horizontal="center" vertical="center"/>
    </xf>
    <xf numFmtId="181" fontId="15" fillId="5" borderId="35" xfId="0" applyNumberFormat="1" applyFont="1" applyFill="1" applyBorder="1" applyAlignment="1">
      <alignment horizontal="center" vertical="center"/>
    </xf>
    <xf numFmtId="181" fontId="15" fillId="5" borderId="37" xfId="0" applyNumberFormat="1" applyFont="1" applyFill="1" applyBorder="1" applyAlignment="1">
      <alignment horizontal="center" vertical="center"/>
    </xf>
    <xf numFmtId="181" fontId="15" fillId="5" borderId="38" xfId="0" applyNumberFormat="1" applyFont="1" applyFill="1" applyBorder="1" applyAlignment="1">
      <alignment horizontal="center" vertical="center"/>
    </xf>
    <xf numFmtId="181" fontId="15" fillId="5" borderId="48" xfId="0" applyNumberFormat="1" applyFont="1" applyFill="1" applyBorder="1" applyAlignment="1">
      <alignment horizontal="center" vertical="center"/>
    </xf>
    <xf numFmtId="181" fontId="15" fillId="5" borderId="49" xfId="0" applyNumberFormat="1" applyFont="1" applyFill="1" applyBorder="1" applyAlignment="1">
      <alignment horizontal="center" vertical="center"/>
    </xf>
    <xf numFmtId="181" fontId="15" fillId="5" borderId="51" xfId="0" quotePrefix="1" applyNumberFormat="1" applyFont="1" applyFill="1" applyBorder="1" applyAlignment="1">
      <alignment horizontal="center" vertical="center"/>
    </xf>
    <xf numFmtId="181" fontId="15" fillId="5" borderId="45" xfId="0" applyNumberFormat="1" applyFont="1" applyFill="1" applyBorder="1" applyAlignment="1">
      <alignment horizontal="center" vertical="center"/>
    </xf>
    <xf numFmtId="181" fontId="15" fillId="5" borderId="37" xfId="0" quotePrefix="1" applyNumberFormat="1" applyFont="1" applyFill="1" applyBorder="1" applyAlignment="1">
      <alignment horizontal="center" vertical="center"/>
    </xf>
    <xf numFmtId="181" fontId="15" fillId="5" borderId="42" xfId="0" applyNumberFormat="1" applyFont="1" applyFill="1" applyBorder="1" applyAlignment="1">
      <alignment horizontal="center" vertical="center"/>
    </xf>
    <xf numFmtId="181" fontId="15" fillId="5" borderId="42" xfId="0" quotePrefix="1" applyNumberFormat="1" applyFont="1" applyFill="1" applyBorder="1" applyAlignment="1">
      <alignment horizontal="center" vertical="center"/>
    </xf>
    <xf numFmtId="0" fontId="15" fillId="5" borderId="34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181" fontId="39" fillId="0" borderId="15" xfId="0" applyNumberFormat="1" applyFont="1" applyBorder="1" applyAlignment="1">
      <alignment horizontal="center" vertical="center"/>
    </xf>
    <xf numFmtId="180" fontId="16" fillId="5" borderId="11" xfId="0" applyNumberFormat="1" applyFont="1" applyFill="1" applyBorder="1" applyAlignment="1">
      <alignment horizontal="center" vertical="center"/>
    </xf>
    <xf numFmtId="180" fontId="16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6" fillId="5" borderId="134" xfId="0" applyNumberFormat="1" applyFont="1" applyFill="1" applyBorder="1" applyAlignment="1">
      <alignment horizontal="center" vertical="center"/>
    </xf>
    <xf numFmtId="180" fontId="16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5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5" fillId="0" borderId="127" xfId="0" quotePrefix="1" applyNumberFormat="1" applyFont="1" applyBorder="1" applyAlignment="1">
      <alignment horizontal="center" vertical="center"/>
    </xf>
    <xf numFmtId="181" fontId="15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6" fillId="0" borderId="135" xfId="2" applyNumberFormat="1" applyFont="1" applyBorder="1">
      <alignment vertical="center"/>
    </xf>
    <xf numFmtId="176" fontId="16" fillId="0" borderId="136" xfId="2" applyNumberFormat="1" applyFont="1" applyBorder="1">
      <alignment vertical="center"/>
    </xf>
    <xf numFmtId="176" fontId="16" fillId="0" borderId="136" xfId="2" applyNumberFormat="1" applyFont="1" applyFill="1" applyBorder="1">
      <alignment vertical="center"/>
    </xf>
    <xf numFmtId="0" fontId="15" fillId="0" borderId="135" xfId="0" applyFont="1" applyBorder="1" applyAlignment="1">
      <alignment horizontal="center" vertical="center"/>
    </xf>
    <xf numFmtId="176" fontId="17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3" fillId="0" borderId="41" xfId="0" applyNumberFormat="1" applyFont="1" applyBorder="1" applyAlignment="1">
      <alignment horizontal="center" vertical="center"/>
    </xf>
    <xf numFmtId="180" fontId="16" fillId="8" borderId="18" xfId="0" applyNumberFormat="1" applyFont="1" applyFill="1" applyBorder="1" applyAlignment="1">
      <alignment horizontal="center" vertical="center" wrapText="1"/>
    </xf>
    <xf numFmtId="180" fontId="16" fillId="8" borderId="11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 wrapText="1"/>
    </xf>
    <xf numFmtId="180" fontId="16" fillId="8" borderId="25" xfId="0" applyNumberFormat="1" applyFont="1" applyFill="1" applyBorder="1" applyAlignment="1">
      <alignment horizontal="center" vertical="center" wrapText="1"/>
    </xf>
    <xf numFmtId="181" fontId="13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3" fillId="8" borderId="18" xfId="0" applyNumberFormat="1" applyFont="1" applyFill="1" applyBorder="1" applyAlignment="1">
      <alignment horizontal="center" vertical="center" wrapText="1"/>
    </xf>
    <xf numFmtId="0" fontId="21" fillId="0" borderId="0" xfId="9" applyFont="1">
      <alignment vertical="center"/>
    </xf>
    <xf numFmtId="0" fontId="12" fillId="0" borderId="0" xfId="9">
      <alignment vertical="center"/>
    </xf>
    <xf numFmtId="0" fontId="19" fillId="0" borderId="0" xfId="9" applyFont="1">
      <alignment vertical="center"/>
    </xf>
    <xf numFmtId="0" fontId="12" fillId="0" borderId="0" xfId="9" applyAlignment="1">
      <alignment horizontal="center" vertical="center"/>
    </xf>
    <xf numFmtId="0" fontId="12" fillId="0" borderId="0" xfId="9" applyAlignment="1">
      <alignment horizontal="right" vertical="center" wrapText="1"/>
    </xf>
    <xf numFmtId="178" fontId="22" fillId="0" borderId="0" xfId="9" applyNumberFormat="1" applyFont="1" applyAlignment="1">
      <alignment horizontal="center" vertical="center" wrapText="1"/>
    </xf>
    <xf numFmtId="0" fontId="16" fillId="0" borderId="0" xfId="9" applyFont="1" applyAlignment="1">
      <alignment horizontal="center" vertical="center" wrapText="1"/>
    </xf>
    <xf numFmtId="0" fontId="18" fillId="0" borderId="0" xfId="9" applyFont="1" applyAlignment="1">
      <alignment horizontal="center" vertical="center"/>
    </xf>
    <xf numFmtId="0" fontId="12" fillId="0" borderId="0" xfId="9" applyAlignment="1">
      <alignment vertical="center" wrapText="1"/>
    </xf>
    <xf numFmtId="0" fontId="15" fillId="2" borderId="7" xfId="9" applyFont="1" applyFill="1" applyBorder="1" applyAlignment="1">
      <alignment horizontal="center" vertical="center"/>
    </xf>
    <xf numFmtId="0" fontId="17" fillId="2" borderId="8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5" fillId="2" borderId="32" xfId="9" applyFont="1" applyFill="1" applyBorder="1" applyAlignment="1">
      <alignment horizontal="center" vertical="center"/>
    </xf>
    <xf numFmtId="0" fontId="15" fillId="2" borderId="33" xfId="9" applyFont="1" applyFill="1" applyBorder="1" applyAlignment="1">
      <alignment horizontal="center" vertical="center"/>
    </xf>
    <xf numFmtId="0" fontId="15" fillId="2" borderId="9" xfId="9" applyFont="1" applyFill="1" applyBorder="1" applyAlignment="1">
      <alignment horizontal="center" vertical="center" wrapText="1"/>
    </xf>
    <xf numFmtId="0" fontId="16" fillId="0" borderId="10" xfId="9" applyFont="1" applyBorder="1" applyAlignment="1">
      <alignment horizontal="center" vertical="center"/>
    </xf>
    <xf numFmtId="0" fontId="12" fillId="0" borderId="11" xfId="9" applyBorder="1" applyAlignment="1">
      <alignment horizontal="center" vertical="center"/>
    </xf>
    <xf numFmtId="0" fontId="12" fillId="0" borderId="12" xfId="9" applyBorder="1" applyAlignment="1">
      <alignment horizontal="center" vertical="center"/>
    </xf>
    <xf numFmtId="180" fontId="16" fillId="0" borderId="11" xfId="9" applyNumberFormat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180" fontId="16" fillId="8" borderId="11" xfId="9" applyNumberFormat="1" applyFont="1" applyFill="1" applyBorder="1" applyAlignment="1">
      <alignment horizontal="center" vertical="center"/>
    </xf>
    <xf numFmtId="177" fontId="16" fillId="0" borderId="11" xfId="9" applyNumberFormat="1" applyFont="1" applyBorder="1" applyAlignment="1">
      <alignment horizontal="center" vertical="center"/>
    </xf>
    <xf numFmtId="0" fontId="28" fillId="0" borderId="11" xfId="9" applyFont="1" applyBorder="1" applyAlignment="1">
      <alignment horizontal="center" vertical="center"/>
    </xf>
    <xf numFmtId="0" fontId="12" fillId="0" borderId="36" xfId="9" applyBorder="1" applyAlignment="1">
      <alignment horizontal="center" vertical="center"/>
    </xf>
    <xf numFmtId="0" fontId="16" fillId="0" borderId="14" xfId="9" applyFont="1" applyBorder="1" applyAlignment="1">
      <alignment horizontal="center" vertical="center"/>
    </xf>
    <xf numFmtId="0" fontId="12" fillId="0" borderId="15" xfId="9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 wrapText="1"/>
    </xf>
    <xf numFmtId="177" fontId="16" fillId="0" borderId="15" xfId="9" applyNumberFormat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16" fillId="0" borderId="39" xfId="9" applyFont="1" applyBorder="1" applyAlignment="1">
      <alignment horizontal="center" vertical="center" wrapText="1"/>
    </xf>
    <xf numFmtId="0" fontId="16" fillId="0" borderId="17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177" fontId="16" fillId="0" borderId="15" xfId="9" applyNumberFormat="1" applyFont="1" applyBorder="1" applyAlignment="1">
      <alignment horizontal="center" vertical="center" wrapText="1"/>
    </xf>
    <xf numFmtId="0" fontId="16" fillId="0" borderId="16" xfId="9" applyFont="1" applyBorder="1" applyAlignment="1">
      <alignment horizontal="center" vertical="center" wrapText="1"/>
    </xf>
    <xf numFmtId="0" fontId="16" fillId="0" borderId="14" xfId="9" applyFont="1" applyBorder="1" applyAlignment="1">
      <alignment horizontal="center" vertical="center" wrapText="1"/>
    </xf>
    <xf numFmtId="0" fontId="12" fillId="0" borderId="47" xfId="9" applyBorder="1" applyAlignment="1">
      <alignment horizontal="center" vertical="center"/>
    </xf>
    <xf numFmtId="180" fontId="16" fillId="0" borderId="47" xfId="9" applyNumberFormat="1" applyFont="1" applyBorder="1" applyAlignment="1">
      <alignment horizontal="center" vertical="center" wrapText="1"/>
    </xf>
    <xf numFmtId="177" fontId="16" fillId="0" borderId="47" xfId="9" applyNumberFormat="1" applyFont="1" applyBorder="1" applyAlignment="1">
      <alignment horizontal="center" vertical="center" wrapText="1"/>
    </xf>
    <xf numFmtId="0" fontId="16" fillId="0" borderId="50" xfId="9" applyFont="1" applyBorder="1" applyAlignment="1">
      <alignment horizontal="center" vertical="center" wrapText="1"/>
    </xf>
    <xf numFmtId="180" fontId="16" fillId="0" borderId="11" xfId="9" applyNumberFormat="1" applyFont="1" applyBorder="1" applyAlignment="1">
      <alignment horizontal="center" vertical="center" wrapText="1"/>
    </xf>
    <xf numFmtId="177" fontId="16" fillId="0" borderId="11" xfId="9" applyNumberFormat="1" applyFont="1" applyBorder="1" applyAlignment="1">
      <alignment horizontal="center" vertical="center" wrapText="1"/>
    </xf>
    <xf numFmtId="0" fontId="16" fillId="0" borderId="52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 wrapText="1"/>
    </xf>
    <xf numFmtId="0" fontId="16" fillId="0" borderId="62" xfId="9" applyFont="1" applyBorder="1" applyAlignment="1">
      <alignment horizontal="center" vertical="center" wrapText="1"/>
    </xf>
    <xf numFmtId="0" fontId="16" fillId="0" borderId="20" xfId="9" applyFont="1" applyBorder="1" applyAlignment="1">
      <alignment horizontal="center" vertical="center"/>
    </xf>
    <xf numFmtId="0" fontId="12" fillId="0" borderId="21" xfId="9" applyBorder="1" applyAlignment="1">
      <alignment horizontal="center" vertical="center"/>
    </xf>
    <xf numFmtId="180" fontId="16" fillId="0" borderId="21" xfId="9" applyNumberFormat="1" applyFont="1" applyBorder="1" applyAlignment="1">
      <alignment horizontal="center" vertical="center" wrapText="1"/>
    </xf>
    <xf numFmtId="177" fontId="16" fillId="0" borderId="21" xfId="9" applyNumberFormat="1" applyFont="1" applyBorder="1" applyAlignment="1">
      <alignment horizontal="center" vertical="center" wrapText="1"/>
    </xf>
    <xf numFmtId="0" fontId="16" fillId="0" borderId="63" xfId="9" applyFont="1" applyBorder="1" applyAlignment="1">
      <alignment horizontal="center" vertical="center" wrapText="1"/>
    </xf>
    <xf numFmtId="0" fontId="12" fillId="0" borderId="23" xfId="9" applyBorder="1" applyAlignment="1">
      <alignment horizontal="center" vertical="center"/>
    </xf>
    <xf numFmtId="180" fontId="12" fillId="0" borderId="0" xfId="9" applyNumberFormat="1">
      <alignment vertical="center"/>
    </xf>
    <xf numFmtId="0" fontId="16" fillId="0" borderId="19" xfId="9" applyFont="1" applyBorder="1" applyAlignment="1">
      <alignment horizontal="center" vertical="center" wrapText="1"/>
    </xf>
    <xf numFmtId="0" fontId="16" fillId="0" borderId="64" xfId="9" applyFont="1" applyBorder="1" applyAlignment="1">
      <alignment horizontal="center" vertical="center"/>
    </xf>
    <xf numFmtId="0" fontId="12" fillId="0" borderId="18" xfId="9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180" fontId="16" fillId="0" borderId="18" xfId="9" applyNumberFormat="1" applyFont="1" applyBorder="1" applyAlignment="1">
      <alignment horizontal="center" vertical="center" wrapText="1"/>
    </xf>
    <xf numFmtId="180" fontId="16" fillId="8" borderId="18" xfId="9" applyNumberFormat="1" applyFont="1" applyFill="1" applyBorder="1" applyAlignment="1">
      <alignment horizontal="center" vertical="center" wrapText="1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177" fontId="16" fillId="0" borderId="18" xfId="9" applyNumberFormat="1" applyFont="1" applyBorder="1" applyAlignment="1">
      <alignment horizontal="center" vertical="center" wrapText="1"/>
    </xf>
    <xf numFmtId="0" fontId="16" fillId="0" borderId="44" xfId="9" applyFont="1" applyBorder="1" applyAlignment="1">
      <alignment horizontal="center" vertical="center" wrapText="1"/>
    </xf>
    <xf numFmtId="0" fontId="16" fillId="0" borderId="36" xfId="9" applyFont="1" applyBorder="1" applyAlignment="1">
      <alignment horizontal="center" vertical="center" wrapText="1"/>
    </xf>
    <xf numFmtId="0" fontId="12" fillId="0" borderId="41" xfId="9" applyBorder="1" applyAlignment="1">
      <alignment horizontal="center" vertical="center"/>
    </xf>
    <xf numFmtId="0" fontId="28" fillId="0" borderId="41" xfId="9" applyFont="1" applyBorder="1" applyAlignment="1">
      <alignment horizontal="center" vertical="center"/>
    </xf>
    <xf numFmtId="180" fontId="16" fillId="0" borderId="41" xfId="9" applyNumberFormat="1" applyFont="1" applyBorder="1" applyAlignment="1">
      <alignment horizontal="center" vertical="center" wrapText="1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177" fontId="16" fillId="0" borderId="41" xfId="9" applyNumberFormat="1" applyFont="1" applyBorder="1" applyAlignment="1">
      <alignment horizontal="center" vertical="center" wrapText="1"/>
    </xf>
    <xf numFmtId="0" fontId="12" fillId="0" borderId="62" xfId="9" applyBorder="1">
      <alignment vertical="center"/>
    </xf>
    <xf numFmtId="0" fontId="16" fillId="0" borderId="24" xfId="9" applyFont="1" applyBorder="1" applyAlignment="1">
      <alignment horizontal="center" vertical="center"/>
    </xf>
    <xf numFmtId="0" fontId="12" fillId="0" borderId="25" xfId="9" applyBorder="1" applyAlignment="1">
      <alignment horizontal="center" vertical="center"/>
    </xf>
    <xf numFmtId="180" fontId="16" fillId="0" borderId="25" xfId="9" applyNumberFormat="1" applyFont="1" applyBorder="1" applyAlignment="1">
      <alignment horizontal="center" vertical="center" wrapText="1"/>
    </xf>
    <xf numFmtId="0" fontId="15" fillId="0" borderId="42" xfId="9" applyFont="1" applyBorder="1" applyAlignment="1">
      <alignment horizontal="center" vertical="center"/>
    </xf>
    <xf numFmtId="180" fontId="16" fillId="8" borderId="25" xfId="9" applyNumberFormat="1" applyFont="1" applyFill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 wrapText="1"/>
    </xf>
    <xf numFmtId="0" fontId="28" fillId="0" borderId="25" xfId="9" applyFont="1" applyBorder="1" applyAlignment="1">
      <alignment horizontal="center" vertical="center"/>
    </xf>
    <xf numFmtId="0" fontId="16" fillId="0" borderId="26" xfId="9" applyFont="1" applyBorder="1" applyAlignment="1">
      <alignment horizontal="center" vertical="center" wrapText="1"/>
    </xf>
    <xf numFmtId="0" fontId="16" fillId="0" borderId="65" xfId="9" applyFont="1" applyBorder="1" applyAlignment="1">
      <alignment horizontal="center" vertical="center"/>
    </xf>
    <xf numFmtId="0" fontId="16" fillId="0" borderId="66" xfId="9" applyFont="1" applyBorder="1" applyAlignment="1">
      <alignment horizontal="center" vertical="center" wrapText="1"/>
    </xf>
    <xf numFmtId="0" fontId="15" fillId="0" borderId="43" xfId="9" quotePrefix="1" applyFont="1" applyBorder="1" applyAlignment="1">
      <alignment horizontal="center" vertical="center"/>
    </xf>
    <xf numFmtId="0" fontId="16" fillId="0" borderId="61" xfId="9" applyFont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/>
    </xf>
    <xf numFmtId="0" fontId="24" fillId="0" borderId="17" xfId="9" applyFont="1" applyBorder="1" applyAlignment="1">
      <alignment horizontal="center" vertical="center" wrapText="1"/>
    </xf>
    <xf numFmtId="0" fontId="28" fillId="0" borderId="21" xfId="9" applyFont="1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6" fillId="0" borderId="17" xfId="9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6" fillId="0" borderId="0" xfId="9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180" fontId="16" fillId="0" borderId="0" xfId="9" applyNumberFormat="1" applyFont="1" applyAlignment="1">
      <alignment horizontal="center" vertical="center" wrapText="1"/>
    </xf>
    <xf numFmtId="0" fontId="15" fillId="0" borderId="0" xfId="9" quotePrefix="1" applyFont="1" applyAlignment="1">
      <alignment horizontal="center" vertical="center"/>
    </xf>
    <xf numFmtId="177" fontId="16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2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2" fillId="0" borderId="3" xfId="9" applyBorder="1">
      <alignment vertical="center"/>
    </xf>
    <xf numFmtId="0" fontId="12" fillId="0" borderId="141" xfId="9" applyBorder="1">
      <alignment vertical="center"/>
    </xf>
    <xf numFmtId="0" fontId="12" fillId="0" borderId="142" xfId="9" applyBorder="1">
      <alignment vertical="center"/>
    </xf>
    <xf numFmtId="0" fontId="12" fillId="0" borderId="143" xfId="9" applyBorder="1">
      <alignment vertical="center"/>
    </xf>
    <xf numFmtId="0" fontId="12" fillId="0" borderId="1" xfId="9" applyBorder="1">
      <alignment vertical="center"/>
    </xf>
    <xf numFmtId="0" fontId="12" fillId="0" borderId="144" xfId="9" applyBorder="1">
      <alignment vertical="center"/>
    </xf>
    <xf numFmtId="0" fontId="12" fillId="0" borderId="4" xfId="9" applyBorder="1">
      <alignment vertical="center"/>
    </xf>
    <xf numFmtId="0" fontId="12" fillId="0" borderId="101" xfId="9" applyBorder="1">
      <alignment vertical="center"/>
    </xf>
    <xf numFmtId="0" fontId="12" fillId="0" borderId="102" xfId="9" applyBorder="1">
      <alignment vertical="center"/>
    </xf>
    <xf numFmtId="0" fontId="15" fillId="0" borderId="102" xfId="9" applyFont="1" applyBorder="1" applyAlignment="1">
      <alignment horizontal="center" vertical="center"/>
    </xf>
    <xf numFmtId="0" fontId="12" fillId="0" borderId="115" xfId="9" applyBorder="1" applyAlignment="1">
      <alignment horizontal="center" vertical="center"/>
    </xf>
    <xf numFmtId="0" fontId="12" fillId="0" borderId="138" xfId="9" applyBorder="1">
      <alignment vertical="center"/>
    </xf>
    <xf numFmtId="0" fontId="15" fillId="0" borderId="145" xfId="9" applyFont="1" applyBorder="1" applyAlignment="1">
      <alignment horizontal="center" vertical="center"/>
    </xf>
    <xf numFmtId="0" fontId="12" fillId="0" borderId="145" xfId="9" applyBorder="1">
      <alignment vertical="center"/>
    </xf>
    <xf numFmtId="0" fontId="12" fillId="0" borderId="2" xfId="9" applyBorder="1">
      <alignment vertical="center"/>
    </xf>
    <xf numFmtId="0" fontId="12" fillId="0" borderId="99" xfId="9" applyBorder="1">
      <alignment vertical="center"/>
    </xf>
    <xf numFmtId="49" fontId="16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5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6" fillId="0" borderId="147" xfId="0" applyFont="1" applyBorder="1" applyAlignment="1">
      <alignment horizontal="center" vertical="center"/>
    </xf>
    <xf numFmtId="181" fontId="15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81" fontId="15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181" fontId="16" fillId="0" borderId="0" xfId="0" applyNumberFormat="1" applyFont="1" applyAlignment="1">
      <alignment horizontal="right" vertical="center" wrapText="1"/>
    </xf>
    <xf numFmtId="181" fontId="17" fillId="2" borderId="7" xfId="0" applyNumberFormat="1" applyFont="1" applyFill="1" applyBorder="1" applyAlignment="1">
      <alignment horizontal="center" vertical="center"/>
    </xf>
    <xf numFmtId="181" fontId="16" fillId="0" borderId="10" xfId="0" applyNumberFormat="1" applyFont="1" applyBorder="1" applyAlignment="1">
      <alignment horizontal="center" vertical="center"/>
    </xf>
    <xf numFmtId="181" fontId="16" fillId="0" borderId="14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/>
    </xf>
    <xf numFmtId="181" fontId="16" fillId="0" borderId="40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 wrapText="1"/>
    </xf>
    <xf numFmtId="181" fontId="16" fillId="0" borderId="5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1" fontId="19" fillId="0" borderId="0" xfId="0" applyNumberFormat="1" applyFont="1">
      <alignment vertical="center"/>
    </xf>
    <xf numFmtId="181" fontId="16" fillId="0" borderId="46" xfId="0" applyNumberFormat="1" applyFont="1" applyBorder="1" applyAlignment="1">
      <alignment horizontal="center" vertical="center"/>
    </xf>
    <xf numFmtId="181" fontId="16" fillId="0" borderId="24" xfId="0" applyNumberFormat="1" applyFont="1" applyBorder="1" applyAlignment="1">
      <alignment horizontal="center" vertical="center"/>
    </xf>
    <xf numFmtId="181" fontId="16" fillId="0" borderId="0" xfId="0" applyNumberFormat="1" applyFont="1">
      <alignment vertical="center"/>
    </xf>
    <xf numFmtId="181" fontId="16" fillId="0" borderId="40" xfId="0" applyNumberFormat="1" applyFont="1" applyBorder="1" applyAlignment="1">
      <alignment horizontal="center" vertical="center" wrapText="1"/>
    </xf>
    <xf numFmtId="181" fontId="16" fillId="0" borderId="56" xfId="0" applyNumberFormat="1" applyFont="1" applyBorder="1" applyAlignment="1">
      <alignment horizontal="center" vertical="center" wrapText="1"/>
    </xf>
    <xf numFmtId="0" fontId="16" fillId="0" borderId="0" xfId="0" applyFont="1">
      <alignment vertical="center"/>
    </xf>
    <xf numFmtId="181" fontId="16" fillId="0" borderId="52" xfId="0" applyNumberFormat="1" applyFont="1" applyBorder="1" applyAlignment="1">
      <alignment horizontal="center" vertical="center" wrapText="1"/>
    </xf>
    <xf numFmtId="0" fontId="16" fillId="0" borderId="52" xfId="0" applyFont="1" applyBorder="1">
      <alignment vertical="center"/>
    </xf>
    <xf numFmtId="181" fontId="16" fillId="0" borderId="24" xfId="0" applyNumberFormat="1" applyFont="1" applyBorder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17" fillId="2" borderId="33" xfId="0" applyNumberFormat="1" applyFont="1" applyFill="1" applyBorder="1" applyAlignment="1">
      <alignment horizontal="center" vertical="center"/>
    </xf>
    <xf numFmtId="181" fontId="17" fillId="0" borderId="35" xfId="0" applyNumberFormat="1" applyFont="1" applyBorder="1" applyAlignment="1">
      <alignment horizontal="center" vertical="center"/>
    </xf>
    <xf numFmtId="181" fontId="17" fillId="0" borderId="38" xfId="0" applyNumberFormat="1" applyFont="1" applyBorder="1" applyAlignment="1">
      <alignment horizontal="center" vertical="center"/>
    </xf>
    <xf numFmtId="181" fontId="17" fillId="0" borderId="45" xfId="0" applyNumberFormat="1" applyFont="1" applyBorder="1" applyAlignment="1">
      <alignment horizontal="center" vertical="center"/>
    </xf>
    <xf numFmtId="181" fontId="17" fillId="0" borderId="43" xfId="0" applyNumberFormat="1" applyFont="1" applyBorder="1" applyAlignment="1">
      <alignment horizontal="center" vertical="center"/>
    </xf>
    <xf numFmtId="181" fontId="17" fillId="0" borderId="0" xfId="0" quotePrefix="1" applyNumberFormat="1" applyFont="1" applyAlignment="1">
      <alignment horizontal="center" vertical="center"/>
    </xf>
    <xf numFmtId="181" fontId="17" fillId="0" borderId="38" xfId="0" quotePrefix="1" applyNumberFormat="1" applyFont="1" applyBorder="1" applyAlignment="1">
      <alignment horizontal="center" vertical="center"/>
    </xf>
    <xf numFmtId="181" fontId="17" fillId="0" borderId="45" xfId="0" quotePrefix="1" applyNumberFormat="1" applyFont="1" applyBorder="1" applyAlignment="1">
      <alignment horizontal="center" vertical="center"/>
    </xf>
    <xf numFmtId="181" fontId="17" fillId="0" borderId="43" xfId="0" quotePrefix="1" applyNumberFormat="1" applyFont="1" applyBorder="1" applyAlignment="1">
      <alignment horizontal="center" vertical="center"/>
    </xf>
    <xf numFmtId="181" fontId="17" fillId="0" borderId="131" xfId="0" applyNumberFormat="1" applyFont="1" applyBorder="1" applyAlignment="1">
      <alignment horizontal="center" vertical="center"/>
    </xf>
    <xf numFmtId="181" fontId="17" fillId="0" borderId="12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vertical="center" wrapText="1"/>
    </xf>
    <xf numFmtId="181" fontId="17" fillId="2" borderId="9" xfId="0" applyNumberFormat="1" applyFont="1" applyFill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 wrapText="1"/>
    </xf>
    <xf numFmtId="181" fontId="16" fillId="0" borderId="16" xfId="0" applyNumberFormat="1" applyFont="1" applyBorder="1" applyAlignment="1">
      <alignment horizontal="center" vertical="center" wrapText="1"/>
    </xf>
    <xf numFmtId="181" fontId="16" fillId="0" borderId="39" xfId="0" applyNumberFormat="1" applyFont="1" applyBorder="1" applyAlignment="1">
      <alignment horizontal="center" vertical="center" wrapText="1"/>
    </xf>
    <xf numFmtId="181" fontId="16" fillId="0" borderId="26" xfId="0" applyNumberFormat="1" applyFont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/>
    </xf>
    <xf numFmtId="181" fontId="16" fillId="0" borderId="62" xfId="0" applyNumberFormat="1" applyFont="1" applyBorder="1" applyAlignment="1">
      <alignment horizontal="center" vertical="center" wrapText="1"/>
    </xf>
    <xf numFmtId="181" fontId="16" fillId="0" borderId="68" xfId="0" applyNumberFormat="1" applyFont="1" applyBorder="1" applyAlignment="1">
      <alignment horizontal="center" vertical="center" wrapText="1"/>
    </xf>
    <xf numFmtId="181" fontId="16" fillId="0" borderId="44" xfId="0" applyNumberFormat="1" applyFont="1" applyBorder="1" applyAlignment="1">
      <alignment horizontal="center" vertical="center" wrapText="1"/>
    </xf>
    <xf numFmtId="181" fontId="16" fillId="0" borderId="61" xfId="0" applyNumberFormat="1" applyFont="1" applyBorder="1" applyAlignment="1">
      <alignment horizontal="center" vertical="center" wrapText="1"/>
    </xf>
    <xf numFmtId="181" fontId="17" fillId="2" borderId="8" xfId="0" applyNumberFormat="1" applyFont="1" applyFill="1" applyBorder="1" applyAlignment="1">
      <alignment horizontal="center" vertical="center"/>
    </xf>
    <xf numFmtId="181" fontId="16" fillId="0" borderId="11" xfId="0" applyNumberFormat="1" applyFont="1" applyBorder="1" applyAlignment="1">
      <alignment horizontal="center" vertical="center"/>
    </xf>
    <xf numFmtId="181" fontId="16" fillId="0" borderId="15" xfId="0" applyNumberFormat="1" applyFont="1" applyBorder="1" applyAlignment="1">
      <alignment horizontal="center" vertical="center"/>
    </xf>
    <xf numFmtId="181" fontId="16" fillId="0" borderId="41" xfId="0" applyNumberFormat="1" applyFont="1" applyBorder="1" applyAlignment="1">
      <alignment horizontal="center" vertical="center"/>
    </xf>
    <xf numFmtId="181" fontId="16" fillId="0" borderId="25" xfId="0" applyNumberFormat="1" applyFont="1" applyBorder="1" applyAlignment="1">
      <alignment horizontal="center" vertical="center"/>
    </xf>
    <xf numFmtId="181" fontId="16" fillId="0" borderId="47" xfId="0" applyNumberFormat="1" applyFont="1" applyBorder="1" applyAlignment="1">
      <alignment horizontal="center" vertical="center"/>
    </xf>
    <xf numFmtId="181" fontId="16" fillId="0" borderId="132" xfId="0" applyNumberFormat="1" applyFont="1" applyBorder="1" applyAlignment="1">
      <alignment horizontal="center" vertical="center"/>
    </xf>
    <xf numFmtId="181" fontId="16" fillId="0" borderId="133" xfId="0" applyNumberFormat="1" applyFont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5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5" fillId="2" borderId="164" xfId="9" applyFont="1" applyFill="1" applyBorder="1" applyAlignment="1">
      <alignment horizontal="center" vertical="center"/>
    </xf>
    <xf numFmtId="0" fontId="12" fillId="0" borderId="30" xfId="9" applyBorder="1" applyAlignment="1">
      <alignment horizontal="center" vertical="center"/>
    </xf>
    <xf numFmtId="0" fontId="12" fillId="0" borderId="165" xfId="9" applyBorder="1" applyAlignment="1">
      <alignment horizontal="center" vertical="center"/>
    </xf>
    <xf numFmtId="0" fontId="12" fillId="0" borderId="108" xfId="9" applyBorder="1" applyAlignment="1">
      <alignment horizontal="center" vertical="center"/>
    </xf>
    <xf numFmtId="0" fontId="12" fillId="0" borderId="5" xfId="9" applyBorder="1" applyAlignment="1">
      <alignment horizontal="center" vertical="center"/>
    </xf>
    <xf numFmtId="0" fontId="12" fillId="0" borderId="166" xfId="9" applyBorder="1" applyAlignment="1">
      <alignment horizontal="center" vertical="center"/>
    </xf>
    <xf numFmtId="0" fontId="12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2" fillId="0" borderId="0" xfId="9" applyFont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3" fillId="0" borderId="165" xfId="9" applyFont="1" applyBorder="1" applyAlignment="1">
      <alignment horizontal="center" vertical="center"/>
    </xf>
    <xf numFmtId="0" fontId="13" fillId="0" borderId="30" xfId="9" applyFont="1" applyBorder="1" applyAlignment="1">
      <alignment horizontal="center" vertical="center"/>
    </xf>
    <xf numFmtId="0" fontId="13" fillId="0" borderId="30" xfId="9" quotePrefix="1" applyFont="1" applyBorder="1" applyAlignment="1">
      <alignment horizontal="center" vertical="center"/>
    </xf>
    <xf numFmtId="0" fontId="13" fillId="0" borderId="168" xfId="9" quotePrefix="1" applyFont="1" applyBorder="1" applyAlignment="1">
      <alignment horizontal="center" vertical="center"/>
    </xf>
    <xf numFmtId="0" fontId="13" fillId="0" borderId="165" xfId="9" quotePrefix="1" applyFont="1" applyBorder="1" applyAlignment="1">
      <alignment horizontal="center" vertical="center"/>
    </xf>
    <xf numFmtId="0" fontId="13" fillId="0" borderId="108" xfId="9" quotePrefix="1" applyFont="1" applyBorder="1" applyAlignment="1">
      <alignment horizontal="center" vertical="center"/>
    </xf>
    <xf numFmtId="0" fontId="13" fillId="0" borderId="5" xfId="9" applyFont="1" applyBorder="1" applyAlignment="1">
      <alignment horizontal="center" vertical="center"/>
    </xf>
    <xf numFmtId="0" fontId="13" fillId="0" borderId="166" xfId="9" applyFont="1" applyBorder="1" applyAlignment="1">
      <alignment horizontal="center" vertical="center"/>
    </xf>
    <xf numFmtId="0" fontId="13" fillId="0" borderId="167" xfId="9" quotePrefix="1" applyFont="1" applyBorder="1" applyAlignment="1">
      <alignment horizontal="center" vertical="center"/>
    </xf>
    <xf numFmtId="0" fontId="13" fillId="0" borderId="108" xfId="9" applyFont="1" applyBorder="1" applyAlignment="1">
      <alignment horizontal="center" vertical="center"/>
    </xf>
    <xf numFmtId="0" fontId="13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5" fillId="4" borderId="37" xfId="0" applyFont="1" applyFill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43" fillId="0" borderId="37" xfId="0" applyFont="1" applyBorder="1" applyAlignment="1">
      <alignment horizontal="center" vertical="center"/>
    </xf>
    <xf numFmtId="0" fontId="26" fillId="4" borderId="37" xfId="0" applyFont="1" applyFill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 shrinkToFit="1"/>
    </xf>
    <xf numFmtId="0" fontId="15" fillId="0" borderId="38" xfId="0" applyFont="1" applyBorder="1" applyAlignment="1">
      <alignment horizontal="center" vertical="center" shrinkToFit="1"/>
    </xf>
    <xf numFmtId="0" fontId="39" fillId="0" borderId="15" xfId="0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4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45" fillId="0" borderId="3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2" fillId="0" borderId="39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6" fillId="0" borderId="0" xfId="9" applyNumberFormat="1" applyFont="1" applyAlignment="1">
      <alignment vertical="center" wrapText="1"/>
    </xf>
    <xf numFmtId="181" fontId="15" fillId="0" borderId="50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146" xfId="0" applyNumberFormat="1" applyFont="1" applyBorder="1" applyAlignment="1">
      <alignment horizontal="center" vertical="center" wrapText="1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5" fillId="7" borderId="16" xfId="0" applyNumberFormat="1" applyFont="1" applyFill="1" applyBorder="1" applyAlignment="1">
      <alignment horizontal="center" vertical="center" wrapText="1"/>
    </xf>
    <xf numFmtId="181" fontId="15" fillId="7" borderId="50" xfId="0" applyNumberFormat="1" applyFont="1" applyFill="1" applyBorder="1" applyAlignment="1">
      <alignment horizontal="center" vertical="center" wrapText="1"/>
    </xf>
    <xf numFmtId="181" fontId="15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7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5" fillId="10" borderId="37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left" vertical="center"/>
    </xf>
    <xf numFmtId="0" fontId="47" fillId="10" borderId="38" xfId="0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0" fontId="21" fillId="4" borderId="0" xfId="0" applyFont="1" applyFill="1">
      <alignment vertical="center"/>
    </xf>
    <xf numFmtId="0" fontId="50" fillId="0" borderId="13" xfId="0" applyFont="1" applyBorder="1" applyAlignment="1">
      <alignment horizontal="left" vertical="center"/>
    </xf>
    <xf numFmtId="0" fontId="50" fillId="0" borderId="19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32" fillId="7" borderId="10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2" fillId="7" borderId="14" xfId="0" applyFont="1" applyFill="1" applyBorder="1" applyAlignment="1">
      <alignment horizontal="center" vertical="center"/>
    </xf>
    <xf numFmtId="0" fontId="51" fillId="0" borderId="16" xfId="0" applyFont="1" applyBorder="1" applyAlignment="1">
      <alignment horizontal="left" vertical="center"/>
    </xf>
    <xf numFmtId="0" fontId="51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181" fontId="26" fillId="0" borderId="37" xfId="0" applyNumberFormat="1" applyFont="1" applyBorder="1" applyAlignment="1">
      <alignment horizontal="center" vertical="center"/>
    </xf>
    <xf numFmtId="181" fontId="26" fillId="0" borderId="37" xfId="0" quotePrefix="1" applyNumberFormat="1" applyFont="1" applyBorder="1" applyAlignment="1">
      <alignment horizontal="center" vertical="center"/>
    </xf>
    <xf numFmtId="181" fontId="44" fillId="15" borderId="38" xfId="0" applyNumberFormat="1" applyFont="1" applyFill="1" applyBorder="1" applyAlignment="1">
      <alignment horizontal="center" vertical="center"/>
    </xf>
    <xf numFmtId="181" fontId="44" fillId="0" borderId="38" xfId="0" quotePrefix="1" applyNumberFormat="1" applyFont="1" applyBorder="1" applyAlignment="1">
      <alignment horizontal="center" vertical="center"/>
    </xf>
    <xf numFmtId="181" fontId="50" fillId="0" borderId="37" xfId="0" quotePrefix="1" applyNumberFormat="1" applyFont="1" applyBorder="1" applyAlignment="1">
      <alignment horizontal="center" vertical="center" wrapText="1"/>
    </xf>
    <xf numFmtId="181" fontId="46" fillId="0" borderId="37" xfId="0" quotePrefix="1" applyNumberFormat="1" applyFont="1" applyBorder="1" applyAlignment="1">
      <alignment horizontal="center" vertical="center"/>
    </xf>
    <xf numFmtId="181" fontId="44" fillId="0" borderId="45" xfId="0" applyNumberFormat="1" applyFont="1" applyBorder="1" applyAlignment="1">
      <alignment horizontal="center" vertical="center"/>
    </xf>
    <xf numFmtId="0" fontId="32" fillId="4" borderId="14" xfId="0" applyFont="1" applyFill="1" applyBorder="1" applyAlignment="1">
      <alignment horizontal="center" vertical="center"/>
    </xf>
    <xf numFmtId="0" fontId="32" fillId="4" borderId="40" xfId="0" applyFont="1" applyFill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 wrapText="1"/>
    </xf>
    <xf numFmtId="0" fontId="44" fillId="4" borderId="16" xfId="0" applyFont="1" applyFill="1" applyBorder="1" applyAlignment="1">
      <alignment horizontal="center" vertical="center" wrapText="1"/>
    </xf>
    <xf numFmtId="0" fontId="44" fillId="0" borderId="52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44" fillId="0" borderId="17" xfId="9" applyFont="1" applyBorder="1" applyAlignment="1">
      <alignment horizontal="center" vertical="center"/>
    </xf>
    <xf numFmtId="0" fontId="44" fillId="0" borderId="56" xfId="9" applyFont="1" applyBorder="1" applyAlignment="1">
      <alignment horizontal="center" vertical="center"/>
    </xf>
    <xf numFmtId="0" fontId="26" fillId="0" borderId="37" xfId="9" applyFont="1" applyBorder="1" applyAlignment="1">
      <alignment horizontal="center" vertical="center"/>
    </xf>
    <xf numFmtId="0" fontId="44" fillId="0" borderId="16" xfId="9" applyFont="1" applyBorder="1" applyAlignment="1">
      <alignment horizontal="center" vertical="center" wrapText="1"/>
    </xf>
    <xf numFmtId="0" fontId="44" fillId="0" borderId="30" xfId="9" applyFont="1" applyBorder="1" applyAlignment="1">
      <alignment horizontal="center" vertical="center"/>
    </xf>
    <xf numFmtId="0" fontId="44" fillId="4" borderId="16" xfId="9" applyFont="1" applyFill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/>
    </xf>
    <xf numFmtId="0" fontId="26" fillId="0" borderId="34" xfId="9" applyFont="1" applyBorder="1" applyAlignment="1">
      <alignment horizontal="center" vertical="center"/>
    </xf>
    <xf numFmtId="0" fontId="26" fillId="0" borderId="35" xfId="9" applyFont="1" applyBorder="1" applyAlignment="1">
      <alignment horizontal="center" vertical="center"/>
    </xf>
    <xf numFmtId="0" fontId="44" fillId="0" borderId="36" xfId="9" applyFont="1" applyBorder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0" fontId="58" fillId="0" borderId="97" xfId="0" applyFont="1" applyBorder="1" applyAlignment="1">
      <alignment horizontal="center" vertical="center"/>
    </xf>
    <xf numFmtId="184" fontId="59" fillId="7" borderId="150" xfId="2" applyNumberFormat="1" applyFont="1" applyFill="1" applyBorder="1" applyAlignment="1" applyProtection="1">
      <alignment horizontal="center" vertical="center"/>
    </xf>
    <xf numFmtId="0" fontId="58" fillId="0" borderId="98" xfId="0" applyFont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184" fontId="59" fillId="7" borderId="90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60" fillId="6" borderId="97" xfId="2" applyNumberFormat="1" applyFont="1" applyFill="1" applyBorder="1" applyAlignment="1" applyProtection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/>
    </xf>
    <xf numFmtId="184" fontId="60" fillId="7" borderId="75" xfId="2" applyNumberFormat="1" applyFont="1" applyFill="1" applyBorder="1" applyAlignment="1" applyProtection="1">
      <alignment horizontal="center" vertical="center"/>
    </xf>
    <xf numFmtId="0" fontId="61" fillId="0" borderId="82" xfId="0" applyFont="1" applyBorder="1" applyAlignment="1">
      <alignment horizontal="left" vertical="center"/>
    </xf>
    <xf numFmtId="0" fontId="58" fillId="1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184" fontId="59" fillId="7" borderId="75" xfId="2" applyNumberFormat="1" applyFont="1" applyFill="1" applyBorder="1" applyAlignment="1" applyProtection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0" fillId="0" borderId="82" xfId="0" applyFont="1" applyBorder="1" applyAlignment="1">
      <alignment horizontal="center" vertical="center"/>
    </xf>
    <xf numFmtId="0" fontId="61" fillId="0" borderId="82" xfId="0" applyFont="1" applyBorder="1" applyAlignment="1">
      <alignment horizontal="center" vertical="center"/>
    </xf>
    <xf numFmtId="184" fontId="60" fillId="6" borderId="71" xfId="2" applyNumberFormat="1" applyFont="1" applyFill="1" applyBorder="1" applyAlignment="1" applyProtection="1">
      <alignment horizontal="center" vertical="center"/>
    </xf>
    <xf numFmtId="0" fontId="60" fillId="0" borderId="72" xfId="0" applyFont="1" applyBorder="1" applyAlignment="1">
      <alignment horizontal="center" vertical="center"/>
    </xf>
    <xf numFmtId="184" fontId="60" fillId="7" borderId="92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 wrapText="1"/>
    </xf>
    <xf numFmtId="0" fontId="59" fillId="0" borderId="97" xfId="0" applyFont="1" applyBorder="1" applyAlignment="1">
      <alignment horizontal="center" vertical="center"/>
    </xf>
    <xf numFmtId="0" fontId="58" fillId="17" borderId="151" xfId="0" applyFont="1" applyFill="1" applyBorder="1" applyAlignment="1">
      <alignment horizontal="center" vertical="center"/>
    </xf>
    <xf numFmtId="0" fontId="58" fillId="17" borderId="98" xfId="0" applyFont="1" applyFill="1" applyBorder="1" applyAlignment="1">
      <alignment horizontal="center" vertical="center"/>
    </xf>
    <xf numFmtId="0" fontId="60" fillId="0" borderId="73" xfId="0" applyFont="1" applyBorder="1" applyAlignment="1">
      <alignment horizontal="center" vertical="center"/>
    </xf>
    <xf numFmtId="0" fontId="60" fillId="0" borderId="151" xfId="0" applyFont="1" applyBorder="1" applyAlignment="1">
      <alignment horizontal="center" vertical="center"/>
    </xf>
    <xf numFmtId="0" fontId="58" fillId="17" borderId="82" xfId="0" applyFont="1" applyFill="1" applyBorder="1" applyAlignment="1">
      <alignment horizontal="center" vertical="center"/>
    </xf>
    <xf numFmtId="0" fontId="60" fillId="17" borderId="83" xfId="0" applyFont="1" applyFill="1" applyBorder="1" applyAlignment="1">
      <alignment horizontal="center" vertical="center"/>
    </xf>
    <xf numFmtId="0" fontId="60" fillId="15" borderId="83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63" fillId="0" borderId="6" xfId="0" applyFont="1" applyBorder="1" applyAlignment="1">
      <alignment horizontal="center" vertical="center"/>
    </xf>
    <xf numFmtId="181" fontId="32" fillId="0" borderId="16" xfId="0" applyNumberFormat="1" applyFont="1" applyBorder="1" applyAlignment="1">
      <alignment horizontal="center" vertical="center" wrapText="1"/>
    </xf>
    <xf numFmtId="181" fontId="32" fillId="4" borderId="40" xfId="0" applyNumberFormat="1" applyFont="1" applyFill="1" applyBorder="1" applyAlignment="1">
      <alignment horizontal="center" vertical="center"/>
    </xf>
    <xf numFmtId="181" fontId="32" fillId="4" borderId="17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left" vertical="center"/>
    </xf>
    <xf numFmtId="0" fontId="17" fillId="18" borderId="0" xfId="0" applyFont="1" applyFill="1" applyAlignment="1">
      <alignment horizontal="center" vertical="center"/>
    </xf>
    <xf numFmtId="0" fontId="17" fillId="19" borderId="159" xfId="0" applyFont="1" applyFill="1" applyBorder="1" applyAlignment="1">
      <alignment horizontal="center" vertical="center"/>
    </xf>
    <xf numFmtId="0" fontId="17" fillId="19" borderId="160" xfId="0" applyFont="1" applyFill="1" applyBorder="1" applyAlignment="1">
      <alignment horizontal="center" vertical="center"/>
    </xf>
    <xf numFmtId="0" fontId="17" fillId="19" borderId="162" xfId="0" applyFont="1" applyFill="1" applyBorder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0" fontId="17" fillId="19" borderId="163" xfId="0" applyFont="1" applyFill="1" applyBorder="1" applyAlignment="1">
      <alignment horizontal="center" vertical="center"/>
    </xf>
    <xf numFmtId="0" fontId="17" fillId="19" borderId="161" xfId="0" applyFont="1" applyFill="1" applyBorder="1" applyAlignment="1">
      <alignment horizontal="center" vertical="center"/>
    </xf>
    <xf numFmtId="0" fontId="16" fillId="0" borderId="152" xfId="0" applyFont="1" applyBorder="1" applyAlignment="1">
      <alignment horizontal="center" vertical="center"/>
    </xf>
    <xf numFmtId="183" fontId="16" fillId="0" borderId="148" xfId="0" applyNumberFormat="1" applyFont="1" applyBorder="1" applyAlignment="1">
      <alignment horizontal="center" vertical="center"/>
    </xf>
    <xf numFmtId="0" fontId="16" fillId="20" borderId="145" xfId="0" applyFont="1" applyFill="1" applyBorder="1" applyAlignment="1">
      <alignment horizontal="center" vertical="center"/>
    </xf>
    <xf numFmtId="183" fontId="16" fillId="0" borderId="149" xfId="0" applyNumberFormat="1" applyFont="1" applyBorder="1" applyAlignment="1">
      <alignment horizontal="center" vertical="center"/>
    </xf>
    <xf numFmtId="0" fontId="16" fillId="0" borderId="153" xfId="0" applyFont="1" applyBorder="1" applyAlignment="1">
      <alignment horizontal="center" vertical="center"/>
    </xf>
    <xf numFmtId="0" fontId="16" fillId="0" borderId="154" xfId="0" applyFont="1" applyBorder="1" applyAlignment="1">
      <alignment horizontal="center" vertical="center"/>
    </xf>
    <xf numFmtId="0" fontId="16" fillId="0" borderId="155" xfId="0" applyFont="1" applyBorder="1" applyAlignment="1">
      <alignment horizontal="center" vertical="center"/>
    </xf>
    <xf numFmtId="183" fontId="16" fillId="0" borderId="156" xfId="0" applyNumberFormat="1" applyFont="1" applyBorder="1" applyAlignment="1">
      <alignment horizontal="center" vertical="center"/>
    </xf>
    <xf numFmtId="0" fontId="16" fillId="20" borderId="99" xfId="0" applyFont="1" applyFill="1" applyBorder="1" applyAlignment="1">
      <alignment horizontal="center" vertical="center"/>
    </xf>
    <xf numFmtId="183" fontId="16" fillId="0" borderId="157" xfId="0" applyNumberFormat="1" applyFont="1" applyBorder="1" applyAlignment="1">
      <alignment horizontal="center" vertical="center"/>
    </xf>
    <xf numFmtId="0" fontId="16" fillId="0" borderId="158" xfId="0" applyFont="1" applyBorder="1" applyAlignment="1">
      <alignment horizontal="center" vertical="center"/>
    </xf>
    <xf numFmtId="183" fontId="16" fillId="0" borderId="0" xfId="0" applyNumberFormat="1" applyFont="1" applyAlignment="1">
      <alignment horizontal="center" vertical="center"/>
    </xf>
    <xf numFmtId="0" fontId="17" fillId="20" borderId="138" xfId="0" applyFont="1" applyFill="1" applyBorder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right" vertical="center"/>
    </xf>
    <xf numFmtId="0" fontId="60" fillId="0" borderId="181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67" fillId="0" borderId="71" xfId="0" applyFont="1" applyBorder="1" applyAlignment="1">
      <alignment horizontal="center" vertical="center"/>
    </xf>
    <xf numFmtId="0" fontId="67" fillId="6" borderId="115" xfId="0" applyFont="1" applyFill="1" applyBorder="1" applyAlignment="1">
      <alignment horizontal="center" vertical="center" wrapText="1"/>
    </xf>
    <xf numFmtId="0" fontId="60" fillId="4" borderId="6" xfId="0" applyFont="1" applyFill="1" applyBorder="1" applyAlignment="1">
      <alignment horizontal="center" vertical="center"/>
    </xf>
    <xf numFmtId="0" fontId="60" fillId="4" borderId="82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183" fontId="69" fillId="0" borderId="149" xfId="0" applyNumberFormat="1" applyFont="1" applyBorder="1" applyAlignment="1">
      <alignment horizontal="center" vertical="center"/>
    </xf>
    <xf numFmtId="0" fontId="46" fillId="13" borderId="147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68" fillId="0" borderId="147" xfId="0" applyFont="1" applyBorder="1" applyAlignment="1">
      <alignment horizontal="center" vertical="center" wrapText="1"/>
    </xf>
    <xf numFmtId="183" fontId="46" fillId="0" borderId="149" xfId="0" applyNumberFormat="1" applyFont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183" fontId="14" fillId="14" borderId="149" xfId="0" applyNumberFormat="1" applyFont="1" applyFill="1" applyBorder="1" applyAlignment="1">
      <alignment horizontal="center" vertical="center"/>
    </xf>
    <xf numFmtId="0" fontId="14" fillId="14" borderId="147" xfId="0" applyFont="1" applyFill="1" applyBorder="1" applyAlignment="1">
      <alignment horizontal="center" vertical="center"/>
    </xf>
    <xf numFmtId="0" fontId="68" fillId="14" borderId="147" xfId="0" applyFont="1" applyFill="1" applyBorder="1" applyAlignment="1">
      <alignment horizontal="center" vertical="center"/>
    </xf>
    <xf numFmtId="0" fontId="14" fillId="14" borderId="153" xfId="0" applyFont="1" applyFill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71" fillId="0" borderId="152" xfId="0" applyFont="1" applyBorder="1" applyAlignment="1">
      <alignment horizontal="center" vertical="center"/>
    </xf>
    <xf numFmtId="0" fontId="72" fillId="0" borderId="147" xfId="0" applyFont="1" applyBorder="1" applyAlignment="1">
      <alignment horizontal="center" vertical="center" wrapText="1"/>
    </xf>
    <xf numFmtId="0" fontId="71" fillId="0" borderId="147" xfId="0" applyFont="1" applyBorder="1" applyAlignment="1">
      <alignment horizontal="center" vertical="center"/>
    </xf>
    <xf numFmtId="183" fontId="71" fillId="0" borderId="148" xfId="0" applyNumberFormat="1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46" fillId="19" borderId="159" xfId="0" applyFont="1" applyFill="1" applyBorder="1" applyAlignment="1">
      <alignment horizontal="center" vertical="center"/>
    </xf>
    <xf numFmtId="0" fontId="46" fillId="19" borderId="160" xfId="0" applyFont="1" applyFill="1" applyBorder="1" applyAlignment="1">
      <alignment horizontal="center" vertical="center"/>
    </xf>
    <xf numFmtId="0" fontId="46" fillId="19" borderId="162" xfId="0" applyFont="1" applyFill="1" applyBorder="1" applyAlignment="1">
      <alignment horizontal="center" vertical="center"/>
    </xf>
    <xf numFmtId="0" fontId="46" fillId="20" borderId="138" xfId="0" applyFont="1" applyFill="1" applyBorder="1" applyAlignment="1">
      <alignment horizontal="center" vertical="center"/>
    </xf>
    <xf numFmtId="0" fontId="46" fillId="19" borderId="163" xfId="0" applyFont="1" applyFill="1" applyBorder="1" applyAlignment="1">
      <alignment horizontal="center" vertical="center"/>
    </xf>
    <xf numFmtId="0" fontId="46" fillId="19" borderId="161" xfId="0" applyFont="1" applyFill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/>
    </xf>
    <xf numFmtId="0" fontId="50" fillId="18" borderId="0" xfId="0" applyFont="1" applyFill="1" applyAlignment="1">
      <alignment horizontal="center" vertical="center"/>
    </xf>
    <xf numFmtId="0" fontId="46" fillId="19" borderId="96" xfId="0" applyFont="1" applyFill="1" applyBorder="1" applyAlignment="1">
      <alignment horizontal="center" vertical="center"/>
    </xf>
    <xf numFmtId="0" fontId="46" fillId="19" borderId="97" xfId="0" applyFont="1" applyFill="1" applyBorder="1" applyAlignment="1">
      <alignment horizontal="center" vertical="center"/>
    </xf>
    <xf numFmtId="0" fontId="46" fillId="19" borderId="150" xfId="0" applyFont="1" applyFill="1" applyBorder="1" applyAlignment="1">
      <alignment horizontal="center" vertical="center"/>
    </xf>
    <xf numFmtId="0" fontId="46" fillId="19" borderId="151" xfId="0" applyFont="1" applyFill="1" applyBorder="1" applyAlignment="1">
      <alignment horizontal="center" vertical="center"/>
    </xf>
    <xf numFmtId="0" fontId="46" fillId="19" borderId="98" xfId="0" applyFont="1" applyFill="1" applyBorder="1" applyAlignment="1">
      <alignment horizontal="center" vertical="center"/>
    </xf>
    <xf numFmtId="0" fontId="14" fillId="0" borderId="184" xfId="0" applyFont="1" applyBorder="1" applyAlignment="1">
      <alignment horizontal="center" vertical="center"/>
    </xf>
    <xf numFmtId="0" fontId="14" fillId="0" borderId="172" xfId="0" applyFont="1" applyBorder="1" applyAlignment="1">
      <alignment horizontal="center" vertical="center"/>
    </xf>
    <xf numFmtId="183" fontId="14" fillId="0" borderId="185" xfId="0" applyNumberFormat="1" applyFont="1" applyBorder="1" applyAlignment="1">
      <alignment horizontal="center" vertical="center"/>
    </xf>
    <xf numFmtId="183" fontId="14" fillId="0" borderId="184" xfId="0" applyNumberFormat="1" applyFont="1" applyBorder="1" applyAlignment="1">
      <alignment horizontal="center" vertical="center"/>
    </xf>
    <xf numFmtId="0" fontId="14" fillId="0" borderId="185" xfId="0" applyFont="1" applyBorder="1" applyAlignment="1">
      <alignment horizontal="center" vertical="center"/>
    </xf>
    <xf numFmtId="0" fontId="14" fillId="0" borderId="186" xfId="0" applyFont="1" applyBorder="1" applyAlignment="1">
      <alignment horizontal="center" vertical="center"/>
    </xf>
    <xf numFmtId="0" fontId="14" fillId="0" borderId="187" xfId="0" applyFont="1" applyBorder="1" applyAlignment="1">
      <alignment horizontal="center" vertical="center"/>
    </xf>
    <xf numFmtId="183" fontId="14" fillId="0" borderId="188" xfId="0" applyNumberFormat="1" applyFont="1" applyBorder="1" applyAlignment="1">
      <alignment horizontal="center" vertical="center"/>
    </xf>
    <xf numFmtId="183" fontId="14" fillId="0" borderId="186" xfId="0" applyNumberFormat="1" applyFont="1" applyBorder="1" applyAlignment="1">
      <alignment horizontal="center" vertical="center"/>
    </xf>
    <xf numFmtId="0" fontId="14" fillId="0" borderId="188" xfId="0" applyFont="1" applyBorder="1" applyAlignment="1">
      <alignment horizontal="center" vertical="center"/>
    </xf>
    <xf numFmtId="0" fontId="46" fillId="21" borderId="152" xfId="0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 wrapText="1"/>
    </xf>
    <xf numFmtId="0" fontId="46" fillId="21" borderId="147" xfId="0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187" fontId="50" fillId="21" borderId="148" xfId="0" applyNumberFormat="1" applyFont="1" applyFill="1" applyBorder="1" applyAlignment="1">
      <alignment horizontal="center" vertical="center"/>
    </xf>
    <xf numFmtId="0" fontId="46" fillId="21" borderId="6" xfId="0" applyFont="1" applyFill="1" applyBorder="1" applyAlignment="1">
      <alignment horizontal="center" vertical="center" wrapText="1"/>
    </xf>
    <xf numFmtId="187" fontId="50" fillId="21" borderId="149" xfId="0" applyNumberFormat="1" applyFont="1" applyFill="1" applyBorder="1" applyAlignment="1">
      <alignment horizontal="center" vertical="center"/>
    </xf>
    <xf numFmtId="0" fontId="46" fillId="21" borderId="153" xfId="0" applyFont="1" applyFill="1" applyBorder="1" applyAlignment="1">
      <alignment horizontal="center" vertical="center"/>
    </xf>
    <xf numFmtId="183" fontId="50" fillId="21" borderId="149" xfId="0" applyNumberFormat="1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0" fontId="70" fillId="21" borderId="152" xfId="0" applyFont="1" applyFill="1" applyBorder="1" applyAlignment="1">
      <alignment horizontal="center" vertical="center"/>
    </xf>
    <xf numFmtId="0" fontId="70" fillId="21" borderId="147" xfId="0" applyFont="1" applyFill="1" applyBorder="1" applyAlignment="1">
      <alignment horizontal="center" vertical="center" wrapText="1"/>
    </xf>
    <xf numFmtId="0" fontId="70" fillId="21" borderId="147" xfId="0" applyFont="1" applyFill="1" applyBorder="1" applyAlignment="1">
      <alignment horizontal="center" vertical="center"/>
    </xf>
    <xf numFmtId="183" fontId="70" fillId="21" borderId="148" xfId="0" applyNumberFormat="1" applyFont="1" applyFill="1" applyBorder="1" applyAlignment="1">
      <alignment horizontal="center" vertical="center"/>
    </xf>
    <xf numFmtId="183" fontId="50" fillId="21" borderId="148" xfId="0" applyNumberFormat="1" applyFont="1" applyFill="1" applyBorder="1" applyAlignment="1">
      <alignment horizontal="center" vertical="center"/>
    </xf>
    <xf numFmtId="0" fontId="50" fillId="21" borderId="147" xfId="0" applyFont="1" applyFill="1" applyBorder="1" applyAlignment="1">
      <alignment horizontal="center" vertical="center"/>
    </xf>
    <xf numFmtId="0" fontId="14" fillId="21" borderId="152" xfId="0" applyFont="1" applyFill="1" applyBorder="1" applyAlignment="1">
      <alignment horizontal="center" vertical="center"/>
    </xf>
    <xf numFmtId="0" fontId="46" fillId="21" borderId="184" xfId="0" applyFont="1" applyFill="1" applyBorder="1" applyAlignment="1">
      <alignment horizontal="center" vertical="center"/>
    </xf>
    <xf numFmtId="0" fontId="46" fillId="21" borderId="172" xfId="0" applyFont="1" applyFill="1" applyBorder="1" applyAlignment="1">
      <alignment horizontal="center" vertical="center" wrapText="1"/>
    </xf>
    <xf numFmtId="0" fontId="46" fillId="21" borderId="172" xfId="0" applyFont="1" applyFill="1" applyBorder="1" applyAlignment="1">
      <alignment horizontal="center" vertical="center"/>
    </xf>
    <xf numFmtId="187" fontId="50" fillId="21" borderId="185" xfId="0" applyNumberFormat="1" applyFont="1" applyFill="1" applyBorder="1" applyAlignment="1">
      <alignment horizontal="center" vertical="center"/>
    </xf>
    <xf numFmtId="183" fontId="46" fillId="21" borderId="185" xfId="0" applyNumberFormat="1" applyFont="1" applyFill="1" applyBorder="1" applyAlignment="1">
      <alignment horizontal="center" vertical="center"/>
    </xf>
    <xf numFmtId="0" fontId="46" fillId="0" borderId="152" xfId="0" applyFont="1" applyBorder="1" applyAlignment="1">
      <alignment horizontal="center" vertical="center"/>
    </xf>
    <xf numFmtId="0" fontId="46" fillId="0" borderId="147" xfId="0" applyFont="1" applyBorder="1" applyAlignment="1">
      <alignment horizontal="center" vertical="center" wrapText="1"/>
    </xf>
    <xf numFmtId="0" fontId="74" fillId="16" borderId="136" xfId="0" applyFont="1" applyFill="1" applyBorder="1" applyAlignment="1">
      <alignment horizontal="center" vertical="center"/>
    </xf>
    <xf numFmtId="0" fontId="74" fillId="22" borderId="136" xfId="0" applyFont="1" applyFill="1" applyBorder="1" applyAlignment="1">
      <alignment horizontal="center" vertical="center"/>
    </xf>
    <xf numFmtId="0" fontId="33" fillId="0" borderId="135" xfId="0" applyFont="1" applyBorder="1" applyAlignment="1">
      <alignment horizontal="center" vertical="center" readingOrder="1"/>
    </xf>
    <xf numFmtId="0" fontId="33" fillId="0" borderId="6" xfId="0" applyFont="1" applyBorder="1" applyAlignment="1">
      <alignment horizontal="center" vertical="center" readingOrder="1"/>
    </xf>
    <xf numFmtId="176" fontId="45" fillId="0" borderId="6" xfId="2" applyNumberFormat="1" applyFont="1" applyFill="1" applyBorder="1">
      <alignment vertical="center"/>
    </xf>
    <xf numFmtId="0" fontId="33" fillId="0" borderId="136" xfId="0" applyFont="1" applyBorder="1" applyAlignment="1">
      <alignment horizontal="center" vertical="center" readingOrder="1"/>
    </xf>
    <xf numFmtId="0" fontId="27" fillId="0" borderId="135" xfId="0" applyFont="1" applyBorder="1" applyAlignment="1">
      <alignment horizontal="center" vertical="center"/>
    </xf>
    <xf numFmtId="0" fontId="48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7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176" fontId="16" fillId="0" borderId="191" xfId="2" applyNumberFormat="1" applyFont="1" applyBorder="1">
      <alignment vertical="center"/>
    </xf>
    <xf numFmtId="0" fontId="27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176" fontId="16" fillId="0" borderId="182" xfId="2" applyNumberFormat="1" applyFont="1" applyBorder="1">
      <alignment vertical="center"/>
    </xf>
    <xf numFmtId="176" fontId="16" fillId="0" borderId="191" xfId="2" applyNumberFormat="1" applyFont="1" applyFill="1" applyBorder="1">
      <alignment vertical="center"/>
    </xf>
    <xf numFmtId="176" fontId="16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7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7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176" fontId="16" fillId="5" borderId="196" xfId="2" applyNumberFormat="1" applyFont="1" applyFill="1" applyBorder="1">
      <alignment vertical="center"/>
    </xf>
    <xf numFmtId="176" fontId="15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6" fillId="0" borderId="198" xfId="2" applyNumberFormat="1" applyFont="1" applyBorder="1">
      <alignment vertical="center"/>
    </xf>
    <xf numFmtId="0" fontId="48" fillId="0" borderId="196" xfId="0" applyFont="1" applyBorder="1" applyAlignment="1">
      <alignment horizontal="center" vertical="center"/>
    </xf>
    <xf numFmtId="176" fontId="16" fillId="0" borderId="196" xfId="2" applyNumberFormat="1" applyFont="1" applyBorder="1">
      <alignment vertical="center"/>
    </xf>
    <xf numFmtId="0" fontId="26" fillId="0" borderId="0" xfId="0" applyFont="1">
      <alignment vertical="center"/>
    </xf>
    <xf numFmtId="176" fontId="16" fillId="0" borderId="6" xfId="2" applyNumberFormat="1" applyFont="1" applyBorder="1" applyAlignment="1">
      <alignment vertical="center" wrapText="1"/>
    </xf>
    <xf numFmtId="0" fontId="16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6" fillId="2" borderId="164" xfId="0" applyFont="1" applyFill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5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5" fillId="0" borderId="182" xfId="2" applyNumberFormat="1" applyFont="1" applyBorder="1">
      <alignment vertical="center"/>
    </xf>
    <xf numFmtId="0" fontId="75" fillId="0" borderId="182" xfId="0" applyFont="1" applyBorder="1" applyAlignment="1">
      <alignment horizontal="center" vertical="center"/>
    </xf>
    <xf numFmtId="0" fontId="49" fillId="0" borderId="182" xfId="0" applyFont="1" applyBorder="1" applyAlignment="1">
      <alignment horizontal="center" vertical="center"/>
    </xf>
    <xf numFmtId="0" fontId="75" fillId="0" borderId="191" xfId="0" applyFont="1" applyBorder="1" applyAlignment="1">
      <alignment horizontal="center" vertical="center"/>
    </xf>
    <xf numFmtId="0" fontId="49" fillId="0" borderId="191" xfId="0" applyFont="1" applyBorder="1" applyAlignment="1">
      <alignment horizontal="center" vertical="center"/>
    </xf>
    <xf numFmtId="0" fontId="75" fillId="5" borderId="196" xfId="0" applyFont="1" applyFill="1" applyBorder="1" applyAlignment="1">
      <alignment horizontal="center" vertical="center"/>
    </xf>
    <xf numFmtId="0" fontId="49" fillId="5" borderId="196" xfId="0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 readingOrder="1"/>
    </xf>
    <xf numFmtId="0" fontId="49" fillId="0" borderId="136" xfId="0" applyFont="1" applyBorder="1" applyAlignment="1">
      <alignment horizontal="center" vertical="center" wrapText="1" readingOrder="1"/>
    </xf>
    <xf numFmtId="0" fontId="75" fillId="0" borderId="191" xfId="0" applyFont="1" applyBorder="1" applyAlignment="1">
      <alignment horizontal="center" vertical="center" wrapText="1"/>
    </xf>
    <xf numFmtId="0" fontId="49" fillId="0" borderId="191" xfId="0" applyFont="1" applyBorder="1" applyAlignment="1">
      <alignment horizontal="center" vertical="center" wrapText="1"/>
    </xf>
    <xf numFmtId="0" fontId="75" fillId="5" borderId="196" xfId="0" applyFont="1" applyFill="1" applyBorder="1" applyAlignment="1">
      <alignment horizontal="center" vertical="center" wrapText="1"/>
    </xf>
    <xf numFmtId="0" fontId="49" fillId="5" borderId="196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/>
    </xf>
    <xf numFmtId="0" fontId="49" fillId="0" borderId="196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176" fontId="12" fillId="0" borderId="0" xfId="9" applyNumberFormat="1">
      <alignment vertical="center"/>
    </xf>
    <xf numFmtId="0" fontId="27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60" fillId="6" borderId="6" xfId="0" applyFont="1" applyFill="1" applyBorder="1" applyAlignment="1">
      <alignment horizontal="center" vertical="center"/>
    </xf>
    <xf numFmtId="0" fontId="60" fillId="6" borderId="97" xfId="0" applyFont="1" applyFill="1" applyBorder="1" applyAlignment="1">
      <alignment horizontal="center" vertical="center" wrapText="1"/>
    </xf>
    <xf numFmtId="0" fontId="59" fillId="11" borderId="6" xfId="0" applyFont="1" applyFill="1" applyBorder="1" applyAlignment="1">
      <alignment horizontal="center" vertical="center" wrapText="1"/>
    </xf>
    <xf numFmtId="0" fontId="60" fillId="6" borderId="71" xfId="0" applyFont="1" applyFill="1" applyBorder="1" applyAlignment="1">
      <alignment horizontal="center" vertical="center" wrapText="1"/>
    </xf>
    <xf numFmtId="0" fontId="59" fillId="11" borderId="71" xfId="0" applyFont="1" applyFill="1" applyBorder="1" applyAlignment="1">
      <alignment horizontal="center" vertical="center" wrapText="1"/>
    </xf>
    <xf numFmtId="0" fontId="59" fillId="7" borderId="71" xfId="0" applyFont="1" applyFill="1" applyBorder="1" applyAlignment="1">
      <alignment horizontal="center" vertical="center" wrapText="1"/>
    </xf>
    <xf numFmtId="0" fontId="60" fillId="0" borderId="97" xfId="0" applyFont="1" applyBorder="1" applyAlignment="1">
      <alignment horizontal="center" vertical="center" wrapText="1"/>
    </xf>
    <xf numFmtId="0" fontId="60" fillId="0" borderId="71" xfId="0" applyFont="1" applyBorder="1" applyAlignment="1">
      <alignment horizontal="center" vertical="center" wrapText="1"/>
    </xf>
    <xf numFmtId="0" fontId="60" fillId="0" borderId="181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60" fillId="0" borderId="103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9" fillId="7" borderId="97" xfId="0" applyFont="1" applyFill="1" applyBorder="1" applyAlignment="1">
      <alignment horizontal="center" vertical="center" wrapText="1"/>
    </xf>
    <xf numFmtId="184" fontId="59" fillId="6" borderId="75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0" fontId="62" fillId="0" borderId="182" xfId="0" applyFont="1" applyBorder="1" applyAlignment="1">
      <alignment horizontal="center" vertical="center"/>
    </xf>
    <xf numFmtId="0" fontId="59" fillId="7" borderId="101" xfId="0" applyFont="1" applyFill="1" applyBorder="1" applyAlignment="1">
      <alignment vertical="center" wrapText="1"/>
    </xf>
    <xf numFmtId="0" fontId="60" fillId="0" borderId="212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60" fillId="0" borderId="212" xfId="0" applyFont="1" applyBorder="1" applyAlignment="1">
      <alignment horizontal="center" vertical="center"/>
    </xf>
    <xf numFmtId="0" fontId="60" fillId="0" borderId="213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64" fillId="0" borderId="182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 wrapText="1"/>
    </xf>
    <xf numFmtId="0" fontId="58" fillId="0" borderId="183" xfId="0" applyFont="1" applyBorder="1" applyAlignment="1">
      <alignment horizontal="center" vertical="center" wrapText="1"/>
    </xf>
    <xf numFmtId="0" fontId="60" fillId="6" borderId="182" xfId="0" applyFont="1" applyFill="1" applyBorder="1" applyAlignment="1">
      <alignment horizontal="center" vertical="center" wrapText="1"/>
    </xf>
    <xf numFmtId="0" fontId="59" fillId="7" borderId="182" xfId="0" applyFont="1" applyFill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184" fontId="60" fillId="7" borderId="216" xfId="2" applyNumberFormat="1" applyFont="1" applyFill="1" applyBorder="1" applyAlignment="1" applyProtection="1">
      <alignment horizontal="center" vertical="center"/>
    </xf>
    <xf numFmtId="184" fontId="60" fillId="6" borderId="75" xfId="2" applyNumberFormat="1" applyFont="1" applyFill="1" applyBorder="1" applyAlignment="1" applyProtection="1">
      <alignment horizontal="center" vertical="center"/>
    </xf>
    <xf numFmtId="0" fontId="60" fillId="6" borderId="182" xfId="0" applyFont="1" applyFill="1" applyBorder="1" applyAlignment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 wrapText="1"/>
    </xf>
    <xf numFmtId="184" fontId="60" fillId="6" borderId="212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9" fillId="7" borderId="71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60" fillId="7" borderId="182" xfId="2" applyNumberFormat="1" applyFont="1" applyFill="1" applyBorder="1" applyAlignment="1" applyProtection="1">
      <alignment horizontal="center" vertical="center"/>
    </xf>
    <xf numFmtId="184" fontId="59" fillId="7" borderId="97" xfId="2" applyNumberFormat="1" applyFont="1" applyFill="1" applyBorder="1" applyAlignment="1" applyProtection="1">
      <alignment horizontal="center" vertical="center"/>
    </xf>
    <xf numFmtId="184" fontId="62" fillId="7" borderId="6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64" fillId="6" borderId="182" xfId="2" applyNumberFormat="1" applyFont="1" applyFill="1" applyBorder="1" applyAlignment="1" applyProtection="1">
      <alignment horizontal="center" vertical="center"/>
    </xf>
    <xf numFmtId="184" fontId="59" fillId="7" borderId="181" xfId="2" applyNumberFormat="1" applyFont="1" applyFill="1" applyBorder="1" applyAlignment="1" applyProtection="1">
      <alignment horizontal="center" vertical="center"/>
    </xf>
    <xf numFmtId="184" fontId="60" fillId="6" borderId="181" xfId="2" applyNumberFormat="1" applyFont="1" applyFill="1" applyBorder="1" applyAlignment="1" applyProtection="1">
      <alignment horizontal="center" vertical="center"/>
    </xf>
    <xf numFmtId="184" fontId="58" fillId="6" borderId="212" xfId="2" applyNumberFormat="1" applyFont="1" applyFill="1" applyBorder="1" applyAlignment="1" applyProtection="1">
      <alignment horizontal="center" vertical="center"/>
    </xf>
    <xf numFmtId="0" fontId="60" fillId="12" borderId="6" xfId="0" applyFont="1" applyFill="1" applyBorder="1" applyAlignment="1">
      <alignment horizontal="center" vertical="center" wrapText="1"/>
    </xf>
    <xf numFmtId="0" fontId="60" fillId="12" borderId="6" xfId="0" applyFont="1" applyFill="1" applyBorder="1" applyAlignment="1">
      <alignment horizontal="center" vertical="center"/>
    </xf>
    <xf numFmtId="0" fontId="60" fillId="12" borderId="77" xfId="0" applyFont="1" applyFill="1" applyBorder="1" applyAlignment="1">
      <alignment horizontal="center" vertical="center" wrapText="1"/>
    </xf>
    <xf numFmtId="0" fontId="60" fillId="12" borderId="77" xfId="0" applyFont="1" applyFill="1" applyBorder="1" applyAlignment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60" fillId="12" borderId="71" xfId="0" applyFont="1" applyFill="1" applyBorder="1" applyAlignment="1">
      <alignment horizontal="center" vertical="center" wrapText="1"/>
    </xf>
    <xf numFmtId="0" fontId="67" fillId="7" borderId="219" xfId="0" applyFont="1" applyFill="1" applyBorder="1" applyAlignment="1">
      <alignment horizontal="center" vertical="center" wrapText="1"/>
    </xf>
    <xf numFmtId="184" fontId="60" fillId="0" borderId="212" xfId="2" applyNumberFormat="1" applyFont="1" applyFill="1" applyBorder="1" applyAlignment="1" applyProtection="1">
      <alignment horizontal="center" vertical="center"/>
    </xf>
    <xf numFmtId="184" fontId="60" fillId="0" borderId="223" xfId="2" applyNumberFormat="1" applyFont="1" applyFill="1" applyBorder="1" applyAlignment="1" applyProtection="1">
      <alignment horizontal="center" vertical="center"/>
    </xf>
    <xf numFmtId="184" fontId="60" fillId="0" borderId="182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184" fontId="60" fillId="0" borderId="224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vertical="center" wrapText="1"/>
    </xf>
    <xf numFmtId="0" fontId="60" fillId="0" borderId="197" xfId="0" applyFont="1" applyBorder="1" applyAlignment="1">
      <alignment horizontal="center" vertical="center" wrapText="1"/>
    </xf>
    <xf numFmtId="184" fontId="60" fillId="0" borderId="181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8" fillId="12" borderId="6" xfId="0" applyFont="1" applyFill="1" applyBorder="1" applyAlignment="1">
      <alignment horizontal="center" vertical="center"/>
    </xf>
    <xf numFmtId="0" fontId="58" fillId="0" borderId="83" xfId="0" applyFont="1" applyBorder="1" applyAlignment="1">
      <alignment horizontal="left" vertical="center"/>
    </xf>
    <xf numFmtId="0" fontId="17" fillId="4" borderId="152" xfId="0" applyFont="1" applyFill="1" applyBorder="1" applyAlignment="1">
      <alignment horizontal="center" vertical="center" wrapText="1"/>
    </xf>
    <xf numFmtId="0" fontId="17" fillId="4" borderId="147" xfId="0" applyFont="1" applyFill="1" applyBorder="1" applyAlignment="1">
      <alignment horizontal="center" vertical="center" wrapText="1"/>
    </xf>
    <xf numFmtId="183" fontId="17" fillId="4" borderId="148" xfId="0" applyNumberFormat="1" applyFont="1" applyFill="1" applyBorder="1" applyAlignment="1">
      <alignment horizontal="center" vertical="center" wrapText="1"/>
    </xf>
    <xf numFmtId="0" fontId="17" fillId="4" borderId="152" xfId="0" applyFont="1" applyFill="1" applyBorder="1" applyAlignment="1">
      <alignment horizontal="center" vertical="center"/>
    </xf>
    <xf numFmtId="0" fontId="17" fillId="4" borderId="147" xfId="0" applyFont="1" applyFill="1" applyBorder="1" applyAlignment="1">
      <alignment horizontal="center" vertical="center"/>
    </xf>
    <xf numFmtId="183" fontId="17" fillId="4" borderId="148" xfId="0" applyNumberFormat="1" applyFont="1" applyFill="1" applyBorder="1" applyAlignment="1">
      <alignment horizontal="center" vertical="center"/>
    </xf>
    <xf numFmtId="0" fontId="16" fillId="4" borderId="13" xfId="9" applyFont="1" applyFill="1" applyBorder="1" applyAlignment="1">
      <alignment horizontal="center" vertical="center" wrapText="1"/>
    </xf>
    <xf numFmtId="0" fontId="16" fillId="4" borderId="14" xfId="9" applyFont="1" applyFill="1" applyBorder="1" applyAlignment="1">
      <alignment horizontal="center" vertical="center" wrapText="1"/>
    </xf>
    <xf numFmtId="0" fontId="16" fillId="4" borderId="46" xfId="9" applyFont="1" applyFill="1" applyBorder="1" applyAlignment="1">
      <alignment horizontal="center" vertical="center" wrapText="1"/>
    </xf>
    <xf numFmtId="0" fontId="58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5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3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2" fillId="4" borderId="0" xfId="9" applyNumberFormat="1" applyFill="1">
      <alignment vertical="center"/>
    </xf>
    <xf numFmtId="10" fontId="27" fillId="0" borderId="0" xfId="12" applyNumberFormat="1" applyFont="1" applyAlignment="1">
      <alignment vertical="center"/>
    </xf>
    <xf numFmtId="10" fontId="78" fillId="0" borderId="0" xfId="9" applyNumberFormat="1" applyFont="1">
      <alignment vertical="center"/>
    </xf>
    <xf numFmtId="0" fontId="15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6" fillId="0" borderId="182" xfId="2" applyNumberFormat="1" applyFont="1" applyFill="1" applyBorder="1">
      <alignment vertical="center"/>
    </xf>
    <xf numFmtId="0" fontId="14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6" fillId="0" borderId="0" xfId="0" applyFont="1" applyAlignment="1">
      <alignment horizontal="right" vertical="center" wrapText="1"/>
    </xf>
    <xf numFmtId="0" fontId="17" fillId="4" borderId="6" xfId="0" applyFont="1" applyFill="1" applyBorder="1" applyAlignment="1">
      <alignment horizontal="center" vertical="center" wrapText="1"/>
    </xf>
    <xf numFmtId="181" fontId="26" fillId="7" borderId="40" xfId="0" applyNumberFormat="1" applyFont="1" applyFill="1" applyBorder="1" applyAlignment="1">
      <alignment horizontal="center" vertical="center"/>
    </xf>
    <xf numFmtId="181" fontId="26" fillId="9" borderId="17" xfId="0" applyNumberFormat="1" applyFont="1" applyFill="1" applyBorder="1" applyAlignment="1">
      <alignment horizontal="center" vertical="center"/>
    </xf>
    <xf numFmtId="181" fontId="26" fillId="6" borderId="58" xfId="0" applyNumberFormat="1" applyFont="1" applyFill="1" applyBorder="1" applyAlignment="1">
      <alignment horizontal="center" vertical="center"/>
    </xf>
    <xf numFmtId="0" fontId="44" fillId="0" borderId="34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 wrapText="1"/>
    </xf>
    <xf numFmtId="0" fontId="44" fillId="0" borderId="37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/>
    </xf>
    <xf numFmtId="0" fontId="44" fillId="0" borderId="37" xfId="0" quotePrefix="1" applyFont="1" applyBorder="1" applyAlignment="1">
      <alignment horizontal="center" vertical="center"/>
    </xf>
    <xf numFmtId="0" fontId="17" fillId="0" borderId="38" xfId="0" quotePrefix="1" applyFont="1" applyBorder="1" applyAlignment="1">
      <alignment horizontal="center" vertical="center"/>
    </xf>
    <xf numFmtId="0" fontId="17" fillId="0" borderId="37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7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17" fillId="0" borderId="51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0" fontId="44" fillId="0" borderId="38" xfId="0" quotePrefix="1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79" fillId="0" borderId="34" xfId="9" applyFont="1" applyBorder="1" applyAlignment="1">
      <alignment horizontal="center" vertical="center"/>
    </xf>
    <xf numFmtId="0" fontId="79" fillId="0" borderId="35" xfId="9" applyFont="1" applyBorder="1" applyAlignment="1">
      <alignment horizontal="center" vertical="center"/>
    </xf>
    <xf numFmtId="0" fontId="17" fillId="0" borderId="37" xfId="9" applyFont="1" applyBorder="1" applyAlignment="1">
      <alignment horizontal="center" vertical="center"/>
    </xf>
    <xf numFmtId="0" fontId="17" fillId="0" borderId="38" xfId="9" applyFont="1" applyBorder="1" applyAlignment="1">
      <alignment horizontal="center" vertical="center"/>
    </xf>
    <xf numFmtId="0" fontId="17" fillId="0" borderId="37" xfId="9" quotePrefix="1" applyFont="1" applyBorder="1" applyAlignment="1">
      <alignment horizontal="center" vertical="center"/>
    </xf>
    <xf numFmtId="0" fontId="17" fillId="0" borderId="38" xfId="9" quotePrefix="1" applyFont="1" applyBorder="1" applyAlignment="1">
      <alignment horizontal="center" vertical="center"/>
    </xf>
    <xf numFmtId="0" fontId="17" fillId="0" borderId="49" xfId="9" quotePrefix="1" applyFont="1" applyBorder="1" applyAlignment="1">
      <alignment horizontal="center" vertical="center"/>
    </xf>
    <xf numFmtId="0" fontId="17" fillId="0" borderId="34" xfId="9" quotePrefix="1" applyFont="1" applyBorder="1" applyAlignment="1">
      <alignment horizontal="center" vertical="center"/>
    </xf>
    <xf numFmtId="0" fontId="17" fillId="0" borderId="35" xfId="9" quotePrefix="1" applyFont="1" applyBorder="1" applyAlignment="1">
      <alignment horizontal="center" vertical="center"/>
    </xf>
    <xf numFmtId="0" fontId="17" fillId="0" borderId="59" xfId="9" quotePrefix="1" applyFont="1" applyBorder="1" applyAlignment="1">
      <alignment horizontal="center" vertical="center"/>
    </xf>
    <xf numFmtId="0" fontId="17" fillId="0" borderId="60" xfId="9" quotePrefix="1" applyFont="1" applyBorder="1" applyAlignment="1">
      <alignment horizontal="center" vertical="center"/>
    </xf>
    <xf numFmtId="0" fontId="17" fillId="0" borderId="34" xfId="9" applyFont="1" applyBorder="1" applyAlignment="1">
      <alignment horizontal="center" vertical="center"/>
    </xf>
    <xf numFmtId="0" fontId="17" fillId="0" borderId="35" xfId="9" applyFont="1" applyBorder="1" applyAlignment="1">
      <alignment horizontal="center" vertical="center"/>
    </xf>
    <xf numFmtId="0" fontId="44" fillId="0" borderId="37" xfId="9" applyFont="1" applyBorder="1" applyAlignment="1">
      <alignment horizontal="center" vertical="center"/>
    </xf>
    <xf numFmtId="0" fontId="17" fillId="0" borderId="54" xfId="9" applyFont="1" applyBorder="1" applyAlignment="1">
      <alignment horizontal="center" vertical="center"/>
    </xf>
    <xf numFmtId="0" fontId="17" fillId="0" borderId="55" xfId="9" applyFont="1" applyBorder="1" applyAlignment="1">
      <alignment horizontal="center" vertical="center"/>
    </xf>
    <xf numFmtId="0" fontId="17" fillId="0" borderId="51" xfId="9" applyFont="1" applyBorder="1" applyAlignment="1">
      <alignment horizontal="center" vertical="center"/>
    </xf>
    <xf numFmtId="0" fontId="17" fillId="0" borderId="45" xfId="9" applyFont="1" applyBorder="1" applyAlignment="1">
      <alignment horizontal="center" vertical="center"/>
    </xf>
    <xf numFmtId="0" fontId="44" fillId="0" borderId="38" xfId="9" quotePrefix="1" applyFont="1" applyBorder="1" applyAlignment="1">
      <alignment horizontal="center" vertical="center"/>
    </xf>
    <xf numFmtId="0" fontId="17" fillId="0" borderId="42" xfId="9" applyFont="1" applyBorder="1" applyAlignment="1">
      <alignment horizontal="center" vertical="center"/>
    </xf>
    <xf numFmtId="0" fontId="17" fillId="0" borderId="43" xfId="9" applyFont="1" applyBorder="1" applyAlignment="1">
      <alignment horizontal="center" vertical="center"/>
    </xf>
    <xf numFmtId="0" fontId="17" fillId="0" borderId="59" xfId="9" applyFont="1" applyBorder="1" applyAlignment="1">
      <alignment horizontal="center" vertical="center"/>
    </xf>
    <xf numFmtId="0" fontId="17" fillId="0" borderId="60" xfId="9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61" fillId="0" borderId="227" xfId="0" applyFont="1" applyBorder="1" applyAlignment="1">
      <alignment horizontal="center" vertical="center"/>
    </xf>
    <xf numFmtId="0" fontId="61" fillId="0" borderId="222" xfId="0" applyFont="1" applyBorder="1" applyAlignment="1">
      <alignment horizontal="center" vertical="center"/>
    </xf>
    <xf numFmtId="0" fontId="60" fillId="0" borderId="77" xfId="0" applyFont="1" applyBorder="1" applyAlignment="1">
      <alignment horizontal="center" vertical="center" wrapText="1"/>
    </xf>
    <xf numFmtId="184" fontId="60" fillId="6" borderId="77" xfId="2" applyNumberFormat="1" applyFont="1" applyFill="1" applyBorder="1" applyAlignment="1" applyProtection="1">
      <alignment horizontal="center" vertical="center"/>
    </xf>
    <xf numFmtId="0" fontId="61" fillId="0" borderId="227" xfId="0" applyFont="1" applyBorder="1" applyAlignment="1">
      <alignment horizontal="center" vertical="center" wrapText="1"/>
    </xf>
    <xf numFmtId="184" fontId="60" fillId="7" borderId="197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vertical="center" wrapText="1"/>
    </xf>
    <xf numFmtId="0" fontId="58" fillId="0" borderId="181" xfId="0" applyFont="1" applyBorder="1" applyAlignment="1">
      <alignment horizontal="center" vertical="center"/>
    </xf>
    <xf numFmtId="0" fontId="59" fillId="0" borderId="181" xfId="0" applyFont="1" applyBorder="1" applyAlignment="1">
      <alignment horizontal="center" vertical="center" wrapText="1"/>
    </xf>
    <xf numFmtId="0" fontId="60" fillId="0" borderId="178" xfId="0" applyFont="1" applyBorder="1" applyAlignment="1">
      <alignment horizontal="center" vertical="center"/>
    </xf>
    <xf numFmtId="184" fontId="59" fillId="7" borderId="82" xfId="2" applyNumberFormat="1" applyFont="1" applyFill="1" applyBorder="1" applyAlignment="1" applyProtection="1">
      <alignment horizontal="center" vertical="center"/>
    </xf>
    <xf numFmtId="184" fontId="60" fillId="6" borderId="82" xfId="2" applyNumberFormat="1" applyFont="1" applyFill="1" applyBorder="1" applyAlignment="1" applyProtection="1">
      <alignment horizontal="center" vertical="center"/>
    </xf>
    <xf numFmtId="184" fontId="60" fillId="7" borderId="72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197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 wrapText="1"/>
    </xf>
    <xf numFmtId="0" fontId="60" fillId="0" borderId="101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/>
    </xf>
    <xf numFmtId="184" fontId="59" fillId="7" borderId="228" xfId="2" applyNumberFormat="1" applyFont="1" applyFill="1" applyBorder="1" applyAlignment="1" applyProtection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60" fillId="6" borderId="101" xfId="2" applyNumberFormat="1" applyFont="1" applyFill="1" applyBorder="1" applyAlignment="1" applyProtection="1">
      <alignment horizontal="center" vertical="center"/>
    </xf>
    <xf numFmtId="0" fontId="60" fillId="0" borderId="183" xfId="0" applyFont="1" applyBorder="1" applyAlignment="1">
      <alignment horizontal="center" vertical="center" wrapText="1"/>
    </xf>
    <xf numFmtId="184" fontId="60" fillId="7" borderId="230" xfId="2" applyNumberFormat="1" applyFont="1" applyFill="1" applyBorder="1" applyAlignment="1" applyProtection="1">
      <alignment horizontal="center" vertical="center"/>
    </xf>
    <xf numFmtId="184" fontId="59" fillId="0" borderId="225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60" fillId="0" borderId="229" xfId="2" applyNumberFormat="1" applyFont="1" applyFill="1" applyBorder="1" applyAlignment="1" applyProtection="1">
      <alignment horizontal="center" vertical="center"/>
    </xf>
    <xf numFmtId="0" fontId="59" fillId="0" borderId="181" xfId="0" applyFont="1" applyBorder="1" applyAlignment="1">
      <alignment horizontal="center" vertical="center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60" fillId="0" borderId="197" xfId="2" applyNumberFormat="1" applyFont="1" applyFill="1" applyBorder="1" applyAlignment="1" applyProtection="1">
      <alignment horizontal="center" vertical="center"/>
    </xf>
    <xf numFmtId="184" fontId="59" fillId="0" borderId="231" xfId="2" applyNumberFormat="1" applyFont="1" applyFill="1" applyBorder="1" applyAlignment="1" applyProtection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8" fillId="0" borderId="217" xfId="2" applyNumberFormat="1" applyFont="1" applyFill="1" applyBorder="1" applyAlignment="1" applyProtection="1">
      <alignment horizontal="center"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0" borderId="192" xfId="0" applyFont="1" applyBorder="1" applyAlignment="1">
      <alignment horizontal="center" vertical="center"/>
    </xf>
    <xf numFmtId="0" fontId="43" fillId="0" borderId="205" xfId="0" applyFont="1" applyBorder="1" applyAlignment="1">
      <alignment horizontal="center" vertical="center"/>
    </xf>
    <xf numFmtId="0" fontId="43" fillId="0" borderId="206" xfId="0" applyFont="1" applyBorder="1" applyAlignment="1">
      <alignment horizontal="center" vertical="center"/>
    </xf>
    <xf numFmtId="0" fontId="43" fillId="0" borderId="207" xfId="0" applyFont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0" borderId="182" xfId="0" applyFont="1" applyBorder="1">
      <alignment vertical="center"/>
    </xf>
    <xf numFmtId="0" fontId="48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6" fillId="0" borderId="236" xfId="2" applyNumberFormat="1" applyFont="1" applyFill="1" applyBorder="1">
      <alignment vertical="center"/>
    </xf>
    <xf numFmtId="176" fontId="16" fillId="0" borderId="237" xfId="2" applyNumberFormat="1" applyFont="1" applyFill="1" applyBorder="1">
      <alignment vertical="center"/>
    </xf>
    <xf numFmtId="0" fontId="43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9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6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5" fillId="5" borderId="182" xfId="0" applyFont="1" applyFill="1" applyBorder="1" applyAlignment="1">
      <alignment horizontal="center" vertical="center" wrapText="1"/>
    </xf>
    <xf numFmtId="0" fontId="49" fillId="5" borderId="182" xfId="0" applyFont="1" applyFill="1" applyBorder="1" applyAlignment="1">
      <alignment horizontal="center" vertical="center" wrapText="1"/>
    </xf>
    <xf numFmtId="0" fontId="75" fillId="5" borderId="182" xfId="0" applyFont="1" applyFill="1" applyBorder="1" applyAlignment="1">
      <alignment horizontal="center" vertical="center"/>
    </xf>
    <xf numFmtId="0" fontId="49" fillId="5" borderId="182" xfId="0" applyFont="1" applyFill="1" applyBorder="1" applyAlignment="1">
      <alignment horizontal="center" vertical="center"/>
    </xf>
    <xf numFmtId="0" fontId="27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176" fontId="16" fillId="5" borderId="182" xfId="2" applyNumberFormat="1" applyFont="1" applyFill="1" applyBorder="1">
      <alignment vertical="center"/>
    </xf>
    <xf numFmtId="0" fontId="75" fillId="5" borderId="136" xfId="0" applyFont="1" applyFill="1" applyBorder="1" applyAlignment="1">
      <alignment horizontal="center" vertical="center" wrapText="1"/>
    </xf>
    <xf numFmtId="0" fontId="49" fillId="5" borderId="136" xfId="0" applyFont="1" applyFill="1" applyBorder="1" applyAlignment="1">
      <alignment horizontal="center" vertical="center" wrapText="1"/>
    </xf>
    <xf numFmtId="176" fontId="16" fillId="0" borderId="135" xfId="10" applyNumberFormat="1" applyFont="1" applyBorder="1">
      <alignment vertical="center"/>
    </xf>
    <xf numFmtId="0" fontId="49" fillId="0" borderId="136" xfId="9" applyFont="1" applyBorder="1" applyAlignment="1">
      <alignment horizontal="center" vertical="center" wrapText="1"/>
    </xf>
    <xf numFmtId="176" fontId="16" fillId="0" borderId="136" xfId="10" applyNumberFormat="1" applyFont="1" applyBorder="1">
      <alignment vertical="center"/>
    </xf>
    <xf numFmtId="0" fontId="12" fillId="0" borderId="135" xfId="9" applyBorder="1" applyAlignment="1">
      <alignment horizontal="center" vertical="center" wrapText="1"/>
    </xf>
    <xf numFmtId="0" fontId="38" fillId="0" borderId="135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/>
    </xf>
    <xf numFmtId="0" fontId="49" fillId="0" borderId="135" xfId="9" applyFont="1" applyBorder="1" applyAlignment="1">
      <alignment horizontal="center" vertical="center"/>
    </xf>
    <xf numFmtId="0" fontId="43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5" fillId="0" borderId="239" xfId="0" applyFont="1" applyBorder="1" applyAlignment="1">
      <alignment horizontal="center" vertical="center" wrapText="1"/>
    </xf>
    <xf numFmtId="0" fontId="48" fillId="0" borderId="238" xfId="0" applyFont="1" applyBorder="1" applyAlignment="1">
      <alignment horizontal="center" vertical="center" wrapText="1"/>
    </xf>
    <xf numFmtId="176" fontId="16" fillId="0" borderId="238" xfId="2" applyNumberFormat="1" applyFont="1" applyBorder="1">
      <alignment vertical="center"/>
    </xf>
    <xf numFmtId="0" fontId="26" fillId="6" borderId="136" xfId="0" applyFont="1" applyFill="1" applyBorder="1" applyAlignment="1">
      <alignment horizontal="center" vertical="center"/>
    </xf>
    <xf numFmtId="0" fontId="43" fillId="6" borderId="136" xfId="0" applyFont="1" applyFill="1" applyBorder="1" applyAlignment="1">
      <alignment horizontal="center" vertical="center"/>
    </xf>
    <xf numFmtId="176" fontId="43" fillId="6" borderId="136" xfId="2" applyNumberFormat="1" applyFont="1" applyFill="1" applyBorder="1" applyAlignment="1">
      <alignment horizontal="center" vertical="center"/>
    </xf>
    <xf numFmtId="0" fontId="17" fillId="4" borderId="193" xfId="0" applyFont="1" applyFill="1" applyBorder="1" applyAlignment="1">
      <alignment horizontal="center" vertical="center" wrapText="1"/>
    </xf>
    <xf numFmtId="0" fontId="17" fillId="0" borderId="207" xfId="0" applyFont="1" applyBorder="1" applyAlignment="1">
      <alignment horizontal="center" vertical="center" wrapText="1"/>
    </xf>
    <xf numFmtId="0" fontId="17" fillId="0" borderId="136" xfId="0" applyFont="1" applyBorder="1" applyAlignment="1">
      <alignment horizontal="center" vertical="center" wrapText="1"/>
    </xf>
    <xf numFmtId="176" fontId="45" fillId="0" borderId="136" xfId="2" applyNumberFormat="1" applyFont="1" applyFill="1" applyBorder="1">
      <alignment vertical="center"/>
    </xf>
    <xf numFmtId="0" fontId="43" fillId="0" borderId="137" xfId="0" applyFont="1" applyBorder="1" applyAlignment="1">
      <alignment horizontal="center" vertical="center"/>
    </xf>
    <xf numFmtId="0" fontId="43" fillId="0" borderId="136" xfId="0" applyFont="1" applyBorder="1" applyAlignment="1">
      <alignment horizontal="center" vertical="center"/>
    </xf>
    <xf numFmtId="0" fontId="43" fillId="0" borderId="135" xfId="0" applyFont="1" applyBorder="1" applyAlignment="1">
      <alignment horizontal="center" vertical="center"/>
    </xf>
    <xf numFmtId="0" fontId="43" fillId="0" borderId="6" xfId="0" applyFont="1" applyBorder="1" applyAlignment="1">
      <alignment horizontal="center" vertical="center"/>
    </xf>
    <xf numFmtId="0" fontId="15" fillId="9" borderId="136" xfId="0" applyFont="1" applyFill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82" fillId="4" borderId="135" xfId="0" applyFont="1" applyFill="1" applyBorder="1" applyAlignment="1">
      <alignment horizontal="center" vertical="center" wrapText="1"/>
    </xf>
    <xf numFmtId="0" fontId="82" fillId="4" borderId="6" xfId="0" applyFont="1" applyFill="1" applyBorder="1" applyAlignment="1">
      <alignment horizontal="center" vertical="center" wrapText="1"/>
    </xf>
    <xf numFmtId="0" fontId="47" fillId="4" borderId="6" xfId="0" applyFont="1" applyFill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3" fillId="0" borderId="135" xfId="0" applyFont="1" applyBorder="1" applyAlignment="1">
      <alignment horizontal="center" vertical="center" wrapText="1"/>
    </xf>
    <xf numFmtId="0" fontId="83" fillId="0" borderId="6" xfId="0" applyFont="1" applyBorder="1" applyAlignment="1">
      <alignment horizontal="center" vertical="center" wrapText="1"/>
    </xf>
    <xf numFmtId="0" fontId="83" fillId="0" borderId="136" xfId="0" applyFont="1" applyBorder="1" applyAlignment="1">
      <alignment horizontal="center" vertical="center" wrapText="1"/>
    </xf>
    <xf numFmtId="0" fontId="83" fillId="0" borderId="77" xfId="0" applyFont="1" applyBorder="1" applyAlignment="1">
      <alignment horizontal="center" vertical="center" wrapText="1"/>
    </xf>
    <xf numFmtId="0" fontId="83" fillId="0" borderId="137" xfId="0" applyFont="1" applyBorder="1" applyAlignment="1">
      <alignment horizontal="center" vertical="center" wrapText="1"/>
    </xf>
    <xf numFmtId="0" fontId="83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8" fillId="12" borderId="15" xfId="0" applyNumberFormat="1" applyFont="1" applyFill="1" applyBorder="1" applyAlignment="1">
      <alignment horizontal="center" vertical="center"/>
    </xf>
    <xf numFmtId="181" fontId="28" fillId="12" borderId="18" xfId="0" applyNumberFormat="1" applyFont="1" applyFill="1" applyBorder="1" applyAlignment="1">
      <alignment horizontal="center" vertical="center"/>
    </xf>
    <xf numFmtId="183" fontId="50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4" fillId="0" borderId="25" xfId="0" applyNumberFormat="1" applyFont="1" applyBorder="1" applyAlignment="1">
      <alignment horizontal="center" vertical="center"/>
    </xf>
    <xf numFmtId="0" fontId="58" fillId="8" borderId="6" xfId="0" applyFont="1" applyFill="1" applyBorder="1" applyAlignment="1">
      <alignment horizontal="center" vertical="center"/>
    </xf>
    <xf numFmtId="0" fontId="58" fillId="23" borderId="97" xfId="0" applyFont="1" applyFill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vertical="center" wrapText="1"/>
    </xf>
    <xf numFmtId="0" fontId="58" fillId="0" borderId="82" xfId="0" applyFont="1" applyBorder="1" applyAlignment="1">
      <alignment vertical="center" wrapText="1"/>
    </xf>
    <xf numFmtId="0" fontId="58" fillId="0" borderId="82" xfId="0" applyFont="1" applyBorder="1">
      <alignment vertical="center"/>
    </xf>
    <xf numFmtId="0" fontId="58" fillId="0" borderId="82" xfId="0" quotePrefix="1" applyFont="1" applyBorder="1">
      <alignment vertical="center"/>
    </xf>
    <xf numFmtId="184" fontId="59" fillId="0" borderId="216" xfId="2" applyNumberFormat="1" applyFont="1" applyFill="1" applyBorder="1" applyAlignment="1" applyProtection="1">
      <alignment horizontal="center" vertical="center"/>
    </xf>
    <xf numFmtId="0" fontId="58" fillId="0" borderId="216" xfId="0" applyFont="1" applyBorder="1" applyAlignment="1">
      <alignment vertical="center" wrapText="1"/>
    </xf>
    <xf numFmtId="0" fontId="58" fillId="0" borderId="216" xfId="0" applyFont="1" applyBorder="1">
      <alignment vertical="center"/>
    </xf>
    <xf numFmtId="0" fontId="61" fillId="23" borderId="101" xfId="0" applyFont="1" applyFill="1" applyBorder="1" applyAlignment="1">
      <alignment horizontal="center" vertical="center"/>
    </xf>
    <xf numFmtId="0" fontId="59" fillId="0" borderId="212" xfId="0" applyFont="1" applyBorder="1" applyAlignment="1">
      <alignment horizontal="center" vertical="center" wrapText="1"/>
    </xf>
    <xf numFmtId="0" fontId="59" fillId="0" borderId="182" xfId="0" applyFont="1" applyBorder="1" applyAlignment="1">
      <alignment vertical="center" wrapText="1"/>
    </xf>
    <xf numFmtId="0" fontId="60" fillId="0" borderId="21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184" fontId="59" fillId="0" borderId="230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0" fontId="59" fillId="0" borderId="182" xfId="0" applyFont="1" applyBorder="1">
      <alignment vertical="center"/>
    </xf>
    <xf numFmtId="184" fontId="59" fillId="7" borderId="224" xfId="2" applyNumberFormat="1" applyFont="1" applyFill="1" applyBorder="1" applyAlignment="1" applyProtection="1">
      <alignment horizontal="center" vertical="center"/>
    </xf>
    <xf numFmtId="184" fontId="60" fillId="6" borderId="224" xfId="2" applyNumberFormat="1" applyFont="1" applyFill="1" applyBorder="1" applyAlignment="1" applyProtection="1">
      <alignment horizontal="center" vertical="center"/>
    </xf>
    <xf numFmtId="0" fontId="59" fillId="7" borderId="182" xfId="0" applyFont="1" applyFill="1" applyBorder="1" applyAlignment="1">
      <alignment vertical="center" wrapText="1"/>
    </xf>
    <xf numFmtId="0" fontId="60" fillId="6" borderId="182" xfId="0" applyFont="1" applyFill="1" applyBorder="1" applyAlignment="1">
      <alignment vertical="center" wrapText="1"/>
    </xf>
    <xf numFmtId="0" fontId="60" fillId="12" borderId="182" xfId="0" applyFont="1" applyFill="1" applyBorder="1" applyAlignment="1">
      <alignment horizontal="center" vertical="center"/>
    </xf>
    <xf numFmtId="0" fontId="60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2" fillId="4" borderId="30" xfId="9" applyFill="1" applyBorder="1" applyAlignment="1">
      <alignment horizontal="center" vertical="center"/>
    </xf>
    <xf numFmtId="0" fontId="13" fillId="4" borderId="30" xfId="9" quotePrefix="1" applyFont="1" applyFill="1" applyBorder="1" applyAlignment="1">
      <alignment horizontal="center" vertical="center"/>
    </xf>
    <xf numFmtId="0" fontId="12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2" fillId="4" borderId="165" xfId="9" applyFill="1" applyBorder="1" applyAlignment="1">
      <alignment horizontal="center" vertical="center"/>
    </xf>
    <xf numFmtId="0" fontId="12" fillId="4" borderId="166" xfId="9" applyFill="1" applyBorder="1" applyAlignment="1">
      <alignment horizontal="center" vertical="center"/>
    </xf>
    <xf numFmtId="0" fontId="12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60" fillId="0" borderId="6" xfId="2" applyNumberFormat="1" applyFont="1" applyFill="1" applyBorder="1" applyAlignment="1" applyProtection="1">
      <alignment horizontal="center" vertical="center"/>
    </xf>
    <xf numFmtId="0" fontId="46" fillId="0" borderId="147" xfId="0" applyFont="1" applyBorder="1" applyAlignment="1">
      <alignment horizontal="center" vertical="center"/>
    </xf>
    <xf numFmtId="0" fontId="46" fillId="0" borderId="153" xfId="0" applyFont="1" applyBorder="1" applyAlignment="1">
      <alignment horizontal="center" vertical="center"/>
    </xf>
    <xf numFmtId="184" fontId="59" fillId="0" borderId="82" xfId="2" applyNumberFormat="1" applyFont="1" applyFill="1" applyBorder="1" applyAlignment="1" applyProtection="1">
      <alignment horizontal="center" vertical="center"/>
    </xf>
    <xf numFmtId="0" fontId="58" fillId="12" borderId="82" xfId="0" applyFont="1" applyFill="1" applyBorder="1">
      <alignment vertical="center"/>
    </xf>
    <xf numFmtId="181" fontId="79" fillId="0" borderId="38" xfId="0" quotePrefix="1" applyNumberFormat="1" applyFont="1" applyBorder="1" applyAlignment="1">
      <alignment horizontal="center" vertical="center" wrapText="1"/>
    </xf>
    <xf numFmtId="181" fontId="79" fillId="0" borderId="49" xfId="0" quotePrefix="1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0" fontId="17" fillId="0" borderId="42" xfId="9" quotePrefix="1" applyFont="1" applyBorder="1" applyAlignment="1">
      <alignment horizontal="center" vertical="center"/>
    </xf>
    <xf numFmtId="0" fontId="17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9" fillId="0" borderId="15" xfId="9" applyFont="1" applyBorder="1" applyAlignment="1">
      <alignment horizontal="center" vertical="center"/>
    </xf>
    <xf numFmtId="0" fontId="84" fillId="0" borderId="36" xfId="9" applyFont="1" applyBorder="1" applyAlignment="1">
      <alignment horizontal="center" vertical="center"/>
    </xf>
    <xf numFmtId="0" fontId="73" fillId="0" borderId="15" xfId="9" applyFont="1" applyBorder="1" applyAlignment="1">
      <alignment horizontal="center" vertical="center"/>
    </xf>
    <xf numFmtId="0" fontId="85" fillId="0" borderId="15" xfId="9" applyFont="1" applyBorder="1" applyAlignment="1">
      <alignment horizontal="center" vertical="center"/>
    </xf>
    <xf numFmtId="179" fontId="76" fillId="6" borderId="0" xfId="9" applyNumberFormat="1" applyFont="1" applyFill="1">
      <alignment vertical="center"/>
    </xf>
    <xf numFmtId="0" fontId="76" fillId="6" borderId="0" xfId="9" applyFont="1" applyFill="1">
      <alignment vertical="center"/>
    </xf>
    <xf numFmtId="180" fontId="76" fillId="6" borderId="0" xfId="9" applyNumberFormat="1" applyFont="1" applyFill="1">
      <alignment vertical="center"/>
    </xf>
    <xf numFmtId="10" fontId="48" fillId="6" borderId="0" xfId="12" applyNumberFormat="1" applyFont="1" applyFill="1" applyAlignment="1">
      <alignment vertical="center"/>
    </xf>
    <xf numFmtId="0" fontId="86" fillId="0" borderId="135" xfId="9" applyFont="1" applyBorder="1" applyAlignment="1">
      <alignment horizontal="center" vertical="center" wrapText="1"/>
    </xf>
    <xf numFmtId="0" fontId="87" fillId="0" borderId="135" xfId="0" applyFont="1" applyBorder="1" applyAlignment="1">
      <alignment horizontal="center" vertical="center" wrapText="1"/>
    </xf>
    <xf numFmtId="0" fontId="38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49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/>
    </xf>
    <xf numFmtId="0" fontId="49" fillId="0" borderId="245" xfId="9" applyFont="1" applyBorder="1" applyAlignment="1">
      <alignment horizontal="center" vertical="center"/>
    </xf>
    <xf numFmtId="0" fontId="86" fillId="0" borderId="245" xfId="9" applyFont="1" applyBorder="1" applyAlignment="1">
      <alignment horizontal="center" vertical="center" wrapText="1"/>
    </xf>
    <xf numFmtId="0" fontId="87" fillId="0" borderId="245" xfId="0" applyFont="1" applyBorder="1" applyAlignment="1">
      <alignment horizontal="center" vertical="center" wrapText="1"/>
    </xf>
    <xf numFmtId="176" fontId="16" fillId="0" borderId="245" xfId="10" applyNumberFormat="1" applyFont="1" applyBorder="1">
      <alignment vertical="center"/>
    </xf>
    <xf numFmtId="0" fontId="75" fillId="0" borderId="246" xfId="9" applyFont="1" applyBorder="1" applyAlignment="1">
      <alignment horizontal="center" vertical="center" wrapText="1"/>
    </xf>
    <xf numFmtId="0" fontId="49" fillId="0" borderId="246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/>
    </xf>
    <xf numFmtId="0" fontId="49" fillId="0" borderId="246" xfId="9" applyFont="1" applyBorder="1" applyAlignment="1">
      <alignment horizontal="center" vertical="center"/>
    </xf>
    <xf numFmtId="0" fontId="86" fillId="0" borderId="246" xfId="9" applyFont="1" applyBorder="1" applyAlignment="1">
      <alignment horizontal="center" vertical="center" wrapText="1"/>
    </xf>
    <xf numFmtId="0" fontId="87" fillId="0" borderId="246" xfId="9" applyFont="1" applyBorder="1" applyAlignment="1">
      <alignment horizontal="center" vertical="center" wrapText="1"/>
    </xf>
    <xf numFmtId="176" fontId="16" fillId="0" borderId="246" xfId="10" applyNumberFormat="1" applyFont="1" applyBorder="1">
      <alignment vertical="center"/>
    </xf>
    <xf numFmtId="0" fontId="38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0" fontId="49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/>
    </xf>
    <xf numFmtId="0" fontId="49" fillId="0" borderId="247" xfId="9" applyFont="1" applyBorder="1" applyAlignment="1">
      <alignment horizontal="center" vertical="center"/>
    </xf>
    <xf numFmtId="0" fontId="86" fillId="0" borderId="247" xfId="9" applyFont="1" applyBorder="1" applyAlignment="1">
      <alignment horizontal="center" vertical="center" wrapText="1"/>
    </xf>
    <xf numFmtId="0" fontId="87" fillId="0" borderId="247" xfId="0" applyFont="1" applyBorder="1" applyAlignment="1">
      <alignment horizontal="center" vertical="center" wrapText="1"/>
    </xf>
    <xf numFmtId="176" fontId="16" fillId="0" borderId="247" xfId="10" applyNumberFormat="1" applyFont="1" applyBorder="1">
      <alignment vertical="center"/>
    </xf>
    <xf numFmtId="0" fontId="75" fillId="0" borderId="248" xfId="9" applyFont="1" applyBorder="1" applyAlignment="1">
      <alignment horizontal="center" vertical="center" wrapText="1"/>
    </xf>
    <xf numFmtId="0" fontId="49" fillId="0" borderId="248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/>
    </xf>
    <xf numFmtId="0" fontId="49" fillId="0" borderId="248" xfId="9" applyFont="1" applyBorder="1" applyAlignment="1">
      <alignment horizontal="center" vertical="center"/>
    </xf>
    <xf numFmtId="0" fontId="86" fillId="0" borderId="248" xfId="9" applyFont="1" applyBorder="1" applyAlignment="1">
      <alignment horizontal="center" vertical="center" wrapText="1"/>
    </xf>
    <xf numFmtId="0" fontId="87" fillId="0" borderId="248" xfId="9" applyFont="1" applyBorder="1" applyAlignment="1">
      <alignment horizontal="center" vertical="center" wrapText="1"/>
    </xf>
    <xf numFmtId="176" fontId="16" fillId="0" borderId="248" xfId="10" applyNumberFormat="1" applyFont="1" applyBorder="1">
      <alignment vertical="center"/>
    </xf>
    <xf numFmtId="0" fontId="38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49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/>
    </xf>
    <xf numFmtId="0" fontId="49" fillId="0" borderId="249" xfId="9" applyFont="1" applyBorder="1" applyAlignment="1">
      <alignment horizontal="center" vertical="center"/>
    </xf>
    <xf numFmtId="0" fontId="86" fillId="0" borderId="249" xfId="9" applyFont="1" applyBorder="1" applyAlignment="1">
      <alignment horizontal="center" vertical="center" wrapText="1"/>
    </xf>
    <xf numFmtId="0" fontId="87" fillId="0" borderId="249" xfId="0" applyFont="1" applyBorder="1" applyAlignment="1">
      <alignment horizontal="center" vertical="center" wrapText="1"/>
    </xf>
    <xf numFmtId="176" fontId="16" fillId="0" borderId="249" xfId="10" applyNumberFormat="1" applyFont="1" applyBorder="1">
      <alignment vertical="center"/>
    </xf>
    <xf numFmtId="0" fontId="75" fillId="0" borderId="250" xfId="9" applyFont="1" applyBorder="1" applyAlignment="1">
      <alignment horizontal="center" vertical="center" wrapText="1"/>
    </xf>
    <xf numFmtId="0" fontId="49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/>
    </xf>
    <xf numFmtId="0" fontId="49" fillId="0" borderId="250" xfId="9" applyFont="1" applyBorder="1" applyAlignment="1">
      <alignment horizontal="center" vertical="center"/>
    </xf>
    <xf numFmtId="0" fontId="86" fillId="0" borderId="250" xfId="9" applyFont="1" applyBorder="1" applyAlignment="1">
      <alignment horizontal="center" vertical="center" wrapText="1"/>
    </xf>
    <xf numFmtId="0" fontId="87" fillId="0" borderId="250" xfId="9" applyFont="1" applyBorder="1" applyAlignment="1">
      <alignment horizontal="center" vertical="center" wrapText="1"/>
    </xf>
    <xf numFmtId="176" fontId="16" fillId="0" borderId="250" xfId="10" applyNumberFormat="1" applyFont="1" applyBorder="1">
      <alignment vertical="center"/>
    </xf>
    <xf numFmtId="0" fontId="75" fillId="0" borderId="135" xfId="9" applyFont="1" applyBorder="1" applyAlignment="1">
      <alignment horizontal="center" vertical="center" wrapText="1"/>
    </xf>
    <xf numFmtId="0" fontId="49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3" fillId="0" borderId="251" xfId="0" applyNumberFormat="1" applyFont="1" applyBorder="1" applyAlignment="1">
      <alignment horizontal="center" vertical="center"/>
    </xf>
    <xf numFmtId="181" fontId="28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6" fillId="0" borderId="25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5" fillId="2" borderId="255" xfId="9" applyFont="1" applyFill="1" applyBorder="1" applyAlignment="1">
      <alignment horizontal="center" vertical="center"/>
    </xf>
    <xf numFmtId="49" fontId="16" fillId="0" borderId="67" xfId="9" applyNumberFormat="1" applyFont="1" applyBorder="1" applyAlignment="1">
      <alignment horizontal="center" vertical="center"/>
    </xf>
    <xf numFmtId="0" fontId="16" fillId="0" borderId="57" xfId="9" applyFont="1" applyBorder="1" applyAlignment="1">
      <alignment horizontal="center" vertical="center"/>
    </xf>
    <xf numFmtId="0" fontId="16" fillId="4" borderId="57" xfId="9" applyFont="1" applyFill="1" applyBorder="1" applyAlignment="1">
      <alignment horizontal="center" vertical="center" wrapText="1"/>
    </xf>
    <xf numFmtId="0" fontId="16" fillId="4" borderId="65" xfId="9" applyFont="1" applyFill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/>
    </xf>
    <xf numFmtId="0" fontId="16" fillId="0" borderId="257" xfId="9" applyFont="1" applyBorder="1" applyAlignment="1">
      <alignment horizontal="center" vertical="center" wrapText="1"/>
    </xf>
    <xf numFmtId="177" fontId="16" fillId="0" borderId="18" xfId="9" applyNumberFormat="1" applyFont="1" applyBorder="1" applyAlignment="1">
      <alignment horizontal="center" vertical="center"/>
    </xf>
    <xf numFmtId="0" fontId="29" fillId="0" borderId="18" xfId="9" applyFont="1" applyBorder="1" applyAlignment="1">
      <alignment horizontal="center" vertical="center"/>
    </xf>
    <xf numFmtId="0" fontId="17" fillId="0" borderId="54" xfId="9" quotePrefix="1" applyFont="1" applyBorder="1" applyAlignment="1">
      <alignment horizontal="center" vertical="center"/>
    </xf>
    <xf numFmtId="0" fontId="17" fillId="0" borderId="55" xfId="9" quotePrefix="1" applyFont="1" applyBorder="1" applyAlignment="1">
      <alignment horizontal="center" vertical="center"/>
    </xf>
    <xf numFmtId="0" fontId="88" fillId="0" borderId="15" xfId="9" applyFont="1" applyBorder="1" applyAlignment="1">
      <alignment horizontal="center" vertical="center"/>
    </xf>
    <xf numFmtId="0" fontId="88" fillId="0" borderId="30" xfId="9" applyFont="1" applyBorder="1" applyAlignment="1">
      <alignment horizontal="center" vertical="center"/>
    </xf>
    <xf numFmtId="0" fontId="88" fillId="0" borderId="18" xfId="9" applyFont="1" applyBorder="1" applyAlignment="1">
      <alignment horizontal="center" vertical="center"/>
    </xf>
    <xf numFmtId="0" fontId="17" fillId="6" borderId="38" xfId="9" applyFont="1" applyFill="1" applyBorder="1" applyAlignment="1">
      <alignment horizontal="center" vertical="center"/>
    </xf>
    <xf numFmtId="0" fontId="16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7" fillId="0" borderId="17" xfId="0" applyNumberFormat="1" applyFont="1" applyBorder="1" applyAlignment="1">
      <alignment horizontal="center" vertical="center" wrapText="1"/>
    </xf>
    <xf numFmtId="0" fontId="67" fillId="4" borderId="2" xfId="0" applyFont="1" applyFill="1" applyBorder="1" applyAlignment="1">
      <alignment horizontal="center" vertical="center" wrapText="1"/>
    </xf>
    <xf numFmtId="186" fontId="58" fillId="23" borderId="258" xfId="2" applyNumberFormat="1" applyFont="1" applyFill="1" applyBorder="1" applyAlignment="1" applyProtection="1">
      <alignment horizontal="center" vertical="center"/>
    </xf>
    <xf numFmtId="186" fontId="58" fillId="23" borderId="261" xfId="2" applyNumberFormat="1" applyFont="1" applyFill="1" applyBorder="1" applyAlignment="1" applyProtection="1">
      <alignment horizontal="center" vertical="center"/>
    </xf>
    <xf numFmtId="0" fontId="59" fillId="11" borderId="77" xfId="0" applyFont="1" applyFill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74" fillId="16" borderId="71" xfId="0" applyFont="1" applyFill="1" applyBorder="1" applyAlignment="1">
      <alignment horizontal="center" vertical="center"/>
    </xf>
    <xf numFmtId="0" fontId="74" fillId="22" borderId="71" xfId="0" applyFont="1" applyFill="1" applyBorder="1" applyAlignment="1">
      <alignment horizontal="center" vertical="center"/>
    </xf>
    <xf numFmtId="0" fontId="74" fillId="16" borderId="71" xfId="0" applyFont="1" applyFill="1" applyBorder="1" applyAlignment="1">
      <alignment horizontal="center" vertical="center" wrapText="1"/>
    </xf>
    <xf numFmtId="0" fontId="74" fillId="22" borderId="71" xfId="0" applyFont="1" applyFill="1" applyBorder="1" applyAlignment="1">
      <alignment horizontal="center" vertical="center" wrapText="1"/>
    </xf>
    <xf numFmtId="185" fontId="58" fillId="23" borderId="262" xfId="2" applyNumberFormat="1" applyFont="1" applyFill="1" applyBorder="1" applyAlignment="1" applyProtection="1">
      <alignment horizontal="center" vertical="center"/>
    </xf>
    <xf numFmtId="186" fontId="58" fillId="0" borderId="263" xfId="2" applyNumberFormat="1" applyFont="1" applyFill="1" applyBorder="1" applyAlignment="1" applyProtection="1">
      <alignment horizontal="center" vertical="center"/>
    </xf>
    <xf numFmtId="186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4" xfId="2" applyNumberFormat="1" applyFont="1" applyFill="1" applyBorder="1" applyAlignment="1" applyProtection="1">
      <alignment horizontal="center" vertical="center"/>
    </xf>
    <xf numFmtId="186" fontId="58" fillId="0" borderId="265" xfId="2" applyNumberFormat="1" applyFont="1" applyFill="1" applyBorder="1" applyAlignment="1" applyProtection="1">
      <alignment horizontal="center" vertical="center"/>
    </xf>
    <xf numFmtId="184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5" xfId="2" applyNumberFormat="1" applyFont="1" applyFill="1" applyBorder="1" applyAlignment="1" applyProtection="1">
      <alignment horizontal="center" vertical="center"/>
    </xf>
    <xf numFmtId="185" fontId="58" fillId="23" borderId="261" xfId="2" applyNumberFormat="1" applyFont="1" applyFill="1" applyBorder="1" applyAlignment="1" applyProtection="1">
      <alignment horizontal="center" vertical="center"/>
    </xf>
    <xf numFmtId="185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5" xfId="2" applyNumberFormat="1" applyFont="1" applyFill="1" applyBorder="1" applyAlignment="1" applyProtection="1">
      <alignment horizontal="center" vertical="center"/>
    </xf>
    <xf numFmtId="186" fontId="58" fillId="0" borderId="266" xfId="2" applyNumberFormat="1" applyFont="1" applyFill="1" applyBorder="1" applyAlignment="1" applyProtection="1">
      <alignment horizontal="center" vertical="center"/>
    </xf>
    <xf numFmtId="184" fontId="58" fillId="23" borderId="265" xfId="2" applyNumberFormat="1" applyFont="1" applyFill="1" applyBorder="1" applyAlignment="1" applyProtection="1">
      <alignment horizontal="center" vertical="center"/>
    </xf>
    <xf numFmtId="184" fontId="58" fillId="0" borderId="263" xfId="2" applyNumberFormat="1" applyFont="1" applyFill="1" applyBorder="1" applyAlignment="1" applyProtection="1">
      <alignment horizontal="center" vertical="center"/>
    </xf>
    <xf numFmtId="184" fontId="58" fillId="0" borderId="265" xfId="2" applyNumberFormat="1" applyFont="1" applyFill="1" applyBorder="1" applyAlignment="1" applyProtection="1">
      <alignment horizontal="center" vertical="center"/>
    </xf>
    <xf numFmtId="186" fontId="58" fillId="23" borderId="262" xfId="2" applyNumberFormat="1" applyFont="1" applyFill="1" applyBorder="1" applyAlignment="1" applyProtection="1">
      <alignment horizontal="center" vertical="center"/>
    </xf>
    <xf numFmtId="186" fontId="58" fillId="23" borderId="92" xfId="2" applyNumberFormat="1" applyFont="1" applyFill="1" applyBorder="1" applyAlignment="1" applyProtection="1">
      <alignment horizontal="center" vertical="center"/>
    </xf>
    <xf numFmtId="186" fontId="58" fillId="23" borderId="75" xfId="2" applyNumberFormat="1" applyFont="1" applyFill="1" applyBorder="1" applyAlignment="1" applyProtection="1">
      <alignment horizontal="center" vertical="center"/>
    </xf>
    <xf numFmtId="186" fontId="58" fillId="23" borderId="90" xfId="2" applyNumberFormat="1" applyFont="1" applyFill="1" applyBorder="1" applyAlignment="1" applyProtection="1">
      <alignment horizontal="center" vertical="center"/>
    </xf>
    <xf numFmtId="186" fontId="58" fillId="23" borderId="150" xfId="2" applyNumberFormat="1" applyFont="1" applyFill="1" applyBorder="1" applyAlignment="1" applyProtection="1">
      <alignment horizontal="center" vertical="center"/>
    </xf>
    <xf numFmtId="186" fontId="63" fillId="23" borderId="75" xfId="2" applyNumberFormat="1" applyFont="1" applyFill="1" applyBorder="1" applyAlignment="1" applyProtection="1">
      <alignment horizontal="center" vertical="center"/>
    </xf>
    <xf numFmtId="0" fontId="58" fillId="0" borderId="244" xfId="0" applyFont="1" applyBorder="1" applyAlignment="1">
      <alignment horizontal="center" vertical="center"/>
    </xf>
    <xf numFmtId="0" fontId="58" fillId="6" borderId="83" xfId="0" applyFont="1" applyFill="1" applyBorder="1" applyAlignment="1">
      <alignment horizontal="center" vertical="center"/>
    </xf>
    <xf numFmtId="0" fontId="58" fillId="6" borderId="151" xfId="0" applyFont="1" applyFill="1" applyBorder="1" applyAlignment="1">
      <alignment horizontal="center" vertical="center"/>
    </xf>
    <xf numFmtId="0" fontId="63" fillId="0" borderId="83" xfId="0" applyFont="1" applyBorder="1" applyAlignment="1">
      <alignment horizontal="center" vertical="center"/>
    </xf>
    <xf numFmtId="0" fontId="58" fillId="6" borderId="73" xfId="0" applyFont="1" applyFill="1" applyBorder="1" applyAlignment="1">
      <alignment horizontal="center" vertical="center"/>
    </xf>
    <xf numFmtId="184" fontId="58" fillId="6" borderId="103" xfId="2" applyNumberFormat="1" applyFont="1" applyFill="1" applyBorder="1" applyAlignment="1" applyProtection="1">
      <alignment horizontal="center" vertical="center"/>
    </xf>
    <xf numFmtId="184" fontId="58" fillId="7" borderId="268" xfId="2" applyNumberFormat="1" applyFont="1" applyFill="1" applyBorder="1" applyAlignment="1" applyProtection="1">
      <alignment horizontal="center" vertical="center"/>
    </xf>
    <xf numFmtId="184" fontId="58" fillId="23" borderId="269" xfId="2" applyNumberFormat="1" applyFont="1" applyFill="1" applyBorder="1" applyAlignment="1" applyProtection="1">
      <alignment horizontal="center" vertical="center"/>
    </xf>
    <xf numFmtId="184" fontId="58" fillId="6" borderId="183" xfId="2" applyNumberFormat="1" applyFont="1" applyFill="1" applyBorder="1" applyAlignment="1" applyProtection="1">
      <alignment horizontal="center" vertical="center"/>
    </xf>
    <xf numFmtId="184" fontId="58" fillId="7" borderId="267" xfId="2" applyNumberFormat="1" applyFont="1" applyFill="1" applyBorder="1" applyAlignment="1" applyProtection="1">
      <alignment horizontal="center" vertical="center"/>
    </xf>
    <xf numFmtId="184" fontId="58" fillId="23" borderId="270" xfId="2" applyNumberFormat="1" applyFont="1" applyFill="1" applyBorder="1" applyAlignment="1" applyProtection="1">
      <alignment horizontal="center" vertical="center"/>
    </xf>
    <xf numFmtId="189" fontId="16" fillId="8" borderId="0" xfId="0" applyNumberFormat="1" applyFont="1" applyFill="1">
      <alignment vertical="center"/>
    </xf>
    <xf numFmtId="190" fontId="16" fillId="8" borderId="0" xfId="0" applyNumberFormat="1" applyFont="1" applyFill="1">
      <alignment vertical="center"/>
    </xf>
    <xf numFmtId="191" fontId="16" fillId="8" borderId="0" xfId="0" applyNumberFormat="1" applyFont="1" applyFill="1">
      <alignment vertical="center"/>
    </xf>
    <xf numFmtId="181" fontId="82" fillId="0" borderId="0" xfId="0" applyNumberFormat="1" applyFont="1" applyAlignment="1">
      <alignment horizontal="right" vertical="center" wrapText="1"/>
    </xf>
    <xf numFmtId="178" fontId="23" fillId="0" borderId="108" xfId="9" applyNumberFormat="1" applyFont="1" applyBorder="1" applyAlignment="1">
      <alignment vertical="center" wrapText="1"/>
    </xf>
    <xf numFmtId="181" fontId="24" fillId="0" borderId="0" xfId="0" applyNumberFormat="1" applyFont="1" applyAlignment="1">
      <alignment horizontal="right" vertical="center" wrapText="1"/>
    </xf>
    <xf numFmtId="189" fontId="24" fillId="8" borderId="0" xfId="0" applyNumberFormat="1" applyFont="1" applyFill="1">
      <alignment vertical="center"/>
    </xf>
    <xf numFmtId="190" fontId="24" fillId="8" borderId="0" xfId="0" applyNumberFormat="1" applyFont="1" applyFill="1">
      <alignment vertical="center"/>
    </xf>
    <xf numFmtId="191" fontId="24" fillId="8" borderId="0" xfId="0" applyNumberFormat="1" applyFont="1" applyFill="1">
      <alignment vertical="center"/>
    </xf>
    <xf numFmtId="181" fontId="24" fillId="0" borderId="0" xfId="0" applyNumberFormat="1" applyFont="1">
      <alignment vertical="center"/>
    </xf>
    <xf numFmtId="181" fontId="14" fillId="0" borderId="39" xfId="0" applyNumberFormat="1" applyFont="1" applyBorder="1" applyAlignment="1">
      <alignment horizontal="center" vertical="center" wrapText="1"/>
    </xf>
    <xf numFmtId="184" fontId="77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6" fillId="0" borderId="273" xfId="2" applyNumberFormat="1" applyFont="1" applyBorder="1">
      <alignment vertical="center"/>
    </xf>
    <xf numFmtId="0" fontId="43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8" fillId="0" borderId="0" xfId="0" applyNumberFormat="1" applyFont="1" applyAlignment="1">
      <alignment horizontal="center" vertical="center"/>
    </xf>
    <xf numFmtId="192" fontId="16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7" fillId="0" borderId="38" xfId="0" quotePrefix="1" applyNumberFormat="1" applyFont="1" applyBorder="1" applyAlignment="1">
      <alignment horizontal="center" vertical="center" wrapText="1"/>
    </xf>
    <xf numFmtId="0" fontId="91" fillId="0" borderId="6" xfId="0" applyFont="1" applyBorder="1" applyAlignment="1">
      <alignment horizontal="center" vertical="center" wrapText="1"/>
    </xf>
    <xf numFmtId="0" fontId="61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6" fillId="0" borderId="140" xfId="2" applyNumberFormat="1" applyFont="1" applyFill="1" applyBorder="1">
      <alignment vertical="center"/>
    </xf>
    <xf numFmtId="176" fontId="16" fillId="0" borderId="101" xfId="10" applyNumberFormat="1" applyFont="1" applyBorder="1">
      <alignment vertical="center"/>
    </xf>
    <xf numFmtId="176" fontId="32" fillId="0" borderId="6" xfId="2" applyNumberFormat="1" applyFont="1" applyBorder="1" applyAlignment="1">
      <alignment horizontal="center" vertical="center" wrapText="1"/>
    </xf>
    <xf numFmtId="176" fontId="32" fillId="0" borderId="136" xfId="2" applyNumberFormat="1" applyFont="1" applyBorder="1" applyAlignment="1">
      <alignment horizontal="center" vertical="center" wrapText="1"/>
    </xf>
    <xf numFmtId="176" fontId="16" fillId="0" borderId="6" xfId="10" applyNumberFormat="1" applyFont="1" applyBorder="1">
      <alignment vertical="center"/>
    </xf>
    <xf numFmtId="176" fontId="16" fillId="0" borderId="103" xfId="10" applyNumberFormat="1" applyFont="1" applyBorder="1">
      <alignment vertical="center"/>
    </xf>
    <xf numFmtId="176" fontId="16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5" fillId="0" borderId="140" xfId="0" applyFont="1" applyBorder="1" applyAlignment="1">
      <alignment horizontal="center" vertical="center" wrapText="1"/>
    </xf>
    <xf numFmtId="179" fontId="92" fillId="0" borderId="135" xfId="9" applyNumberFormat="1" applyFont="1" applyBorder="1" applyAlignment="1">
      <alignment horizontal="center" vertical="center" wrapText="1"/>
    </xf>
    <xf numFmtId="0" fontId="92" fillId="0" borderId="135" xfId="9" applyFont="1" applyBorder="1" applyAlignment="1">
      <alignment horizontal="center" vertical="center"/>
    </xf>
    <xf numFmtId="0" fontId="87" fillId="0" borderId="135" xfId="9" applyFont="1" applyBorder="1" applyAlignment="1">
      <alignment horizontal="center" vertical="center" wrapText="1"/>
    </xf>
    <xf numFmtId="0" fontId="86" fillId="0" borderId="191" xfId="0" applyFont="1" applyBorder="1" applyAlignment="1">
      <alignment horizontal="center" vertical="center" wrapText="1"/>
    </xf>
    <xf numFmtId="179" fontId="92" fillId="0" borderId="101" xfId="9" applyNumberFormat="1" applyFont="1" applyBorder="1" applyAlignment="1">
      <alignment horizontal="center" vertical="center" wrapText="1"/>
    </xf>
    <xf numFmtId="0" fontId="92" fillId="0" borderId="101" xfId="9" applyFont="1" applyBorder="1" applyAlignment="1">
      <alignment horizontal="center" vertical="center"/>
    </xf>
    <xf numFmtId="0" fontId="86" fillId="0" borderId="214" xfId="0" applyFont="1" applyBorder="1" applyAlignment="1">
      <alignment horizontal="center" vertical="center" wrapText="1"/>
    </xf>
    <xf numFmtId="0" fontId="87" fillId="0" borderId="101" xfId="0" applyFont="1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 wrapText="1"/>
    </xf>
    <xf numFmtId="0" fontId="92" fillId="0" borderId="6" xfId="9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7" fillId="0" borderId="182" xfId="0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179" fontId="92" fillId="0" borderId="136" xfId="9" applyNumberFormat="1" applyFont="1" applyBorder="1" applyAlignment="1">
      <alignment horizontal="center" vertical="center" wrapText="1"/>
    </xf>
    <xf numFmtId="0" fontId="86" fillId="0" borderId="196" xfId="0" applyFont="1" applyBorder="1" applyAlignment="1">
      <alignment horizontal="center" vertical="center" wrapText="1"/>
    </xf>
    <xf numFmtId="0" fontId="92" fillId="0" borderId="136" xfId="9" applyFont="1" applyBorder="1" applyAlignment="1">
      <alignment horizontal="center" vertical="center" wrapText="1"/>
    </xf>
    <xf numFmtId="0" fontId="12" fillId="0" borderId="6" xfId="9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/>
    </xf>
    <xf numFmtId="0" fontId="49" fillId="0" borderId="6" xfId="9" applyFont="1" applyBorder="1" applyAlignment="1">
      <alignment horizontal="center" vertical="center"/>
    </xf>
    <xf numFmtId="0" fontId="49" fillId="0" borderId="182" xfId="9" applyFont="1" applyBorder="1" applyAlignment="1">
      <alignment horizontal="center" vertical="center" wrapText="1"/>
    </xf>
    <xf numFmtId="0" fontId="49" fillId="0" borderId="182" xfId="9" applyFont="1" applyBorder="1" applyAlignment="1">
      <alignment horizontal="center" vertical="center"/>
    </xf>
    <xf numFmtId="0" fontId="12" fillId="0" borderId="182" xfId="9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/>
    </xf>
    <xf numFmtId="0" fontId="75" fillId="0" borderId="196" xfId="9" applyFont="1" applyBorder="1" applyAlignment="1">
      <alignment horizontal="center" vertical="center" wrapText="1"/>
    </xf>
    <xf numFmtId="0" fontId="75" fillId="0" borderId="196" xfId="9" applyFont="1" applyBorder="1" applyAlignment="1">
      <alignment horizontal="center" vertical="center"/>
    </xf>
    <xf numFmtId="176" fontId="16" fillId="0" borderId="103" xfId="2" applyNumberFormat="1" applyFont="1" applyFill="1" applyBorder="1">
      <alignment vertical="center"/>
    </xf>
    <xf numFmtId="176" fontId="32" fillId="0" borderId="6" xfId="2" applyNumberFormat="1" applyFont="1" applyFill="1" applyBorder="1">
      <alignment vertical="center"/>
    </xf>
    <xf numFmtId="176" fontId="16" fillId="0" borderId="198" xfId="2" applyNumberFormat="1" applyFont="1" applyFill="1" applyBorder="1">
      <alignment vertical="center"/>
    </xf>
    <xf numFmtId="0" fontId="29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2" fillId="12" borderId="30" xfId="9" applyFill="1" applyBorder="1" applyAlignment="1">
      <alignment horizontal="center" vertical="center"/>
    </xf>
    <xf numFmtId="0" fontId="13" fillId="12" borderId="30" xfId="9" quotePrefix="1" applyFont="1" applyFill="1" applyBorder="1" applyAlignment="1">
      <alignment horizontal="center" vertical="center"/>
    </xf>
    <xf numFmtId="0" fontId="12" fillId="12" borderId="167" xfId="9" applyFill="1" applyBorder="1" applyAlignment="1">
      <alignment horizontal="center" vertical="center"/>
    </xf>
    <xf numFmtId="0" fontId="13" fillId="12" borderId="166" xfId="9" applyFont="1" applyFill="1" applyBorder="1" applyAlignment="1">
      <alignment horizontal="center" vertical="center"/>
    </xf>
    <xf numFmtId="0" fontId="13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3" fillId="12" borderId="168" xfId="9" quotePrefix="1" applyFont="1" applyFill="1" applyBorder="1" applyAlignment="1">
      <alignment horizontal="center" vertical="center"/>
    </xf>
    <xf numFmtId="181" fontId="15" fillId="12" borderId="127" xfId="0" applyNumberFormat="1" applyFont="1" applyFill="1" applyBorder="1" applyAlignment="1">
      <alignment horizontal="center" vertical="center"/>
    </xf>
    <xf numFmtId="181" fontId="15" fillId="12" borderId="128" xfId="0" applyNumberFormat="1" applyFont="1" applyFill="1" applyBorder="1" applyAlignment="1">
      <alignment horizontal="center" vertical="center"/>
    </xf>
    <xf numFmtId="181" fontId="15" fillId="12" borderId="38" xfId="0" quotePrefix="1" applyNumberFormat="1" applyFont="1" applyFill="1" applyBorder="1" applyAlignment="1">
      <alignment horizontal="center" vertical="center"/>
    </xf>
    <xf numFmtId="181" fontId="15" fillId="12" borderId="49" xfId="0" quotePrefix="1" applyNumberFormat="1" applyFont="1" applyFill="1" applyBorder="1" applyAlignment="1">
      <alignment horizontal="center" vertical="center"/>
    </xf>
    <xf numFmtId="181" fontId="15" fillId="12" borderId="45" xfId="0" quotePrefix="1" applyNumberFormat="1" applyFont="1" applyFill="1" applyBorder="1" applyAlignment="1">
      <alignment horizontal="center" vertical="center"/>
    </xf>
    <xf numFmtId="181" fontId="15" fillId="12" borderId="38" xfId="0" applyNumberFormat="1" applyFont="1" applyFill="1" applyBorder="1" applyAlignment="1">
      <alignment horizontal="center" vertical="center"/>
    </xf>
    <xf numFmtId="181" fontId="15" fillId="12" borderId="131" xfId="0" quotePrefix="1" applyNumberFormat="1" applyFont="1" applyFill="1" applyBorder="1" applyAlignment="1">
      <alignment horizontal="center" vertical="center"/>
    </xf>
    <xf numFmtId="181" fontId="15" fillId="12" borderId="37" xfId="0" applyNumberFormat="1" applyFont="1" applyFill="1" applyBorder="1" applyAlignment="1">
      <alignment horizontal="center" vertical="center"/>
    </xf>
    <xf numFmtId="181" fontId="15" fillId="12" borderId="129" xfId="0" applyNumberFormat="1" applyFont="1" applyFill="1" applyBorder="1" applyAlignment="1">
      <alignment horizontal="center" vertical="center"/>
    </xf>
    <xf numFmtId="181" fontId="15" fillId="12" borderId="51" xfId="0" applyNumberFormat="1" applyFont="1" applyFill="1" applyBorder="1" applyAlignment="1">
      <alignment horizontal="center" vertical="center"/>
    </xf>
    <xf numFmtId="181" fontId="15" fillId="12" borderId="130" xfId="0" applyNumberFormat="1" applyFont="1" applyFill="1" applyBorder="1" applyAlignment="1">
      <alignment horizontal="center" vertical="center"/>
    </xf>
    <xf numFmtId="181" fontId="15" fillId="12" borderId="34" xfId="0" applyNumberFormat="1" applyFont="1" applyFill="1" applyBorder="1" applyAlignment="1">
      <alignment horizontal="center" vertical="center"/>
    </xf>
    <xf numFmtId="181" fontId="15" fillId="12" borderId="51" xfId="0" quotePrefix="1" applyNumberFormat="1" applyFont="1" applyFill="1" applyBorder="1" applyAlignment="1">
      <alignment horizontal="center" vertical="center"/>
    </xf>
    <xf numFmtId="181" fontId="15" fillId="12" borderId="37" xfId="0" quotePrefix="1" applyNumberFormat="1" applyFont="1" applyFill="1" applyBorder="1" applyAlignment="1">
      <alignment horizontal="center" vertical="center"/>
    </xf>
    <xf numFmtId="181" fontId="15" fillId="12" borderId="42" xfId="0" quotePrefix="1" applyNumberFormat="1" applyFont="1" applyFill="1" applyBorder="1" applyAlignment="1">
      <alignment horizontal="center" vertical="center"/>
    </xf>
    <xf numFmtId="181" fontId="15" fillId="12" borderId="43" xfId="0" applyNumberFormat="1" applyFont="1" applyFill="1" applyBorder="1" applyAlignment="1">
      <alignment horizontal="center" vertical="center"/>
    </xf>
    <xf numFmtId="181" fontId="15" fillId="12" borderId="45" xfId="0" applyNumberFormat="1" applyFont="1" applyFill="1" applyBorder="1" applyAlignment="1">
      <alignment horizontal="center" vertical="center"/>
    </xf>
    <xf numFmtId="181" fontId="15" fillId="12" borderId="48" xfId="0" applyNumberFormat="1" applyFont="1" applyFill="1" applyBorder="1" applyAlignment="1">
      <alignment horizontal="center" vertical="center"/>
    </xf>
    <xf numFmtId="181" fontId="15" fillId="12" borderId="35" xfId="0" applyNumberFormat="1" applyFont="1" applyFill="1" applyBorder="1" applyAlignment="1">
      <alignment horizontal="center" vertical="center"/>
    </xf>
    <xf numFmtId="181" fontId="15" fillId="12" borderId="49" xfId="0" applyNumberFormat="1" applyFont="1" applyFill="1" applyBorder="1" applyAlignment="1">
      <alignment horizontal="center" vertical="center"/>
    </xf>
    <xf numFmtId="181" fontId="15" fillId="12" borderId="54" xfId="0" quotePrefix="1" applyNumberFormat="1" applyFont="1" applyFill="1" applyBorder="1" applyAlignment="1">
      <alignment horizontal="center" vertical="center"/>
    </xf>
    <xf numFmtId="181" fontId="15" fillId="12" borderId="34" xfId="0" quotePrefix="1" applyNumberFormat="1" applyFont="1" applyFill="1" applyBorder="1" applyAlignment="1">
      <alignment horizontal="center" vertical="center"/>
    </xf>
    <xf numFmtId="181" fontId="15" fillId="12" borderId="42" xfId="0" applyNumberFormat="1" applyFont="1" applyFill="1" applyBorder="1" applyAlignment="1">
      <alignment horizontal="center" vertical="center"/>
    </xf>
    <xf numFmtId="181" fontId="15" fillId="12" borderId="35" xfId="0" quotePrefix="1" applyNumberFormat="1" applyFont="1" applyFill="1" applyBorder="1" applyAlignment="1">
      <alignment horizontal="center" vertical="center"/>
    </xf>
    <xf numFmtId="181" fontId="15" fillId="12" borderId="43" xfId="0" quotePrefix="1" applyNumberFormat="1" applyFont="1" applyFill="1" applyBorder="1" applyAlignment="1">
      <alignment horizontal="center" vertical="center"/>
    </xf>
    <xf numFmtId="181" fontId="15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4" fillId="16" borderId="275" xfId="0" applyFont="1" applyFill="1" applyBorder="1" applyAlignment="1">
      <alignment horizontal="center" vertical="center"/>
    </xf>
    <xf numFmtId="0" fontId="74" fillId="22" borderId="276" xfId="0" applyFont="1" applyFill="1" applyBorder="1" applyAlignment="1">
      <alignment horizontal="center" vertical="center"/>
    </xf>
    <xf numFmtId="193" fontId="48" fillId="0" borderId="278" xfId="0" applyNumberFormat="1" applyFont="1" applyBorder="1" applyAlignment="1">
      <alignment horizontal="center" vertical="center"/>
    </xf>
    <xf numFmtId="193" fontId="27" fillId="0" borderId="81" xfId="0" applyNumberFormat="1" applyFont="1" applyBorder="1" applyAlignment="1">
      <alignment horizontal="center" vertical="center"/>
    </xf>
    <xf numFmtId="193" fontId="48" fillId="0" borderId="81" xfId="0" applyNumberFormat="1" applyFont="1" applyBorder="1" applyAlignment="1">
      <alignment horizontal="center" vertical="center"/>
    </xf>
    <xf numFmtId="193" fontId="27" fillId="0" borderId="276" xfId="0" applyNumberFormat="1" applyFont="1" applyBorder="1" applyAlignment="1">
      <alignment horizontal="center" vertical="center"/>
    </xf>
    <xf numFmtId="193" fontId="48" fillId="0" borderId="276" xfId="0" applyNumberFormat="1" applyFont="1" applyBorder="1" applyAlignment="1">
      <alignment horizontal="center" vertical="center"/>
    </xf>
    <xf numFmtId="194" fontId="27" fillId="0" borderId="285" xfId="2" applyNumberFormat="1" applyFont="1" applyBorder="1" applyAlignment="1">
      <alignment horizontal="center" vertical="center" wrapText="1"/>
    </xf>
    <xf numFmtId="195" fontId="27" fillId="0" borderId="191" xfId="2" applyNumberFormat="1" applyFont="1" applyBorder="1" applyAlignment="1">
      <alignment horizontal="center" vertical="center" wrapText="1"/>
    </xf>
    <xf numFmtId="193" fontId="27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27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194" fontId="27" fillId="0" borderId="69" xfId="2" applyNumberFormat="1" applyFont="1" applyBorder="1" applyAlignment="1">
      <alignment horizontal="center" vertical="center" wrapText="1"/>
    </xf>
    <xf numFmtId="195" fontId="27" fillId="0" borderId="6" xfId="2" applyNumberFormat="1" applyFont="1" applyBorder="1" applyAlignment="1">
      <alignment horizontal="center" vertical="center" wrapText="1"/>
    </xf>
    <xf numFmtId="193" fontId="27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27" fillId="0" borderId="275" xfId="2" applyNumberFormat="1" applyFont="1" applyBorder="1" applyAlignment="1">
      <alignment horizontal="center" vertical="center" wrapText="1"/>
    </xf>
    <xf numFmtId="195" fontId="27" fillId="0" borderId="136" xfId="2" applyNumberFormat="1" applyFont="1" applyBorder="1" applyAlignment="1">
      <alignment horizontal="center" vertical="center" wrapText="1"/>
    </xf>
    <xf numFmtId="193" fontId="27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194" fontId="27" fillId="0" borderId="69" xfId="2" applyNumberFormat="1" applyFont="1" applyFill="1" applyBorder="1" applyAlignment="1">
      <alignment horizontal="center" vertical="center" wrapText="1"/>
    </xf>
    <xf numFmtId="195" fontId="27" fillId="0" borderId="6" xfId="2" applyNumberFormat="1" applyFont="1" applyFill="1" applyBorder="1" applyAlignment="1">
      <alignment horizontal="center" vertical="center" wrapText="1"/>
    </xf>
    <xf numFmtId="194" fontId="27" fillId="0" borderId="83" xfId="2" applyNumberFormat="1" applyFont="1" applyBorder="1" applyAlignment="1">
      <alignment horizontal="center" vertical="center" wrapText="1"/>
    </xf>
    <xf numFmtId="194" fontId="27" fillId="0" borderId="288" xfId="2" applyNumberFormat="1" applyFont="1" applyBorder="1" applyAlignment="1">
      <alignment horizontal="center" vertical="center" wrapText="1"/>
    </xf>
    <xf numFmtId="195" fontId="27" fillId="0" borderId="196" xfId="2" applyNumberFormat="1" applyFont="1" applyBorder="1" applyAlignment="1">
      <alignment horizontal="center" vertical="center" wrapText="1"/>
    </xf>
    <xf numFmtId="193" fontId="27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27" fillId="0" borderId="277" xfId="2" applyNumberFormat="1" applyFont="1" applyBorder="1" applyAlignment="1">
      <alignment horizontal="center" vertical="center" wrapText="1"/>
    </xf>
    <xf numFmtId="195" fontId="27" fillId="0" borderId="135" xfId="2" applyNumberFormat="1" applyFont="1" applyBorder="1" applyAlignment="1">
      <alignment horizontal="center" vertical="center" wrapText="1"/>
    </xf>
    <xf numFmtId="193" fontId="27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27" fillId="0" borderId="291" xfId="2" applyNumberFormat="1" applyFont="1" applyBorder="1" applyAlignment="1">
      <alignment horizontal="center" vertical="center" wrapText="1"/>
    </xf>
    <xf numFmtId="195" fontId="27" fillId="0" borderId="182" xfId="2" applyNumberFormat="1" applyFont="1" applyBorder="1" applyAlignment="1">
      <alignment horizontal="center" vertical="center" wrapText="1"/>
    </xf>
    <xf numFmtId="193" fontId="27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27" fillId="0" borderId="275" xfId="2" applyNumberFormat="1" applyFont="1" applyFill="1" applyBorder="1" applyAlignment="1">
      <alignment horizontal="center" vertical="center" wrapText="1"/>
    </xf>
    <xf numFmtId="195" fontId="27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194" fontId="27" fillId="0" borderId="285" xfId="2" applyNumberFormat="1" applyFont="1" applyFill="1" applyBorder="1" applyAlignment="1">
      <alignment horizontal="center" vertical="center" wrapText="1"/>
    </xf>
    <xf numFmtId="195" fontId="27" fillId="0" borderId="191" xfId="2" applyNumberFormat="1" applyFont="1" applyFill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4" fontId="27" fillId="0" borderId="277" xfId="2" applyNumberFormat="1" applyFont="1" applyFill="1" applyBorder="1" applyAlignment="1">
      <alignment horizontal="center" vertical="center" wrapText="1"/>
    </xf>
    <xf numFmtId="195" fontId="27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48" fillId="0" borderId="294" xfId="2" applyNumberFormat="1" applyFont="1" applyBorder="1" applyAlignment="1">
      <alignment horizontal="center" vertical="center" wrapText="1"/>
    </xf>
    <xf numFmtId="195" fontId="48" fillId="0" borderId="198" xfId="2" applyNumberFormat="1" applyFont="1" applyBorder="1" applyAlignment="1">
      <alignment horizontal="center" vertical="center" wrapText="1"/>
    </xf>
    <xf numFmtId="193" fontId="48" fillId="0" borderId="293" xfId="0" applyNumberFormat="1" applyFont="1" applyBorder="1" applyAlignment="1">
      <alignment horizontal="center" vertical="center" wrapText="1"/>
    </xf>
    <xf numFmtId="194" fontId="48" fillId="0" borderId="272" xfId="2" applyNumberFormat="1" applyFont="1" applyBorder="1" applyAlignment="1">
      <alignment horizontal="center" vertical="center" wrapText="1"/>
    </xf>
    <xf numFmtId="195" fontId="48" fillId="0" borderId="103" xfId="2" applyNumberFormat="1" applyFont="1" applyBorder="1" applyAlignment="1">
      <alignment horizontal="center" vertical="center" wrapText="1"/>
    </xf>
    <xf numFmtId="193" fontId="48" fillId="0" borderId="280" xfId="0" applyNumberFormat="1" applyFont="1" applyBorder="1" applyAlignment="1">
      <alignment horizontal="center" vertical="center" wrapText="1"/>
    </xf>
    <xf numFmtId="194" fontId="27" fillId="0" borderId="279" xfId="2" applyNumberFormat="1" applyFont="1" applyBorder="1" applyAlignment="1">
      <alignment horizontal="center" vertical="center" wrapText="1"/>
    </xf>
    <xf numFmtId="195" fontId="27" fillId="0" borderId="103" xfId="2" applyNumberFormat="1" applyFont="1" applyBorder="1" applyAlignment="1">
      <alignment horizontal="center" vertical="center" wrapText="1"/>
    </xf>
    <xf numFmtId="193" fontId="27" fillId="0" borderId="280" xfId="0" applyNumberFormat="1" applyFont="1" applyBorder="1" applyAlignment="1">
      <alignment horizontal="center" vertical="center" wrapText="1"/>
    </xf>
    <xf numFmtId="194" fontId="27" fillId="0" borderId="281" xfId="2" applyNumberFormat="1" applyFont="1" applyBorder="1" applyAlignment="1">
      <alignment horizontal="center" vertical="center" wrapText="1"/>
    </xf>
    <xf numFmtId="195" fontId="27" fillId="0" borderId="273" xfId="2" applyNumberFormat="1" applyFont="1" applyBorder="1" applyAlignment="1">
      <alignment horizontal="center" vertical="center" wrapText="1"/>
    </xf>
    <xf numFmtId="193" fontId="27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7" fillId="0" borderId="84" xfId="2" applyNumberFormat="1" applyFont="1" applyBorder="1" applyAlignment="1">
      <alignment horizontal="center" vertical="center" wrapText="1"/>
    </xf>
    <xf numFmtId="195" fontId="27" fillId="0" borderId="86" xfId="2" applyNumberFormat="1" applyFont="1" applyBorder="1" applyAlignment="1">
      <alignment horizontal="center" vertical="center" wrapText="1"/>
    </xf>
    <xf numFmtId="193" fontId="27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/>
    </xf>
    <xf numFmtId="0" fontId="43" fillId="23" borderId="276" xfId="0" applyFont="1" applyFill="1" applyBorder="1" applyAlignment="1">
      <alignment horizontal="center" vertical="center"/>
    </xf>
    <xf numFmtId="194" fontId="75" fillId="0" borderId="277" xfId="2" applyNumberFormat="1" applyFont="1" applyBorder="1" applyAlignment="1">
      <alignment horizontal="center" vertical="center" wrapText="1" readingOrder="1"/>
    </xf>
    <xf numFmtId="195" fontId="75" fillId="0" borderId="135" xfId="2" applyNumberFormat="1" applyFont="1" applyBorder="1" applyAlignment="1">
      <alignment horizontal="center" vertical="center" wrapText="1" readingOrder="1"/>
    </xf>
    <xf numFmtId="193" fontId="75" fillId="0" borderId="278" xfId="0" applyNumberFormat="1" applyFont="1" applyBorder="1" applyAlignment="1">
      <alignment horizontal="center" vertical="center" wrapText="1" readingOrder="1"/>
    </xf>
    <xf numFmtId="194" fontId="49" fillId="0" borderId="190" xfId="2" applyNumberFormat="1" applyFont="1" applyBorder="1" applyAlignment="1">
      <alignment horizontal="center" vertical="center" wrapText="1" readingOrder="1"/>
    </xf>
    <xf numFmtId="195" fontId="49" fillId="0" borderId="135" xfId="2" applyNumberFormat="1" applyFont="1" applyBorder="1" applyAlignment="1">
      <alignment horizontal="center" vertical="center" wrapText="1" readingOrder="1"/>
    </xf>
    <xf numFmtId="193" fontId="49" fillId="0" borderId="278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Border="1" applyAlignment="1">
      <alignment horizontal="center" vertical="center" wrapText="1" readingOrder="1"/>
    </xf>
    <xf numFmtId="195" fontId="75" fillId="0" borderId="6" xfId="2" applyNumberFormat="1" applyFont="1" applyBorder="1" applyAlignment="1">
      <alignment horizontal="center" vertical="center" wrapText="1" readingOrder="1"/>
    </xf>
    <xf numFmtId="193" fontId="75" fillId="0" borderId="81" xfId="0" applyNumberFormat="1" applyFont="1" applyBorder="1" applyAlignment="1">
      <alignment horizontal="center" vertical="center" wrapText="1" readingOrder="1"/>
    </xf>
    <xf numFmtId="194" fontId="49" fillId="0" borderId="83" xfId="2" applyNumberFormat="1" applyFont="1" applyBorder="1" applyAlignment="1">
      <alignment horizontal="center" vertical="center" wrapText="1" readingOrder="1"/>
    </xf>
    <xf numFmtId="195" fontId="49" fillId="0" borderId="6" xfId="2" applyNumberFormat="1" applyFont="1" applyBorder="1" applyAlignment="1">
      <alignment horizontal="center" vertical="center" wrapText="1" readingOrder="1"/>
    </xf>
    <xf numFmtId="193" fontId="49" fillId="0" borderId="81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Fill="1" applyBorder="1" applyAlignment="1">
      <alignment horizontal="center" vertical="center" wrapText="1" readingOrder="1"/>
    </xf>
    <xf numFmtId="195" fontId="75" fillId="0" borderId="6" xfId="2" applyNumberFormat="1" applyFont="1" applyFill="1" applyBorder="1" applyAlignment="1">
      <alignment horizontal="center" vertical="center" wrapText="1" readingOrder="1"/>
    </xf>
    <xf numFmtId="194" fontId="75" fillId="0" borderId="275" xfId="2" applyNumberFormat="1" applyFont="1" applyBorder="1" applyAlignment="1">
      <alignment horizontal="center" vertical="center" wrapText="1" readingOrder="1"/>
    </xf>
    <xf numFmtId="195" fontId="75" fillId="0" borderId="136" xfId="2" applyNumberFormat="1" applyFont="1" applyBorder="1" applyAlignment="1">
      <alignment horizontal="center" vertical="center" wrapText="1" readingOrder="1"/>
    </xf>
    <xf numFmtId="193" fontId="75" fillId="0" borderId="276" xfId="0" applyNumberFormat="1" applyFont="1" applyBorder="1" applyAlignment="1">
      <alignment horizontal="center" vertical="center" wrapText="1" readingOrder="1"/>
    </xf>
    <xf numFmtId="194" fontId="49" fillId="0" borderId="195" xfId="2" applyNumberFormat="1" applyFont="1" applyBorder="1" applyAlignment="1">
      <alignment horizontal="center" vertical="center" wrapText="1" readingOrder="1"/>
    </xf>
    <xf numFmtId="195" fontId="49" fillId="0" borderId="136" xfId="2" applyNumberFormat="1" applyFont="1" applyBorder="1" applyAlignment="1">
      <alignment horizontal="center" vertical="center" wrapText="1" readingOrder="1"/>
    </xf>
    <xf numFmtId="193" fontId="49" fillId="0" borderId="276" xfId="0" applyNumberFormat="1" applyFont="1" applyBorder="1" applyAlignment="1">
      <alignment horizontal="center" vertical="center" wrapText="1" readingOrder="1"/>
    </xf>
    <xf numFmtId="194" fontId="75" fillId="0" borderId="277" xfId="2" applyNumberFormat="1" applyFont="1" applyBorder="1" applyAlignment="1">
      <alignment horizontal="center" vertical="center" wrapText="1"/>
    </xf>
    <xf numFmtId="195" fontId="75" fillId="0" borderId="135" xfId="2" applyNumberFormat="1" applyFont="1" applyBorder="1" applyAlignment="1">
      <alignment horizontal="center" vertical="center" wrapText="1"/>
    </xf>
    <xf numFmtId="193" fontId="75" fillId="0" borderId="278" xfId="0" applyNumberFormat="1" applyFont="1" applyBorder="1" applyAlignment="1">
      <alignment horizontal="center" vertical="center" wrapText="1"/>
    </xf>
    <xf numFmtId="194" fontId="49" fillId="0" borderId="190" xfId="2" applyNumberFormat="1" applyFont="1" applyBorder="1" applyAlignment="1">
      <alignment horizontal="center" vertical="center" wrapText="1"/>
    </xf>
    <xf numFmtId="195" fontId="49" fillId="0" borderId="135" xfId="2" applyNumberFormat="1" applyFont="1" applyBorder="1" applyAlignment="1">
      <alignment horizontal="center" vertical="center" wrapText="1"/>
    </xf>
    <xf numFmtId="193" fontId="49" fillId="0" borderId="278" xfId="0" applyNumberFormat="1" applyFont="1" applyBorder="1" applyAlignment="1">
      <alignment horizontal="center" vertical="center" wrapText="1"/>
    </xf>
    <xf numFmtId="194" fontId="75" fillId="0" borderId="69" xfId="2" applyNumberFormat="1" applyFont="1" applyBorder="1" applyAlignment="1">
      <alignment horizontal="center" vertical="center" wrapText="1"/>
    </xf>
    <xf numFmtId="195" fontId="75" fillId="0" borderId="6" xfId="2" applyNumberFormat="1" applyFont="1" applyBorder="1" applyAlignment="1">
      <alignment horizontal="center" vertical="center" wrapText="1"/>
    </xf>
    <xf numFmtId="193" fontId="75" fillId="0" borderId="81" xfId="0" applyNumberFormat="1" applyFont="1" applyBorder="1" applyAlignment="1">
      <alignment horizontal="center" vertical="center" wrapText="1"/>
    </xf>
    <xf numFmtId="194" fontId="49" fillId="0" borderId="83" xfId="2" applyNumberFormat="1" applyFont="1" applyBorder="1" applyAlignment="1">
      <alignment horizontal="center" vertical="center" wrapText="1"/>
    </xf>
    <xf numFmtId="195" fontId="49" fillId="0" borderId="6" xfId="2" applyNumberFormat="1" applyFont="1" applyBorder="1" applyAlignment="1">
      <alignment horizontal="center" vertical="center" wrapText="1"/>
    </xf>
    <xf numFmtId="193" fontId="49" fillId="0" borderId="81" xfId="0" applyNumberFormat="1" applyFont="1" applyBorder="1" applyAlignment="1">
      <alignment horizontal="center" vertical="center" wrapText="1"/>
    </xf>
    <xf numFmtId="194" fontId="75" fillId="0" borderId="69" xfId="2" applyNumberFormat="1" applyFont="1" applyFill="1" applyBorder="1" applyAlignment="1">
      <alignment horizontal="center" vertical="center" wrapText="1"/>
    </xf>
    <xf numFmtId="195" fontId="75" fillId="0" borderId="6" xfId="2" applyNumberFormat="1" applyFont="1" applyFill="1" applyBorder="1" applyAlignment="1">
      <alignment horizontal="center" vertical="center" wrapText="1"/>
    </xf>
    <xf numFmtId="194" fontId="49" fillId="0" borderId="83" xfId="2" applyNumberFormat="1" applyFont="1" applyFill="1" applyBorder="1" applyAlignment="1">
      <alignment horizontal="center" vertical="center" wrapText="1"/>
    </xf>
    <xf numFmtId="195" fontId="49" fillId="0" borderId="6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Border="1" applyAlignment="1">
      <alignment horizontal="center" vertical="center" wrapText="1"/>
    </xf>
    <xf numFmtId="195" fontId="75" fillId="0" borderId="136" xfId="2" applyNumberFormat="1" applyFont="1" applyBorder="1" applyAlignment="1">
      <alignment horizontal="center" vertical="center" wrapText="1"/>
    </xf>
    <xf numFmtId="193" fontId="75" fillId="0" borderId="276" xfId="0" applyNumberFormat="1" applyFont="1" applyBorder="1" applyAlignment="1">
      <alignment horizontal="center" vertical="center" wrapText="1"/>
    </xf>
    <xf numFmtId="194" fontId="49" fillId="0" borderId="195" xfId="2" applyNumberFormat="1" applyFont="1" applyBorder="1" applyAlignment="1">
      <alignment horizontal="center" vertical="center" wrapText="1"/>
    </xf>
    <xf numFmtId="195" fontId="49" fillId="0" borderId="136" xfId="2" applyNumberFormat="1" applyFont="1" applyBorder="1" applyAlignment="1">
      <alignment horizontal="center" vertical="center" wrapText="1"/>
    </xf>
    <xf numFmtId="193" fontId="49" fillId="0" borderId="276" xfId="0" applyNumberFormat="1" applyFont="1" applyBorder="1" applyAlignment="1">
      <alignment horizontal="center" vertical="center" wrapText="1"/>
    </xf>
    <xf numFmtId="0" fontId="75" fillId="23" borderId="285" xfId="0" applyFont="1" applyFill="1" applyBorder="1" applyAlignment="1">
      <alignment horizontal="center" vertical="center" wrapText="1"/>
    </xf>
    <xf numFmtId="0" fontId="49" fillId="23" borderId="286" xfId="0" applyFont="1" applyFill="1" applyBorder="1" applyAlignment="1">
      <alignment horizontal="center" vertical="center" wrapText="1"/>
    </xf>
    <xf numFmtId="194" fontId="75" fillId="0" borderId="285" xfId="2" applyNumberFormat="1" applyFont="1" applyFill="1" applyBorder="1" applyAlignment="1">
      <alignment horizontal="center" vertical="center" wrapText="1"/>
    </xf>
    <xf numFmtId="195" fontId="75" fillId="0" borderId="191" xfId="2" applyNumberFormat="1" applyFont="1" applyFill="1" applyBorder="1" applyAlignment="1">
      <alignment horizontal="center" vertical="center" wrapText="1"/>
    </xf>
    <xf numFmtId="193" fontId="75" fillId="0" borderId="286" xfId="0" applyNumberFormat="1" applyFont="1" applyBorder="1" applyAlignment="1">
      <alignment horizontal="center" vertical="center" wrapText="1"/>
    </xf>
    <xf numFmtId="194" fontId="49" fillId="0" borderId="287" xfId="2" applyNumberFormat="1" applyFont="1" applyFill="1" applyBorder="1" applyAlignment="1">
      <alignment horizontal="center" vertical="center" wrapText="1"/>
    </xf>
    <xf numFmtId="195" fontId="49" fillId="0" borderId="191" xfId="2" applyNumberFormat="1" applyFont="1" applyFill="1" applyBorder="1" applyAlignment="1">
      <alignment horizontal="center" vertical="center" wrapText="1"/>
    </xf>
    <xf numFmtId="193" fontId="49" fillId="0" borderId="286" xfId="0" applyNumberFormat="1" applyFont="1" applyBorder="1" applyAlignment="1">
      <alignment horizontal="center" vertical="center" wrapText="1"/>
    </xf>
    <xf numFmtId="0" fontId="49" fillId="23" borderId="292" xfId="0" applyFont="1" applyFill="1" applyBorder="1" applyAlignment="1">
      <alignment horizontal="center" vertical="center" wrapText="1"/>
    </xf>
    <xf numFmtId="0" fontId="49" fillId="0" borderId="244" xfId="0" applyFont="1" applyBorder="1" applyAlignment="1">
      <alignment horizontal="center" vertical="center" wrapText="1"/>
    </xf>
    <xf numFmtId="195" fontId="49" fillId="0" borderId="182" xfId="2" applyNumberFormat="1" applyFont="1" applyBorder="1" applyAlignment="1">
      <alignment horizontal="center" vertical="center" wrapText="1"/>
    </xf>
    <xf numFmtId="193" fontId="49" fillId="0" borderId="292" xfId="0" applyNumberFormat="1" applyFont="1" applyBorder="1" applyAlignment="1">
      <alignment horizontal="center" vertical="center" wrapText="1"/>
    </xf>
    <xf numFmtId="194" fontId="75" fillId="0" borderId="285" xfId="2" applyNumberFormat="1" applyFont="1" applyBorder="1" applyAlignment="1">
      <alignment horizontal="center" vertical="center" wrapText="1"/>
    </xf>
    <xf numFmtId="195" fontId="75" fillId="0" borderId="191" xfId="2" applyNumberFormat="1" applyFont="1" applyBorder="1" applyAlignment="1">
      <alignment horizontal="center" vertical="center" wrapText="1"/>
    </xf>
    <xf numFmtId="194" fontId="49" fillId="0" borderId="287" xfId="2" applyNumberFormat="1" applyFont="1" applyBorder="1" applyAlignment="1">
      <alignment horizontal="center" vertical="center" wrapText="1"/>
    </xf>
    <xf numFmtId="195" fontId="49" fillId="0" borderId="191" xfId="2" applyNumberFormat="1" applyFont="1" applyBorder="1" applyAlignment="1">
      <alignment horizontal="center" vertical="center" wrapText="1"/>
    </xf>
    <xf numFmtId="0" fontId="75" fillId="23" borderId="291" xfId="0" applyFont="1" applyFill="1" applyBorder="1" applyAlignment="1">
      <alignment horizontal="center" vertical="center" wrapText="1"/>
    </xf>
    <xf numFmtId="194" fontId="75" fillId="0" borderId="291" xfId="2" applyNumberFormat="1" applyFont="1" applyBorder="1" applyAlignment="1">
      <alignment horizontal="center" vertical="center" wrapText="1"/>
    </xf>
    <xf numFmtId="195" fontId="75" fillId="0" borderId="182" xfId="2" applyNumberFormat="1" applyFont="1" applyBorder="1" applyAlignment="1">
      <alignment horizontal="center" vertical="center" wrapText="1"/>
    </xf>
    <xf numFmtId="193" fontId="75" fillId="0" borderId="292" xfId="0" applyNumberFormat="1" applyFont="1" applyBorder="1" applyAlignment="1">
      <alignment horizontal="center" vertical="center" wrapText="1"/>
    </xf>
    <xf numFmtId="194" fontId="49" fillId="0" borderId="244" xfId="2" applyNumberFormat="1" applyFont="1" applyBorder="1" applyAlignment="1">
      <alignment horizontal="center" vertical="center" wrapText="1"/>
    </xf>
    <xf numFmtId="0" fontId="75" fillId="23" borderId="69" xfId="0" applyFont="1" applyFill="1" applyBorder="1" applyAlignment="1">
      <alignment horizontal="center" vertical="center" wrapText="1"/>
    </xf>
    <xf numFmtId="0" fontId="49" fillId="23" borderId="81" xfId="0" applyFont="1" applyFill="1" applyBorder="1" applyAlignment="1">
      <alignment horizontal="center" vertical="center" wrapText="1"/>
    </xf>
    <xf numFmtId="0" fontId="75" fillId="23" borderId="275" xfId="0" applyFont="1" applyFill="1" applyBorder="1" applyAlignment="1">
      <alignment horizontal="center" vertical="center" wrapText="1"/>
    </xf>
    <xf numFmtId="0" fontId="49" fillId="23" borderId="276" xfId="0" applyFont="1" applyFill="1" applyBorder="1" applyAlignment="1">
      <alignment horizontal="center" vertical="center" wrapText="1"/>
    </xf>
    <xf numFmtId="194" fontId="75" fillId="0" borderId="298" xfId="2" applyNumberFormat="1" applyFont="1" applyBorder="1" applyAlignment="1">
      <alignment horizontal="center" vertical="center" wrapText="1"/>
    </xf>
    <xf numFmtId="195" fontId="75" fillId="0" borderId="140" xfId="2" applyNumberFormat="1" applyFont="1" applyBorder="1" applyAlignment="1">
      <alignment horizontal="center" vertical="center" wrapText="1"/>
    </xf>
    <xf numFmtId="193" fontId="75" fillId="0" borderId="299" xfId="0" applyNumberFormat="1" applyFont="1" applyBorder="1" applyAlignment="1">
      <alignment horizontal="center" vertical="center" wrapText="1"/>
    </xf>
    <xf numFmtId="194" fontId="49" fillId="0" borderId="203" xfId="2" applyNumberFormat="1" applyFont="1" applyBorder="1" applyAlignment="1">
      <alignment horizontal="center" vertical="center" wrapText="1"/>
    </xf>
    <xf numFmtId="195" fontId="49" fillId="0" borderId="140" xfId="2" applyNumberFormat="1" applyFont="1" applyBorder="1" applyAlignment="1">
      <alignment horizontal="center" vertical="center" wrapText="1"/>
    </xf>
    <xf numFmtId="193" fontId="49" fillId="0" borderId="299" xfId="0" applyNumberFormat="1" applyFont="1" applyBorder="1" applyAlignment="1">
      <alignment horizontal="center" vertical="center" wrapText="1"/>
    </xf>
    <xf numFmtId="0" fontId="75" fillId="23" borderId="277" xfId="0" applyFont="1" applyFill="1" applyBorder="1" applyAlignment="1">
      <alignment horizontal="center" vertical="center" wrapText="1"/>
    </xf>
    <xf numFmtId="0" fontId="49" fillId="23" borderId="278" xfId="0" applyFont="1" applyFill="1" applyBorder="1" applyAlignment="1">
      <alignment horizontal="center" vertical="center" wrapText="1"/>
    </xf>
    <xf numFmtId="0" fontId="75" fillId="23" borderId="288" xfId="0" applyFont="1" applyFill="1" applyBorder="1" applyAlignment="1">
      <alignment horizontal="center" vertical="center" wrapText="1"/>
    </xf>
    <xf numFmtId="0" fontId="49" fillId="23" borderId="289" xfId="0" applyFont="1" applyFill="1" applyBorder="1" applyAlignment="1">
      <alignment horizontal="center" vertical="center" wrapText="1"/>
    </xf>
    <xf numFmtId="194" fontId="75" fillId="5" borderId="288" xfId="2" applyNumberFormat="1" applyFont="1" applyFill="1" applyBorder="1" applyAlignment="1">
      <alignment horizontal="center" vertical="center" wrapText="1"/>
    </xf>
    <xf numFmtId="195" fontId="75" fillId="5" borderId="196" xfId="2" applyNumberFormat="1" applyFont="1" applyFill="1" applyBorder="1" applyAlignment="1">
      <alignment horizontal="center" vertical="center" wrapText="1"/>
    </xf>
    <xf numFmtId="193" fontId="75" fillId="5" borderId="289" xfId="0" applyNumberFormat="1" applyFont="1" applyFill="1" applyBorder="1" applyAlignment="1">
      <alignment horizontal="center" vertical="center" wrapText="1"/>
    </xf>
    <xf numFmtId="194" fontId="49" fillId="5" borderId="290" xfId="2" applyNumberFormat="1" applyFont="1" applyFill="1" applyBorder="1" applyAlignment="1">
      <alignment horizontal="center" vertical="center" wrapText="1"/>
    </xf>
    <xf numFmtId="195" fontId="49" fillId="5" borderId="196" xfId="2" applyNumberFormat="1" applyFont="1" applyFill="1" applyBorder="1" applyAlignment="1">
      <alignment horizontal="center" vertical="center" wrapText="1"/>
    </xf>
    <xf numFmtId="193" fontId="49" fillId="5" borderId="289" xfId="0" applyNumberFormat="1" applyFont="1" applyFill="1" applyBorder="1" applyAlignment="1">
      <alignment horizontal="center" vertical="center" wrapText="1"/>
    </xf>
    <xf numFmtId="194" fontId="75" fillId="5" borderId="291" xfId="2" applyNumberFormat="1" applyFont="1" applyFill="1" applyBorder="1" applyAlignment="1">
      <alignment horizontal="center" vertical="center" wrapText="1"/>
    </xf>
    <xf numFmtId="195" fontId="75" fillId="5" borderId="182" xfId="2" applyNumberFormat="1" applyFont="1" applyFill="1" applyBorder="1" applyAlignment="1">
      <alignment horizontal="center" vertical="center" wrapText="1"/>
    </xf>
    <xf numFmtId="193" fontId="75" fillId="5" borderId="292" xfId="0" applyNumberFormat="1" applyFont="1" applyFill="1" applyBorder="1" applyAlignment="1">
      <alignment horizontal="center" vertical="center" wrapText="1"/>
    </xf>
    <xf numFmtId="194" fontId="49" fillId="5" borderId="244" xfId="2" applyNumberFormat="1" applyFont="1" applyFill="1" applyBorder="1" applyAlignment="1">
      <alignment horizontal="center" vertical="center" wrapText="1"/>
    </xf>
    <xf numFmtId="195" fontId="49" fillId="5" borderId="182" xfId="2" applyNumberFormat="1" applyFont="1" applyFill="1" applyBorder="1" applyAlignment="1">
      <alignment horizontal="center" vertical="center" wrapText="1"/>
    </xf>
    <xf numFmtId="193" fontId="49" fillId="5" borderId="292" xfId="0" applyNumberFormat="1" applyFont="1" applyFill="1" applyBorder="1" applyAlignment="1">
      <alignment horizontal="center" vertical="center" wrapText="1"/>
    </xf>
    <xf numFmtId="194" fontId="75" fillId="0" borderId="288" xfId="2" applyNumberFormat="1" applyFont="1" applyBorder="1" applyAlignment="1">
      <alignment horizontal="center" vertical="center" wrapText="1"/>
    </xf>
    <xf numFmtId="195" fontId="75" fillId="0" borderId="196" xfId="2" applyNumberFormat="1" applyFont="1" applyBorder="1" applyAlignment="1">
      <alignment horizontal="center" vertical="center" wrapText="1"/>
    </xf>
    <xf numFmtId="193" fontId="75" fillId="0" borderId="289" xfId="0" applyNumberFormat="1" applyFont="1" applyBorder="1" applyAlignment="1">
      <alignment horizontal="center" vertical="center" wrapText="1"/>
    </xf>
    <xf numFmtId="194" fontId="49" fillId="0" borderId="290" xfId="2" applyNumberFormat="1" applyFont="1" applyBorder="1" applyAlignment="1">
      <alignment horizontal="center" vertical="center" wrapText="1"/>
    </xf>
    <xf numFmtId="195" fontId="49" fillId="0" borderId="196" xfId="2" applyNumberFormat="1" applyFont="1" applyBorder="1" applyAlignment="1">
      <alignment horizontal="center" vertical="center" wrapText="1"/>
    </xf>
    <xf numFmtId="193" fontId="49" fillId="0" borderId="289" xfId="0" applyNumberFormat="1" applyFont="1" applyBorder="1" applyAlignment="1">
      <alignment horizontal="center" vertical="center" wrapText="1"/>
    </xf>
    <xf numFmtId="194" fontId="75" fillId="5" borderId="277" xfId="2" applyNumberFormat="1" applyFont="1" applyFill="1" applyBorder="1" applyAlignment="1">
      <alignment horizontal="center" vertical="center" wrapText="1"/>
    </xf>
    <xf numFmtId="195" fontId="75" fillId="5" borderId="135" xfId="2" applyNumberFormat="1" applyFont="1" applyFill="1" applyBorder="1" applyAlignment="1">
      <alignment horizontal="center" vertical="center" wrapText="1"/>
    </xf>
    <xf numFmtId="193" fontId="75" fillId="5" borderId="278" xfId="0" applyNumberFormat="1" applyFont="1" applyFill="1" applyBorder="1" applyAlignment="1">
      <alignment horizontal="center" vertical="center" wrapText="1"/>
    </xf>
    <xf numFmtId="194" fontId="49" fillId="5" borderId="190" xfId="2" applyNumberFormat="1" applyFont="1" applyFill="1" applyBorder="1" applyAlignment="1">
      <alignment horizontal="center" vertical="center" wrapText="1"/>
    </xf>
    <xf numFmtId="195" fontId="49" fillId="5" borderId="135" xfId="2" applyNumberFormat="1" applyFont="1" applyFill="1" applyBorder="1" applyAlignment="1">
      <alignment horizontal="center" vertical="center" wrapText="1"/>
    </xf>
    <xf numFmtId="193" fontId="49" fillId="5" borderId="278" xfId="0" applyNumberFormat="1" applyFont="1" applyFill="1" applyBorder="1" applyAlignment="1">
      <alignment horizontal="center" vertical="center" wrapText="1"/>
    </xf>
    <xf numFmtId="194" fontId="75" fillId="5" borderId="69" xfId="2" applyNumberFormat="1" applyFont="1" applyFill="1" applyBorder="1" applyAlignment="1">
      <alignment horizontal="center" vertical="center" wrapText="1"/>
    </xf>
    <xf numFmtId="195" fontId="75" fillId="5" borderId="6" xfId="2" applyNumberFormat="1" applyFont="1" applyFill="1" applyBorder="1" applyAlignment="1">
      <alignment horizontal="center" vertical="center" wrapText="1"/>
    </xf>
    <xf numFmtId="193" fontId="75" fillId="5" borderId="81" xfId="0" applyNumberFormat="1" applyFont="1" applyFill="1" applyBorder="1" applyAlignment="1">
      <alignment horizontal="center" vertical="center" wrapText="1"/>
    </xf>
    <xf numFmtId="194" fontId="49" fillId="5" borderId="83" xfId="2" applyNumberFormat="1" applyFont="1" applyFill="1" applyBorder="1" applyAlignment="1">
      <alignment horizontal="center" vertical="center" wrapText="1"/>
    </xf>
    <xf numFmtId="195" fontId="49" fillId="5" borderId="6" xfId="2" applyNumberFormat="1" applyFont="1" applyFill="1" applyBorder="1" applyAlignment="1">
      <alignment horizontal="center" vertical="center" wrapText="1"/>
    </xf>
    <xf numFmtId="193" fontId="49" fillId="5" borderId="81" xfId="0" applyNumberFormat="1" applyFont="1" applyFill="1" applyBorder="1" applyAlignment="1">
      <alignment horizontal="center" vertical="center" wrapText="1"/>
    </xf>
    <xf numFmtId="194" fontId="75" fillId="5" borderId="275" xfId="2" applyNumberFormat="1" applyFont="1" applyFill="1" applyBorder="1" applyAlignment="1">
      <alignment horizontal="center" vertical="center" wrapText="1"/>
    </xf>
    <xf numFmtId="195" fontId="75" fillId="5" borderId="136" xfId="2" applyNumberFormat="1" applyFont="1" applyFill="1" applyBorder="1" applyAlignment="1">
      <alignment horizontal="center" vertical="center" wrapText="1"/>
    </xf>
    <xf numFmtId="193" fontId="75" fillId="5" borderId="276" xfId="0" applyNumberFormat="1" applyFont="1" applyFill="1" applyBorder="1" applyAlignment="1">
      <alignment horizontal="center" vertical="center" wrapText="1"/>
    </xf>
    <xf numFmtId="194" fontId="49" fillId="5" borderId="195" xfId="2" applyNumberFormat="1" applyFont="1" applyFill="1" applyBorder="1" applyAlignment="1">
      <alignment horizontal="center" vertical="center" wrapText="1"/>
    </xf>
    <xf numFmtId="195" fontId="49" fillId="5" borderId="136" xfId="2" applyNumberFormat="1" applyFont="1" applyFill="1" applyBorder="1" applyAlignment="1">
      <alignment horizontal="center" vertical="center" wrapText="1"/>
    </xf>
    <xf numFmtId="193" fontId="49" fillId="5" borderId="276" xfId="0" applyNumberFormat="1" applyFont="1" applyFill="1" applyBorder="1" applyAlignment="1">
      <alignment horizontal="center" vertical="center" wrapText="1"/>
    </xf>
    <xf numFmtId="194" fontId="75" fillId="0" borderId="277" xfId="2" applyNumberFormat="1" applyFont="1" applyFill="1" applyBorder="1" applyAlignment="1">
      <alignment horizontal="center" vertical="center" wrapText="1"/>
    </xf>
    <xf numFmtId="195" fontId="75" fillId="0" borderId="135" xfId="2" applyNumberFormat="1" applyFont="1" applyFill="1" applyBorder="1" applyAlignment="1">
      <alignment horizontal="center" vertical="center" wrapText="1"/>
    </xf>
    <xf numFmtId="194" fontId="49" fillId="0" borderId="190" xfId="2" applyNumberFormat="1" applyFont="1" applyFill="1" applyBorder="1" applyAlignment="1">
      <alignment horizontal="center" vertical="center" wrapText="1"/>
    </xf>
    <xf numFmtId="195" fontId="49" fillId="0" borderId="135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Fill="1" applyBorder="1" applyAlignment="1">
      <alignment horizontal="center" vertical="center" wrapText="1"/>
    </xf>
    <xf numFmtId="195" fontId="75" fillId="0" borderId="136" xfId="2" applyNumberFormat="1" applyFont="1" applyFill="1" applyBorder="1" applyAlignment="1">
      <alignment horizontal="center" vertical="center" wrapText="1"/>
    </xf>
    <xf numFmtId="194" fontId="49" fillId="0" borderId="195" xfId="2" applyNumberFormat="1" applyFont="1" applyFill="1" applyBorder="1" applyAlignment="1">
      <alignment horizontal="center" vertical="center" wrapText="1"/>
    </xf>
    <xf numFmtId="195" fontId="49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7" fillId="0" borderId="277" xfId="2" applyNumberFormat="1" applyFont="1" applyFill="1" applyBorder="1" applyAlignment="1">
      <alignment horizontal="center" vertical="center"/>
    </xf>
    <xf numFmtId="195" fontId="27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7" fillId="0" borderId="69" xfId="2" applyNumberFormat="1" applyFont="1" applyFill="1" applyBorder="1" applyAlignment="1">
      <alignment horizontal="center" vertical="center"/>
    </xf>
    <xf numFmtId="195" fontId="27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5" fillId="23" borderId="288" xfId="0" applyFont="1" applyFill="1" applyBorder="1" applyAlignment="1">
      <alignment horizontal="center" vertical="center"/>
    </xf>
    <xf numFmtId="0" fontId="75" fillId="0" borderId="288" xfId="0" applyFont="1" applyBorder="1" applyAlignment="1">
      <alignment horizontal="center" vertical="center"/>
    </xf>
    <xf numFmtId="195" fontId="75" fillId="0" borderId="196" xfId="2" applyNumberFormat="1" applyFont="1" applyFill="1" applyBorder="1" applyAlignment="1">
      <alignment horizontal="center" vertical="center"/>
    </xf>
    <xf numFmtId="193" fontId="75" fillId="0" borderId="289" xfId="0" applyNumberFormat="1" applyFont="1" applyBorder="1" applyAlignment="1">
      <alignment horizontal="center" vertical="center"/>
    </xf>
    <xf numFmtId="194" fontId="49" fillId="0" borderId="195" xfId="2" applyNumberFormat="1" applyFont="1" applyFill="1" applyBorder="1" applyAlignment="1">
      <alignment horizontal="center" vertical="center"/>
    </xf>
    <xf numFmtId="195" fontId="49" fillId="0" borderId="136" xfId="2" applyNumberFormat="1" applyFont="1" applyFill="1" applyBorder="1" applyAlignment="1">
      <alignment horizontal="center" vertical="center"/>
    </xf>
    <xf numFmtId="194" fontId="75" fillId="4" borderId="69" xfId="2" applyNumberFormat="1" applyFont="1" applyFill="1" applyBorder="1" applyAlignment="1">
      <alignment horizontal="center" vertical="center" wrapText="1"/>
    </xf>
    <xf numFmtId="194" fontId="49" fillId="4" borderId="83" xfId="2" applyNumberFormat="1" applyFont="1" applyFill="1" applyBorder="1" applyAlignment="1">
      <alignment horizontal="center" vertical="center" wrapText="1"/>
    </xf>
    <xf numFmtId="194" fontId="49" fillId="5" borderId="69" xfId="2" applyNumberFormat="1" applyFont="1" applyFill="1" applyBorder="1" applyAlignment="1">
      <alignment horizontal="center" vertical="center" wrapText="1"/>
    </xf>
    <xf numFmtId="0" fontId="75" fillId="23" borderId="300" xfId="0" applyFont="1" applyFill="1" applyBorder="1" applyAlignment="1">
      <alignment horizontal="center" vertical="center" wrapText="1"/>
    </xf>
    <xf numFmtId="0" fontId="49" fillId="23" borderId="301" xfId="0" applyFont="1" applyFill="1" applyBorder="1" applyAlignment="1">
      <alignment horizontal="center" vertical="center" wrapText="1"/>
    </xf>
    <xf numFmtId="194" fontId="75" fillId="0" borderId="302" xfId="2" applyNumberFormat="1" applyFont="1" applyBorder="1" applyAlignment="1">
      <alignment horizontal="center" vertical="center" wrapText="1"/>
    </xf>
    <xf numFmtId="195" fontId="75" fillId="0" borderId="303" xfId="2" applyNumberFormat="1" applyFont="1" applyBorder="1" applyAlignment="1">
      <alignment horizontal="center" vertical="center" wrapText="1"/>
    </xf>
    <xf numFmtId="193" fontId="75" fillId="0" borderId="304" xfId="0" applyNumberFormat="1" applyFont="1" applyBorder="1" applyAlignment="1">
      <alignment horizontal="center" vertical="center" wrapText="1"/>
    </xf>
    <xf numFmtId="194" fontId="49" fillId="0" borderId="305" xfId="2" applyNumberFormat="1" applyFont="1" applyBorder="1" applyAlignment="1">
      <alignment horizontal="center" vertical="center" wrapText="1"/>
    </xf>
    <xf numFmtId="195" fontId="49" fillId="0" borderId="238" xfId="2" applyNumberFormat="1" applyFont="1" applyBorder="1" applyAlignment="1">
      <alignment horizontal="center" vertical="center" wrapText="1"/>
    </xf>
    <xf numFmtId="193" fontId="49" fillId="0" borderId="301" xfId="0" applyNumberFormat="1" applyFont="1" applyBorder="1" applyAlignment="1">
      <alignment horizontal="center" vertical="center" wrapText="1"/>
    </xf>
    <xf numFmtId="0" fontId="86" fillId="23" borderId="277" xfId="9" applyFont="1" applyFill="1" applyBorder="1" applyAlignment="1">
      <alignment horizontal="center" vertical="center" wrapText="1"/>
    </xf>
    <xf numFmtId="0" fontId="87" fillId="23" borderId="278" xfId="9" applyFont="1" applyFill="1" applyBorder="1" applyAlignment="1">
      <alignment horizontal="center" vertical="center" wrapText="1"/>
    </xf>
    <xf numFmtId="194" fontId="86" fillId="0" borderId="277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194" fontId="87" fillId="0" borderId="190" xfId="2" applyNumberFormat="1" applyFont="1" applyBorder="1" applyAlignment="1">
      <alignment horizontal="center" vertical="center" wrapText="1"/>
    </xf>
    <xf numFmtId="195" fontId="87" fillId="0" borderId="135" xfId="2" applyNumberFormat="1" applyFont="1" applyBorder="1" applyAlignment="1">
      <alignment horizontal="center" vertical="center" wrapText="1"/>
    </xf>
    <xf numFmtId="193" fontId="87" fillId="0" borderId="278" xfId="9" applyNumberFormat="1" applyFont="1" applyBorder="1" applyAlignment="1">
      <alignment horizontal="center" vertical="center" wrapText="1"/>
    </xf>
    <xf numFmtId="0" fontId="86" fillId="23" borderId="283" xfId="9" applyFont="1" applyFill="1" applyBorder="1" applyAlignment="1">
      <alignment horizontal="center" vertical="center" wrapText="1"/>
    </xf>
    <xf numFmtId="0" fontId="87" fillId="23" borderId="284" xfId="9" applyFont="1" applyFill="1" applyBorder="1" applyAlignment="1">
      <alignment horizontal="center" vertical="center" wrapText="1"/>
    </xf>
    <xf numFmtId="194" fontId="86" fillId="0" borderId="283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194" fontId="87" fillId="0" borderId="178" xfId="2" applyNumberFormat="1" applyFont="1" applyBorder="1" applyAlignment="1">
      <alignment horizontal="center" vertical="center" wrapText="1"/>
    </xf>
    <xf numFmtId="195" fontId="87" fillId="0" borderId="101" xfId="2" applyNumberFormat="1" applyFont="1" applyBorder="1" applyAlignment="1">
      <alignment horizontal="center" vertical="center" wrapText="1"/>
    </xf>
    <xf numFmtId="193" fontId="87" fillId="0" borderId="284" xfId="9" applyNumberFormat="1" applyFont="1" applyBorder="1" applyAlignment="1">
      <alignment horizontal="center" vertical="center" wrapText="1"/>
    </xf>
    <xf numFmtId="0" fontId="86" fillId="23" borderId="69" xfId="9" applyFont="1" applyFill="1" applyBorder="1" applyAlignment="1">
      <alignment horizontal="center" vertical="center" wrapText="1"/>
    </xf>
    <xf numFmtId="0" fontId="87" fillId="23" borderId="81" xfId="9" applyFont="1" applyFill="1" applyBorder="1" applyAlignment="1">
      <alignment horizontal="center" vertical="center" wrapText="1"/>
    </xf>
    <xf numFmtId="194" fontId="86" fillId="0" borderId="69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194" fontId="87" fillId="0" borderId="83" xfId="2" applyNumberFormat="1" applyFont="1" applyBorder="1" applyAlignment="1">
      <alignment horizontal="center" vertical="center" wrapText="1"/>
    </xf>
    <xf numFmtId="195" fontId="87" fillId="0" borderId="6" xfId="2" applyNumberFormat="1" applyFont="1" applyBorder="1" applyAlignment="1">
      <alignment horizontal="center" vertical="center" wrapText="1"/>
    </xf>
    <xf numFmtId="193" fontId="87" fillId="0" borderId="81" xfId="9" applyNumberFormat="1" applyFont="1" applyBorder="1" applyAlignment="1">
      <alignment horizontal="center" vertical="center" wrapText="1"/>
    </xf>
    <xf numFmtId="0" fontId="87" fillId="23" borderId="292" xfId="0" applyFont="1" applyFill="1" applyBorder="1" applyAlignment="1">
      <alignment horizontal="center" vertical="center" wrapText="1"/>
    </xf>
    <xf numFmtId="0" fontId="87" fillId="0" borderId="244" xfId="0" applyFont="1" applyBorder="1" applyAlignment="1">
      <alignment horizontal="center" vertical="center" wrapText="1"/>
    </xf>
    <xf numFmtId="195" fontId="87" fillId="0" borderId="182" xfId="2" applyNumberFormat="1" applyFont="1" applyBorder="1" applyAlignment="1">
      <alignment horizontal="center" vertical="center" wrapText="1"/>
    </xf>
    <xf numFmtId="193" fontId="87" fillId="0" borderId="292" xfId="0" applyNumberFormat="1" applyFont="1" applyBorder="1" applyAlignment="1">
      <alignment horizontal="center" vertical="center" wrapText="1"/>
    </xf>
    <xf numFmtId="0" fontId="86" fillId="23" borderId="291" xfId="0" applyFont="1" applyFill="1" applyBorder="1" applyAlignment="1">
      <alignment horizontal="center" vertical="center" wrapText="1"/>
    </xf>
    <xf numFmtId="0" fontId="86" fillId="0" borderId="291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6" fillId="23" borderId="288" xfId="0" applyFont="1" applyFill="1" applyBorder="1" applyAlignment="1">
      <alignment horizontal="center" vertical="center" wrapText="1"/>
    </xf>
    <xf numFmtId="0" fontId="87" fillId="23" borderId="276" xfId="9" applyFont="1" applyFill="1" applyBorder="1" applyAlignment="1">
      <alignment horizontal="center" vertical="center" wrapText="1"/>
    </xf>
    <xf numFmtId="0" fontId="86" fillId="0" borderId="288" xfId="0" applyFont="1" applyBorder="1" applyAlignment="1">
      <alignment horizontal="center" vertical="center" wrapText="1"/>
    </xf>
    <xf numFmtId="195" fontId="86" fillId="0" borderId="196" xfId="2" applyNumberFormat="1" applyFont="1" applyBorder="1" applyAlignment="1">
      <alignment horizontal="center" vertical="center" wrapText="1"/>
    </xf>
    <xf numFmtId="193" fontId="86" fillId="0" borderId="289" xfId="0" applyNumberFormat="1" applyFont="1" applyBorder="1" applyAlignment="1">
      <alignment horizontal="center" vertical="center" wrapText="1"/>
    </xf>
    <xf numFmtId="194" fontId="87" fillId="0" borderId="195" xfId="2" applyNumberFormat="1" applyFont="1" applyBorder="1" applyAlignment="1">
      <alignment horizontal="center" vertical="center" wrapText="1"/>
    </xf>
    <xf numFmtId="195" fontId="87" fillId="0" borderId="136" xfId="2" applyNumberFormat="1" applyFont="1" applyBorder="1" applyAlignment="1">
      <alignment horizontal="center" vertical="center" wrapText="1"/>
    </xf>
    <xf numFmtId="193" fontId="87" fillId="0" borderId="276" xfId="9" applyNumberFormat="1" applyFont="1" applyBorder="1" applyAlignment="1">
      <alignment horizontal="center" vertical="center" wrapText="1"/>
    </xf>
    <xf numFmtId="0" fontId="75" fillId="23" borderId="277" xfId="9" applyFont="1" applyFill="1" applyBorder="1" applyAlignment="1">
      <alignment horizontal="center" vertical="center" wrapText="1"/>
    </xf>
    <xf numFmtId="0" fontId="49" fillId="23" borderId="278" xfId="9" applyFont="1" applyFill="1" applyBorder="1" applyAlignment="1">
      <alignment horizontal="center" vertical="center" wrapText="1"/>
    </xf>
    <xf numFmtId="193" fontId="75" fillId="0" borderId="278" xfId="9" applyNumberFormat="1" applyFont="1" applyBorder="1" applyAlignment="1">
      <alignment horizontal="center" vertical="center" wrapText="1"/>
    </xf>
    <xf numFmtId="194" fontId="49" fillId="4" borderId="190" xfId="2" applyNumberFormat="1" applyFont="1" applyFill="1" applyBorder="1" applyAlignment="1">
      <alignment horizontal="center" vertical="center" wrapText="1"/>
    </xf>
    <xf numFmtId="193" fontId="49" fillId="0" borderId="278" xfId="9" applyNumberFormat="1" applyFont="1" applyBorder="1" applyAlignment="1">
      <alignment horizontal="center" vertical="center" wrapText="1"/>
    </xf>
    <xf numFmtId="0" fontId="75" fillId="23" borderId="69" xfId="9" applyFont="1" applyFill="1" applyBorder="1" applyAlignment="1">
      <alignment horizontal="center" vertical="center" wrapText="1"/>
    </xf>
    <xf numFmtId="0" fontId="49" fillId="23" borderId="81" xfId="9" applyFont="1" applyFill="1" applyBorder="1" applyAlignment="1">
      <alignment horizontal="center" vertical="center" wrapText="1"/>
    </xf>
    <xf numFmtId="193" fontId="75" fillId="0" borderId="81" xfId="9" applyNumberFormat="1" applyFont="1" applyBorder="1" applyAlignment="1">
      <alignment horizontal="center" vertical="center" wrapText="1"/>
    </xf>
    <xf numFmtId="193" fontId="49" fillId="0" borderId="81" xfId="9" applyNumberFormat="1" applyFont="1" applyBorder="1" applyAlignment="1">
      <alignment horizontal="center" vertical="center" wrapText="1"/>
    </xf>
    <xf numFmtId="0" fontId="49" fillId="23" borderId="292" xfId="9" applyFont="1" applyFill="1" applyBorder="1" applyAlignment="1">
      <alignment horizontal="center" vertical="center" wrapText="1"/>
    </xf>
    <xf numFmtId="0" fontId="49" fillId="0" borderId="244" xfId="9" applyFont="1" applyBorder="1" applyAlignment="1">
      <alignment horizontal="center" vertical="center" wrapText="1"/>
    </xf>
    <xf numFmtId="193" fontId="49" fillId="0" borderId="292" xfId="9" applyNumberFormat="1" applyFont="1" applyBorder="1" applyAlignment="1">
      <alignment horizontal="center" vertical="center" wrapText="1"/>
    </xf>
    <xf numFmtId="0" fontId="75" fillId="23" borderId="291" xfId="9" applyFont="1" applyFill="1" applyBorder="1" applyAlignment="1">
      <alignment horizontal="center" vertical="center" wrapText="1"/>
    </xf>
    <xf numFmtId="0" fontId="75" fillId="0" borderId="291" xfId="9" applyFont="1" applyBorder="1" applyAlignment="1">
      <alignment horizontal="center" vertical="center" wrapText="1"/>
    </xf>
    <xf numFmtId="193" fontId="75" fillId="0" borderId="292" xfId="9" applyNumberFormat="1" applyFont="1" applyBorder="1" applyAlignment="1">
      <alignment horizontal="center" vertical="center" wrapText="1"/>
    </xf>
    <xf numFmtId="0" fontId="75" fillId="23" borderId="288" xfId="9" applyFont="1" applyFill="1" applyBorder="1" applyAlignment="1">
      <alignment horizontal="center" vertical="center" wrapText="1"/>
    </xf>
    <xf numFmtId="0" fontId="49" fillId="23" borderId="276" xfId="9" applyFont="1" applyFill="1" applyBorder="1" applyAlignment="1">
      <alignment horizontal="center" vertical="center" wrapText="1"/>
    </xf>
    <xf numFmtId="0" fontId="75" fillId="0" borderId="288" xfId="9" applyFont="1" applyBorder="1" applyAlignment="1">
      <alignment horizontal="center" vertical="center" wrapText="1"/>
    </xf>
    <xf numFmtId="193" fontId="75" fillId="0" borderId="289" xfId="9" applyNumberFormat="1" applyFont="1" applyBorder="1" applyAlignment="1">
      <alignment horizontal="center" vertical="center" wrapText="1"/>
    </xf>
    <xf numFmtId="194" fontId="49" fillId="4" borderId="195" xfId="2" applyNumberFormat="1" applyFont="1" applyFill="1" applyBorder="1" applyAlignment="1">
      <alignment horizontal="center" vertical="center" wrapText="1"/>
    </xf>
    <xf numFmtId="193" fontId="49" fillId="0" borderId="276" xfId="9" applyNumberFormat="1" applyFont="1" applyBorder="1" applyAlignment="1">
      <alignment horizontal="center" vertical="center" wrapText="1"/>
    </xf>
    <xf numFmtId="0" fontId="75" fillId="23" borderId="306" xfId="9" applyFont="1" applyFill="1" applyBorder="1" applyAlignment="1">
      <alignment horizontal="center" vertical="center" wrapText="1"/>
    </xf>
    <xf numFmtId="0" fontId="49" fillId="23" borderId="307" xfId="9" applyFont="1" applyFill="1" applyBorder="1" applyAlignment="1">
      <alignment horizontal="center" vertical="center" wrapText="1"/>
    </xf>
    <xf numFmtId="194" fontId="75" fillId="0" borderId="306" xfId="2" applyNumberFormat="1" applyFont="1" applyBorder="1" applyAlignment="1">
      <alignment horizontal="center" vertical="center" wrapText="1"/>
    </xf>
    <xf numFmtId="195" fontId="75" fillId="0" borderId="245" xfId="2" applyNumberFormat="1" applyFont="1" applyBorder="1" applyAlignment="1">
      <alignment horizontal="center" vertical="center" wrapText="1"/>
    </xf>
    <xf numFmtId="193" fontId="75" fillId="0" borderId="307" xfId="9" applyNumberFormat="1" applyFont="1" applyBorder="1" applyAlignment="1">
      <alignment horizontal="center" vertical="center" wrapText="1"/>
    </xf>
    <xf numFmtId="194" fontId="49" fillId="0" borderId="308" xfId="2" applyNumberFormat="1" applyFont="1" applyBorder="1" applyAlignment="1">
      <alignment horizontal="center" vertical="center" wrapText="1"/>
    </xf>
    <xf numFmtId="195" fontId="49" fillId="0" borderId="245" xfId="2" applyNumberFormat="1" applyFont="1" applyBorder="1" applyAlignment="1">
      <alignment horizontal="center" vertical="center" wrapText="1"/>
    </xf>
    <xf numFmtId="193" fontId="49" fillId="0" borderId="307" xfId="9" applyNumberFormat="1" applyFont="1" applyBorder="1" applyAlignment="1">
      <alignment horizontal="center" vertical="center" wrapText="1"/>
    </xf>
    <xf numFmtId="0" fontId="75" fillId="23" borderId="309" xfId="9" applyFont="1" applyFill="1" applyBorder="1" applyAlignment="1">
      <alignment horizontal="center" vertical="center" wrapText="1"/>
    </xf>
    <xf numFmtId="0" fontId="49" fillId="23" borderId="310" xfId="9" applyFont="1" applyFill="1" applyBorder="1" applyAlignment="1">
      <alignment horizontal="center" vertical="center" wrapText="1"/>
    </xf>
    <xf numFmtId="194" fontId="75" fillId="0" borderId="311" xfId="2" applyNumberFormat="1" applyFont="1" applyBorder="1" applyAlignment="1">
      <alignment horizontal="center" vertical="center" wrapText="1"/>
    </xf>
    <xf numFmtId="195" fontId="75" fillId="0" borderId="250" xfId="2" applyNumberFormat="1" applyFont="1" applyBorder="1" applyAlignment="1">
      <alignment horizontal="center" vertical="center" wrapText="1"/>
    </xf>
    <xf numFmtId="193" fontId="75" fillId="0" borderId="312" xfId="9" applyNumberFormat="1" applyFont="1" applyBorder="1" applyAlignment="1">
      <alignment horizontal="center" vertical="center" wrapText="1"/>
    </xf>
    <xf numFmtId="194" fontId="49" fillId="0" borderId="313" xfId="2" applyNumberFormat="1" applyFont="1" applyBorder="1" applyAlignment="1">
      <alignment horizontal="center" vertical="center" wrapText="1"/>
    </xf>
    <xf numFmtId="195" fontId="49" fillId="0" borderId="250" xfId="2" applyNumberFormat="1" applyFont="1" applyBorder="1" applyAlignment="1">
      <alignment horizontal="center" vertical="center" wrapText="1"/>
    </xf>
    <xf numFmtId="193" fontId="49" fillId="0" borderId="310" xfId="9" applyNumberFormat="1" applyFont="1" applyBorder="1" applyAlignment="1">
      <alignment horizontal="center" vertical="center" wrapText="1"/>
    </xf>
    <xf numFmtId="0" fontId="75" fillId="23" borderId="314" xfId="9" applyFont="1" applyFill="1" applyBorder="1" applyAlignment="1">
      <alignment horizontal="center" vertical="center" wrapText="1"/>
    </xf>
    <xf numFmtId="0" fontId="49" fillId="23" borderId="315" xfId="9" applyFont="1" applyFill="1" applyBorder="1" applyAlignment="1">
      <alignment horizontal="center" vertical="center" wrapText="1"/>
    </xf>
    <xf numFmtId="194" fontId="75" fillId="0" borderId="314" xfId="2" applyNumberFormat="1" applyFont="1" applyBorder="1" applyAlignment="1">
      <alignment horizontal="center" vertical="center" wrapText="1"/>
    </xf>
    <xf numFmtId="195" fontId="75" fillId="0" borderId="247" xfId="2" applyNumberFormat="1" applyFont="1" applyBorder="1" applyAlignment="1">
      <alignment horizontal="center" vertical="center" wrapText="1"/>
    </xf>
    <xf numFmtId="193" fontId="75" fillId="0" borderId="315" xfId="9" applyNumberFormat="1" applyFont="1" applyBorder="1" applyAlignment="1">
      <alignment horizontal="center" vertical="center" wrapText="1"/>
    </xf>
    <xf numFmtId="194" fontId="49" fillId="0" borderId="316" xfId="2" applyNumberFormat="1" applyFont="1" applyBorder="1" applyAlignment="1">
      <alignment horizontal="center" vertical="center" wrapText="1"/>
    </xf>
    <xf numFmtId="195" fontId="49" fillId="0" borderId="247" xfId="2" applyNumberFormat="1" applyFont="1" applyBorder="1" applyAlignment="1">
      <alignment horizontal="center" vertical="center" wrapText="1"/>
    </xf>
    <xf numFmtId="193" fontId="49" fillId="0" borderId="315" xfId="9" applyNumberFormat="1" applyFont="1" applyBorder="1" applyAlignment="1">
      <alignment horizontal="center" vertical="center" wrapText="1"/>
    </xf>
    <xf numFmtId="0" fontId="49" fillId="23" borderId="312" xfId="9" applyFont="1" applyFill="1" applyBorder="1" applyAlignment="1">
      <alignment horizontal="center" vertical="center" wrapText="1"/>
    </xf>
    <xf numFmtId="194" fontId="75" fillId="0" borderId="309" xfId="2" applyNumberFormat="1" applyFont="1" applyBorder="1" applyAlignment="1">
      <alignment horizontal="center" vertical="center" wrapText="1"/>
    </xf>
    <xf numFmtId="195" fontId="75" fillId="0" borderId="246" xfId="2" applyNumberFormat="1" applyFont="1" applyBorder="1" applyAlignment="1">
      <alignment horizontal="center" vertical="center" wrapText="1"/>
    </xf>
    <xf numFmtId="194" fontId="49" fillId="0" borderId="317" xfId="2" applyNumberFormat="1" applyFont="1" applyBorder="1" applyAlignment="1">
      <alignment horizontal="center" vertical="center" wrapText="1"/>
    </xf>
    <xf numFmtId="195" fontId="49" fillId="0" borderId="246" xfId="2" applyNumberFormat="1" applyFont="1" applyBorder="1" applyAlignment="1">
      <alignment horizontal="center" vertical="center" wrapText="1"/>
    </xf>
    <xf numFmtId="193" fontId="49" fillId="0" borderId="312" xfId="9" applyNumberFormat="1" applyFont="1" applyBorder="1" applyAlignment="1">
      <alignment horizontal="center" vertical="center" wrapText="1"/>
    </xf>
    <xf numFmtId="0" fontId="75" fillId="23" borderId="318" xfId="9" applyFont="1" applyFill="1" applyBorder="1" applyAlignment="1">
      <alignment horizontal="center" vertical="center" wrapText="1"/>
    </xf>
    <xf numFmtId="0" fontId="49" fillId="23" borderId="319" xfId="9" applyFont="1" applyFill="1" applyBorder="1" applyAlignment="1">
      <alignment horizontal="center" vertical="center" wrapText="1"/>
    </xf>
    <xf numFmtId="194" fontId="75" fillId="0" borderId="318" xfId="2" applyNumberFormat="1" applyFont="1" applyBorder="1" applyAlignment="1">
      <alignment horizontal="center" vertical="center" wrapText="1"/>
    </xf>
    <xf numFmtId="195" fontId="75" fillId="0" borderId="249" xfId="2" applyNumberFormat="1" applyFont="1" applyBorder="1" applyAlignment="1">
      <alignment horizontal="center" vertical="center" wrapText="1"/>
    </xf>
    <xf numFmtId="193" fontId="75" fillId="0" borderId="319" xfId="9" applyNumberFormat="1" applyFont="1" applyBorder="1" applyAlignment="1">
      <alignment horizontal="center" vertical="center" wrapText="1"/>
    </xf>
    <xf numFmtId="194" fontId="49" fillId="0" borderId="320" xfId="2" applyNumberFormat="1" applyFont="1" applyBorder="1" applyAlignment="1">
      <alignment horizontal="center" vertical="center" wrapText="1"/>
    </xf>
    <xf numFmtId="195" fontId="49" fillId="0" borderId="249" xfId="2" applyNumberFormat="1" applyFont="1" applyBorder="1" applyAlignment="1">
      <alignment horizontal="center" vertical="center" wrapText="1"/>
    </xf>
    <xf numFmtId="193" fontId="49" fillId="0" borderId="319" xfId="9" applyNumberFormat="1" applyFont="1" applyBorder="1" applyAlignment="1">
      <alignment horizontal="center" vertical="center" wrapText="1"/>
    </xf>
    <xf numFmtId="0" fontId="75" fillId="23" borderId="311" xfId="9" applyFont="1" applyFill="1" applyBorder="1" applyAlignment="1">
      <alignment horizontal="center" vertical="center" wrapText="1"/>
    </xf>
    <xf numFmtId="193" fontId="75" fillId="0" borderId="310" xfId="9" applyNumberFormat="1" applyFont="1" applyBorder="1" applyAlignment="1">
      <alignment horizontal="center" vertical="center" wrapText="1"/>
    </xf>
    <xf numFmtId="0" fontId="26" fillId="6" borderId="136" xfId="0" applyFont="1" applyFill="1" applyBorder="1" applyAlignment="1">
      <alignment horizontal="center" vertical="center" wrapText="1"/>
    </xf>
    <xf numFmtId="0" fontId="43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7" fillId="0" borderId="182" xfId="2" applyNumberFormat="1" applyFont="1" applyBorder="1" applyAlignment="1">
      <alignment horizontal="center" vertical="center"/>
    </xf>
    <xf numFmtId="193" fontId="27" fillId="0" borderId="292" xfId="0" applyNumberFormat="1" applyFont="1" applyBorder="1" applyAlignment="1">
      <alignment horizontal="center" vertical="center"/>
    </xf>
    <xf numFmtId="195" fontId="48" fillId="0" borderId="6" xfId="2" applyNumberFormat="1" applyFont="1" applyBorder="1" applyAlignment="1">
      <alignment horizontal="center" vertical="center"/>
    </xf>
    <xf numFmtId="195" fontId="27" fillId="0" borderId="6" xfId="2" applyNumberFormat="1" applyFont="1" applyBorder="1" applyAlignment="1">
      <alignment horizontal="center" vertical="center"/>
    </xf>
    <xf numFmtId="195" fontId="48" fillId="0" borderId="182" xfId="2" applyNumberFormat="1" applyFont="1" applyBorder="1" applyAlignment="1">
      <alignment horizontal="center" vertical="center"/>
    </xf>
    <xf numFmtId="193" fontId="48" fillId="0" borderId="292" xfId="0" applyNumberFormat="1" applyFont="1" applyBorder="1" applyAlignment="1">
      <alignment horizontal="center" vertical="center"/>
    </xf>
    <xf numFmtId="195" fontId="27" fillId="0" borderId="136" xfId="2" applyNumberFormat="1" applyFont="1" applyBorder="1" applyAlignment="1">
      <alignment horizontal="center" vertical="center"/>
    </xf>
    <xf numFmtId="195" fontId="48" fillId="0" borderId="136" xfId="2" applyNumberFormat="1" applyFont="1" applyBorder="1" applyAlignment="1">
      <alignment horizontal="center" vertical="center"/>
    </xf>
    <xf numFmtId="193" fontId="58" fillId="0" borderId="0" xfId="0" applyNumberFormat="1" applyFont="1" applyAlignment="1">
      <alignment horizontal="center" vertical="center"/>
    </xf>
    <xf numFmtId="0" fontId="74" fillId="16" borderId="70" xfId="0" applyFont="1" applyFill="1" applyBorder="1" applyAlignment="1">
      <alignment horizontal="center" vertical="center"/>
    </xf>
    <xf numFmtId="0" fontId="74" fillId="22" borderId="74" xfId="0" applyFont="1" applyFill="1" applyBorder="1" applyAlignment="1">
      <alignment horizontal="center" vertical="center"/>
    </xf>
    <xf numFmtId="0" fontId="60" fillId="6" borderId="76" xfId="0" applyFont="1" applyFill="1" applyBorder="1" applyAlignment="1">
      <alignment horizontal="center" vertical="center" wrapText="1"/>
    </xf>
    <xf numFmtId="0" fontId="59" fillId="11" borderId="78" xfId="0" applyFont="1" applyFill="1" applyBorder="1" applyAlignment="1">
      <alignment horizontal="center" vertical="center" wrapText="1"/>
    </xf>
    <xf numFmtId="194" fontId="60" fillId="6" borderId="76" xfId="2" applyNumberFormat="1" applyFont="1" applyFill="1" applyBorder="1" applyAlignment="1">
      <alignment horizontal="center" vertical="center" wrapText="1"/>
    </xf>
    <xf numFmtId="196" fontId="60" fillId="6" borderId="77" xfId="2" applyNumberFormat="1" applyFont="1" applyFill="1" applyBorder="1" applyAlignment="1">
      <alignment horizontal="center" vertical="center" wrapText="1"/>
    </xf>
    <xf numFmtId="193" fontId="60" fillId="6" borderId="78" xfId="0" applyNumberFormat="1" applyFont="1" applyFill="1" applyBorder="1" applyAlignment="1">
      <alignment horizontal="center" vertical="center" wrapText="1"/>
    </xf>
    <xf numFmtId="194" fontId="59" fillId="11" borderId="80" xfId="2" applyNumberFormat="1" applyFont="1" applyFill="1" applyBorder="1" applyAlignment="1">
      <alignment horizontal="center" vertical="center" wrapText="1"/>
    </xf>
    <xf numFmtId="196" fontId="59" fillId="11" borderId="77" xfId="2" applyNumberFormat="1" applyFont="1" applyFill="1" applyBorder="1" applyAlignment="1">
      <alignment horizontal="center" vertical="center" wrapText="1"/>
    </xf>
    <xf numFmtId="193" fontId="59" fillId="11" borderId="78" xfId="0" applyNumberFormat="1" applyFont="1" applyFill="1" applyBorder="1" applyAlignment="1">
      <alignment horizontal="center" vertical="center" wrapText="1"/>
    </xf>
    <xf numFmtId="0" fontId="60" fillId="6" borderId="69" xfId="0" applyFont="1" applyFill="1" applyBorder="1" applyAlignment="1">
      <alignment horizontal="center" vertical="center" wrapText="1"/>
    </xf>
    <xf numFmtId="0" fontId="59" fillId="11" borderId="81" xfId="0" applyFont="1" applyFill="1" applyBorder="1" applyAlignment="1">
      <alignment horizontal="center" vertical="center" wrapText="1"/>
    </xf>
    <xf numFmtId="194" fontId="60" fillId="6" borderId="69" xfId="2" applyNumberFormat="1" applyFont="1" applyFill="1" applyBorder="1" applyAlignment="1">
      <alignment horizontal="center" vertical="center" wrapText="1"/>
    </xf>
    <xf numFmtId="196" fontId="60" fillId="6" borderId="6" xfId="2" applyNumberFormat="1" applyFont="1" applyFill="1" applyBorder="1" applyAlignment="1">
      <alignment horizontal="center" vertical="center" wrapText="1"/>
    </xf>
    <xf numFmtId="193" fontId="60" fillId="6" borderId="81" xfId="0" applyNumberFormat="1" applyFont="1" applyFill="1" applyBorder="1" applyAlignment="1">
      <alignment horizontal="center" vertical="center" wrapText="1"/>
    </xf>
    <xf numFmtId="194" fontId="59" fillId="11" borderId="83" xfId="2" applyNumberFormat="1" applyFont="1" applyFill="1" applyBorder="1" applyAlignment="1">
      <alignment horizontal="center" vertical="center" wrapText="1"/>
    </xf>
    <xf numFmtId="196" fontId="59" fillId="11" borderId="6" xfId="2" applyNumberFormat="1" applyFont="1" applyFill="1" applyBorder="1" applyAlignment="1">
      <alignment horizontal="center" vertical="center" wrapText="1"/>
    </xf>
    <xf numFmtId="193" fontId="59" fillId="11" borderId="81" xfId="0" applyNumberFormat="1" applyFont="1" applyFill="1" applyBorder="1" applyAlignment="1">
      <alignment horizontal="center" vertical="center" wrapText="1"/>
    </xf>
    <xf numFmtId="0" fontId="60" fillId="6" borderId="70" xfId="0" applyFont="1" applyFill="1" applyBorder="1" applyAlignment="1">
      <alignment horizontal="center" vertical="center" wrapText="1"/>
    </xf>
    <xf numFmtId="0" fontId="59" fillId="11" borderId="74" xfId="0" applyFont="1" applyFill="1" applyBorder="1" applyAlignment="1">
      <alignment horizontal="center" vertical="center" wrapText="1"/>
    </xf>
    <xf numFmtId="194" fontId="60" fillId="6" borderId="70" xfId="2" applyNumberFormat="1" applyFont="1" applyFill="1" applyBorder="1" applyAlignment="1">
      <alignment horizontal="center" vertical="center" wrapText="1"/>
    </xf>
    <xf numFmtId="196" fontId="60" fillId="6" borderId="71" xfId="2" applyNumberFormat="1" applyFont="1" applyFill="1" applyBorder="1" applyAlignment="1">
      <alignment horizontal="center" vertical="center" wrapText="1"/>
    </xf>
    <xf numFmtId="193" fontId="60" fillId="6" borderId="74" xfId="0" applyNumberFormat="1" applyFont="1" applyFill="1" applyBorder="1" applyAlignment="1">
      <alignment horizontal="center" vertical="center" wrapText="1"/>
    </xf>
    <xf numFmtId="194" fontId="59" fillId="11" borderId="73" xfId="2" applyNumberFormat="1" applyFont="1" applyFill="1" applyBorder="1" applyAlignment="1">
      <alignment horizontal="center" vertical="center" wrapText="1"/>
    </xf>
    <xf numFmtId="196" fontId="59" fillId="11" borderId="71" xfId="2" applyNumberFormat="1" applyFont="1" applyFill="1" applyBorder="1" applyAlignment="1">
      <alignment horizontal="center" vertical="center" wrapText="1"/>
    </xf>
    <xf numFmtId="193" fontId="59" fillId="11" borderId="74" xfId="0" applyNumberFormat="1" applyFont="1" applyFill="1" applyBorder="1" applyAlignment="1">
      <alignment horizontal="center" vertical="center" wrapText="1"/>
    </xf>
    <xf numFmtId="0" fontId="60" fillId="0" borderId="333" xfId="0" applyFont="1" applyBorder="1" applyAlignment="1">
      <alignment horizontal="center" vertical="center" wrapText="1"/>
    </xf>
    <xf numFmtId="194" fontId="60" fillId="0" borderId="333" xfId="2" applyNumberFormat="1" applyFont="1" applyFill="1" applyBorder="1" applyAlignment="1">
      <alignment horizontal="center" vertical="center" wrapText="1"/>
    </xf>
    <xf numFmtId="195" fontId="60" fillId="0" borderId="181" xfId="2" applyNumberFormat="1" applyFont="1" applyFill="1" applyBorder="1" applyAlignment="1">
      <alignment horizontal="center" vertical="center" wrapText="1"/>
    </xf>
    <xf numFmtId="193" fontId="60" fillId="0" borderId="334" xfId="0" applyNumberFormat="1" applyFont="1" applyBorder="1" applyAlignment="1">
      <alignment horizontal="center" vertical="center" wrapText="1"/>
    </xf>
    <xf numFmtId="0" fontId="60" fillId="0" borderId="69" xfId="0" applyFont="1" applyBorder="1" applyAlignment="1">
      <alignment horizontal="center" vertical="center" wrapText="1"/>
    </xf>
    <xf numFmtId="0" fontId="91" fillId="0" borderId="81" xfId="0" applyFont="1" applyBorder="1" applyAlignment="1">
      <alignment horizontal="center" vertical="center" wrapText="1"/>
    </xf>
    <xf numFmtId="194" fontId="60" fillId="0" borderId="69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194" fontId="91" fillId="0" borderId="83" xfId="2" applyNumberFormat="1" applyFont="1" applyFill="1" applyBorder="1" applyAlignment="1">
      <alignment horizontal="center" vertical="center" wrapText="1"/>
    </xf>
    <xf numFmtId="195" fontId="91" fillId="0" borderId="6" xfId="2" applyNumberFormat="1" applyFont="1" applyFill="1" applyBorder="1" applyAlignment="1">
      <alignment horizontal="center" vertical="center" wrapText="1"/>
    </xf>
    <xf numFmtId="193" fontId="91" fillId="0" borderId="81" xfId="0" applyNumberFormat="1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9" fillId="7" borderId="81" xfId="0" applyFont="1" applyFill="1" applyBorder="1" applyAlignment="1">
      <alignment horizontal="center" vertical="center" wrapText="1"/>
    </xf>
    <xf numFmtId="193" fontId="59" fillId="7" borderId="81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9" fillId="7" borderId="83" xfId="2" applyNumberFormat="1" applyFont="1" applyFill="1" applyBorder="1" applyAlignment="1">
      <alignment horizontal="center" vertical="center" wrapText="1"/>
    </xf>
    <xf numFmtId="196" fontId="59" fillId="7" borderId="6" xfId="2" applyNumberFormat="1" applyFont="1" applyFill="1" applyBorder="1" applyAlignment="1">
      <alignment horizontal="center" vertical="center" wrapText="1"/>
    </xf>
    <xf numFmtId="0" fontId="59" fillId="7" borderId="74" xfId="0" applyFont="1" applyFill="1" applyBorder="1" applyAlignment="1">
      <alignment horizontal="center" vertical="center" wrapText="1"/>
    </xf>
    <xf numFmtId="193" fontId="59" fillId="7" borderId="74" xfId="0" applyNumberFormat="1" applyFont="1" applyFill="1" applyBorder="1" applyAlignment="1">
      <alignment horizontal="center" vertical="center" wrapText="1"/>
    </xf>
    <xf numFmtId="0" fontId="60" fillId="0" borderId="292" xfId="0" applyFont="1" applyBorder="1" applyAlignment="1">
      <alignment horizontal="center" vertical="center" wrapText="1"/>
    </xf>
    <xf numFmtId="194" fontId="60" fillId="0" borderId="244" xfId="2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194" fontId="60" fillId="0" borderId="291" xfId="2" applyNumberFormat="1" applyFont="1" applyFill="1" applyBorder="1" applyAlignment="1">
      <alignment horizontal="center" vertical="center"/>
    </xf>
    <xf numFmtId="195" fontId="60" fillId="0" borderId="182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194" fontId="60" fillId="12" borderId="69" xfId="2" applyNumberFormat="1" applyFont="1" applyFill="1" applyBorder="1" applyAlignment="1">
      <alignment horizontal="center" vertical="center" wrapText="1"/>
    </xf>
    <xf numFmtId="193" fontId="60" fillId="12" borderId="81" xfId="0" applyNumberFormat="1" applyFont="1" applyFill="1" applyBorder="1" applyAlignment="1">
      <alignment horizontal="center" vertical="center" wrapText="1"/>
    </xf>
    <xf numFmtId="0" fontId="59" fillId="7" borderId="69" xfId="0" applyFont="1" applyFill="1" applyBorder="1" applyAlignment="1">
      <alignment horizontal="center" vertical="center" wrapText="1"/>
    </xf>
    <xf numFmtId="0" fontId="60" fillId="6" borderId="81" xfId="0" applyFont="1" applyFill="1" applyBorder="1" applyAlignment="1">
      <alignment horizontal="center" vertical="center" wrapText="1"/>
    </xf>
    <xf numFmtId="194" fontId="59" fillId="7" borderId="69" xfId="2" applyNumberFormat="1" applyFont="1" applyFill="1" applyBorder="1" applyAlignment="1">
      <alignment horizontal="center" vertical="center" wrapText="1"/>
    </xf>
    <xf numFmtId="194" fontId="60" fillId="6" borderId="83" xfId="2" applyNumberFormat="1" applyFont="1" applyFill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0" fontId="60" fillId="12" borderId="70" xfId="0" applyFont="1" applyFill="1" applyBorder="1" applyAlignment="1">
      <alignment horizontal="center" vertical="center" wrapText="1"/>
    </xf>
    <xf numFmtId="0" fontId="60" fillId="0" borderId="336" xfId="0" applyFont="1" applyBorder="1" applyAlignment="1">
      <alignment horizontal="center" vertical="center" wrapText="1"/>
    </xf>
    <xf numFmtId="194" fontId="60" fillId="12" borderId="70" xfId="2" applyNumberFormat="1" applyFont="1" applyFill="1" applyBorder="1" applyAlignment="1">
      <alignment horizontal="center" vertical="center" wrapText="1"/>
    </xf>
    <xf numFmtId="193" fontId="60" fillId="12" borderId="74" xfId="0" applyNumberFormat="1" applyFont="1" applyFill="1" applyBorder="1" applyAlignment="1">
      <alignment horizontal="center" vertical="center" wrapText="1"/>
    </xf>
    <xf numFmtId="194" fontId="60" fillId="0" borderId="337" xfId="2" applyNumberFormat="1" applyFont="1" applyFill="1" applyBorder="1" applyAlignment="1">
      <alignment horizontal="center" vertical="center" wrapText="1"/>
    </xf>
    <xf numFmtId="195" fontId="60" fillId="0" borderId="212" xfId="2" applyNumberFormat="1" applyFont="1" applyFill="1" applyBorder="1" applyAlignment="1">
      <alignment horizontal="center" vertical="center" wrapText="1"/>
    </xf>
    <xf numFmtId="193" fontId="60" fillId="0" borderId="336" xfId="0" applyNumberFormat="1" applyFont="1" applyBorder="1" applyAlignment="1">
      <alignment horizontal="center" vertical="center" wrapText="1"/>
    </xf>
    <xf numFmtId="0" fontId="60" fillId="12" borderId="78" xfId="0" applyFont="1" applyFill="1" applyBorder="1" applyAlignment="1">
      <alignment horizontal="center" vertical="center" wrapText="1"/>
    </xf>
    <xf numFmtId="194" fontId="60" fillId="12" borderId="80" xfId="2" applyNumberFormat="1" applyFont="1" applyFill="1" applyBorder="1" applyAlignment="1">
      <alignment horizontal="center" vertical="center" wrapText="1"/>
    </xf>
    <xf numFmtId="195" fontId="60" fillId="12" borderId="77" xfId="2" applyNumberFormat="1" applyFont="1" applyFill="1" applyBorder="1" applyAlignment="1">
      <alignment horizontal="center" vertical="center" wrapText="1"/>
    </xf>
    <xf numFmtId="193" fontId="60" fillId="12" borderId="78" xfId="0" applyNumberFormat="1" applyFont="1" applyFill="1" applyBorder="1" applyAlignment="1">
      <alignment horizontal="center" vertical="center" wrapText="1"/>
    </xf>
    <xf numFmtId="0" fontId="60" fillId="0" borderId="338" xfId="0" applyFont="1" applyBorder="1" applyAlignment="1">
      <alignment horizontal="center" vertical="center" wrapText="1"/>
    </xf>
    <xf numFmtId="194" fontId="60" fillId="0" borderId="338" xfId="2" applyNumberFormat="1" applyFont="1" applyFill="1" applyBorder="1" applyAlignment="1">
      <alignment horizontal="center" vertical="center" wrapText="1"/>
    </xf>
    <xf numFmtId="193" fontId="60" fillId="0" borderId="339" xfId="0" applyNumberFormat="1" applyFont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194" fontId="60" fillId="12" borderId="83" xfId="2" applyNumberFormat="1" applyFont="1" applyFill="1" applyBorder="1" applyAlignment="1">
      <alignment horizontal="center" vertical="center" wrapText="1"/>
    </xf>
    <xf numFmtId="195" fontId="60" fillId="12" borderId="6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4" fontId="60" fillId="12" borderId="17" xfId="2" applyNumberFormat="1" applyFont="1" applyFill="1" applyBorder="1" applyAlignment="1">
      <alignment vertical="center" wrapText="1"/>
    </xf>
    <xf numFmtId="0" fontId="60" fillId="12" borderId="30" xfId="0" applyFont="1" applyFill="1" applyBorder="1" applyAlignment="1">
      <alignment vertical="center" wrapText="1"/>
    </xf>
    <xf numFmtId="193" fontId="60" fillId="12" borderId="16" xfId="0" applyNumberFormat="1" applyFont="1" applyFill="1" applyBorder="1" applyAlignment="1">
      <alignment vertical="center" wrapText="1"/>
    </xf>
    <xf numFmtId="194" fontId="60" fillId="12" borderId="30" xfId="2" applyNumberFormat="1" applyFont="1" applyFill="1" applyBorder="1" applyAlignment="1">
      <alignment vertical="center" wrapText="1"/>
    </xf>
    <xf numFmtId="195" fontId="60" fillId="12" borderId="30" xfId="2" applyNumberFormat="1" applyFont="1" applyFill="1" applyBorder="1" applyAlignment="1">
      <alignment vertical="center" wrapText="1"/>
    </xf>
    <xf numFmtId="0" fontId="60" fillId="0" borderId="340" xfId="0" applyFont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60" fillId="0" borderId="340" xfId="2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60" fillId="6" borderId="341" xfId="0" applyFont="1" applyFill="1" applyBorder="1" applyAlignment="1">
      <alignment horizontal="center" vertical="center" wrapText="1"/>
    </xf>
    <xf numFmtId="0" fontId="59" fillId="7" borderId="342" xfId="0" applyFont="1" applyFill="1" applyBorder="1" applyAlignment="1">
      <alignment horizontal="center" vertical="center" wrapText="1"/>
    </xf>
    <xf numFmtId="194" fontId="60" fillId="6" borderId="341" xfId="2" applyNumberFormat="1" applyFont="1" applyFill="1" applyBorder="1" applyAlignment="1">
      <alignment horizontal="center" vertical="center" wrapText="1"/>
    </xf>
    <xf numFmtId="193" fontId="60" fillId="6" borderId="342" xfId="0" applyNumberFormat="1" applyFont="1" applyFill="1" applyBorder="1" applyAlignment="1">
      <alignment horizontal="center" vertical="center" wrapText="1"/>
    </xf>
    <xf numFmtId="194" fontId="59" fillId="7" borderId="151" xfId="2" applyNumberFormat="1" applyFont="1" applyFill="1" applyBorder="1" applyAlignment="1">
      <alignment horizontal="center" vertical="center" wrapText="1"/>
    </xf>
    <xf numFmtId="193" fontId="59" fillId="7" borderId="342" xfId="0" applyNumberFormat="1" applyFont="1" applyFill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/>
    </xf>
    <xf numFmtId="0" fontId="62" fillId="0" borderId="292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/>
    </xf>
    <xf numFmtId="193" fontId="62" fillId="0" borderId="292" xfId="0" applyNumberFormat="1" applyFont="1" applyBorder="1" applyAlignment="1">
      <alignment horizontal="center" vertical="center"/>
    </xf>
    <xf numFmtId="194" fontId="62" fillId="0" borderId="244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194" fontId="59" fillId="7" borderId="73" xfId="2" applyNumberFormat="1" applyFont="1" applyFill="1" applyBorder="1" applyAlignment="1">
      <alignment horizontal="center" vertical="center" wrapText="1"/>
    </xf>
    <xf numFmtId="196" fontId="60" fillId="6" borderId="97" xfId="2" applyNumberFormat="1" applyFont="1" applyFill="1" applyBorder="1" applyAlignment="1">
      <alignment horizontal="center" vertical="center" wrapText="1"/>
    </xf>
    <xf numFmtId="0" fontId="60" fillId="0" borderId="283" xfId="0" applyFont="1" applyBorder="1" applyAlignment="1">
      <alignment horizontal="center" vertical="center" wrapText="1"/>
    </xf>
    <xf numFmtId="0" fontId="59" fillId="0" borderId="284" xfId="0" applyFont="1" applyBorder="1" applyAlignment="1">
      <alignment horizontal="center" vertical="center" wrapText="1"/>
    </xf>
    <xf numFmtId="194" fontId="60" fillId="0" borderId="84" xfId="2" applyNumberFormat="1" applyFont="1" applyFill="1" applyBorder="1" applyAlignment="1">
      <alignment horizontal="center" vertical="center" wrapText="1"/>
    </xf>
    <xf numFmtId="195" fontId="60" fillId="0" borderId="86" xfId="2" applyNumberFormat="1" applyFont="1" applyFill="1" applyBorder="1" applyAlignment="1">
      <alignment horizontal="center" vertical="center" wrapText="1"/>
    </xf>
    <xf numFmtId="193" fontId="60" fillId="0" borderId="87" xfId="0" applyNumberFormat="1" applyFont="1" applyBorder="1" applyAlignment="1">
      <alignment horizontal="center" vertical="center" wrapText="1"/>
    </xf>
    <xf numFmtId="194" fontId="59" fillId="0" borderId="89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0" fontId="60" fillId="0" borderId="341" xfId="0" applyFont="1" applyBorder="1" applyAlignment="1">
      <alignment horizontal="center" vertical="center" wrapText="1"/>
    </xf>
    <xf numFmtId="0" fontId="59" fillId="0" borderId="342" xfId="0" applyFont="1" applyBorder="1" applyAlignment="1">
      <alignment horizontal="center" vertical="center" wrapText="1"/>
    </xf>
    <xf numFmtId="194" fontId="60" fillId="0" borderId="76" xfId="2" applyNumberFormat="1" applyFont="1" applyFill="1" applyBorder="1" applyAlignment="1">
      <alignment horizontal="center" vertical="center" wrapText="1"/>
    </xf>
    <xf numFmtId="195" fontId="60" fillId="0" borderId="77" xfId="2" applyNumberFormat="1" applyFont="1" applyFill="1" applyBorder="1" applyAlignment="1">
      <alignment horizontal="center" vertical="center" wrapText="1"/>
    </xf>
    <xf numFmtId="193" fontId="60" fillId="0" borderId="78" xfId="0" applyNumberFormat="1" applyFont="1" applyBorder="1" applyAlignment="1">
      <alignment horizontal="center" vertical="center" wrapText="1"/>
    </xf>
    <xf numFmtId="194" fontId="59" fillId="0" borderId="80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0" fillId="6" borderId="291" xfId="0" applyFont="1" applyFill="1" applyBorder="1" applyAlignment="1">
      <alignment horizontal="center" vertical="center" wrapText="1"/>
    </xf>
    <xf numFmtId="0" fontId="59" fillId="7" borderId="292" xfId="0" applyFont="1" applyFill="1" applyBorder="1" applyAlignment="1">
      <alignment horizontal="center" vertical="center" wrapText="1"/>
    </xf>
    <xf numFmtId="194" fontId="60" fillId="6" borderId="291" xfId="2" applyNumberFormat="1" applyFont="1" applyFill="1" applyBorder="1" applyAlignment="1">
      <alignment horizontal="center" vertical="center" wrapText="1"/>
    </xf>
    <xf numFmtId="193" fontId="60" fillId="6" borderId="292" xfId="0" applyNumberFormat="1" applyFont="1" applyFill="1" applyBorder="1" applyAlignment="1">
      <alignment horizontal="center" vertical="center" wrapText="1"/>
    </xf>
    <xf numFmtId="194" fontId="59" fillId="7" borderId="244" xfId="2" applyNumberFormat="1" applyFont="1" applyFill="1" applyBorder="1" applyAlignment="1">
      <alignment horizontal="center" vertical="center" wrapText="1"/>
    </xf>
    <xf numFmtId="193" fontId="59" fillId="7" borderId="292" xfId="0" applyNumberFormat="1" applyFont="1" applyFill="1" applyBorder="1" applyAlignment="1">
      <alignment horizontal="center" vertical="center" wrapText="1"/>
    </xf>
    <xf numFmtId="196" fontId="60" fillId="6" borderId="182" xfId="2" applyNumberFormat="1" applyFont="1" applyFill="1" applyBorder="1" applyAlignment="1">
      <alignment horizontal="center" vertical="center" wrapText="1"/>
    </xf>
    <xf numFmtId="196" fontId="59" fillId="7" borderId="182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5" fontId="60" fillId="0" borderId="197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196" fontId="59" fillId="7" borderId="71" xfId="2" applyNumberFormat="1" applyFont="1" applyFill="1" applyBorder="1" applyAlignment="1">
      <alignment horizontal="center" vertical="center" wrapText="1"/>
    </xf>
    <xf numFmtId="0" fontId="59" fillId="0" borderId="334" xfId="0" applyFont="1" applyBorder="1" applyAlignment="1">
      <alignment horizontal="center" vertical="center" wrapText="1"/>
    </xf>
    <xf numFmtId="194" fontId="59" fillId="0" borderId="335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60" fillId="0" borderId="280" xfId="0" applyFont="1" applyBorder="1" applyAlignment="1">
      <alignment horizontal="center" vertical="center" wrapText="1"/>
    </xf>
    <xf numFmtId="194" fontId="60" fillId="0" borderId="272" xfId="2" applyNumberFormat="1" applyFont="1" applyFill="1" applyBorder="1" applyAlignment="1">
      <alignment horizontal="center" vertical="center" wrapText="1"/>
    </xf>
    <xf numFmtId="195" fontId="60" fillId="0" borderId="103" xfId="2" applyNumberFormat="1" applyFont="1" applyFill="1" applyBorder="1" applyAlignment="1">
      <alignment horizontal="center" vertical="center" wrapText="1"/>
    </xf>
    <xf numFmtId="193" fontId="60" fillId="0" borderId="280" xfId="0" applyNumberFormat="1" applyFont="1" applyBorder="1" applyAlignment="1">
      <alignment horizontal="center" vertical="center" wrapText="1"/>
    </xf>
    <xf numFmtId="0" fontId="58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0" fontId="60" fillId="0" borderId="339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4" fontId="60" fillId="0" borderId="343" xfId="2" applyNumberFormat="1" applyFont="1" applyFill="1" applyBorder="1" applyAlignment="1">
      <alignment horizontal="center" vertical="center" wrapText="1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194" fontId="60" fillId="12" borderId="344" xfId="2" applyNumberFormat="1" applyFont="1" applyFill="1" applyBorder="1" applyAlignment="1">
      <alignment vertical="center" wrapText="1"/>
    </xf>
    <xf numFmtId="195" fontId="60" fillId="12" borderId="346" xfId="2" applyNumberFormat="1" applyFont="1" applyFill="1" applyBorder="1" applyAlignment="1">
      <alignment vertical="center" wrapText="1"/>
    </xf>
    <xf numFmtId="0" fontId="60" fillId="12" borderId="346" xfId="0" applyFont="1" applyFill="1" applyBorder="1" applyAlignment="1">
      <alignment vertical="center" wrapText="1"/>
    </xf>
    <xf numFmtId="193" fontId="60" fillId="12" borderId="345" xfId="0" applyNumberFormat="1" applyFont="1" applyFill="1" applyBorder="1" applyAlignment="1">
      <alignment vertical="center" wrapText="1"/>
    </xf>
    <xf numFmtId="194" fontId="60" fillId="12" borderId="346" xfId="2" applyNumberFormat="1" applyFont="1" applyFill="1" applyBorder="1" applyAlignment="1">
      <alignment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0" fontId="58" fillId="0" borderId="347" xfId="0" applyFont="1" applyBorder="1" applyAlignment="1">
      <alignment horizontal="center" vertical="center" wrapText="1"/>
    </xf>
    <xf numFmtId="0" fontId="58" fillId="0" borderId="348" xfId="0" applyFont="1" applyBorder="1" applyAlignment="1">
      <alignment horizontal="center" vertical="center" wrapText="1"/>
    </xf>
    <xf numFmtId="194" fontId="58" fillId="0" borderId="347" xfId="2" applyNumberFormat="1" applyFont="1" applyFill="1" applyBorder="1" applyAlignment="1">
      <alignment horizontal="center" vertical="center" wrapText="1"/>
    </xf>
    <xf numFmtId="195" fontId="58" fillId="0" borderId="183" xfId="2" applyNumberFormat="1" applyFont="1" applyFill="1" applyBorder="1" applyAlignment="1">
      <alignment horizontal="center" vertical="center" wrapText="1"/>
    </xf>
    <xf numFmtId="193" fontId="58" fillId="0" borderId="348" xfId="0" applyNumberFormat="1" applyFont="1" applyBorder="1" applyAlignment="1">
      <alignment horizontal="center" vertical="center" wrapText="1"/>
    </xf>
    <xf numFmtId="194" fontId="58" fillId="0" borderId="349" xfId="2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0" fontId="60" fillId="0" borderId="70" xfId="0" applyFont="1" applyBorder="1" applyAlignment="1">
      <alignment horizontal="center" vertical="center" wrapText="1"/>
    </xf>
    <xf numFmtId="0" fontId="59" fillId="0" borderId="74" xfId="0" applyFont="1" applyBorder="1" applyAlignment="1">
      <alignment horizontal="center" vertical="center" wrapText="1"/>
    </xf>
    <xf numFmtId="194" fontId="60" fillId="0" borderId="70" xfId="2" applyNumberFormat="1" applyFont="1" applyFill="1" applyBorder="1" applyAlignment="1">
      <alignment horizontal="center" vertical="center" wrapText="1"/>
    </xf>
    <xf numFmtId="195" fontId="60" fillId="0" borderId="71" xfId="2" applyNumberFormat="1" applyFont="1" applyFill="1" applyBorder="1" applyAlignment="1">
      <alignment horizontal="center" vertical="center" wrapText="1"/>
    </xf>
    <xf numFmtId="193" fontId="60" fillId="0" borderId="74" xfId="0" applyNumberFormat="1" applyFont="1" applyBorder="1" applyAlignment="1">
      <alignment horizontal="center" vertical="center" wrapText="1"/>
    </xf>
    <xf numFmtId="194" fontId="59" fillId="0" borderId="73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0" fontId="60" fillId="0" borderId="76" xfId="0" applyFont="1" applyBorder="1" applyAlignment="1">
      <alignment horizontal="center" vertical="center" wrapText="1"/>
    </xf>
    <xf numFmtId="194" fontId="59" fillId="0" borderId="151" xfId="2" applyNumberFormat="1" applyFont="1" applyFill="1" applyBorder="1" applyAlignment="1">
      <alignment horizontal="center" vertical="center" wrapText="1"/>
    </xf>
    <xf numFmtId="194" fontId="60" fillId="0" borderId="341" xfId="2" applyNumberFormat="1" applyFont="1" applyFill="1" applyBorder="1" applyAlignment="1">
      <alignment horizontal="center" vertical="center" wrapText="1"/>
    </xf>
    <xf numFmtId="195" fontId="60" fillId="0" borderId="97" xfId="2" applyNumberFormat="1" applyFont="1" applyFill="1" applyBorder="1" applyAlignment="1">
      <alignment horizontal="center" vertical="center" wrapText="1"/>
    </xf>
    <xf numFmtId="193" fontId="60" fillId="0" borderId="342" xfId="0" applyNumberFormat="1" applyFont="1" applyBorder="1" applyAlignment="1">
      <alignment horizontal="center" vertical="center" wrapText="1"/>
    </xf>
    <xf numFmtId="0" fontId="64" fillId="0" borderId="291" xfId="0" applyFont="1" applyBorder="1" applyAlignment="1">
      <alignment horizontal="center" vertical="center" wrapText="1"/>
    </xf>
    <xf numFmtId="0" fontId="62" fillId="0" borderId="81" xfId="0" applyFont="1" applyBorder="1" applyAlignment="1">
      <alignment horizontal="center" vertical="center" wrapText="1"/>
    </xf>
    <xf numFmtId="194" fontId="64" fillId="0" borderId="291" xfId="2" applyNumberFormat="1" applyFont="1" applyFill="1" applyBorder="1" applyAlignment="1">
      <alignment horizontal="center" vertical="center" wrapText="1"/>
    </xf>
    <xf numFmtId="195" fontId="64" fillId="0" borderId="182" xfId="2" applyNumberFormat="1" applyFont="1" applyFill="1" applyBorder="1" applyAlignment="1">
      <alignment horizontal="center" vertical="center" wrapText="1"/>
    </xf>
    <xf numFmtId="193" fontId="64" fillId="0" borderId="292" xfId="0" applyNumberFormat="1" applyFont="1" applyBorder="1" applyAlignment="1">
      <alignment horizontal="center" vertical="center" wrapText="1"/>
    </xf>
    <xf numFmtId="194" fontId="62" fillId="0" borderId="83" xfId="2" applyNumberFormat="1" applyFont="1" applyFill="1" applyBorder="1" applyAlignment="1">
      <alignment horizontal="center" vertical="center" wrapText="1"/>
    </xf>
    <xf numFmtId="195" fontId="62" fillId="0" borderId="6" xfId="2" applyNumberFormat="1" applyFont="1" applyFill="1" applyBorder="1" applyAlignment="1">
      <alignment horizontal="center" vertical="center" wrapText="1"/>
    </xf>
    <xf numFmtId="193" fontId="62" fillId="0" borderId="81" xfId="0" applyNumberFormat="1" applyFont="1" applyBorder="1" applyAlignment="1">
      <alignment horizontal="center" vertical="center" wrapText="1"/>
    </xf>
    <xf numFmtId="0" fontId="60" fillId="0" borderId="350" xfId="0" applyFont="1" applyBorder="1" applyAlignment="1">
      <alignment horizontal="center" vertical="center" wrapText="1"/>
    </xf>
    <xf numFmtId="0" fontId="59" fillId="0" borderId="87" xfId="0" applyFont="1" applyBorder="1" applyAlignment="1">
      <alignment horizontal="center" vertical="center" wrapText="1"/>
    </xf>
    <xf numFmtId="194" fontId="60" fillId="0" borderId="350" xfId="2" applyNumberFormat="1" applyFont="1" applyFill="1" applyBorder="1" applyAlignment="1">
      <alignment horizontal="center" vertical="center" wrapText="1"/>
    </xf>
    <xf numFmtId="195" fontId="60" fillId="0" borderId="297" xfId="2" applyNumberFormat="1" applyFont="1" applyFill="1" applyBorder="1" applyAlignment="1">
      <alignment horizontal="center" vertical="center" wrapText="1"/>
    </xf>
    <xf numFmtId="0" fontId="60" fillId="0" borderId="297" xfId="0" applyFont="1" applyBorder="1" applyAlignment="1">
      <alignment horizontal="center" vertical="center" wrapText="1"/>
    </xf>
    <xf numFmtId="193" fontId="60" fillId="0" borderId="295" xfId="0" applyNumberFormat="1" applyFont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6" fillId="23" borderId="40" xfId="0" applyFont="1" applyFill="1" applyBorder="1" applyAlignment="1">
      <alignment horizontal="center" vertical="center"/>
    </xf>
    <xf numFmtId="0" fontId="16" fillId="23" borderId="17" xfId="0" applyFont="1" applyFill="1" applyBorder="1" applyAlignment="1">
      <alignment horizontal="center" vertical="center"/>
    </xf>
    <xf numFmtId="0" fontId="80" fillId="23" borderId="15" xfId="0" applyFont="1" applyFill="1" applyBorder="1" applyAlignment="1">
      <alignment horizontal="center" vertical="center"/>
    </xf>
    <xf numFmtId="0" fontId="48" fillId="0" borderId="81" xfId="0" applyFont="1" applyBorder="1" applyAlignment="1">
      <alignment horizontal="center" vertical="center" wrapText="1"/>
    </xf>
    <xf numFmtId="181" fontId="27" fillId="0" borderId="16" xfId="0" applyNumberFormat="1" applyFont="1" applyBorder="1" applyAlignment="1">
      <alignment horizontal="center" vertical="center" wrapText="1"/>
    </xf>
    <xf numFmtId="0" fontId="16" fillId="0" borderId="182" xfId="0" applyFont="1" applyBorder="1" applyAlignment="1">
      <alignment horizontal="center" vertical="center"/>
    </xf>
    <xf numFmtId="195" fontId="48" fillId="0" borderId="135" xfId="2" applyNumberFormat="1" applyFont="1" applyBorder="1" applyAlignment="1">
      <alignment horizontal="center" vertical="center"/>
    </xf>
    <xf numFmtId="0" fontId="15" fillId="0" borderId="0" xfId="0" applyFont="1">
      <alignment vertical="center"/>
    </xf>
    <xf numFmtId="0" fontId="26" fillId="0" borderId="191" xfId="0" applyFont="1" applyBorder="1" applyAlignment="1">
      <alignment horizontal="center" vertical="center"/>
    </xf>
    <xf numFmtId="0" fontId="26" fillId="0" borderId="182" xfId="0" applyFont="1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27" fillId="23" borderId="286" xfId="0" applyFont="1" applyFill="1" applyBorder="1" applyAlignment="1">
      <alignment horizontal="center" vertical="center"/>
    </xf>
    <xf numFmtId="194" fontId="27" fillId="0" borderId="287" xfId="2" applyNumberFormat="1" applyFont="1" applyBorder="1" applyAlignment="1">
      <alignment horizontal="center" vertical="center"/>
    </xf>
    <xf numFmtId="195" fontId="27" fillId="0" borderId="191" xfId="2" applyNumberFormat="1" applyFont="1" applyBorder="1" applyAlignment="1">
      <alignment horizontal="center" vertical="center"/>
    </xf>
    <xf numFmtId="193" fontId="27" fillId="0" borderId="286" xfId="0" applyNumberFormat="1" applyFont="1" applyBorder="1" applyAlignment="1">
      <alignment horizontal="center" vertical="center"/>
    </xf>
    <xf numFmtId="0" fontId="27" fillId="23" borderId="81" xfId="0" applyFont="1" applyFill="1" applyBorder="1" applyAlignment="1">
      <alignment horizontal="center" vertical="center"/>
    </xf>
    <xf numFmtId="194" fontId="27" fillId="4" borderId="83" xfId="2" applyNumberFormat="1" applyFont="1" applyFill="1" applyBorder="1" applyAlignment="1">
      <alignment horizontal="center" vertical="center"/>
    </xf>
    <xf numFmtId="0" fontId="27" fillId="23" borderId="292" xfId="0" applyFont="1" applyFill="1" applyBorder="1" applyAlignment="1">
      <alignment horizontal="center" vertical="center"/>
    </xf>
    <xf numFmtId="194" fontId="27" fillId="0" borderId="244" xfId="2" applyNumberFormat="1" applyFont="1" applyBorder="1" applyAlignment="1">
      <alignment horizontal="center" vertical="center"/>
    </xf>
    <xf numFmtId="194" fontId="27" fillId="0" borderId="83" xfId="2" applyNumberFormat="1" applyFont="1" applyBorder="1" applyAlignment="1">
      <alignment horizontal="center" vertical="center"/>
    </xf>
    <xf numFmtId="0" fontId="27" fillId="23" borderId="276" xfId="0" applyFont="1" applyFill="1" applyBorder="1" applyAlignment="1">
      <alignment horizontal="center" vertical="center"/>
    </xf>
    <xf numFmtId="194" fontId="27" fillId="0" borderId="195" xfId="2" applyNumberFormat="1" applyFont="1" applyBorder="1" applyAlignment="1">
      <alignment horizontal="center" vertical="center"/>
    </xf>
    <xf numFmtId="194" fontId="48" fillId="4" borderId="277" xfId="2" applyNumberFormat="1" applyFont="1" applyFill="1" applyBorder="1" applyAlignment="1">
      <alignment horizontal="center" vertical="center"/>
    </xf>
    <xf numFmtId="194" fontId="48" fillId="0" borderId="291" xfId="2" applyNumberFormat="1" applyFont="1" applyBorder="1" applyAlignment="1">
      <alignment horizontal="center" vertical="center"/>
    </xf>
    <xf numFmtId="194" fontId="48" fillId="4" borderId="69" xfId="2" applyNumberFormat="1" applyFont="1" applyFill="1" applyBorder="1" applyAlignment="1">
      <alignment horizontal="center" vertical="center"/>
    </xf>
    <xf numFmtId="194" fontId="48" fillId="0" borderId="69" xfId="2" applyNumberFormat="1" applyFont="1" applyBorder="1" applyAlignment="1">
      <alignment horizontal="center" vertical="center"/>
    </xf>
    <xf numFmtId="194" fontId="48" fillId="0" borderId="275" xfId="2" applyNumberFormat="1" applyFont="1" applyBorder="1" applyAlignment="1">
      <alignment horizontal="center" vertical="center"/>
    </xf>
    <xf numFmtId="0" fontId="48" fillId="23" borderId="277" xfId="0" applyFont="1" applyFill="1" applyBorder="1" applyAlignment="1">
      <alignment horizontal="center" vertical="center"/>
    </xf>
    <xf numFmtId="0" fontId="48" fillId="23" borderId="291" xfId="0" applyFont="1" applyFill="1" applyBorder="1" applyAlignment="1">
      <alignment horizontal="center" vertical="center"/>
    </xf>
    <xf numFmtId="0" fontId="48" fillId="23" borderId="69" xfId="0" applyFont="1" applyFill="1" applyBorder="1" applyAlignment="1">
      <alignment horizontal="center" vertical="center"/>
    </xf>
    <xf numFmtId="0" fontId="48" fillId="23" borderId="275" xfId="0" applyFont="1" applyFill="1" applyBorder="1" applyAlignment="1">
      <alignment horizontal="center" vertical="center"/>
    </xf>
    <xf numFmtId="0" fontId="43" fillId="23" borderId="275" xfId="0" applyFont="1" applyFill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76" fontId="26" fillId="6" borderId="136" xfId="2" applyNumberFormat="1" applyFont="1" applyFill="1" applyBorder="1" applyAlignment="1">
      <alignment horizontal="center" vertical="center"/>
    </xf>
    <xf numFmtId="0" fontId="48" fillId="0" borderId="0" xfId="0" applyFont="1">
      <alignment vertical="center"/>
    </xf>
    <xf numFmtId="176" fontId="48" fillId="0" borderId="0" xfId="2" applyNumberFormat="1" applyFont="1">
      <alignment vertical="center"/>
    </xf>
    <xf numFmtId="176" fontId="45" fillId="0" borderId="135" xfId="2" applyNumberFormat="1" applyFont="1" applyBorder="1">
      <alignment vertical="center"/>
    </xf>
    <xf numFmtId="0" fontId="27" fillId="0" borderId="0" xfId="0" applyFont="1">
      <alignment vertical="center"/>
    </xf>
    <xf numFmtId="176" fontId="27" fillId="0" borderId="0" xfId="2" applyNumberFormat="1" applyFont="1">
      <alignment vertical="center"/>
    </xf>
    <xf numFmtId="176" fontId="32" fillId="0" borderId="191" xfId="2" applyNumberFormat="1" applyFont="1" applyBorder="1">
      <alignment vertical="center"/>
    </xf>
    <xf numFmtId="176" fontId="32" fillId="0" borderId="182" xfId="2" applyNumberFormat="1" applyFont="1" applyBorder="1">
      <alignment vertical="center"/>
    </xf>
    <xf numFmtId="176" fontId="32" fillId="0" borderId="136" xfId="2" applyNumberFormat="1" applyFont="1" applyFill="1" applyBorder="1">
      <alignment vertical="center"/>
    </xf>
    <xf numFmtId="0" fontId="60" fillId="0" borderId="178" xfId="0" applyFont="1" applyBorder="1" applyAlignment="1">
      <alignment horizontal="left" vertical="center"/>
    </xf>
    <xf numFmtId="0" fontId="58" fillId="0" borderId="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181" fontId="43" fillId="0" borderId="6" xfId="0" applyNumberFormat="1" applyFont="1" applyBorder="1" applyAlignment="1">
      <alignment horizontal="center" vertical="center"/>
    </xf>
    <xf numFmtId="181" fontId="18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8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3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5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6" fillId="6" borderId="86" xfId="0" applyNumberFormat="1" applyFont="1" applyFill="1" applyBorder="1">
      <alignment vertical="center"/>
    </xf>
    <xf numFmtId="0" fontId="59" fillId="0" borderId="16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60" fillId="0" borderId="83" xfId="0" applyFont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 wrapText="1"/>
    </xf>
    <xf numFmtId="0" fontId="59" fillId="0" borderId="80" xfId="0" applyFont="1" applyBorder="1" applyAlignment="1">
      <alignment horizontal="center" vertical="center" wrapText="1"/>
    </xf>
    <xf numFmtId="0" fontId="60" fillId="0" borderId="77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0" borderId="75" xfId="2" applyNumberFormat="1" applyFont="1" applyFill="1" applyBorder="1" applyAlignment="1" applyProtection="1">
      <alignment horizontal="center" vertical="center"/>
    </xf>
    <xf numFmtId="0" fontId="48" fillId="4" borderId="6" xfId="0" applyFont="1" applyFill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48" fillId="0" borderId="278" xfId="0" applyFont="1" applyBorder="1" applyAlignment="1">
      <alignment horizontal="center" vertical="center" wrapText="1"/>
    </xf>
    <xf numFmtId="193" fontId="48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6" fillId="23" borderId="285" xfId="0" applyFont="1" applyFill="1" applyBorder="1" applyAlignment="1">
      <alignment horizontal="center" vertical="center" wrapText="1"/>
    </xf>
    <xf numFmtId="0" fontId="43" fillId="23" borderId="286" xfId="0" applyFont="1" applyFill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3" fillId="23" borderId="81" xfId="0" applyFont="1" applyFill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 wrapText="1"/>
    </xf>
    <xf numFmtId="0" fontId="43" fillId="23" borderId="276" xfId="0" applyFont="1" applyFill="1" applyBorder="1" applyAlignment="1">
      <alignment horizontal="center" vertical="center" wrapText="1"/>
    </xf>
    <xf numFmtId="0" fontId="26" fillId="23" borderId="81" xfId="0" applyFont="1" applyFill="1" applyBorder="1" applyAlignment="1">
      <alignment horizontal="center" vertical="center" wrapText="1"/>
    </xf>
    <xf numFmtId="0" fontId="26" fillId="23" borderId="288" xfId="0" applyFont="1" applyFill="1" applyBorder="1" applyAlignment="1">
      <alignment horizontal="center" vertical="center" wrapText="1"/>
    </xf>
    <xf numFmtId="0" fontId="43" fillId="23" borderId="289" xfId="0" applyFont="1" applyFill="1" applyBorder="1" applyAlignment="1">
      <alignment horizontal="center" vertical="center" wrapText="1"/>
    </xf>
    <xf numFmtId="0" fontId="26" fillId="23" borderId="277" xfId="0" applyFont="1" applyFill="1" applyBorder="1" applyAlignment="1">
      <alignment horizontal="center" vertical="center" wrapText="1"/>
    </xf>
    <xf numFmtId="0" fontId="43" fillId="23" borderId="278" xfId="0" applyFont="1" applyFill="1" applyBorder="1" applyAlignment="1">
      <alignment horizontal="center" vertical="center" wrapText="1"/>
    </xf>
    <xf numFmtId="0" fontId="26" fillId="23" borderId="291" xfId="0" applyFont="1" applyFill="1" applyBorder="1" applyAlignment="1">
      <alignment horizontal="center" vertical="center" wrapText="1"/>
    </xf>
    <xf numFmtId="0" fontId="43" fillId="23" borderId="292" xfId="0" applyFont="1" applyFill="1" applyBorder="1" applyAlignment="1">
      <alignment horizontal="center" vertical="center" wrapText="1"/>
    </xf>
    <xf numFmtId="0" fontId="43" fillId="23" borderId="293" xfId="0" applyFont="1" applyFill="1" applyBorder="1" applyAlignment="1">
      <alignment horizontal="center" vertical="center" wrapText="1"/>
    </xf>
    <xf numFmtId="0" fontId="43" fillId="23" borderId="280" xfId="0" applyFont="1" applyFill="1" applyBorder="1" applyAlignment="1">
      <alignment horizontal="center" vertical="center" wrapText="1"/>
    </xf>
    <xf numFmtId="0" fontId="26" fillId="23" borderId="279" xfId="0" applyFont="1" applyFill="1" applyBorder="1" applyAlignment="1">
      <alignment horizontal="center" vertical="center" wrapText="1"/>
    </xf>
    <xf numFmtId="0" fontId="26" fillId="23" borderId="281" xfId="0" applyFont="1" applyFill="1" applyBorder="1" applyAlignment="1">
      <alignment horizontal="center" vertical="center" wrapText="1"/>
    </xf>
    <xf numFmtId="0" fontId="15" fillId="23" borderId="285" xfId="0" applyFont="1" applyFill="1" applyBorder="1" applyAlignment="1">
      <alignment horizontal="center" vertical="center" wrapText="1"/>
    </xf>
    <xf numFmtId="0" fontId="15" fillId="23" borderId="292" xfId="0" applyFont="1" applyFill="1" applyBorder="1" applyAlignment="1">
      <alignment horizontal="center" vertical="center" wrapText="1"/>
    </xf>
    <xf numFmtId="0" fontId="26" fillId="23" borderId="84" xfId="0" applyFont="1" applyFill="1" applyBorder="1" applyAlignment="1">
      <alignment horizontal="center" vertical="center" wrapText="1"/>
    </xf>
    <xf numFmtId="0" fontId="15" fillId="23" borderId="295" xfId="0" applyFont="1" applyFill="1" applyBorder="1" applyAlignment="1">
      <alignment horizontal="center" vertical="center" wrapText="1"/>
    </xf>
    <xf numFmtId="0" fontId="58" fillId="7" borderId="6" xfId="0" applyFont="1" applyFill="1" applyBorder="1" applyAlignment="1">
      <alignment horizontal="center" vertical="center"/>
    </xf>
    <xf numFmtId="0" fontId="58" fillId="7" borderId="71" xfId="0" applyFont="1" applyFill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/>
    </xf>
    <xf numFmtId="0" fontId="58" fillId="4" borderId="97" xfId="0" applyFont="1" applyFill="1" applyBorder="1" applyAlignment="1">
      <alignment horizontal="center" vertical="center"/>
    </xf>
    <xf numFmtId="0" fontId="58" fillId="4" borderId="80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vertical="center" wrapText="1"/>
    </xf>
    <xf numFmtId="0" fontId="60" fillId="0" borderId="101" xfId="0" applyFont="1" applyBorder="1" applyAlignment="1">
      <alignment horizontal="center" vertical="center"/>
    </xf>
    <xf numFmtId="0" fontId="58" fillId="7" borderId="97" xfId="0" applyFont="1" applyFill="1" applyBorder="1" applyAlignment="1">
      <alignment horizontal="center" vertical="center"/>
    </xf>
    <xf numFmtId="0" fontId="83" fillId="0" borderId="37" xfId="0" applyFont="1" applyBorder="1" applyAlignment="1">
      <alignment horizontal="center" vertical="center"/>
    </xf>
    <xf numFmtId="0" fontId="83" fillId="0" borderId="42" xfId="0" quotePrefix="1" applyFont="1" applyBorder="1" applyAlignment="1">
      <alignment horizontal="center" vertical="center"/>
    </xf>
    <xf numFmtId="0" fontId="83" fillId="5" borderId="38" xfId="0" quotePrefix="1" applyFont="1" applyFill="1" applyBorder="1" applyAlignment="1">
      <alignment horizontal="center" vertical="center"/>
    </xf>
    <xf numFmtId="0" fontId="83" fillId="5" borderId="49" xfId="0" quotePrefix="1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 vertical="center" wrapText="1"/>
    </xf>
    <xf numFmtId="0" fontId="43" fillId="7" borderId="192" xfId="0" applyFont="1" applyFill="1" applyBorder="1" applyAlignment="1">
      <alignment horizontal="center" vertical="center" wrapText="1"/>
    </xf>
    <xf numFmtId="0" fontId="43" fillId="7" borderId="193" xfId="0" applyFont="1" applyFill="1" applyBorder="1" applyAlignment="1">
      <alignment horizontal="center" vertical="center" wrapText="1"/>
    </xf>
    <xf numFmtId="0" fontId="43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5" fillId="0" borderId="247" xfId="0" applyFont="1" applyBorder="1" applyAlignment="1">
      <alignment horizontal="center" vertical="center" wrapText="1"/>
    </xf>
    <xf numFmtId="0" fontId="49" fillId="0" borderId="247" xfId="0" applyFont="1" applyBorder="1" applyAlignment="1">
      <alignment horizontal="center" vertical="center" wrapText="1"/>
    </xf>
    <xf numFmtId="193" fontId="75" fillId="0" borderId="315" xfId="0" applyNumberFormat="1" applyFont="1" applyBorder="1" applyAlignment="1">
      <alignment horizontal="center" vertical="center" wrapText="1"/>
    </xf>
    <xf numFmtId="193" fontId="49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5" fillId="0" borderId="353" xfId="0" applyFont="1" applyBorder="1" applyAlignment="1">
      <alignment horizontal="center" vertical="center" wrapText="1"/>
    </xf>
    <xf numFmtId="0" fontId="49" fillId="0" borderId="353" xfId="0" applyFont="1" applyBorder="1" applyAlignment="1">
      <alignment horizontal="center" vertical="center" wrapText="1"/>
    </xf>
    <xf numFmtId="194" fontId="75" fillId="0" borderId="354" xfId="2" applyNumberFormat="1" applyFont="1" applyBorder="1" applyAlignment="1">
      <alignment horizontal="center" vertical="center" wrapText="1"/>
    </xf>
    <xf numFmtId="195" fontId="75" fillId="0" borderId="353" xfId="2" applyNumberFormat="1" applyFont="1" applyBorder="1" applyAlignment="1">
      <alignment horizontal="center" vertical="center" wrapText="1"/>
    </xf>
    <xf numFmtId="193" fontId="75" fillId="0" borderId="355" xfId="0" applyNumberFormat="1" applyFont="1" applyBorder="1" applyAlignment="1">
      <alignment horizontal="center" vertical="center" wrapText="1"/>
    </xf>
    <xf numFmtId="194" fontId="49" fillId="0" borderId="356" xfId="2" applyNumberFormat="1" applyFont="1" applyBorder="1" applyAlignment="1">
      <alignment horizontal="center" vertical="center" wrapText="1"/>
    </xf>
    <xf numFmtId="195" fontId="49" fillId="0" borderId="353" xfId="2" applyNumberFormat="1" applyFont="1" applyBorder="1" applyAlignment="1">
      <alignment horizontal="center" vertical="center" wrapText="1"/>
    </xf>
    <xf numFmtId="193" fontId="49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5" fillId="0" borderId="246" xfId="0" applyFont="1" applyBorder="1" applyAlignment="1">
      <alignment horizontal="center" vertical="center" wrapText="1"/>
    </xf>
    <xf numFmtId="0" fontId="49" fillId="0" borderId="246" xfId="0" applyFont="1" applyBorder="1" applyAlignment="1">
      <alignment horizontal="center" vertical="center" wrapText="1"/>
    </xf>
    <xf numFmtId="193" fontId="75" fillId="0" borderId="312" xfId="0" applyNumberFormat="1" applyFont="1" applyBorder="1" applyAlignment="1">
      <alignment horizontal="center" vertical="center" wrapText="1"/>
    </xf>
    <xf numFmtId="193" fontId="49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5" fillId="0" borderId="248" xfId="0" applyFont="1" applyBorder="1" applyAlignment="1">
      <alignment horizontal="center" vertical="center" wrapText="1"/>
    </xf>
    <xf numFmtId="0" fontId="49" fillId="0" borderId="248" xfId="0" applyFont="1" applyBorder="1" applyAlignment="1">
      <alignment horizontal="center" vertical="center" wrapText="1"/>
    </xf>
    <xf numFmtId="194" fontId="75" fillId="0" borderId="357" xfId="2" applyNumberFormat="1" applyFont="1" applyBorder="1" applyAlignment="1">
      <alignment horizontal="center" vertical="center" wrapText="1"/>
    </xf>
    <xf numFmtId="195" fontId="75" fillId="0" borderId="248" xfId="2" applyNumberFormat="1" applyFont="1" applyBorder="1" applyAlignment="1">
      <alignment horizontal="center" vertical="center" wrapText="1"/>
    </xf>
    <xf numFmtId="193" fontId="75" fillId="0" borderId="358" xfId="0" applyNumberFormat="1" applyFont="1" applyBorder="1" applyAlignment="1">
      <alignment horizontal="center" vertical="center" wrapText="1"/>
    </xf>
    <xf numFmtId="194" fontId="49" fillId="0" borderId="359" xfId="2" applyNumberFormat="1" applyFont="1" applyBorder="1" applyAlignment="1">
      <alignment horizontal="center" vertical="center" wrapText="1"/>
    </xf>
    <xf numFmtId="195" fontId="49" fillId="0" borderId="248" xfId="2" applyNumberFormat="1" applyFont="1" applyBorder="1" applyAlignment="1">
      <alignment horizontal="center" vertical="center" wrapText="1"/>
    </xf>
    <xf numFmtId="193" fontId="49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5" fillId="0" borderId="245" xfId="0" applyFont="1" applyBorder="1" applyAlignment="1">
      <alignment horizontal="center" vertical="center" wrapText="1"/>
    </xf>
    <xf numFmtId="0" fontId="49" fillId="0" borderId="245" xfId="0" applyFont="1" applyBorder="1" applyAlignment="1">
      <alignment horizontal="center" vertical="center" wrapText="1"/>
    </xf>
    <xf numFmtId="193" fontId="75" fillId="0" borderId="307" xfId="0" applyNumberFormat="1" applyFont="1" applyBorder="1" applyAlignment="1">
      <alignment horizontal="center" vertical="center" wrapText="1"/>
    </xf>
    <xf numFmtId="193" fontId="49" fillId="0" borderId="307" xfId="0" applyNumberFormat="1" applyFont="1" applyBorder="1" applyAlignment="1">
      <alignment horizontal="center" vertical="center" wrapText="1"/>
    </xf>
    <xf numFmtId="0" fontId="75" fillId="23" borderId="76" xfId="0" applyFont="1" applyFill="1" applyBorder="1" applyAlignment="1">
      <alignment horizontal="center" vertical="center" wrapText="1"/>
    </xf>
    <xf numFmtId="0" fontId="49" fillId="23" borderId="78" xfId="0" applyFont="1" applyFill="1" applyBorder="1" applyAlignment="1">
      <alignment horizontal="center" vertical="center" wrapText="1"/>
    </xf>
    <xf numFmtId="194" fontId="75" fillId="0" borderId="76" xfId="2" applyNumberFormat="1" applyFont="1" applyBorder="1" applyAlignment="1">
      <alignment horizontal="center" vertical="center" wrapText="1"/>
    </xf>
    <xf numFmtId="195" fontId="75" fillId="0" borderId="77" xfId="2" applyNumberFormat="1" applyFont="1" applyBorder="1" applyAlignment="1">
      <alignment horizontal="center" vertical="center" wrapText="1"/>
    </xf>
    <xf numFmtId="193" fontId="75" fillId="0" borderId="78" xfId="0" applyNumberFormat="1" applyFont="1" applyBorder="1" applyAlignment="1">
      <alignment horizontal="center" vertical="center" wrapText="1"/>
    </xf>
    <xf numFmtId="194" fontId="49" fillId="0" borderId="80" xfId="2" applyNumberFormat="1" applyFont="1" applyBorder="1" applyAlignment="1">
      <alignment horizontal="center" vertical="center" wrapText="1"/>
    </xf>
    <xf numFmtId="195" fontId="49" fillId="0" borderId="77" xfId="2" applyNumberFormat="1" applyFont="1" applyBorder="1" applyAlignment="1">
      <alignment horizontal="center" vertical="center" wrapText="1"/>
    </xf>
    <xf numFmtId="193" fontId="49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5" fillId="0" borderId="71" xfId="0" applyNumberFormat="1" applyFont="1" applyBorder="1">
      <alignment vertical="center"/>
    </xf>
    <xf numFmtId="10" fontId="15" fillId="0" borderId="72" xfId="1" applyNumberFormat="1" applyFont="1" applyBorder="1">
      <alignment vertical="center"/>
    </xf>
    <xf numFmtId="179" fontId="15" fillId="0" borderId="115" xfId="0" applyNumberFormat="1" applyFont="1" applyBorder="1">
      <alignment vertical="center"/>
    </xf>
    <xf numFmtId="10" fontId="15" fillId="0" borderId="175" xfId="1" applyNumberFormat="1" applyFont="1" applyBorder="1">
      <alignment vertical="center"/>
    </xf>
    <xf numFmtId="0" fontId="27" fillId="0" borderId="277" xfId="0" applyFont="1" applyBorder="1" applyAlignment="1">
      <alignment horizontal="center" vertical="center"/>
    </xf>
    <xf numFmtId="0" fontId="27" fillId="12" borderId="6" xfId="0" applyFont="1" applyFill="1" applyBorder="1" applyAlignment="1">
      <alignment horizontal="center" vertical="center" wrapText="1"/>
    </xf>
    <xf numFmtId="0" fontId="48" fillId="12" borderId="6" xfId="0" applyFont="1" applyFill="1" applyBorder="1" applyAlignment="1">
      <alignment horizontal="center" vertical="center" wrapText="1"/>
    </xf>
    <xf numFmtId="0" fontId="27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8" fillId="23" borderId="177" xfId="2" applyNumberFormat="1" applyFont="1" applyFill="1" applyBorder="1" applyAlignment="1" applyProtection="1">
      <alignment horizontal="center" vertical="center"/>
    </xf>
    <xf numFmtId="0" fontId="60" fillId="0" borderId="83" xfId="0" applyFont="1" applyBorder="1">
      <alignment vertical="center"/>
    </xf>
    <xf numFmtId="0" fontId="44" fillId="0" borderId="20" xfId="0" applyFont="1" applyBorder="1" applyAlignment="1">
      <alignment horizontal="center" vertical="center" wrapText="1"/>
    </xf>
    <xf numFmtId="176" fontId="16" fillId="0" borderId="77" xfId="2" applyNumberFormat="1" applyFont="1" applyFill="1" applyBorder="1">
      <alignment vertical="center"/>
    </xf>
    <xf numFmtId="176" fontId="16" fillId="0" borderId="247" xfId="2" applyNumberFormat="1" applyFont="1" applyFill="1" applyBorder="1">
      <alignment vertical="center"/>
    </xf>
    <xf numFmtId="176" fontId="16" fillId="0" borderId="246" xfId="2" applyNumberFormat="1" applyFont="1" applyFill="1" applyBorder="1">
      <alignment vertical="center"/>
    </xf>
    <xf numFmtId="176" fontId="16" fillId="0" borderId="353" xfId="2" applyNumberFormat="1" applyFont="1" applyFill="1" applyBorder="1">
      <alignment vertical="center"/>
    </xf>
    <xf numFmtId="176" fontId="16" fillId="0" borderId="248" xfId="2" applyNumberFormat="1" applyFont="1" applyFill="1" applyBorder="1">
      <alignment vertical="center"/>
    </xf>
    <xf numFmtId="176" fontId="16" fillId="0" borderId="245" xfId="2" applyNumberFormat="1" applyFont="1" applyFill="1" applyBorder="1">
      <alignment vertical="center"/>
    </xf>
    <xf numFmtId="181" fontId="26" fillId="28" borderId="17" xfId="0" applyNumberFormat="1" applyFont="1" applyFill="1" applyBorder="1" applyAlignment="1">
      <alignment horizontal="center" vertical="center"/>
    </xf>
    <xf numFmtId="0" fontId="16" fillId="29" borderId="17" xfId="9" applyFont="1" applyFill="1" applyBorder="1" applyAlignment="1">
      <alignment horizontal="center" vertical="center" wrapText="1"/>
    </xf>
    <xf numFmtId="0" fontId="17" fillId="30" borderId="38" xfId="9" quotePrefix="1" applyFont="1" applyFill="1" applyBorder="1" applyAlignment="1">
      <alignment horizontal="center" vertical="center"/>
    </xf>
    <xf numFmtId="0" fontId="79" fillId="0" borderId="16" xfId="9" applyFont="1" applyBorder="1" applyAlignment="1">
      <alignment horizontal="center" vertical="center" wrapText="1"/>
    </xf>
    <xf numFmtId="181" fontId="43" fillId="0" borderId="39" xfId="0" applyNumberFormat="1" applyFont="1" applyBorder="1" applyAlignment="1">
      <alignment horizontal="center" vertical="center" wrapText="1"/>
    </xf>
    <xf numFmtId="181" fontId="15" fillId="30" borderId="38" xfId="0" applyNumberFormat="1" applyFont="1" applyFill="1" applyBorder="1" applyAlignment="1">
      <alignment horizontal="center" vertical="center"/>
    </xf>
    <xf numFmtId="181" fontId="79" fillId="0" borderId="17" xfId="0" applyNumberFormat="1" applyFont="1" applyBorder="1" applyAlignment="1">
      <alignment horizontal="center" vertical="center" wrapText="1"/>
    </xf>
    <xf numFmtId="181" fontId="43" fillId="30" borderId="37" xfId="0" quotePrefix="1" applyNumberFormat="1" applyFont="1" applyFill="1" applyBorder="1" applyAlignment="1">
      <alignment horizontal="center" vertical="center"/>
    </xf>
    <xf numFmtId="0" fontId="96" fillId="0" borderId="6" xfId="0" applyFont="1" applyBorder="1" applyAlignment="1">
      <alignment horizontal="center" vertical="center" wrapText="1"/>
    </xf>
    <xf numFmtId="0" fontId="96" fillId="0" borderId="77" xfId="0" applyFont="1" applyBorder="1" applyAlignment="1">
      <alignment horizontal="center" vertical="center" wrapText="1"/>
    </xf>
    <xf numFmtId="181" fontId="35" fillId="0" borderId="361" xfId="0" applyNumberFormat="1" applyFont="1" applyBorder="1" applyAlignment="1">
      <alignment horizontal="center" vertical="center"/>
    </xf>
    <xf numFmtId="181" fontId="97" fillId="0" borderId="11" xfId="0" applyNumberFormat="1" applyFont="1" applyBorder="1" applyAlignment="1">
      <alignment horizontal="center" vertical="center"/>
    </xf>
    <xf numFmtId="0" fontId="58" fillId="0" borderId="97" xfId="0" applyFont="1" applyBorder="1" applyAlignment="1">
      <alignment horizontal="center" vertical="center" wrapText="1"/>
    </xf>
    <xf numFmtId="0" fontId="67" fillId="0" borderId="97" xfId="0" applyFont="1" applyBorder="1" applyAlignment="1">
      <alignment horizontal="center" vertical="center"/>
    </xf>
    <xf numFmtId="0" fontId="91" fillId="0" borderId="342" xfId="0" applyFont="1" applyBorder="1" applyAlignment="1">
      <alignment horizontal="center" vertical="center" wrapText="1"/>
    </xf>
    <xf numFmtId="194" fontId="60" fillId="0" borderId="341" xfId="2" applyNumberFormat="1" applyFont="1" applyBorder="1" applyAlignment="1" applyProtection="1">
      <alignment horizontal="center" vertical="center" wrapText="1"/>
    </xf>
    <xf numFmtId="195" fontId="60" fillId="0" borderId="97" xfId="2" applyNumberFormat="1" applyFont="1" applyBorder="1" applyAlignment="1" applyProtection="1">
      <alignment horizontal="center" vertical="center" wrapText="1"/>
    </xf>
    <xf numFmtId="194" fontId="91" fillId="0" borderId="151" xfId="2" applyNumberFormat="1" applyFont="1" applyBorder="1" applyAlignment="1" applyProtection="1">
      <alignment horizontal="center" vertical="center" wrapText="1"/>
    </xf>
    <xf numFmtId="195" fontId="91" fillId="0" borderId="97" xfId="2" applyNumberFormat="1" applyFont="1" applyBorder="1" applyAlignment="1" applyProtection="1">
      <alignment horizontal="center" vertical="center" wrapText="1"/>
    </xf>
    <xf numFmtId="0" fontId="91" fillId="0" borderId="97" xfId="0" applyFont="1" applyBorder="1" applyAlignment="1">
      <alignment horizontal="center" vertical="center" wrapText="1"/>
    </xf>
    <xf numFmtId="193" fontId="91" fillId="0" borderId="342" xfId="0" applyNumberFormat="1" applyFont="1" applyBorder="1" applyAlignment="1">
      <alignment horizontal="center" vertical="center" wrapText="1"/>
    </xf>
    <xf numFmtId="0" fontId="99" fillId="0" borderId="97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 wrapText="1"/>
    </xf>
    <xf numFmtId="0" fontId="91" fillId="0" borderId="74" xfId="0" applyFont="1" applyBorder="1" applyAlignment="1">
      <alignment horizontal="center" vertical="center" wrapText="1"/>
    </xf>
    <xf numFmtId="194" fontId="60" fillId="0" borderId="70" xfId="2" applyNumberFormat="1" applyFont="1" applyBorder="1" applyAlignment="1" applyProtection="1">
      <alignment horizontal="center" vertical="center" wrapText="1"/>
    </xf>
    <xf numFmtId="195" fontId="60" fillId="0" borderId="71" xfId="2" applyNumberFormat="1" applyFont="1" applyBorder="1" applyAlignment="1" applyProtection="1">
      <alignment horizontal="center" vertical="center" wrapText="1"/>
    </xf>
    <xf numFmtId="194" fontId="91" fillId="0" borderId="73" xfId="2" applyNumberFormat="1" applyFont="1" applyBorder="1" applyAlignment="1" applyProtection="1">
      <alignment horizontal="center" vertical="center" wrapText="1"/>
    </xf>
    <xf numFmtId="195" fontId="91" fillId="0" borderId="71" xfId="2" applyNumberFormat="1" applyFont="1" applyBorder="1" applyAlignment="1" applyProtection="1">
      <alignment horizontal="center" vertical="center" wrapText="1"/>
    </xf>
    <xf numFmtId="0" fontId="91" fillId="0" borderId="71" xfId="0" applyFont="1" applyBorder="1" applyAlignment="1">
      <alignment horizontal="center" vertical="center" wrapText="1"/>
    </xf>
    <xf numFmtId="193" fontId="91" fillId="0" borderId="74" xfId="0" applyNumberFormat="1" applyFont="1" applyBorder="1" applyAlignment="1">
      <alignment horizontal="center" vertical="center" wrapText="1"/>
    </xf>
    <xf numFmtId="0" fontId="91" fillId="11" borderId="71" xfId="0" applyFont="1" applyFill="1" applyBorder="1" applyAlignment="1">
      <alignment horizontal="center" vertical="center" wrapText="1"/>
    </xf>
    <xf numFmtId="184" fontId="60" fillId="7" borderId="71" xfId="2" applyNumberFormat="1" applyFont="1" applyFill="1" applyBorder="1" applyAlignment="1" applyProtection="1">
      <alignment horizontal="center" vertical="center"/>
    </xf>
    <xf numFmtId="0" fontId="66" fillId="0" borderId="98" xfId="0" quotePrefix="1" applyFont="1" applyBorder="1" applyAlignment="1">
      <alignment horizontal="left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0" fontId="58" fillId="30" borderId="100" xfId="0" applyFont="1" applyFill="1" applyBorder="1" applyAlignment="1">
      <alignment horizontal="center" vertical="center"/>
    </xf>
    <xf numFmtId="0" fontId="58" fillId="30" borderId="178" xfId="0" applyFont="1" applyFill="1" applyBorder="1" applyAlignment="1">
      <alignment horizontal="center" vertical="center"/>
    </xf>
    <xf numFmtId="0" fontId="60" fillId="30" borderId="101" xfId="0" applyFont="1" applyFill="1" applyBorder="1" applyAlignment="1">
      <alignment horizontal="center" vertical="center"/>
    </xf>
    <xf numFmtId="0" fontId="60" fillId="0" borderId="279" xfId="0" applyFont="1" applyBorder="1" applyAlignment="1">
      <alignment horizontal="center" vertical="center" wrapText="1"/>
    </xf>
    <xf numFmtId="194" fontId="60" fillId="0" borderId="279" xfId="2" applyNumberFormat="1" applyFont="1" applyFill="1" applyBorder="1" applyAlignment="1">
      <alignment horizontal="center" vertical="center" wrapText="1"/>
    </xf>
    <xf numFmtId="0" fontId="60" fillId="0" borderId="215" xfId="0" applyFont="1" applyBorder="1" applyAlignment="1">
      <alignment horizontal="center" vertical="center" wrapText="1"/>
    </xf>
    <xf numFmtId="193" fontId="60" fillId="0" borderId="363" xfId="0" applyNumberFormat="1" applyFont="1" applyBorder="1" applyAlignment="1">
      <alignment horizontal="center" vertical="center" wrapText="1"/>
    </xf>
    <xf numFmtId="194" fontId="59" fillId="0" borderId="178" xfId="2" applyNumberFormat="1" applyFont="1" applyFill="1" applyBorder="1" applyAlignment="1">
      <alignment horizontal="center" vertical="center" wrapText="1"/>
    </xf>
    <xf numFmtId="184" fontId="60" fillId="6" borderId="215" xfId="2" applyNumberFormat="1" applyFont="1" applyFill="1" applyBorder="1" applyAlignment="1" applyProtection="1">
      <alignment horizontal="center" vertical="center"/>
    </xf>
    <xf numFmtId="0" fontId="58" fillId="30" borderId="91" xfId="0" applyFont="1" applyFill="1" applyBorder="1" applyAlignment="1">
      <alignment horizontal="center" vertical="center"/>
    </xf>
    <xf numFmtId="0" fontId="58" fillId="30" borderId="73" xfId="0" applyFont="1" applyFill="1" applyBorder="1" applyAlignment="1">
      <alignment horizontal="center" vertical="center"/>
    </xf>
    <xf numFmtId="0" fontId="60" fillId="30" borderId="71" xfId="0" applyFont="1" applyFill="1" applyBorder="1" applyAlignment="1">
      <alignment horizontal="center" vertical="center"/>
    </xf>
    <xf numFmtId="0" fontId="43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7" fillId="0" borderId="238" xfId="0" applyFont="1" applyBorder="1" applyAlignment="1">
      <alignment horizontal="center" vertical="center" wrapText="1"/>
    </xf>
    <xf numFmtId="0" fontId="26" fillId="23" borderId="238" xfId="0" applyFont="1" applyFill="1" applyBorder="1" applyAlignment="1">
      <alignment horizontal="center" vertical="center" wrapText="1"/>
    </xf>
    <xf numFmtId="0" fontId="15" fillId="23" borderId="239" xfId="0" applyFont="1" applyFill="1" applyBorder="1" applyAlignment="1">
      <alignment horizontal="center" vertical="center" wrapText="1"/>
    </xf>
    <xf numFmtId="194" fontId="27" fillId="0" borderId="238" xfId="2" applyNumberFormat="1" applyFont="1" applyBorder="1" applyAlignment="1">
      <alignment horizontal="center" vertical="center" wrapText="1"/>
    </xf>
    <xf numFmtId="195" fontId="27" fillId="0" borderId="238" xfId="2" applyNumberFormat="1" applyFont="1" applyBorder="1" applyAlignment="1">
      <alignment horizontal="center" vertical="center" wrapText="1"/>
    </xf>
    <xf numFmtId="193" fontId="27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5" fillId="23" borderId="357" xfId="9" applyFont="1" applyFill="1" applyBorder="1" applyAlignment="1">
      <alignment horizontal="center" vertical="center" wrapText="1"/>
    </xf>
    <xf numFmtId="0" fontId="49" fillId="23" borderId="358" xfId="9" applyFont="1" applyFill="1" applyBorder="1" applyAlignment="1">
      <alignment horizontal="center" vertical="center" wrapText="1"/>
    </xf>
    <xf numFmtId="193" fontId="75" fillId="0" borderId="358" xfId="9" applyNumberFormat="1" applyFont="1" applyBorder="1" applyAlignment="1">
      <alignment horizontal="center" vertical="center" wrapText="1"/>
    </xf>
    <xf numFmtId="193" fontId="49" fillId="0" borderId="358" xfId="9" applyNumberFormat="1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/>
    </xf>
    <xf numFmtId="0" fontId="86" fillId="0" borderId="136" xfId="9" applyFont="1" applyBorder="1" applyAlignment="1">
      <alignment horizontal="center" vertical="center" wrapText="1"/>
    </xf>
    <xf numFmtId="0" fontId="15" fillId="0" borderId="41" xfId="0" applyFont="1" applyBorder="1" applyAlignment="1">
      <alignment horizontal="center" vertical="center"/>
    </xf>
    <xf numFmtId="0" fontId="44" fillId="0" borderId="10" xfId="9" applyFont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 wrapText="1"/>
    </xf>
    <xf numFmtId="181" fontId="15" fillId="32" borderId="34" xfId="0" applyNumberFormat="1" applyFont="1" applyFill="1" applyBorder="1" applyAlignment="1">
      <alignment horizontal="center" vertical="center"/>
    </xf>
    <xf numFmtId="181" fontId="15" fillId="32" borderId="127" xfId="0" applyNumberFormat="1" applyFont="1" applyFill="1" applyBorder="1" applyAlignment="1">
      <alignment horizontal="center" vertical="center"/>
    </xf>
    <xf numFmtId="181" fontId="15" fillId="32" borderId="37" xfId="0" applyNumberFormat="1" applyFont="1" applyFill="1" applyBorder="1" applyAlignment="1">
      <alignment horizontal="center" vertical="center"/>
    </xf>
    <xf numFmtId="181" fontId="15" fillId="32" borderId="128" xfId="0" applyNumberFormat="1" applyFont="1" applyFill="1" applyBorder="1" applyAlignment="1">
      <alignment horizontal="center" vertical="center"/>
    </xf>
    <xf numFmtId="181" fontId="15" fillId="32" borderId="38" xfId="0" quotePrefix="1" applyNumberFormat="1" applyFont="1" applyFill="1" applyBorder="1" applyAlignment="1">
      <alignment horizontal="center" vertical="center"/>
    </xf>
    <xf numFmtId="181" fontId="13" fillId="33" borderId="11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 wrapText="1"/>
    </xf>
    <xf numFmtId="181" fontId="16" fillId="7" borderId="369" xfId="0" applyNumberFormat="1" applyFont="1" applyFill="1" applyBorder="1" applyAlignment="1">
      <alignment horizontal="center" vertical="center"/>
    </xf>
    <xf numFmtId="181" fontId="16" fillId="7" borderId="370" xfId="0" applyNumberFormat="1" applyFont="1" applyFill="1" applyBorder="1" applyAlignment="1">
      <alignment horizontal="center" vertical="center"/>
    </xf>
    <xf numFmtId="181" fontId="16" fillId="7" borderId="371" xfId="0" applyNumberFormat="1" applyFont="1" applyFill="1" applyBorder="1" applyAlignment="1">
      <alignment horizontal="center" vertical="center"/>
    </xf>
    <xf numFmtId="181" fontId="98" fillId="7" borderId="13" xfId="0" applyNumberFormat="1" applyFont="1" applyFill="1" applyBorder="1" applyAlignment="1">
      <alignment horizontal="center" vertical="center" wrapText="1"/>
    </xf>
    <xf numFmtId="181" fontId="98" fillId="7" borderId="16" xfId="0" applyNumberFormat="1" applyFont="1" applyFill="1" applyBorder="1" applyAlignment="1">
      <alignment horizontal="center" vertical="center" wrapText="1"/>
    </xf>
    <xf numFmtId="181" fontId="95" fillId="7" borderId="13" xfId="0" applyNumberFormat="1" applyFont="1" applyFill="1" applyBorder="1" applyAlignment="1">
      <alignment horizontal="center" vertical="center" wrapText="1"/>
    </xf>
    <xf numFmtId="181" fontId="95" fillId="7" borderId="16" xfId="0" applyNumberFormat="1" applyFont="1" applyFill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0" fontId="49" fillId="0" borderId="102" xfId="9" applyFont="1" applyBorder="1" applyAlignment="1">
      <alignment horizontal="center" vertical="center" wrapText="1"/>
    </xf>
    <xf numFmtId="0" fontId="75" fillId="23" borderId="323" xfId="9" applyFont="1" applyFill="1" applyBorder="1" applyAlignment="1">
      <alignment horizontal="center" vertical="center" wrapText="1"/>
    </xf>
    <xf numFmtId="0" fontId="75" fillId="0" borderId="323" xfId="9" applyFont="1" applyBorder="1" applyAlignment="1">
      <alignment horizontal="center" vertical="center" wrapText="1"/>
    </xf>
    <xf numFmtId="195" fontId="75" fillId="0" borderId="102" xfId="2" applyNumberFormat="1" applyFont="1" applyBorder="1" applyAlignment="1">
      <alignment horizontal="center" vertical="center" wrapText="1"/>
    </xf>
    <xf numFmtId="193" fontId="75" fillId="0" borderId="324" xfId="9" applyNumberFormat="1" applyFont="1" applyBorder="1" applyAlignment="1">
      <alignment horizontal="center" vertical="center" wrapText="1"/>
    </xf>
    <xf numFmtId="194" fontId="49" fillId="4" borderId="227" xfId="2" applyNumberFormat="1" applyFont="1" applyFill="1" applyBorder="1" applyAlignment="1">
      <alignment horizontal="center" vertical="center" wrapText="1"/>
    </xf>
    <xf numFmtId="195" fontId="49" fillId="0" borderId="102" xfId="2" applyNumberFormat="1" applyFont="1" applyBorder="1" applyAlignment="1">
      <alignment horizontal="center" vertical="center" wrapText="1"/>
    </xf>
    <xf numFmtId="193" fontId="49" fillId="0" borderId="324" xfId="9" applyNumberFormat="1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/>
    </xf>
    <xf numFmtId="0" fontId="49" fillId="0" borderId="102" xfId="9" applyFont="1" applyBorder="1" applyAlignment="1">
      <alignment horizontal="center" vertical="center"/>
    </xf>
    <xf numFmtId="0" fontId="87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76" fillId="0" borderId="102" xfId="9" applyFont="1" applyBorder="1" applyAlignment="1">
      <alignment horizontal="center" vertical="center" wrapText="1"/>
    </xf>
    <xf numFmtId="176" fontId="16" fillId="0" borderId="102" xfId="10" applyNumberFormat="1" applyFont="1" applyBorder="1">
      <alignment vertical="center"/>
    </xf>
    <xf numFmtId="181" fontId="26" fillId="0" borderId="15" xfId="0" applyNumberFormat="1" applyFont="1" applyBorder="1" applyAlignment="1">
      <alignment horizontal="center" vertical="center"/>
    </xf>
    <xf numFmtId="181" fontId="47" fillId="0" borderId="51" xfId="0" quotePrefix="1" applyNumberFormat="1" applyFont="1" applyBorder="1" applyAlignment="1">
      <alignment horizontal="center" vertical="center"/>
    </xf>
    <xf numFmtId="181" fontId="47" fillId="0" borderId="38" xfId="0" applyNumberFormat="1" applyFont="1" applyBorder="1" applyAlignment="1">
      <alignment horizontal="center" vertical="center"/>
    </xf>
    <xf numFmtId="0" fontId="6" fillId="0" borderId="0" xfId="9" applyFont="1" applyAlignment="1">
      <alignment horizontal="center" vertical="center"/>
    </xf>
    <xf numFmtId="0" fontId="6" fillId="0" borderId="170" xfId="9" applyFont="1" applyBorder="1" applyAlignment="1">
      <alignment horizontal="left" vertical="center"/>
    </xf>
    <xf numFmtId="0" fontId="6" fillId="0" borderId="30" xfId="9" applyFont="1" applyBorder="1" applyAlignment="1">
      <alignment horizontal="left" vertical="center"/>
    </xf>
    <xf numFmtId="0" fontId="6" fillId="0" borderId="0" xfId="9" applyFont="1">
      <alignment vertical="center"/>
    </xf>
    <xf numFmtId="0" fontId="6" fillId="12" borderId="170" xfId="9" applyFont="1" applyFill="1" applyBorder="1" applyAlignment="1">
      <alignment horizontal="left" vertical="center"/>
    </xf>
    <xf numFmtId="0" fontId="6" fillId="12" borderId="30" xfId="9" applyFont="1" applyFill="1" applyBorder="1" applyAlignment="1">
      <alignment horizontal="left" vertical="center"/>
    </xf>
    <xf numFmtId="0" fontId="6" fillId="0" borderId="15" xfId="9" applyFont="1" applyBorder="1" applyAlignment="1">
      <alignment horizontal="center" vertical="center"/>
    </xf>
    <xf numFmtId="0" fontId="6" fillId="0" borderId="23" xfId="9" applyFont="1" applyBorder="1">
      <alignment vertical="center"/>
    </xf>
    <xf numFmtId="0" fontId="6" fillId="0" borderId="11" xfId="9" applyFont="1" applyBorder="1" applyAlignment="1">
      <alignment horizontal="center" vertical="center"/>
    </xf>
    <xf numFmtId="0" fontId="6" fillId="0" borderId="165" xfId="9" applyFont="1" applyBorder="1" applyAlignment="1">
      <alignment horizontal="center" vertical="center"/>
    </xf>
    <xf numFmtId="0" fontId="6" fillId="0" borderId="30" xfId="9" applyFont="1" applyBorder="1" applyAlignment="1">
      <alignment horizontal="center" vertical="center"/>
    </xf>
    <xf numFmtId="0" fontId="6" fillId="0" borderId="167" xfId="9" applyFont="1" applyBorder="1" applyAlignment="1">
      <alignment horizontal="center" vertical="center"/>
    </xf>
    <xf numFmtId="0" fontId="6" fillId="0" borderId="12" xfId="9" applyFont="1" applyBorder="1" applyAlignment="1">
      <alignment horizontal="center" vertical="center"/>
    </xf>
    <xf numFmtId="0" fontId="6" fillId="0" borderId="170" xfId="9" applyFont="1" applyBorder="1" applyAlignment="1">
      <alignment horizontal="center" vertical="center"/>
    </xf>
    <xf numFmtId="0" fontId="6" fillId="0" borderId="36" xfId="9" applyFont="1" applyBorder="1" applyAlignment="1">
      <alignment horizontal="center" vertical="center"/>
    </xf>
    <xf numFmtId="179" fontId="6" fillId="0" borderId="0" xfId="9" applyNumberFormat="1" applyFont="1">
      <alignment vertical="center"/>
    </xf>
    <xf numFmtId="0" fontId="6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8" fillId="0" borderId="0" xfId="0" applyNumberFormat="1" applyFont="1" applyAlignment="1">
      <alignment horizontal="center" vertical="center"/>
    </xf>
    <xf numFmtId="10" fontId="16" fillId="0" borderId="0" xfId="1" applyNumberFormat="1" applyFont="1">
      <alignment vertical="center"/>
    </xf>
    <xf numFmtId="181" fontId="44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2" fillId="0" borderId="0" xfId="9" applyNumberFormat="1">
      <alignment vertical="center"/>
    </xf>
    <xf numFmtId="177" fontId="0" fillId="0" borderId="0" xfId="0" applyNumberFormat="1">
      <alignment vertical="center"/>
    </xf>
    <xf numFmtId="0" fontId="48" fillId="0" borderId="135" xfId="0" quotePrefix="1" applyFont="1" applyBorder="1" applyAlignment="1">
      <alignment horizontal="center" vertical="center"/>
    </xf>
    <xf numFmtId="0" fontId="48" fillId="0" borderId="6" xfId="0" quotePrefix="1" applyFont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100" fillId="0" borderId="0" xfId="0" applyFont="1">
      <alignment vertical="center"/>
    </xf>
    <xf numFmtId="0" fontId="101" fillId="23" borderId="15" xfId="0" applyFont="1" applyFill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0" fontId="101" fillId="23" borderId="47" xfId="0" applyFont="1" applyFill="1" applyBorder="1" applyAlignment="1">
      <alignment horizontal="center" vertical="center"/>
    </xf>
    <xf numFmtId="0" fontId="101" fillId="0" borderId="41" xfId="0" applyFont="1" applyBorder="1" applyAlignment="1">
      <alignment horizontal="center" vertical="center"/>
    </xf>
    <xf numFmtId="0" fontId="101" fillId="0" borderId="25" xfId="0" applyFont="1" applyBorder="1" applyAlignment="1">
      <alignment horizontal="center" vertical="center"/>
    </xf>
    <xf numFmtId="0" fontId="101" fillId="0" borderId="47" xfId="0" applyFont="1" applyBorder="1" applyAlignment="1">
      <alignment horizontal="center" vertical="center"/>
    </xf>
    <xf numFmtId="0" fontId="75" fillId="0" borderId="140" xfId="0" quotePrefix="1" applyFont="1" applyBorder="1" applyAlignment="1">
      <alignment horizontal="center" vertical="center" wrapText="1"/>
    </xf>
    <xf numFmtId="0" fontId="75" fillId="0" borderId="135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/>
    </xf>
    <xf numFmtId="0" fontId="75" fillId="0" borderId="136" xfId="0" quotePrefix="1" applyFont="1" applyBorder="1" applyAlignment="1">
      <alignment horizontal="center" vertical="center" wrapText="1"/>
    </xf>
    <xf numFmtId="0" fontId="75" fillId="5" borderId="135" xfId="0" quotePrefix="1" applyFont="1" applyFill="1" applyBorder="1" applyAlignment="1">
      <alignment horizontal="center" vertical="center" wrapText="1"/>
    </xf>
    <xf numFmtId="0" fontId="75" fillId="5" borderId="6" xfId="0" quotePrefix="1" applyFont="1" applyFill="1" applyBorder="1" applyAlignment="1">
      <alignment horizontal="center" vertical="center" wrapText="1"/>
    </xf>
    <xf numFmtId="0" fontId="75" fillId="5" borderId="136" xfId="0" quotePrefix="1" applyFont="1" applyFill="1" applyBorder="1" applyAlignment="1">
      <alignment horizontal="center" vertical="center" wrapText="1"/>
    </xf>
    <xf numFmtId="0" fontId="75" fillId="0" borderId="245" xfId="9" quotePrefix="1" applyFont="1" applyBorder="1" applyAlignment="1">
      <alignment horizontal="center" vertical="center" wrapText="1"/>
    </xf>
    <xf numFmtId="0" fontId="75" fillId="0" borderId="246" xfId="9" quotePrefix="1" applyFont="1" applyBorder="1" applyAlignment="1">
      <alignment horizontal="center" vertical="center" wrapText="1"/>
    </xf>
    <xf numFmtId="0" fontId="75" fillId="0" borderId="247" xfId="9" quotePrefix="1" applyFont="1" applyBorder="1" applyAlignment="1">
      <alignment horizontal="center" vertical="center" wrapText="1"/>
    </xf>
    <xf numFmtId="0" fontId="75" fillId="0" borderId="249" xfId="9" quotePrefix="1" applyFont="1" applyBorder="1" applyAlignment="1">
      <alignment horizontal="center" vertical="center" wrapText="1"/>
    </xf>
    <xf numFmtId="0" fontId="75" fillId="0" borderId="250" xfId="9" quotePrefix="1" applyFont="1" applyBorder="1" applyAlignment="1">
      <alignment horizontal="center" vertical="center" wrapText="1"/>
    </xf>
    <xf numFmtId="0" fontId="75" fillId="0" borderId="247" xfId="0" quotePrefix="1" applyFont="1" applyBorder="1" applyAlignment="1">
      <alignment horizontal="center" vertical="center" wrapText="1"/>
    </xf>
    <xf numFmtId="0" fontId="75" fillId="0" borderId="353" xfId="0" quotePrefix="1" applyFont="1" applyBorder="1" applyAlignment="1">
      <alignment horizontal="center" vertical="center" wrapText="1"/>
    </xf>
    <xf numFmtId="0" fontId="75" fillId="0" borderId="246" xfId="0" quotePrefix="1" applyFont="1" applyBorder="1" applyAlignment="1">
      <alignment horizontal="center" vertical="center" wrapText="1"/>
    </xf>
    <xf numFmtId="0" fontId="75" fillId="0" borderId="248" xfId="0" quotePrefix="1" applyFont="1" applyBorder="1" applyAlignment="1">
      <alignment horizontal="center" vertical="center" wrapText="1"/>
    </xf>
    <xf numFmtId="0" fontId="75" fillId="0" borderId="245" xfId="0" quotePrefix="1" applyFont="1" applyBorder="1" applyAlignment="1">
      <alignment horizontal="center" vertical="center" wrapText="1"/>
    </xf>
    <xf numFmtId="0" fontId="75" fillId="0" borderId="77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 readingOrder="1"/>
    </xf>
    <xf numFmtId="0" fontId="75" fillId="0" borderId="136" xfId="0" quotePrefix="1" applyFont="1" applyBorder="1" applyAlignment="1">
      <alignment horizontal="center" vertical="center" wrapText="1" readingOrder="1"/>
    </xf>
    <xf numFmtId="0" fontId="75" fillId="0" borderId="135" xfId="0" quotePrefix="1" applyFont="1" applyBorder="1" applyAlignment="1">
      <alignment horizontal="center" vertical="center" wrapText="1" readingOrder="1"/>
    </xf>
    <xf numFmtId="0" fontId="75" fillId="0" borderId="191" xfId="0" quotePrefix="1" applyFont="1" applyBorder="1" applyAlignment="1">
      <alignment horizontal="center" vertical="center" wrapText="1"/>
    </xf>
    <xf numFmtId="0" fontId="75" fillId="0" borderId="182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75" fillId="0" borderId="6" xfId="9" quotePrefix="1" applyFont="1" applyBorder="1" applyAlignment="1">
      <alignment horizontal="center" vertical="center" wrapText="1"/>
    </xf>
    <xf numFmtId="0" fontId="49" fillId="0" borderId="250" xfId="9" quotePrefix="1" applyFont="1" applyBorder="1" applyAlignment="1">
      <alignment horizontal="center" vertical="center" wrapText="1"/>
    </xf>
    <xf numFmtId="0" fontId="49" fillId="0" borderId="246" xfId="9" quotePrefix="1" applyFont="1" applyBorder="1" applyAlignment="1">
      <alignment horizontal="center" vertical="center" wrapText="1"/>
    </xf>
    <xf numFmtId="0" fontId="49" fillId="0" borderId="245" xfId="9" quotePrefix="1" applyFont="1" applyBorder="1" applyAlignment="1">
      <alignment horizontal="center" vertical="center" wrapText="1"/>
    </xf>
    <xf numFmtId="0" fontId="49" fillId="0" borderId="247" xfId="9" quotePrefix="1" applyFont="1" applyBorder="1" applyAlignment="1">
      <alignment horizontal="center" vertical="center" wrapText="1"/>
    </xf>
    <xf numFmtId="0" fontId="49" fillId="0" borderId="249" xfId="9" quotePrefix="1" applyFont="1" applyBorder="1" applyAlignment="1">
      <alignment horizontal="center" vertical="center" wrapText="1"/>
    </xf>
    <xf numFmtId="0" fontId="49" fillId="0" borderId="140" xfId="0" quotePrefix="1" applyFont="1" applyBorder="1" applyAlignment="1">
      <alignment horizontal="center" vertical="center" wrapText="1"/>
    </xf>
    <xf numFmtId="0" fontId="49" fillId="0" borderId="135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/>
    </xf>
    <xf numFmtId="0" fontId="49" fillId="0" borderId="136" xfId="0" quotePrefix="1" applyFont="1" applyBorder="1" applyAlignment="1">
      <alignment horizontal="center" vertical="center" wrapText="1"/>
    </xf>
    <xf numFmtId="0" fontId="49" fillId="5" borderId="135" xfId="0" quotePrefix="1" applyFont="1" applyFill="1" applyBorder="1" applyAlignment="1">
      <alignment horizontal="center" vertical="center" wrapText="1"/>
    </xf>
    <xf numFmtId="0" fontId="49" fillId="5" borderId="6" xfId="0" quotePrefix="1" applyFont="1" applyFill="1" applyBorder="1" applyAlignment="1">
      <alignment horizontal="center" vertical="center" wrapText="1"/>
    </xf>
    <xf numFmtId="0" fontId="49" fillId="5" borderId="136" xfId="0" quotePrefix="1" applyFont="1" applyFill="1" applyBorder="1" applyAlignment="1">
      <alignment horizontal="center" vertical="center" wrapText="1"/>
    </xf>
    <xf numFmtId="0" fontId="49" fillId="0" borderId="247" xfId="0" quotePrefix="1" applyFont="1" applyBorder="1" applyAlignment="1">
      <alignment horizontal="center" vertical="center" wrapText="1"/>
    </xf>
    <xf numFmtId="0" fontId="49" fillId="0" borderId="353" xfId="0" quotePrefix="1" applyFont="1" applyBorder="1" applyAlignment="1">
      <alignment horizontal="center" vertical="center" wrapText="1"/>
    </xf>
    <xf numFmtId="0" fontId="49" fillId="0" borderId="246" xfId="0" quotePrefix="1" applyFont="1" applyBorder="1" applyAlignment="1">
      <alignment horizontal="center" vertical="center" wrapText="1"/>
    </xf>
    <xf numFmtId="0" fontId="49" fillId="0" borderId="248" xfId="0" quotePrefix="1" applyFont="1" applyBorder="1" applyAlignment="1">
      <alignment horizontal="center" vertical="center" wrapText="1"/>
    </xf>
    <xf numFmtId="0" fontId="49" fillId="0" borderId="245" xfId="0" quotePrefix="1" applyFont="1" applyBorder="1" applyAlignment="1">
      <alignment horizontal="center" vertical="center" wrapText="1"/>
    </xf>
    <xf numFmtId="0" fontId="49" fillId="0" borderId="77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 readingOrder="1"/>
    </xf>
    <xf numFmtId="0" fontId="49" fillId="0" borderId="136" xfId="0" quotePrefix="1" applyFont="1" applyBorder="1" applyAlignment="1">
      <alignment horizontal="center" vertical="center" wrapText="1" readingOrder="1"/>
    </xf>
    <xf numFmtId="0" fontId="49" fillId="0" borderId="135" xfId="0" quotePrefix="1" applyFont="1" applyBorder="1" applyAlignment="1">
      <alignment horizontal="center" vertical="center" wrapText="1" readingOrder="1"/>
    </xf>
    <xf numFmtId="0" fontId="49" fillId="0" borderId="191" xfId="0" quotePrefix="1" applyFont="1" applyBorder="1" applyAlignment="1">
      <alignment horizontal="center" vertical="center" wrapText="1"/>
    </xf>
    <xf numFmtId="0" fontId="49" fillId="0" borderId="182" xfId="0" quotePrefix="1" applyFont="1" applyBorder="1" applyAlignment="1">
      <alignment horizontal="center" vertical="center" wrapText="1"/>
    </xf>
    <xf numFmtId="0" fontId="49" fillId="0" borderId="238" xfId="0" quotePrefix="1" applyFont="1" applyBorder="1" applyAlignment="1">
      <alignment horizontal="center" vertical="center" wrapText="1"/>
    </xf>
    <xf numFmtId="0" fontId="87" fillId="0" borderId="6" xfId="9" quotePrefix="1" applyFont="1" applyBorder="1" applyAlignment="1">
      <alignment horizontal="center" vertical="center" wrapText="1"/>
    </xf>
    <xf numFmtId="0" fontId="87" fillId="0" borderId="136" xfId="9" quotePrefix="1" applyFont="1" applyBorder="1" applyAlignment="1">
      <alignment horizontal="center" vertical="center" wrapText="1"/>
    </xf>
    <xf numFmtId="0" fontId="49" fillId="0" borderId="6" xfId="9" quotePrefix="1" applyFont="1" applyBorder="1" applyAlignment="1">
      <alignment horizontal="center" vertical="center" wrapText="1"/>
    </xf>
    <xf numFmtId="0" fontId="49" fillId="0" borderId="136" xfId="9" quotePrefix="1" applyFont="1" applyBorder="1" applyAlignment="1">
      <alignment horizontal="center" vertical="center" wrapText="1"/>
    </xf>
    <xf numFmtId="0" fontId="49" fillId="0" borderId="102" xfId="9" quotePrefix="1" applyFont="1" applyBorder="1" applyAlignment="1">
      <alignment horizontal="center" vertical="center" wrapText="1"/>
    </xf>
    <xf numFmtId="0" fontId="49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27" fillId="0" borderId="6" xfId="0" quotePrefix="1" applyFont="1" applyBorder="1" applyAlignment="1">
      <alignment horizontal="center" vertical="center" wrapText="1"/>
    </xf>
    <xf numFmtId="0" fontId="27" fillId="0" borderId="196" xfId="0" quotePrefix="1" applyFont="1" applyBorder="1" applyAlignment="1">
      <alignment horizontal="center" vertical="center" wrapText="1"/>
    </xf>
    <xf numFmtId="0" fontId="27" fillId="0" borderId="135" xfId="0" quotePrefix="1" applyFont="1" applyBorder="1" applyAlignment="1">
      <alignment horizontal="center" vertical="center" wrapText="1"/>
    </xf>
    <xf numFmtId="0" fontId="27" fillId="0" borderId="136" xfId="0" quotePrefix="1" applyFont="1" applyBorder="1" applyAlignment="1">
      <alignment horizontal="center" vertical="center" wrapText="1"/>
    </xf>
    <xf numFmtId="0" fontId="27" fillId="0" borderId="86" xfId="0" quotePrefix="1" applyFont="1" applyBorder="1" applyAlignment="1">
      <alignment horizontal="center" vertical="center" wrapText="1"/>
    </xf>
    <xf numFmtId="0" fontId="27" fillId="0" borderId="238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96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0" borderId="101" xfId="0" quotePrefix="1" applyFont="1" applyBorder="1" applyAlignment="1">
      <alignment horizontal="center" vertical="center" wrapText="1"/>
    </xf>
    <xf numFmtId="181" fontId="44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5" fillId="6" borderId="326" xfId="0" applyFont="1" applyFill="1" applyBorder="1" applyAlignment="1">
      <alignment horizontal="center" vertical="center"/>
    </xf>
    <xf numFmtId="176" fontId="16" fillId="0" borderId="380" xfId="2" applyNumberFormat="1" applyFont="1" applyBorder="1">
      <alignment vertical="center"/>
    </xf>
    <xf numFmtId="176" fontId="16" fillId="0" borderId="381" xfId="2" applyNumberFormat="1" applyFont="1" applyBorder="1">
      <alignment vertical="center"/>
    </xf>
    <xf numFmtId="176" fontId="16" fillId="0" borderId="75" xfId="2" applyNumberFormat="1" applyFont="1" applyBorder="1">
      <alignment vertical="center"/>
    </xf>
    <xf numFmtId="176" fontId="16" fillId="0" borderId="365" xfId="2" applyNumberFormat="1" applyFont="1" applyBorder="1">
      <alignment vertical="center"/>
    </xf>
    <xf numFmtId="176" fontId="16" fillId="0" borderId="189" xfId="2" applyNumberFormat="1" applyFont="1" applyBorder="1">
      <alignment vertical="center"/>
    </xf>
    <xf numFmtId="176" fontId="16" fillId="0" borderId="382" xfId="2" applyNumberFormat="1" applyFont="1" applyBorder="1">
      <alignment vertical="center"/>
    </xf>
    <xf numFmtId="176" fontId="16" fillId="0" borderId="383" xfId="2" applyNumberFormat="1" applyFont="1" applyBorder="1">
      <alignment vertical="center"/>
    </xf>
    <xf numFmtId="176" fontId="16" fillId="0" borderId="224" xfId="2" applyNumberFormat="1" applyFont="1" applyBorder="1">
      <alignment vertical="center"/>
    </xf>
    <xf numFmtId="176" fontId="16" fillId="0" borderId="92" xfId="2" applyNumberFormat="1" applyFont="1" applyBorder="1">
      <alignment vertical="center"/>
    </xf>
    <xf numFmtId="176" fontId="16" fillId="0" borderId="75" xfId="2" applyNumberFormat="1" applyFont="1" applyFill="1" applyBorder="1">
      <alignment vertical="center"/>
    </xf>
    <xf numFmtId="176" fontId="16" fillId="0" borderId="365" xfId="2" applyNumberFormat="1" applyFont="1" applyFill="1" applyBorder="1">
      <alignment vertical="center"/>
    </xf>
    <xf numFmtId="176" fontId="16" fillId="0" borderId="224" xfId="2" applyNumberFormat="1" applyFont="1" applyFill="1" applyBorder="1">
      <alignment vertical="center"/>
    </xf>
    <xf numFmtId="176" fontId="16" fillId="0" borderId="385" xfId="2" applyNumberFormat="1" applyFont="1" applyBorder="1">
      <alignment vertical="center"/>
    </xf>
    <xf numFmtId="176" fontId="16" fillId="0" borderId="386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 wrapText="1"/>
    </xf>
    <xf numFmtId="176" fontId="16" fillId="0" borderId="387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7" fillId="0" borderId="390" xfId="0" applyFont="1" applyBorder="1" applyAlignment="1">
      <alignment horizontal="center" vertical="center"/>
    </xf>
    <xf numFmtId="0" fontId="27" fillId="0" borderId="37" xfId="0" quotePrefix="1" applyFont="1" applyBorder="1">
      <alignment vertical="center"/>
    </xf>
    <xf numFmtId="0" fontId="27" fillId="0" borderId="392" xfId="0" applyFont="1" applyBorder="1" applyAlignment="1">
      <alignment horizontal="center" vertical="center"/>
    </xf>
    <xf numFmtId="0" fontId="27" fillId="0" borderId="48" xfId="0" applyFont="1" applyBorder="1" applyAlignment="1">
      <alignment horizontal="left" vertical="center"/>
    </xf>
    <xf numFmtId="0" fontId="27" fillId="0" borderId="34" xfId="0" applyFont="1" applyBorder="1" applyAlignment="1">
      <alignment horizontal="left" vertical="center"/>
    </xf>
    <xf numFmtId="0" fontId="27" fillId="0" borderId="37" xfId="0" applyFont="1" applyBorder="1" applyAlignment="1">
      <alignment horizontal="left" vertical="center"/>
    </xf>
    <xf numFmtId="0" fontId="27" fillId="0" borderId="37" xfId="0" applyFont="1" applyBorder="1" applyAlignment="1">
      <alignment horizontal="center" vertical="center" wrapText="1"/>
    </xf>
    <xf numFmtId="176" fontId="16" fillId="0" borderId="382" xfId="2" applyNumberFormat="1" applyFont="1" applyFill="1" applyBorder="1">
      <alignment vertical="center"/>
    </xf>
    <xf numFmtId="176" fontId="16" fillId="0" borderId="401" xfId="2" applyNumberFormat="1" applyFont="1" applyFill="1" applyBorder="1">
      <alignment vertical="center"/>
    </xf>
    <xf numFmtId="176" fontId="16" fillId="5" borderId="383" xfId="2" applyNumberFormat="1" applyFont="1" applyFill="1" applyBorder="1">
      <alignment vertical="center"/>
    </xf>
    <xf numFmtId="176" fontId="16" fillId="5" borderId="224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7" fillId="0" borderId="189" xfId="2" applyNumberFormat="1" applyFont="1" applyFill="1" applyBorder="1">
      <alignment vertical="center"/>
    </xf>
    <xf numFmtId="176" fontId="16" fillId="0" borderId="189" xfId="10" applyNumberFormat="1" applyFont="1" applyBorder="1">
      <alignment vertical="center"/>
    </xf>
    <xf numFmtId="176" fontId="16" fillId="0" borderId="228" xfId="10" applyNumberFormat="1" applyFont="1" applyBorder="1">
      <alignment vertical="center"/>
    </xf>
    <xf numFmtId="176" fontId="16" fillId="0" borderId="75" xfId="10" applyNumberFormat="1" applyFont="1" applyBorder="1">
      <alignment vertical="center"/>
    </xf>
    <xf numFmtId="176" fontId="16" fillId="0" borderId="365" xfId="10" applyNumberFormat="1" applyFont="1" applyBorder="1">
      <alignment vertical="center"/>
    </xf>
    <xf numFmtId="0" fontId="15" fillId="0" borderId="34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 wrapText="1"/>
    </xf>
    <xf numFmtId="0" fontId="44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7" fillId="0" borderId="37" xfId="0" applyFont="1" applyBorder="1" applyAlignment="1">
      <alignment horizontal="left" vertical="center" wrapText="1"/>
    </xf>
    <xf numFmtId="0" fontId="27" fillId="0" borderId="48" xfId="0" applyFont="1" applyBorder="1" applyAlignment="1">
      <alignment horizontal="left" vertical="center" wrapText="1"/>
    </xf>
    <xf numFmtId="0" fontId="27" fillId="0" borderId="34" xfId="0" applyFont="1" applyBorder="1" applyAlignment="1">
      <alignment horizontal="center" vertical="center" wrapText="1"/>
    </xf>
    <xf numFmtId="0" fontId="82" fillId="0" borderId="34" xfId="0" applyFont="1" applyBorder="1" applyAlignment="1">
      <alignment vertical="center" wrapText="1"/>
    </xf>
    <xf numFmtId="0" fontId="82" fillId="0" borderId="37" xfId="0" applyFont="1" applyBorder="1" applyAlignment="1">
      <alignment vertical="center" wrapText="1"/>
    </xf>
    <xf numFmtId="0" fontId="48" fillId="0" borderId="37" xfId="0" applyFont="1" applyBorder="1">
      <alignment vertical="center"/>
    </xf>
    <xf numFmtId="0" fontId="90" fillId="0" borderId="34" xfId="0" applyFont="1" applyBorder="1">
      <alignment vertical="center"/>
    </xf>
    <xf numFmtId="0" fontId="16" fillId="0" borderId="37" xfId="0" quotePrefix="1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27" fillId="0" borderId="37" xfId="0" quotePrefix="1" applyFont="1" applyBorder="1" applyAlignment="1">
      <alignment horizontal="left" vertical="center" wrapText="1"/>
    </xf>
    <xf numFmtId="0" fontId="27" fillId="0" borderId="37" xfId="0" applyFont="1" applyBorder="1" applyAlignment="1">
      <alignment vertical="center" wrapText="1"/>
    </xf>
    <xf numFmtId="0" fontId="15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09" xfId="0" applyBorder="1">
      <alignment vertical="center"/>
    </xf>
    <xf numFmtId="0" fontId="0" fillId="0" borderId="410" xfId="0" applyBorder="1">
      <alignment vertical="center"/>
    </xf>
    <xf numFmtId="0" fontId="0" fillId="0" borderId="411" xfId="0" applyBorder="1">
      <alignment vertical="center"/>
    </xf>
    <xf numFmtId="0" fontId="0" fillId="0" borderId="412" xfId="0" applyBorder="1">
      <alignment vertical="center"/>
    </xf>
    <xf numFmtId="0" fontId="0" fillId="0" borderId="413" xfId="0" applyBorder="1">
      <alignment vertical="center"/>
    </xf>
    <xf numFmtId="0" fontId="0" fillId="0" borderId="392" xfId="0" applyBorder="1">
      <alignment vertical="center"/>
    </xf>
    <xf numFmtId="0" fontId="0" fillId="5" borderId="391" xfId="0" applyFill="1" applyBorder="1">
      <alignment vertical="center"/>
    </xf>
    <xf numFmtId="0" fontId="0" fillId="5" borderId="392" xfId="0" applyFill="1" applyBorder="1">
      <alignment vertical="center"/>
    </xf>
    <xf numFmtId="0" fontId="0" fillId="0" borderId="391" xfId="0" applyBorder="1">
      <alignment vertical="center"/>
    </xf>
    <xf numFmtId="0" fontId="15" fillId="0" borderId="34" xfId="0" applyFont="1" applyBorder="1">
      <alignment vertical="center"/>
    </xf>
    <xf numFmtId="0" fontId="15" fillId="0" borderId="37" xfId="0" applyFont="1" applyBorder="1">
      <alignment vertical="center"/>
    </xf>
    <xf numFmtId="0" fontId="0" fillId="0" borderId="390" xfId="0" applyBorder="1">
      <alignment vertical="center"/>
    </xf>
    <xf numFmtId="0" fontId="15" fillId="0" borderId="392" xfId="0" applyFont="1" applyBorder="1">
      <alignment vertical="center"/>
    </xf>
    <xf numFmtId="0" fontId="0" fillId="0" borderId="105" xfId="0" applyBorder="1">
      <alignment vertical="center"/>
    </xf>
    <xf numFmtId="0" fontId="12" fillId="0" borderId="37" xfId="9" applyBorder="1" applyAlignment="1">
      <alignment horizontal="center" vertical="center" wrapText="1"/>
    </xf>
    <xf numFmtId="0" fontId="12" fillId="0" borderId="48" xfId="9" applyBorder="1" applyAlignment="1">
      <alignment horizontal="center" vertical="center" wrapText="1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3" fillId="4" borderId="11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 wrapText="1"/>
    </xf>
    <xf numFmtId="181" fontId="26" fillId="4" borderId="1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 wrapText="1"/>
    </xf>
    <xf numFmtId="181" fontId="13" fillId="4" borderId="2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/>
    </xf>
    <xf numFmtId="181" fontId="13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3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3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15" xfId="0" applyNumberFormat="1" applyFont="1" applyFill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 wrapText="1"/>
    </xf>
    <xf numFmtId="180" fontId="16" fillId="4" borderId="15" xfId="0" applyNumberFormat="1" applyFont="1" applyFill="1" applyBorder="1" applyAlignment="1">
      <alignment horizontal="center" vertical="center" wrapText="1"/>
    </xf>
    <xf numFmtId="180" fontId="16" fillId="4" borderId="18" xfId="0" applyNumberFormat="1" applyFont="1" applyFill="1" applyBorder="1" applyAlignment="1">
      <alignment horizontal="center" vertical="center" wrapText="1"/>
    </xf>
    <xf numFmtId="180" fontId="16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6" fillId="4" borderId="11" xfId="9" applyNumberFormat="1" applyFont="1" applyFill="1" applyBorder="1" applyAlignment="1">
      <alignment horizontal="center" vertical="center" wrapText="1"/>
    </xf>
    <xf numFmtId="180" fontId="16" fillId="4" borderId="15" xfId="9" applyNumberFormat="1" applyFont="1" applyFill="1" applyBorder="1" applyAlignment="1">
      <alignment horizontal="center" vertical="center" wrapText="1"/>
    </xf>
    <xf numFmtId="180" fontId="16" fillId="4" borderId="25" xfId="9" applyNumberFormat="1" applyFont="1" applyFill="1" applyBorder="1" applyAlignment="1">
      <alignment horizontal="center" vertical="center" wrapText="1"/>
    </xf>
    <xf numFmtId="180" fontId="16" fillId="4" borderId="11" xfId="9" applyNumberFormat="1" applyFont="1" applyFill="1" applyBorder="1" applyAlignment="1">
      <alignment horizontal="center" vertical="center"/>
    </xf>
    <xf numFmtId="180" fontId="16" fillId="4" borderId="15" xfId="9" applyNumberFormat="1" applyFont="1" applyFill="1" applyBorder="1" applyAlignment="1">
      <alignment horizontal="center" vertical="center"/>
    </xf>
    <xf numFmtId="180" fontId="32" fillId="4" borderId="11" xfId="9" applyNumberFormat="1" applyFont="1" applyFill="1" applyBorder="1" applyAlignment="1">
      <alignment horizontal="center" vertical="center" wrapText="1"/>
    </xf>
    <xf numFmtId="180" fontId="16" fillId="4" borderId="21" xfId="9" applyNumberFormat="1" applyFont="1" applyFill="1" applyBorder="1" applyAlignment="1">
      <alignment horizontal="center" vertical="center" wrapText="1"/>
    </xf>
    <xf numFmtId="180" fontId="16" fillId="4" borderId="47" xfId="9" applyNumberFormat="1" applyFont="1" applyFill="1" applyBorder="1" applyAlignment="1">
      <alignment horizontal="center" vertical="center" wrapText="1"/>
    </xf>
    <xf numFmtId="180" fontId="16" fillId="4" borderId="18" xfId="9" applyNumberFormat="1" applyFont="1" applyFill="1" applyBorder="1" applyAlignment="1">
      <alignment horizontal="center" vertical="center" wrapText="1"/>
    </xf>
    <xf numFmtId="180" fontId="16" fillId="4" borderId="41" xfId="9" applyNumberFormat="1" applyFont="1" applyFill="1" applyBorder="1" applyAlignment="1">
      <alignment horizontal="center" vertical="center" wrapText="1"/>
    </xf>
    <xf numFmtId="180" fontId="16" fillId="4" borderId="47" xfId="0" applyNumberFormat="1" applyFont="1" applyFill="1" applyBorder="1" applyAlignment="1">
      <alignment horizontal="center" vertical="center" wrapText="1"/>
    </xf>
    <xf numFmtId="180" fontId="16" fillId="4" borderId="41" xfId="0" applyNumberFormat="1" applyFon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 wrapText="1"/>
    </xf>
    <xf numFmtId="181" fontId="15" fillId="2" borderId="360" xfId="0" applyNumberFormat="1" applyFont="1" applyFill="1" applyBorder="1" applyAlignment="1">
      <alignment horizontal="center" vertical="center"/>
    </xf>
    <xf numFmtId="0" fontId="27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6" fillId="5" borderId="15" xfId="0" applyNumberFormat="1" applyFont="1" applyFill="1" applyBorder="1" applyAlignment="1">
      <alignment horizontal="center" vertical="center" wrapText="1"/>
    </xf>
    <xf numFmtId="180" fontId="16" fillId="5" borderId="18" xfId="0" applyNumberFormat="1" applyFont="1" applyFill="1" applyBorder="1" applyAlignment="1">
      <alignment horizontal="center" vertical="center" wrapText="1"/>
    </xf>
    <xf numFmtId="180" fontId="16" fillId="5" borderId="21" xfId="0" applyNumberFormat="1" applyFont="1" applyFill="1" applyBorder="1" applyAlignment="1">
      <alignment horizontal="center" vertical="center" wrapText="1"/>
    </xf>
    <xf numFmtId="0" fontId="102" fillId="8" borderId="6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horizontal="center" vertical="center" wrapText="1"/>
    </xf>
    <xf numFmtId="0" fontId="60" fillId="6" borderId="77" xfId="0" applyFont="1" applyFill="1" applyBorder="1" applyAlignment="1">
      <alignment horizontal="center" vertical="center" wrapText="1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58" fillId="0" borderId="173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9" fillId="7" borderId="6" xfId="0" applyFont="1" applyFill="1" applyBorder="1" applyAlignment="1">
      <alignment horizontal="center" vertical="center" wrapText="1"/>
    </xf>
    <xf numFmtId="0" fontId="58" fillId="0" borderId="125" xfId="0" applyFont="1" applyBorder="1" applyAlignment="1">
      <alignment horizontal="center" vertical="center" wrapText="1"/>
    </xf>
    <xf numFmtId="0" fontId="58" fillId="4" borderId="101" xfId="0" applyFont="1" applyFill="1" applyBorder="1" applyAlignment="1">
      <alignment horizontal="center" vertical="center"/>
    </xf>
    <xf numFmtId="0" fontId="58" fillId="0" borderId="218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58" fillId="0" borderId="175" xfId="0" applyFont="1" applyBorder="1" applyAlignment="1">
      <alignment horizontal="center" vertical="center"/>
    </xf>
    <xf numFmtId="0" fontId="58" fillId="0" borderId="179" xfId="0" applyFont="1" applyBorder="1" applyAlignment="1">
      <alignment horizontal="center" vertical="center"/>
    </xf>
    <xf numFmtId="0" fontId="58" fillId="0" borderId="79" xfId="0" applyFont="1" applyBorder="1" applyAlignment="1">
      <alignment horizontal="center" vertical="center"/>
    </xf>
    <xf numFmtId="0" fontId="58" fillId="0" borderId="180" xfId="0" applyFont="1" applyBorder="1" applyAlignment="1">
      <alignment horizontal="center" vertical="center"/>
    </xf>
    <xf numFmtId="0" fontId="58" fillId="0" borderId="178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8" fillId="4" borderId="125" xfId="0" applyFont="1" applyFill="1" applyBorder="1" applyAlignment="1">
      <alignment horizontal="center" vertical="center" wrapText="1"/>
    </xf>
    <xf numFmtId="0" fontId="58" fillId="0" borderId="227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60" fillId="6" borderId="6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0" borderId="71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136" xfId="0" applyFont="1" applyBorder="1" applyAlignment="1">
      <alignment horizontal="center" vertical="center"/>
    </xf>
    <xf numFmtId="176" fontId="15" fillId="6" borderId="365" xfId="2" applyNumberFormat="1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3" fillId="0" borderId="101" xfId="0" applyFont="1" applyBorder="1" applyAlignment="1">
      <alignment horizontal="center" vertical="center"/>
    </xf>
    <xf numFmtId="0" fontId="43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3" fillId="0" borderId="140" xfId="0" applyFont="1" applyBorder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9" fillId="0" borderId="140" xfId="0" applyFont="1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3" fillId="7" borderId="201" xfId="0" applyFont="1" applyFill="1" applyBorder="1" applyAlignment="1">
      <alignment horizontal="center" vertical="center" wrapText="1"/>
    </xf>
    <xf numFmtId="0" fontId="81" fillId="0" borderId="193" xfId="9" applyFont="1" applyBorder="1" applyAlignment="1">
      <alignment horizontal="center" vertical="center"/>
    </xf>
    <xf numFmtId="0" fontId="81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0" fontId="15" fillId="9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5" fillId="5" borderId="135" xfId="0" applyFont="1" applyFill="1" applyBorder="1" applyAlignment="1">
      <alignment horizontal="center" vertical="center" wrapText="1"/>
    </xf>
    <xf numFmtId="0" fontId="49" fillId="5" borderId="135" xfId="0" applyFont="1" applyFill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1" fillId="0" borderId="204" xfId="9" applyFont="1" applyBorder="1" applyAlignment="1">
      <alignment horizontal="center" vertical="center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3" fillId="6" borderId="194" xfId="2" applyNumberFormat="1" applyFont="1" applyFill="1" applyBorder="1" applyAlignment="1">
      <alignment horizontal="center" vertical="center"/>
    </xf>
    <xf numFmtId="176" fontId="26" fillId="6" borderId="418" xfId="2" applyNumberFormat="1" applyFont="1" applyFill="1" applyBorder="1" applyAlignment="1">
      <alignment horizontal="center" vertical="center"/>
    </xf>
    <xf numFmtId="199" fontId="16" fillId="0" borderId="193" xfId="2" applyNumberFormat="1" applyFont="1" applyBorder="1">
      <alignment vertical="center"/>
    </xf>
    <xf numFmtId="199" fontId="16" fillId="0" borderId="206" xfId="2" applyNumberFormat="1" applyFont="1" applyBorder="1">
      <alignment vertical="center"/>
    </xf>
    <xf numFmtId="199" fontId="16" fillId="0" borderId="193" xfId="2" applyNumberFormat="1" applyFont="1" applyFill="1" applyBorder="1">
      <alignment vertical="center"/>
    </xf>
    <xf numFmtId="199" fontId="16" fillId="0" borderId="194" xfId="2" applyNumberFormat="1" applyFont="1" applyFill="1" applyBorder="1">
      <alignment vertical="center"/>
    </xf>
    <xf numFmtId="176" fontId="15" fillId="6" borderId="106" xfId="2" applyNumberFormat="1" applyFont="1" applyFill="1" applyBorder="1" applyAlignment="1">
      <alignment horizontal="center" vertical="center"/>
    </xf>
    <xf numFmtId="176" fontId="15" fillId="6" borderId="401" xfId="2" applyNumberFormat="1" applyFont="1" applyFill="1" applyBorder="1" applyAlignment="1">
      <alignment horizontal="center" vertical="center"/>
    </xf>
    <xf numFmtId="199" fontId="16" fillId="0" borderId="35" xfId="2" applyNumberFormat="1" applyFont="1" applyBorder="1">
      <alignment vertical="center"/>
    </xf>
    <xf numFmtId="199" fontId="16" fillId="0" borderId="189" xfId="2" applyNumberFormat="1" applyFont="1" applyBorder="1">
      <alignment vertical="center"/>
    </xf>
    <xf numFmtId="199" fontId="16" fillId="0" borderId="38" xfId="2" applyNumberFormat="1" applyFont="1" applyBorder="1">
      <alignment vertical="center"/>
    </xf>
    <xf numFmtId="199" fontId="16" fillId="0" borderId="75" xfId="2" applyNumberFormat="1" applyFont="1" applyBorder="1">
      <alignment vertical="center"/>
    </xf>
    <xf numFmtId="199" fontId="45" fillId="0" borderId="38" xfId="2" applyNumberFormat="1" applyFont="1" applyFill="1" applyBorder="1" applyAlignment="1">
      <alignment vertical="center"/>
    </xf>
    <xf numFmtId="199" fontId="16" fillId="0" borderId="38" xfId="2" applyNumberFormat="1" applyFont="1" applyBorder="1" applyAlignment="1">
      <alignment vertical="center"/>
    </xf>
    <xf numFmtId="199" fontId="16" fillId="0" borderId="49" xfId="2" applyNumberFormat="1" applyFont="1" applyBorder="1">
      <alignment vertical="center"/>
    </xf>
    <xf numFmtId="199" fontId="16" fillId="0" borderId="365" xfId="2" applyNumberFormat="1" applyFont="1" applyBorder="1">
      <alignment vertical="center"/>
    </xf>
    <xf numFmtId="199" fontId="16" fillId="0" borderId="38" xfId="2" applyNumberFormat="1" applyFont="1" applyFill="1" applyBorder="1" applyAlignment="1">
      <alignment vertical="center"/>
    </xf>
    <xf numFmtId="199" fontId="16" fillId="0" borderId="424" xfId="2" applyNumberFormat="1" applyFont="1" applyFill="1" applyBorder="1">
      <alignment vertical="center"/>
    </xf>
    <xf numFmtId="199" fontId="16" fillId="0" borderId="382" xfId="2" applyNumberFormat="1" applyFont="1" applyFill="1" applyBorder="1">
      <alignment vertical="center"/>
    </xf>
    <xf numFmtId="199" fontId="16" fillId="0" borderId="424" xfId="2" applyNumberFormat="1" applyFont="1" applyBorder="1">
      <alignment vertical="center"/>
    </xf>
    <xf numFmtId="199" fontId="16" fillId="0" borderId="382" xfId="2" applyNumberFormat="1" applyFont="1" applyBorder="1">
      <alignment vertical="center"/>
    </xf>
    <xf numFmtId="199" fontId="16" fillId="0" borderId="38" xfId="2" applyNumberFormat="1" applyFont="1" applyFill="1" applyBorder="1">
      <alignment vertical="center"/>
    </xf>
    <xf numFmtId="199" fontId="16" fillId="0" borderId="75" xfId="2" applyNumberFormat="1" applyFont="1" applyFill="1" applyBorder="1">
      <alignment vertical="center"/>
    </xf>
    <xf numFmtId="199" fontId="16" fillId="0" borderId="425" xfId="2" applyNumberFormat="1" applyFont="1" applyBorder="1">
      <alignment vertical="center"/>
    </xf>
    <xf numFmtId="199" fontId="16" fillId="0" borderId="224" xfId="2" applyNumberFormat="1" applyFont="1" applyBorder="1">
      <alignment vertical="center"/>
    </xf>
    <xf numFmtId="199" fontId="16" fillId="0" borderId="49" xfId="2" applyNumberFormat="1" applyFont="1" applyBorder="1" applyAlignment="1">
      <alignment vertical="center"/>
    </xf>
    <xf numFmtId="199" fontId="16" fillId="0" borderId="45" xfId="2" applyNumberFormat="1" applyFont="1" applyBorder="1">
      <alignment vertical="center"/>
    </xf>
    <xf numFmtId="199" fontId="16" fillId="0" borderId="92" xfId="2" applyNumberFormat="1" applyFont="1" applyBorder="1">
      <alignment vertical="center"/>
    </xf>
    <xf numFmtId="199" fontId="16" fillId="0" borderId="55" xfId="2" applyNumberFormat="1" applyFont="1" applyBorder="1" applyAlignment="1">
      <alignment vertical="center"/>
    </xf>
    <xf numFmtId="199" fontId="16" fillId="0" borderId="199" xfId="2" applyNumberFormat="1" applyFont="1" applyBorder="1" applyAlignment="1">
      <alignment vertical="center"/>
    </xf>
    <xf numFmtId="199" fontId="16" fillId="0" borderId="45" xfId="2" applyNumberFormat="1" applyFont="1" applyBorder="1" applyAlignment="1">
      <alignment vertical="center"/>
    </xf>
    <xf numFmtId="199" fontId="16" fillId="0" borderId="106" xfId="2" applyNumberFormat="1" applyFont="1" applyBorder="1" applyAlignment="1">
      <alignment vertical="center"/>
    </xf>
    <xf numFmtId="199" fontId="16" fillId="0" borderId="426" xfId="2" applyNumberFormat="1" applyFont="1" applyBorder="1" applyAlignment="1">
      <alignment vertical="center"/>
    </xf>
    <xf numFmtId="199" fontId="16" fillId="0" borderId="106" xfId="2" applyNumberFormat="1" applyFont="1" applyFill="1" applyBorder="1">
      <alignment vertical="center"/>
    </xf>
    <xf numFmtId="199" fontId="16" fillId="5" borderId="427" xfId="2" applyNumberFormat="1" applyFont="1" applyFill="1" applyBorder="1">
      <alignment vertical="center"/>
    </xf>
    <xf numFmtId="199" fontId="16" fillId="5" borderId="425" xfId="2" applyNumberFormat="1" applyFont="1" applyFill="1" applyBorder="1">
      <alignment vertical="center"/>
    </xf>
    <xf numFmtId="199" fontId="16" fillId="0" borderId="427" xfId="2" applyNumberFormat="1" applyFont="1" applyBorder="1">
      <alignment vertical="center"/>
    </xf>
    <xf numFmtId="199" fontId="16" fillId="0" borderId="383" xfId="2" applyNumberFormat="1" applyFont="1" applyBorder="1">
      <alignment vertical="center"/>
    </xf>
    <xf numFmtId="0" fontId="5" fillId="0" borderId="247" xfId="9" applyFont="1" applyBorder="1" applyAlignment="1">
      <alignment horizontal="center" vertical="center" wrapText="1"/>
    </xf>
    <xf numFmtId="199" fontId="16" fillId="0" borderId="193" xfId="2" applyNumberFormat="1" applyFont="1" applyBorder="1" applyAlignment="1">
      <alignment vertical="center"/>
    </xf>
    <xf numFmtId="0" fontId="5" fillId="0" borderId="409" xfId="9" applyFont="1" applyBorder="1">
      <alignment vertical="center"/>
    </xf>
    <xf numFmtId="0" fontId="5" fillId="0" borderId="413" xfId="9" applyFont="1" applyBorder="1">
      <alignment vertical="center"/>
    </xf>
    <xf numFmtId="0" fontId="5" fillId="0" borderId="248" xfId="9" applyFont="1" applyBorder="1" applyAlignment="1">
      <alignment horizontal="center" vertical="center" wrapText="1"/>
    </xf>
    <xf numFmtId="199" fontId="16" fillId="0" borderId="194" xfId="2" applyNumberFormat="1" applyFont="1" applyBorder="1" applyAlignment="1">
      <alignment vertical="center"/>
    </xf>
    <xf numFmtId="0" fontId="5" fillId="0" borderId="412" xfId="9" applyFont="1" applyBorder="1">
      <alignment vertical="center"/>
    </xf>
    <xf numFmtId="0" fontId="5" fillId="0" borderId="411" xfId="9" applyFont="1" applyBorder="1">
      <alignment vertical="center"/>
    </xf>
    <xf numFmtId="0" fontId="5" fillId="0" borderId="246" xfId="9" applyFont="1" applyBorder="1" applyAlignment="1">
      <alignment horizontal="center" vertical="center" wrapText="1"/>
    </xf>
    <xf numFmtId="0" fontId="5" fillId="0" borderId="414" xfId="9" applyFont="1" applyBorder="1">
      <alignment vertical="center"/>
    </xf>
    <xf numFmtId="0" fontId="5" fillId="0" borderId="415" xfId="9" applyFont="1" applyBorder="1">
      <alignment vertical="center"/>
    </xf>
    <xf numFmtId="0" fontId="5" fillId="0" borderId="393" xfId="9" applyFont="1" applyBorder="1">
      <alignment vertical="center"/>
    </xf>
    <xf numFmtId="0" fontId="5" fillId="0" borderId="249" xfId="9" applyFont="1" applyBorder="1" applyAlignment="1">
      <alignment horizontal="center" vertical="center" wrapText="1"/>
    </xf>
    <xf numFmtId="0" fontId="5" fillId="0" borderId="250" xfId="9" applyFont="1" applyBorder="1" applyAlignment="1">
      <alignment horizontal="center" vertical="center" wrapText="1"/>
    </xf>
    <xf numFmtId="199" fontId="16" fillId="0" borderId="201" xfId="2" applyNumberFormat="1" applyFont="1" applyBorder="1" applyAlignment="1">
      <alignment vertical="center"/>
    </xf>
    <xf numFmtId="0" fontId="5" fillId="0" borderId="101" xfId="9" applyFont="1" applyBorder="1" applyAlignment="1">
      <alignment horizontal="center" vertical="center" wrapText="1"/>
    </xf>
    <xf numFmtId="0" fontId="75" fillId="0" borderId="101" xfId="9" applyFont="1" applyBorder="1" applyAlignment="1">
      <alignment horizontal="center" vertical="center" wrapText="1"/>
    </xf>
    <xf numFmtId="0" fontId="49" fillId="0" borderId="101" xfId="9" applyFont="1" applyBorder="1" applyAlignment="1">
      <alignment horizontal="center" vertical="center" wrapText="1"/>
    </xf>
    <xf numFmtId="0" fontId="5" fillId="0" borderId="77" xfId="9" applyFont="1" applyBorder="1" applyAlignment="1">
      <alignment horizontal="center" vertical="center" wrapText="1"/>
    </xf>
    <xf numFmtId="0" fontId="75" fillId="0" borderId="77" xfId="9" applyFont="1" applyBorder="1" applyAlignment="1">
      <alignment horizontal="center" vertical="center" wrapText="1"/>
    </xf>
    <xf numFmtId="0" fontId="49" fillId="0" borderId="77" xfId="9" applyFont="1" applyBorder="1" applyAlignment="1">
      <alignment horizontal="center" vertical="center" wrapText="1"/>
    </xf>
    <xf numFmtId="0" fontId="5" fillId="6" borderId="102" xfId="9" applyFont="1" applyFill="1" applyBorder="1" applyAlignment="1">
      <alignment horizontal="center" vertical="center" wrapText="1"/>
    </xf>
    <xf numFmtId="199" fontId="16" fillId="0" borderId="200" xfId="2" applyNumberFormat="1" applyFont="1" applyBorder="1" applyAlignment="1">
      <alignment vertical="center"/>
    </xf>
    <xf numFmtId="0" fontId="5" fillId="0" borderId="245" xfId="9" applyFont="1" applyBorder="1" applyAlignment="1">
      <alignment horizontal="center" vertical="center" wrapText="1"/>
    </xf>
    <xf numFmtId="199" fontId="16" fillId="0" borderId="192" xfId="2" applyNumberFormat="1" applyFont="1" applyBorder="1" applyAlignment="1">
      <alignment vertical="center"/>
    </xf>
    <xf numFmtId="199" fontId="16" fillId="0" borderId="35" xfId="2" applyNumberFormat="1" applyFont="1" applyFill="1" applyBorder="1">
      <alignment vertical="center"/>
    </xf>
    <xf numFmtId="199" fontId="16" fillId="0" borderId="49" xfId="2" applyNumberFormat="1" applyFont="1" applyFill="1" applyBorder="1">
      <alignment vertical="center"/>
    </xf>
    <xf numFmtId="199" fontId="16" fillId="0" borderId="365" xfId="2" applyNumberFormat="1" applyFont="1" applyFill="1" applyBorder="1">
      <alignment vertical="center"/>
    </xf>
    <xf numFmtId="199" fontId="16" fillId="0" borderId="75" xfId="2" applyNumberFormat="1" applyFont="1" applyFill="1" applyBorder="1" applyAlignment="1">
      <alignment vertical="center"/>
    </xf>
    <xf numFmtId="199" fontId="16" fillId="0" borderId="49" xfId="2" applyNumberFormat="1" applyFont="1" applyFill="1" applyBorder="1" applyAlignment="1">
      <alignment vertical="center"/>
    </xf>
    <xf numFmtId="199" fontId="16" fillId="0" borderId="425" xfId="2" applyNumberFormat="1" applyFont="1" applyFill="1" applyBorder="1">
      <alignment vertical="center"/>
    </xf>
    <xf numFmtId="199" fontId="16" fillId="0" borderId="224" xfId="2" applyNumberFormat="1" applyFont="1" applyFill="1" applyBorder="1">
      <alignment vertical="center"/>
    </xf>
    <xf numFmtId="199" fontId="16" fillId="0" borderId="104" xfId="2" applyNumberFormat="1" applyFont="1" applyBorder="1">
      <alignment vertical="center"/>
    </xf>
    <xf numFmtId="199" fontId="16" fillId="0" borderId="387" xfId="2" applyNumberFormat="1" applyFont="1" applyBorder="1">
      <alignment vertical="center"/>
    </xf>
    <xf numFmtId="199" fontId="16" fillId="0" borderId="55" xfId="2" applyNumberFormat="1" applyFont="1" applyBorder="1">
      <alignment vertical="center"/>
    </xf>
    <xf numFmtId="0" fontId="5" fillId="0" borderId="34" xfId="9" applyFont="1" applyBorder="1">
      <alignment vertical="center"/>
    </xf>
    <xf numFmtId="0" fontId="5" fillId="0" borderId="6" xfId="9" applyFont="1" applyBorder="1" applyAlignment="1">
      <alignment horizontal="center" vertical="center" wrapText="1"/>
    </xf>
    <xf numFmtId="0" fontId="5" fillId="0" borderId="37" xfId="9" applyFont="1" applyBorder="1">
      <alignment vertical="center"/>
    </xf>
    <xf numFmtId="0" fontId="5" fillId="0" borderId="182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vertical="center"/>
    </xf>
    <xf numFmtId="176" fontId="16" fillId="0" borderId="92" xfId="10" applyNumberFormat="1" applyFont="1" applyBorder="1" applyAlignment="1">
      <alignment vertical="center"/>
    </xf>
    <xf numFmtId="0" fontId="5" fillId="0" borderId="196" xfId="9" applyFont="1" applyBorder="1" applyAlignment="1">
      <alignment horizontal="center" vertical="center" wrapText="1"/>
    </xf>
    <xf numFmtId="0" fontId="5" fillId="0" borderId="136" xfId="9" applyFont="1" applyBorder="1" applyAlignment="1">
      <alignment horizontal="center" vertical="center" wrapText="1"/>
    </xf>
    <xf numFmtId="176" fontId="16" fillId="0" borderId="401" xfId="10" applyNumberFormat="1" applyFont="1" applyBorder="1" applyAlignment="1">
      <alignment vertical="center"/>
    </xf>
    <xf numFmtId="0" fontId="5" fillId="0" borderId="48" xfId="9" applyFont="1" applyBorder="1">
      <alignment vertical="center"/>
    </xf>
    <xf numFmtId="0" fontId="5" fillId="0" borderId="102" xfId="9" applyFont="1" applyBorder="1" applyAlignment="1">
      <alignment horizontal="center" vertical="center" wrapText="1"/>
    </xf>
    <xf numFmtId="176" fontId="15" fillId="6" borderId="202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2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2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6" fillId="0" borderId="205" xfId="2" applyNumberFormat="1" applyFont="1" applyBorder="1">
      <alignment vertical="center"/>
    </xf>
    <xf numFmtId="0" fontId="27" fillId="0" borderId="390" xfId="0" applyFont="1" applyBorder="1" applyAlignment="1">
      <alignment horizontal="left" vertical="center"/>
    </xf>
    <xf numFmtId="0" fontId="27" fillId="0" borderId="37" xfId="0" quotePrefix="1" applyFont="1" applyBorder="1" applyAlignment="1">
      <alignment horizontal="left" vertical="center"/>
    </xf>
    <xf numFmtId="0" fontId="82" fillId="0" borderId="37" xfId="0" quotePrefix="1" applyFont="1" applyBorder="1" applyAlignment="1">
      <alignment horizontal="left" vertical="center"/>
    </xf>
    <xf numFmtId="0" fontId="82" fillId="0" borderId="37" xfId="0" applyFont="1" applyBorder="1" applyAlignment="1">
      <alignment horizontal="left" vertical="center"/>
    </xf>
    <xf numFmtId="199" fontId="16" fillId="0" borderId="431" xfId="2" applyNumberFormat="1" applyFont="1" applyBorder="1">
      <alignment vertical="center"/>
    </xf>
    <xf numFmtId="199" fontId="16" fillId="0" borderId="201" xfId="2" applyNumberFormat="1" applyFont="1" applyBorder="1">
      <alignment vertical="center"/>
    </xf>
    <xf numFmtId="199" fontId="16" fillId="0" borderId="271" xfId="2" applyNumberFormat="1" applyFont="1" applyBorder="1">
      <alignment vertical="center"/>
    </xf>
    <xf numFmtId="199" fontId="16" fillId="0" borderId="207" xfId="2" applyNumberFormat="1" applyFont="1" applyBorder="1">
      <alignment vertical="center"/>
    </xf>
    <xf numFmtId="0" fontId="27" fillId="0" borderId="391" xfId="0" applyFont="1" applyBorder="1" applyAlignment="1">
      <alignment horizontal="left" vertical="center"/>
    </xf>
    <xf numFmtId="0" fontId="27" fillId="0" borderId="392" xfId="0" applyFont="1" applyBorder="1" applyAlignment="1">
      <alignment horizontal="left" vertical="center"/>
    </xf>
    <xf numFmtId="199" fontId="98" fillId="0" borderId="193" xfId="2" applyNumberFormat="1" applyFont="1" applyBorder="1">
      <alignment vertical="center"/>
    </xf>
    <xf numFmtId="0" fontId="94" fillId="0" borderId="54" xfId="0" applyFont="1" applyBorder="1" applyAlignment="1">
      <alignment horizontal="left" vertical="center"/>
    </xf>
    <xf numFmtId="199" fontId="16" fillId="0" borderId="430" xfId="2" applyNumberFormat="1" applyFont="1" applyBorder="1">
      <alignment vertical="center"/>
    </xf>
    <xf numFmtId="0" fontId="27" fillId="0" borderId="388" xfId="0" applyFont="1" applyBorder="1" applyAlignment="1">
      <alignment horizontal="left" vertical="center"/>
    </xf>
    <xf numFmtId="199" fontId="16" fillId="0" borderId="206" xfId="2" applyNumberFormat="1" applyFont="1" applyFill="1" applyBorder="1">
      <alignment vertical="center"/>
    </xf>
    <xf numFmtId="199" fontId="16" fillId="0" borderId="194" xfId="2" applyNumberFormat="1" applyFont="1" applyBorder="1">
      <alignment vertical="center"/>
    </xf>
    <xf numFmtId="199" fontId="16" fillId="0" borderId="432" xfId="2" applyNumberFormat="1" applyFont="1" applyBorder="1">
      <alignment vertical="center"/>
    </xf>
    <xf numFmtId="0" fontId="0" fillId="0" borderId="394" xfId="0" applyBorder="1" applyAlignment="1">
      <alignment horizontal="left" vertical="center"/>
    </xf>
    <xf numFmtId="0" fontId="0" fillId="0" borderId="395" xfId="0" applyBorder="1" applyAlignment="1">
      <alignment horizontal="left" vertical="center"/>
    </xf>
    <xf numFmtId="199" fontId="16" fillId="0" borderId="433" xfId="2" applyNumberFormat="1" applyFont="1" applyBorder="1">
      <alignment vertical="center"/>
    </xf>
    <xf numFmtId="0" fontId="27" fillId="0" borderId="389" xfId="0" applyFont="1" applyBorder="1" applyAlignment="1">
      <alignment horizontal="left" vertical="center"/>
    </xf>
    <xf numFmtId="176" fontId="16" fillId="0" borderId="189" xfId="2" applyNumberFormat="1" applyFont="1" applyBorder="1" applyAlignment="1">
      <alignment horizontal="center" vertical="center"/>
    </xf>
    <xf numFmtId="199" fontId="16" fillId="0" borderId="19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6" fillId="0" borderId="365" xfId="2" applyNumberFormat="1" applyFont="1" applyBorder="1" applyAlignment="1">
      <alignment vertical="center"/>
    </xf>
    <xf numFmtId="176" fontId="16" fillId="0" borderId="189" xfId="2" applyNumberFormat="1" applyFont="1" applyBorder="1" applyAlignment="1">
      <alignment vertical="center"/>
    </xf>
    <xf numFmtId="199" fontId="16" fillId="0" borderId="200" xfId="2" applyNumberFormat="1" applyFont="1" applyBorder="1">
      <alignment vertical="center"/>
    </xf>
    <xf numFmtId="199" fontId="16" fillId="0" borderId="434" xfId="2" applyNumberFormat="1" applyFont="1" applyBorder="1">
      <alignment vertical="center"/>
    </xf>
    <xf numFmtId="199" fontId="16" fillId="0" borderId="436" xfId="2" applyNumberFormat="1" applyFont="1" applyBorder="1">
      <alignment vertical="center"/>
    </xf>
    <xf numFmtId="199" fontId="16" fillId="0" borderId="438" xfId="2" applyNumberFormat="1" applyFont="1" applyBorder="1">
      <alignment vertical="center"/>
    </xf>
    <xf numFmtId="176" fontId="16" fillId="0" borderId="387" xfId="2" applyNumberFormat="1" applyFont="1" applyBorder="1" applyAlignment="1">
      <alignment vertical="center"/>
    </xf>
    <xf numFmtId="199" fontId="16" fillId="0" borderId="364" xfId="2" applyNumberFormat="1" applyFont="1" applyBorder="1">
      <alignment vertical="center"/>
    </xf>
    <xf numFmtId="0" fontId="27" fillId="0" borderId="105" xfId="0" applyFont="1" applyBorder="1" applyAlignment="1">
      <alignment horizontal="left" vertical="center"/>
    </xf>
    <xf numFmtId="0" fontId="58" fillId="0" borderId="174" xfId="0" applyFont="1" applyBorder="1">
      <alignment vertical="center"/>
    </xf>
    <xf numFmtId="0" fontId="58" fillId="4" borderId="115" xfId="0" applyFont="1" applyFill="1" applyBorder="1">
      <alignment vertical="center"/>
    </xf>
    <xf numFmtId="0" fontId="58" fillId="0" borderId="115" xfId="0" applyFont="1" applyBorder="1" applyAlignment="1">
      <alignment vertical="center" wrapText="1"/>
    </xf>
    <xf numFmtId="0" fontId="67" fillId="6" borderId="174" xfId="0" applyFont="1" applyFill="1" applyBorder="1" applyAlignment="1">
      <alignment horizontal="center" vertical="center" wrapText="1"/>
    </xf>
    <xf numFmtId="0" fontId="67" fillId="7" borderId="220" xfId="0" applyFont="1" applyFill="1" applyBorder="1" applyAlignment="1">
      <alignment horizontal="center" vertical="center" wrapText="1"/>
    </xf>
    <xf numFmtId="0" fontId="58" fillId="0" borderId="222" xfId="0" applyFont="1" applyBorder="1">
      <alignment vertical="center"/>
    </xf>
    <xf numFmtId="0" fontId="58" fillId="0" borderId="175" xfId="0" applyFont="1" applyBorder="1">
      <alignment vertical="center"/>
    </xf>
    <xf numFmtId="0" fontId="58" fillId="0" borderId="173" xfId="0" applyFont="1" applyBorder="1">
      <alignment vertical="center"/>
    </xf>
    <xf numFmtId="199" fontId="58" fillId="6" borderId="96" xfId="2" applyNumberFormat="1" applyFont="1" applyFill="1" applyBorder="1" applyAlignment="1" applyProtection="1">
      <alignment horizontal="center" vertical="center"/>
    </xf>
    <xf numFmtId="199" fontId="58" fillId="7" borderId="150" xfId="2" applyNumberFormat="1" applyFont="1" applyFill="1" applyBorder="1" applyAlignment="1" applyProtection="1">
      <alignment horizontal="center" vertical="center"/>
    </xf>
    <xf numFmtId="199" fontId="58" fillId="6" borderId="94" xfId="2" applyNumberFormat="1" applyFont="1" applyFill="1" applyBorder="1" applyAlignment="1" applyProtection="1">
      <alignment horizontal="center" vertical="center"/>
    </xf>
    <xf numFmtId="199" fontId="58" fillId="7" borderId="75" xfId="2" applyNumberFormat="1" applyFont="1" applyFill="1" applyBorder="1" applyAlignment="1" applyProtection="1">
      <alignment horizontal="center" vertical="center"/>
    </xf>
    <xf numFmtId="0" fontId="58" fillId="0" borderId="125" xfId="0" applyFont="1" applyBorder="1">
      <alignment vertical="center"/>
    </xf>
    <xf numFmtId="199" fontId="58" fillId="12" borderId="75" xfId="2" applyNumberFormat="1" applyFont="1" applyFill="1" applyBorder="1" applyAlignment="1" applyProtection="1">
      <alignment horizontal="center" vertical="center"/>
    </xf>
    <xf numFmtId="0" fontId="58" fillId="0" borderId="102" xfId="0" applyFont="1" applyBorder="1">
      <alignment vertical="center"/>
    </xf>
    <xf numFmtId="0" fontId="60" fillId="0" borderId="86" xfId="0" applyFont="1" applyBorder="1" applyAlignment="1">
      <alignment horizontal="center" vertical="center" wrapText="1"/>
    </xf>
    <xf numFmtId="0" fontId="60" fillId="6" borderId="442" xfId="0" applyFont="1" applyFill="1" applyBorder="1" applyAlignment="1">
      <alignment vertical="center" wrapText="1"/>
    </xf>
    <xf numFmtId="0" fontId="59" fillId="7" borderId="442" xfId="0" applyFont="1" applyFill="1" applyBorder="1" applyAlignment="1">
      <alignment vertical="center" wrapText="1"/>
    </xf>
    <xf numFmtId="0" fontId="58" fillId="0" borderId="176" xfId="0" applyFont="1" applyBorder="1">
      <alignment vertical="center"/>
    </xf>
    <xf numFmtId="199" fontId="58" fillId="0" borderId="443" xfId="2" applyNumberFormat="1" applyFont="1" applyFill="1" applyBorder="1" applyAlignment="1" applyProtection="1">
      <alignment horizontal="center" vertical="center"/>
    </xf>
    <xf numFmtId="199" fontId="58" fillId="0" borderId="75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>
      <alignment vertical="center"/>
    </xf>
    <xf numFmtId="0" fontId="60" fillId="6" borderId="101" xfId="0" applyFont="1" applyFill="1" applyBorder="1">
      <alignment vertical="center"/>
    </xf>
    <xf numFmtId="199" fontId="58" fillId="6" borderId="443" xfId="2" applyNumberFormat="1" applyFont="1" applyFill="1" applyBorder="1" applyAlignment="1" applyProtection="1">
      <alignment horizontal="center" vertical="center"/>
    </xf>
    <xf numFmtId="0" fontId="58" fillId="0" borderId="179" xfId="0" applyFont="1" applyBorder="1">
      <alignment vertical="center"/>
    </xf>
    <xf numFmtId="0" fontId="58" fillId="0" borderId="79" xfId="0" applyFont="1" applyBorder="1">
      <alignment vertical="center"/>
    </xf>
    <xf numFmtId="0" fontId="58" fillId="0" borderId="180" xfId="0" applyFont="1" applyBorder="1">
      <alignment vertical="center"/>
    </xf>
    <xf numFmtId="0" fontId="59" fillId="0" borderId="75" xfId="0" applyFont="1" applyBorder="1" applyAlignment="1">
      <alignment horizontal="center" vertical="center" wrapText="1"/>
    </xf>
    <xf numFmtId="0" fontId="60" fillId="0" borderId="444" xfId="0" applyFont="1" applyBorder="1" applyAlignment="1">
      <alignment vertical="center" wrapText="1"/>
    </xf>
    <xf numFmtId="0" fontId="59" fillId="0" borderId="367" xfId="0" applyFont="1" applyBorder="1" applyAlignment="1">
      <alignment vertical="center" wrapText="1"/>
    </xf>
    <xf numFmtId="0" fontId="61" fillId="0" borderId="82" xfId="0" quotePrefix="1" applyFont="1" applyBorder="1" applyAlignment="1">
      <alignment horizontal="center" vertical="center"/>
    </xf>
    <xf numFmtId="0" fontId="58" fillId="0" borderId="227" xfId="0" applyFont="1" applyBorder="1">
      <alignment vertical="center"/>
    </xf>
    <xf numFmtId="0" fontId="58" fillId="0" borderId="80" xfId="0" applyFont="1" applyBorder="1">
      <alignment vertical="center"/>
    </xf>
    <xf numFmtId="0" fontId="58" fillId="0" borderId="178" xfId="0" applyFont="1" applyBorder="1">
      <alignment vertical="center"/>
    </xf>
    <xf numFmtId="0" fontId="58" fillId="16" borderId="79" xfId="0" applyFont="1" applyFill="1" applyBorder="1">
      <alignment vertical="center"/>
    </xf>
    <xf numFmtId="0" fontId="58" fillId="16" borderId="179" xfId="0" applyFont="1" applyFill="1" applyBorder="1">
      <alignment vertical="center"/>
    </xf>
    <xf numFmtId="199" fontId="58" fillId="24" borderId="94" xfId="2" applyNumberFormat="1" applyFont="1" applyFill="1" applyBorder="1" applyAlignment="1" applyProtection="1">
      <alignment horizontal="center" vertical="center"/>
    </xf>
    <xf numFmtId="199" fontId="58" fillId="24" borderId="75" xfId="2" applyNumberFormat="1" applyFont="1" applyFill="1" applyBorder="1" applyAlignment="1" applyProtection="1">
      <alignment horizontal="center" vertical="center"/>
    </xf>
    <xf numFmtId="0" fontId="60" fillId="6" borderId="102" xfId="0" applyFont="1" applyFill="1" applyBorder="1" applyAlignment="1">
      <alignment vertical="center" wrapText="1"/>
    </xf>
    <xf numFmtId="0" fontId="59" fillId="11" borderId="102" xfId="0" applyFont="1" applyFill="1" applyBorder="1" applyAlignment="1">
      <alignment vertical="center" wrapText="1"/>
    </xf>
    <xf numFmtId="0" fontId="60" fillId="6" borderId="125" xfId="0" applyFont="1" applyFill="1" applyBorder="1">
      <alignment vertical="center"/>
    </xf>
    <xf numFmtId="0" fontId="59" fillId="7" borderId="125" xfId="0" applyFont="1" applyFill="1" applyBorder="1">
      <alignment vertical="center"/>
    </xf>
    <xf numFmtId="0" fontId="60" fillId="6" borderId="125" xfId="0" applyFont="1" applyFill="1" applyBorder="1" applyAlignment="1">
      <alignment vertical="center" wrapText="1"/>
    </xf>
    <xf numFmtId="0" fontId="59" fillId="7" borderId="125" xfId="0" applyFont="1" applyFill="1" applyBorder="1" applyAlignment="1">
      <alignment vertical="center" wrapText="1"/>
    </xf>
    <xf numFmtId="0" fontId="58" fillId="11" borderId="96" xfId="0" applyFont="1" applyFill="1" applyBorder="1">
      <alignment vertical="center"/>
    </xf>
    <xf numFmtId="0" fontId="58" fillId="11" borderId="94" xfId="0" applyFont="1" applyFill="1" applyBorder="1">
      <alignment vertical="center"/>
    </xf>
    <xf numFmtId="0" fontId="58" fillId="11" borderId="91" xfId="0" applyFont="1" applyFill="1" applyBorder="1">
      <alignment vertical="center"/>
    </xf>
    <xf numFmtId="0" fontId="60" fillId="6" borderId="115" xfId="0" applyFont="1" applyFill="1" applyBorder="1" applyAlignment="1">
      <alignment vertical="center" wrapText="1"/>
    </xf>
    <xf numFmtId="0" fontId="58" fillId="11" borderId="176" xfId="0" applyFont="1" applyFill="1" applyBorder="1">
      <alignment vertical="center"/>
    </xf>
    <xf numFmtId="0" fontId="59" fillId="7" borderId="214" xfId="0" applyFont="1" applyFill="1" applyBorder="1" applyAlignment="1">
      <alignment vertical="center" wrapText="1"/>
    </xf>
    <xf numFmtId="0" fontId="60" fillId="6" borderId="214" xfId="0" applyFont="1" applyFill="1" applyBorder="1" applyAlignment="1">
      <alignment vertical="center" wrapText="1"/>
    </xf>
    <xf numFmtId="184" fontId="59" fillId="7" borderId="224" xfId="2" applyNumberFormat="1" applyFont="1" applyFill="1" applyBorder="1" applyAlignment="1" applyProtection="1">
      <alignment horizontal="center" vertical="center" wrapText="1"/>
    </xf>
    <xf numFmtId="0" fontId="60" fillId="35" borderId="83" xfId="0" applyFont="1" applyFill="1" applyBorder="1" applyAlignment="1">
      <alignment horizontal="center" vertical="center"/>
    </xf>
    <xf numFmtId="0" fontId="58" fillId="11" borderId="174" xfId="0" applyFont="1" applyFill="1" applyBorder="1">
      <alignment vertical="center"/>
    </xf>
    <xf numFmtId="0" fontId="58" fillId="11" borderId="173" xfId="0" applyFont="1" applyFill="1" applyBorder="1">
      <alignment vertical="center"/>
    </xf>
    <xf numFmtId="0" fontId="60" fillId="6" borderId="77" xfId="0" applyFont="1" applyFill="1" applyBorder="1" applyAlignment="1">
      <alignment vertical="center" wrapText="1"/>
    </xf>
    <xf numFmtId="0" fontId="60" fillId="0" borderId="445" xfId="0" applyFont="1" applyBorder="1">
      <alignment vertical="center"/>
    </xf>
    <xf numFmtId="0" fontId="60" fillId="0" borderId="447" xfId="0" applyFont="1" applyBorder="1">
      <alignment vertical="center"/>
    </xf>
    <xf numFmtId="0" fontId="60" fillId="6" borderId="6" xfId="0" applyFont="1" applyFill="1" applyBorder="1" applyAlignment="1">
      <alignment vertical="center" wrapText="1"/>
    </xf>
    <xf numFmtId="0" fontId="58" fillId="0" borderId="73" xfId="0" applyFont="1" applyBorder="1">
      <alignment vertical="center"/>
    </xf>
    <xf numFmtId="0" fontId="61" fillId="12" borderId="173" xfId="0" applyFont="1" applyFill="1" applyBorder="1" applyAlignment="1">
      <alignment vertical="center" wrapText="1"/>
    </xf>
    <xf numFmtId="0" fontId="61" fillId="12" borderId="176" xfId="0" applyFont="1" applyFill="1" applyBorder="1">
      <alignment vertical="center"/>
    </xf>
    <xf numFmtId="0" fontId="59" fillId="7" borderId="102" xfId="0" applyFont="1" applyFill="1" applyBorder="1" applyAlignment="1">
      <alignment vertical="center" wrapText="1"/>
    </xf>
    <xf numFmtId="0" fontId="59" fillId="7" borderId="115" xfId="0" applyFont="1" applyFill="1" applyBorder="1" applyAlignment="1">
      <alignment vertical="center" wrapText="1"/>
    </xf>
    <xf numFmtId="0" fontId="61" fillId="12" borderId="174" xfId="0" applyFont="1" applyFill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199" fontId="58" fillId="6" borderId="91" xfId="2" applyNumberFormat="1" applyFont="1" applyFill="1" applyBorder="1" applyAlignment="1" applyProtection="1">
      <alignment horizontal="center" vertical="center"/>
    </xf>
    <xf numFmtId="199" fontId="58" fillId="7" borderId="9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59" fillId="0" borderId="102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3" fillId="0" borderId="135" xfId="0" applyFont="1" applyBorder="1" applyAlignment="1">
      <alignment horizontal="center" vertical="center" wrapText="1"/>
    </xf>
    <xf numFmtId="0" fontId="103" fillId="0" borderId="6" xfId="0" applyFont="1" applyBorder="1" applyAlignment="1">
      <alignment horizontal="center" vertical="center" wrapText="1"/>
    </xf>
    <xf numFmtId="0" fontId="104" fillId="0" borderId="135" xfId="0" applyFont="1" applyBorder="1" applyAlignment="1">
      <alignment horizontal="center" vertical="center" wrapText="1"/>
    </xf>
    <xf numFmtId="0" fontId="103" fillId="0" borderId="197" xfId="0" applyFont="1" applyBorder="1" applyAlignment="1">
      <alignment horizontal="center" vertical="center" wrapText="1"/>
    </xf>
    <xf numFmtId="0" fontId="33" fillId="0" borderId="190" xfId="0" applyFont="1" applyBorder="1" applyAlignment="1">
      <alignment horizontal="center" vertical="center" readingOrder="1"/>
    </xf>
    <xf numFmtId="0" fontId="33" fillId="0" borderId="83" xfId="0" applyFont="1" applyBorder="1" applyAlignment="1">
      <alignment horizontal="center" vertical="center" readingOrder="1"/>
    </xf>
    <xf numFmtId="0" fontId="49" fillId="0" borderId="83" xfId="0" applyFont="1" applyBorder="1" applyAlignment="1">
      <alignment horizontal="center" vertical="center" readingOrder="1"/>
    </xf>
    <xf numFmtId="0" fontId="33" fillId="0" borderId="195" xfId="0" applyFont="1" applyBorder="1" applyAlignment="1">
      <alignment horizontal="center" vertical="center" readingOrder="1"/>
    </xf>
    <xf numFmtId="0" fontId="14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4" fillId="0" borderId="135" xfId="9" applyNumberFormat="1" applyFont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105" fillId="0" borderId="0" xfId="0" applyFont="1" applyAlignment="1">
      <alignment horizontal="center" vertical="center"/>
    </xf>
    <xf numFmtId="0" fontId="103" fillId="0" borderId="182" xfId="0" applyFont="1" applyBorder="1" applyAlignment="1">
      <alignment horizontal="center" vertical="center" wrapText="1"/>
    </xf>
    <xf numFmtId="0" fontId="103" fillId="0" borderId="366" xfId="0" applyFont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3" fillId="4" borderId="6" xfId="0" applyFont="1" applyFill="1" applyBorder="1" applyAlignment="1">
      <alignment horizontal="center" vertical="center" wrapText="1"/>
    </xf>
    <xf numFmtId="176" fontId="16" fillId="0" borderId="448" xfId="2" applyNumberFormat="1" applyFont="1" applyBorder="1">
      <alignment vertical="center"/>
    </xf>
    <xf numFmtId="0" fontId="27" fillId="0" borderId="449" xfId="0" applyFont="1" applyBorder="1" applyAlignment="1">
      <alignment horizontal="left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75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5" fillId="7" borderId="97" xfId="2" applyNumberFormat="1" applyFont="1" applyFill="1" applyBorder="1" applyAlignment="1">
      <alignment horizontal="center" vertical="center" wrapText="1"/>
    </xf>
    <xf numFmtId="176" fontId="15" fillId="7" borderId="140" xfId="2" applyNumberFormat="1" applyFont="1" applyFill="1" applyBorder="1" applyAlignment="1">
      <alignment horizontal="center" vertical="center"/>
    </xf>
    <xf numFmtId="201" fontId="16" fillId="0" borderId="189" xfId="2" applyNumberFormat="1" applyFont="1" applyBorder="1">
      <alignment vertical="center"/>
    </xf>
    <xf numFmtId="201" fontId="16" fillId="0" borderId="75" xfId="2" applyNumberFormat="1" applyFont="1" applyBorder="1">
      <alignment vertical="center"/>
    </xf>
    <xf numFmtId="201" fontId="16" fillId="0" borderId="75" xfId="2" applyNumberFormat="1" applyFont="1" applyFill="1" applyBorder="1">
      <alignment vertical="center"/>
    </xf>
    <xf numFmtId="201" fontId="58" fillId="36" borderId="17" xfId="2" applyNumberFormat="1" applyFont="1" applyFill="1" applyBorder="1" applyAlignment="1">
      <alignment horizontal="center" vertical="center"/>
    </xf>
    <xf numFmtId="201" fontId="58" fillId="0" borderId="10" xfId="2" applyNumberFormat="1" applyFont="1" applyBorder="1" applyAlignment="1">
      <alignment horizontal="center" vertical="center"/>
    </xf>
    <xf numFmtId="0" fontId="75" fillId="0" borderId="248" xfId="9" quotePrefix="1" applyFont="1" applyBorder="1" applyAlignment="1">
      <alignment horizontal="center" vertical="center" wrapText="1"/>
    </xf>
    <xf numFmtId="201" fontId="58" fillId="12" borderId="189" xfId="2" applyNumberFormat="1" applyFont="1" applyFill="1" applyBorder="1" applyAlignment="1">
      <alignment horizontal="center" vertical="center"/>
    </xf>
    <xf numFmtId="201" fontId="58" fillId="0" borderId="75" xfId="2" applyNumberFormat="1" applyFont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201" fontId="58" fillId="12" borderId="365" xfId="2" applyNumberFormat="1" applyFont="1" applyFill="1" applyBorder="1" applyAlignment="1">
      <alignment horizontal="center" vertical="center"/>
    </xf>
    <xf numFmtId="201" fontId="106" fillId="12" borderId="189" xfId="2" applyNumberFormat="1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0" borderId="92" xfId="2" applyNumberFormat="1" applyFont="1" applyBorder="1" applyAlignment="1">
      <alignment horizontal="center" vertical="center"/>
    </xf>
    <xf numFmtId="201" fontId="58" fillId="0" borderId="189" xfId="2" applyNumberFormat="1" applyFont="1" applyBorder="1" applyAlignment="1">
      <alignment horizontal="center" vertical="center"/>
    </xf>
    <xf numFmtId="201" fontId="58" fillId="0" borderId="365" xfId="2" applyNumberFormat="1" applyFont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201" fontId="58" fillId="36" borderId="387" xfId="2" applyNumberFormat="1" applyFont="1" applyFill="1" applyBorder="1" applyAlignment="1">
      <alignment horizontal="center" vertical="center"/>
    </xf>
    <xf numFmtId="201" fontId="58" fillId="0" borderId="228" xfId="2" applyNumberFormat="1" applyFont="1" applyBorder="1" applyAlignment="1">
      <alignment horizontal="center" vertical="center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12" borderId="6" xfId="2" applyNumberFormat="1" applyFont="1" applyFill="1" applyBorder="1" applyAlignment="1">
      <alignment horizontal="center" vertical="center"/>
    </xf>
    <xf numFmtId="201" fontId="58" fillId="12" borderId="136" xfId="2" applyNumberFormat="1" applyFont="1" applyFill="1" applyBorder="1" applyAlignment="1">
      <alignment horizontal="center" vertical="center"/>
    </xf>
    <xf numFmtId="201" fontId="58" fillId="37" borderId="77" xfId="2" applyNumberFormat="1" applyFont="1" applyFill="1" applyBorder="1" applyAlignment="1">
      <alignment horizontal="center" vertical="center"/>
    </xf>
    <xf numFmtId="201" fontId="58" fillId="0" borderId="101" xfId="2" applyNumberFormat="1" applyFont="1" applyBorder="1" applyAlignment="1">
      <alignment horizontal="center" vertical="center"/>
    </xf>
    <xf numFmtId="201" fontId="58" fillId="36" borderId="135" xfId="2" applyNumberFormat="1" applyFont="1" applyFill="1" applyBorder="1" applyAlignment="1">
      <alignment horizontal="center" vertical="center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6" borderId="101" xfId="2" applyNumberFormat="1" applyFont="1" applyFill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201" fontId="16" fillId="0" borderId="6" xfId="2" applyNumberFormat="1" applyFont="1" applyBorder="1" applyAlignment="1">
      <alignment horizontal="center" vertical="center"/>
    </xf>
    <xf numFmtId="201" fontId="16" fillId="0" borderId="136" xfId="2" applyNumberFormat="1" applyFont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 wrapText="1"/>
    </xf>
    <xf numFmtId="201" fontId="58" fillId="0" borderId="125" xfId="2" applyNumberFormat="1" applyFont="1" applyFill="1" applyBorder="1" applyAlignment="1" applyProtection="1">
      <alignment horizontal="center" vertical="center"/>
    </xf>
    <xf numFmtId="201" fontId="58" fillId="0" borderId="451" xfId="2" applyNumberFormat="1" applyFont="1" applyFill="1" applyBorder="1" applyAlignment="1" applyProtection="1">
      <alignment horizontal="center" vertical="center"/>
    </xf>
    <xf numFmtId="201" fontId="58" fillId="0" borderId="101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vertical="center"/>
    </xf>
    <xf numFmtId="201" fontId="58" fillId="0" borderId="453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Border="1" applyAlignment="1">
      <alignment horizontal="center" vertical="center"/>
    </xf>
    <xf numFmtId="0" fontId="67" fillId="36" borderId="6" xfId="0" applyFont="1" applyFill="1" applyBorder="1" applyAlignment="1">
      <alignment horizontal="center" vertical="center"/>
    </xf>
    <xf numFmtId="0" fontId="15" fillId="36" borderId="136" xfId="0" applyFont="1" applyFill="1" applyBorder="1" applyAlignment="1">
      <alignment horizontal="center" vertical="center"/>
    </xf>
    <xf numFmtId="0" fontId="107" fillId="7" borderId="96" xfId="0" applyFont="1" applyFill="1" applyBorder="1" applyAlignment="1">
      <alignment horizontal="center" vertical="center"/>
    </xf>
    <xf numFmtId="0" fontId="107" fillId="7" borderId="97" xfId="0" applyFont="1" applyFill="1" applyBorder="1" applyAlignment="1">
      <alignment horizontal="center" vertical="center"/>
    </xf>
    <xf numFmtId="0" fontId="107" fillId="7" borderId="97" xfId="0" quotePrefix="1" applyFont="1" applyFill="1" applyBorder="1" applyAlignment="1">
      <alignment horizontal="center" vertical="center"/>
    </xf>
    <xf numFmtId="0" fontId="107" fillId="7" borderId="98" xfId="0" quotePrefix="1" applyFont="1" applyFill="1" applyBorder="1" applyAlignment="1">
      <alignment horizontal="center" vertical="center"/>
    </xf>
    <xf numFmtId="0" fontId="15" fillId="4" borderId="91" xfId="0" applyFont="1" applyFill="1" applyBorder="1" applyAlignment="1">
      <alignment horizontal="center" vertical="center"/>
    </xf>
    <xf numFmtId="201" fontId="67" fillId="4" borderId="71" xfId="2" applyNumberFormat="1" applyFont="1" applyFill="1" applyBorder="1" applyAlignment="1" applyProtection="1">
      <alignment horizontal="center" vertical="center"/>
    </xf>
    <xf numFmtId="0" fontId="15" fillId="12" borderId="6" xfId="0" applyFont="1" applyFill="1" applyBorder="1" applyAlignment="1">
      <alignment horizontal="center" vertical="center"/>
    </xf>
    <xf numFmtId="0" fontId="67" fillId="12" borderId="6" xfId="0" applyFont="1" applyFill="1" applyBorder="1" applyAlignment="1">
      <alignment horizontal="center" vertical="center"/>
    </xf>
    <xf numFmtId="0" fontId="67" fillId="39" borderId="6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0" fillId="0" borderId="454" xfId="0" applyBorder="1">
      <alignment vertical="center"/>
    </xf>
    <xf numFmtId="176" fontId="15" fillId="7" borderId="78" xfId="2" applyNumberFormat="1" applyFont="1" applyFill="1" applyBorder="1" applyAlignment="1">
      <alignment horizontal="center" vertical="center" wrapText="1"/>
    </xf>
    <xf numFmtId="176" fontId="15" fillId="7" borderId="276" xfId="2" applyNumberFormat="1" applyFont="1" applyFill="1" applyBorder="1" applyAlignment="1">
      <alignment horizontal="center" vertical="center"/>
    </xf>
    <xf numFmtId="176" fontId="43" fillId="6" borderId="275" xfId="2" applyNumberFormat="1" applyFont="1" applyFill="1" applyBorder="1" applyAlignment="1">
      <alignment horizontal="center" vertical="center"/>
    </xf>
    <xf numFmtId="201" fontId="16" fillId="0" borderId="0" xfId="2" applyNumberFormat="1" applyFont="1" applyBorder="1">
      <alignment vertical="center"/>
    </xf>
    <xf numFmtId="176" fontId="45" fillId="0" borderId="0" xfId="2" applyNumberFormat="1" applyFont="1" applyBorder="1">
      <alignment vertical="center"/>
    </xf>
    <xf numFmtId="176" fontId="32" fillId="0" borderId="0" xfId="2" applyNumberFormat="1" applyFont="1" applyBorder="1">
      <alignment vertical="center"/>
    </xf>
    <xf numFmtId="176" fontId="16" fillId="0" borderId="0" xfId="2" applyNumberFormat="1" applyFont="1" applyBorder="1">
      <alignment vertical="center"/>
    </xf>
    <xf numFmtId="199" fontId="16" fillId="0" borderId="0" xfId="2" applyNumberFormat="1" applyFont="1" applyBorder="1">
      <alignment vertical="center"/>
    </xf>
    <xf numFmtId="199" fontId="16" fillId="0" borderId="0" xfId="2" applyNumberFormat="1" applyFont="1" applyFill="1" applyBorder="1">
      <alignment vertical="center"/>
    </xf>
    <xf numFmtId="198" fontId="16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5" fillId="0" borderId="0" xfId="2" applyNumberFormat="1" applyFont="1" applyBorder="1" applyAlignment="1">
      <alignment horizontal="left" vertical="center"/>
    </xf>
    <xf numFmtId="0" fontId="67" fillId="0" borderId="101" xfId="0" applyFont="1" applyBorder="1" applyAlignment="1">
      <alignment horizontal="right" vertical="center"/>
    </xf>
    <xf numFmtId="201" fontId="17" fillId="0" borderId="101" xfId="2" applyNumberFormat="1" applyFont="1" applyBorder="1" applyAlignment="1">
      <alignment horizontal="right" vertical="center"/>
    </xf>
    <xf numFmtId="198" fontId="17" fillId="0" borderId="101" xfId="2" applyNumberFormat="1" applyFont="1" applyFill="1" applyBorder="1" applyAlignment="1">
      <alignment horizontal="right" vertical="center"/>
    </xf>
    <xf numFmtId="0" fontId="67" fillId="0" borderId="136" xfId="0" applyFont="1" applyBorder="1" applyAlignment="1">
      <alignment horizontal="right" vertical="center"/>
    </xf>
    <xf numFmtId="201" fontId="17" fillId="0" borderId="136" xfId="2" applyNumberFormat="1" applyFont="1" applyBorder="1" applyAlignment="1">
      <alignment horizontal="right" vertical="center"/>
    </xf>
    <xf numFmtId="198" fontId="17" fillId="0" borderId="136" xfId="2" applyNumberFormat="1" applyFont="1" applyFill="1" applyBorder="1" applyAlignment="1">
      <alignment horizontal="right" vertical="center"/>
    </xf>
    <xf numFmtId="201" fontId="16" fillId="0" borderId="0" xfId="2" applyNumberFormat="1" applyFont="1" applyBorder="1" applyAlignment="1">
      <alignment horizontal="center" vertical="center"/>
    </xf>
    <xf numFmtId="0" fontId="60" fillId="6" borderId="0" xfId="0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84" fontId="60" fillId="7" borderId="0" xfId="2" applyNumberFormat="1" applyFont="1" applyFill="1" applyBorder="1" applyAlignment="1" applyProtection="1">
      <alignment horizontal="center" vertical="center"/>
    </xf>
    <xf numFmtId="186" fontId="58" fillId="23" borderId="0" xfId="2" applyNumberFormat="1" applyFont="1" applyFill="1" applyBorder="1" applyAlignment="1" applyProtection="1">
      <alignment horizontal="center" vertical="center"/>
    </xf>
    <xf numFmtId="199" fontId="58" fillId="6" borderId="0" xfId="2" applyNumberFormat="1" applyFont="1" applyFill="1" applyBorder="1" applyAlignment="1" applyProtection="1">
      <alignment horizontal="center" vertical="center"/>
    </xf>
    <xf numFmtId="199" fontId="58" fillId="7" borderId="0" xfId="2" applyNumberFormat="1" applyFont="1" applyFill="1" applyBorder="1" applyAlignment="1" applyProtection="1">
      <alignment horizontal="center" vertical="center"/>
    </xf>
    <xf numFmtId="199" fontId="58" fillId="31" borderId="0" xfId="2" applyNumberFormat="1" applyFont="1" applyFill="1" applyBorder="1" applyAlignment="1" applyProtection="1">
      <alignment horizontal="center" vertical="center"/>
    </xf>
    <xf numFmtId="184" fontId="60" fillId="6" borderId="0" xfId="2" applyNumberFormat="1" applyFont="1" applyFill="1" applyBorder="1" applyAlignment="1" applyProtection="1">
      <alignment horizontal="right" vertical="center"/>
    </xf>
    <xf numFmtId="0" fontId="58" fillId="0" borderId="0" xfId="0" applyFont="1" applyAlignment="1">
      <alignment horizontal="right" vertical="center"/>
    </xf>
    <xf numFmtId="201" fontId="67" fillId="0" borderId="6" xfId="2" applyNumberFormat="1" applyFont="1" applyFill="1" applyBorder="1" applyAlignment="1" applyProtection="1">
      <alignment horizontal="right" vertical="center"/>
    </xf>
    <xf numFmtId="199" fontId="67" fillId="31" borderId="6" xfId="2" applyNumberFormat="1" applyFont="1" applyFill="1" applyBorder="1" applyAlignment="1" applyProtection="1">
      <alignment horizontal="right" vertical="center"/>
    </xf>
    <xf numFmtId="0" fontId="67" fillId="0" borderId="6" xfId="0" applyFont="1" applyBorder="1" applyAlignment="1">
      <alignment horizontal="right" vertical="center"/>
    </xf>
    <xf numFmtId="199" fontId="58" fillId="6" borderId="0" xfId="2" applyNumberFormat="1" applyFont="1" applyFill="1" applyBorder="1" applyAlignment="1" applyProtection="1">
      <alignment horizontal="right" vertical="center"/>
    </xf>
    <xf numFmtId="199" fontId="58" fillId="7" borderId="0" xfId="2" applyNumberFormat="1" applyFont="1" applyFill="1" applyBorder="1" applyAlignment="1" applyProtection="1">
      <alignment horizontal="right" vertical="center"/>
    </xf>
    <xf numFmtId="199" fontId="58" fillId="31" borderId="0" xfId="2" applyNumberFormat="1" applyFont="1" applyFill="1" applyBorder="1" applyAlignment="1" applyProtection="1">
      <alignment horizontal="right" vertical="center"/>
    </xf>
    <xf numFmtId="199" fontId="58" fillId="31" borderId="6" xfId="2" applyNumberFormat="1" applyFont="1" applyFill="1" applyBorder="1" applyAlignment="1" applyProtection="1">
      <alignment horizontal="right" vertical="center"/>
    </xf>
    <xf numFmtId="0" fontId="82" fillId="0" borderId="0" xfId="0" applyFont="1">
      <alignment vertical="center"/>
    </xf>
    <xf numFmtId="0" fontId="43" fillId="0" borderId="201" xfId="0" applyFont="1" applyBorder="1" applyAlignment="1">
      <alignment horizontal="center" vertical="center"/>
    </xf>
    <xf numFmtId="0" fontId="49" fillId="0" borderId="197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199" fontId="16" fillId="0" borderId="0" xfId="2" applyNumberFormat="1" applyFont="1" applyBorder="1" applyAlignment="1">
      <alignment horizontal="right" vertical="center"/>
    </xf>
    <xf numFmtId="199" fontId="16" fillId="0" borderId="0" xfId="2" applyNumberFormat="1" applyFont="1" applyFill="1" applyBorder="1" applyAlignment="1">
      <alignment horizontal="right" vertical="center"/>
    </xf>
    <xf numFmtId="199" fontId="67" fillId="4" borderId="71" xfId="2" applyNumberFormat="1" applyFont="1" applyFill="1" applyBorder="1" applyAlignment="1" applyProtection="1">
      <alignment horizontal="right" vertical="center"/>
    </xf>
    <xf numFmtId="201" fontId="67" fillId="5" borderId="71" xfId="2" applyNumberFormat="1" applyFont="1" applyFill="1" applyBorder="1" applyAlignment="1" applyProtection="1">
      <alignment horizontal="right" vertical="center"/>
    </xf>
    <xf numFmtId="0" fontId="15" fillId="5" borderId="72" xfId="0" applyFont="1" applyFill="1" applyBorder="1" applyAlignment="1">
      <alignment horizontal="right" vertical="center"/>
    </xf>
    <xf numFmtId="0" fontId="108" fillId="40" borderId="6" xfId="0" applyFont="1" applyFill="1" applyBorder="1" applyAlignment="1">
      <alignment horizontal="center" vertical="center" wrapText="1"/>
    </xf>
    <xf numFmtId="176" fontId="16" fillId="0" borderId="77" xfId="2" applyNumberFormat="1" applyFont="1" applyBorder="1">
      <alignment vertical="center"/>
    </xf>
    <xf numFmtId="201" fontId="58" fillId="0" borderId="387" xfId="2" applyNumberFormat="1" applyFont="1" applyFill="1" applyBorder="1" applyAlignment="1">
      <alignment horizontal="center" vertical="center"/>
    </xf>
    <xf numFmtId="0" fontId="75" fillId="0" borderId="238" xfId="0" applyFont="1" applyBorder="1" applyAlignment="1">
      <alignment horizontal="center" vertical="center" wrapText="1"/>
    </xf>
    <xf numFmtId="0" fontId="75" fillId="0" borderId="457" xfId="0" applyFont="1" applyBorder="1" applyAlignment="1">
      <alignment horizontal="center" vertical="center" wrapText="1"/>
    </xf>
    <xf numFmtId="0" fontId="49" fillId="0" borderId="301" xfId="0" applyFont="1" applyBorder="1" applyAlignment="1">
      <alignment horizontal="center" vertical="center" wrapText="1"/>
    </xf>
    <xf numFmtId="194" fontId="75" fillId="0" borderId="457" xfId="2" applyNumberFormat="1" applyFont="1" applyFill="1" applyBorder="1" applyAlignment="1">
      <alignment horizontal="center" vertical="center" wrapText="1"/>
    </xf>
    <xf numFmtId="195" fontId="75" fillId="0" borderId="238" xfId="2" applyNumberFormat="1" applyFont="1" applyFill="1" applyBorder="1" applyAlignment="1">
      <alignment horizontal="center" vertical="center" wrapText="1"/>
    </xf>
    <xf numFmtId="0" fontId="75" fillId="0" borderId="238" xfId="0" quotePrefix="1" applyFont="1" applyBorder="1" applyAlignment="1">
      <alignment horizontal="center" vertical="center" wrapText="1"/>
    </xf>
    <xf numFmtId="193" fontId="75" fillId="0" borderId="301" xfId="0" applyNumberFormat="1" applyFont="1" applyBorder="1" applyAlignment="1">
      <alignment horizontal="center" vertical="center" wrapText="1"/>
    </xf>
    <xf numFmtId="194" fontId="49" fillId="0" borderId="305" xfId="2" applyNumberFormat="1" applyFont="1" applyFill="1" applyBorder="1" applyAlignment="1">
      <alignment horizontal="center" vertical="center" wrapText="1"/>
    </xf>
    <xf numFmtId="195" fontId="49" fillId="0" borderId="238" xfId="2" applyNumberFormat="1" applyFont="1" applyFill="1" applyBorder="1" applyAlignment="1">
      <alignment horizontal="center" vertical="center" wrapText="1"/>
    </xf>
    <xf numFmtId="176" fontId="16" fillId="0" borderId="238" xfId="2" applyNumberFormat="1" applyFont="1" applyFill="1" applyBorder="1">
      <alignment vertical="center"/>
    </xf>
    <xf numFmtId="176" fontId="16" fillId="0" borderId="387" xfId="2" applyNumberFormat="1" applyFont="1" applyFill="1" applyBorder="1">
      <alignment vertical="center"/>
    </xf>
    <xf numFmtId="199" fontId="16" fillId="0" borderId="104" xfId="2" applyNumberFormat="1" applyFont="1" applyFill="1" applyBorder="1">
      <alignment vertical="center"/>
    </xf>
    <xf numFmtId="0" fontId="15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176" fontId="16" fillId="0" borderId="197" xfId="2" applyNumberFormat="1" applyFont="1" applyBorder="1">
      <alignment vertical="center"/>
    </xf>
    <xf numFmtId="0" fontId="108" fillId="41" borderId="6" xfId="0" applyFont="1" applyFill="1" applyBorder="1" applyAlignment="1">
      <alignment horizontal="center" vertical="center" wrapText="1"/>
    </xf>
    <xf numFmtId="0" fontId="108" fillId="41" borderId="136" xfId="0" applyFont="1" applyFill="1" applyBorder="1" applyAlignment="1">
      <alignment horizontal="center" vertical="center" wrapText="1"/>
    </xf>
    <xf numFmtId="196" fontId="60" fillId="0" borderId="6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0" fontId="60" fillId="0" borderId="102" xfId="0" applyFont="1" applyBorder="1">
      <alignment vertical="center"/>
    </xf>
    <xf numFmtId="0" fontId="59" fillId="0" borderId="102" xfId="0" applyFont="1" applyBorder="1">
      <alignment vertical="center"/>
    </xf>
    <xf numFmtId="0" fontId="60" fillId="0" borderId="102" xfId="0" applyFont="1" applyBorder="1" applyAlignment="1">
      <alignment vertical="center" wrapText="1"/>
    </xf>
    <xf numFmtId="0" fontId="59" fillId="0" borderId="102" xfId="0" applyFont="1" applyBorder="1" applyAlignment="1">
      <alignment vertical="center" wrapText="1"/>
    </xf>
    <xf numFmtId="0" fontId="60" fillId="0" borderId="101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184" fontId="59" fillId="0" borderId="6" xfId="2" applyNumberFormat="1" applyFont="1" applyFill="1" applyBorder="1" applyAlignment="1" applyProtection="1">
      <alignment horizontal="center" vertical="center"/>
    </xf>
    <xf numFmtId="185" fontId="58" fillId="0" borderId="258" xfId="2" applyNumberFormat="1" applyFont="1" applyFill="1" applyBorder="1" applyAlignment="1" applyProtection="1">
      <alignment horizontal="center" vertical="center"/>
    </xf>
    <xf numFmtId="199" fontId="58" fillId="0" borderId="94" xfId="2" applyNumberFormat="1" applyFont="1" applyFill="1" applyBorder="1" applyAlignment="1" applyProtection="1">
      <alignment horizontal="center" vertical="center"/>
    </xf>
    <xf numFmtId="0" fontId="60" fillId="23" borderId="101" xfId="0" applyFont="1" applyFill="1" applyBorder="1" applyAlignment="1">
      <alignment horizontal="center" vertical="center"/>
    </xf>
    <xf numFmtId="201" fontId="58" fillId="0" borderId="442" xfId="2" applyNumberFormat="1" applyFont="1" applyFill="1" applyBorder="1" applyAlignment="1" applyProtection="1">
      <alignment horizontal="center" vertical="center"/>
    </xf>
    <xf numFmtId="194" fontId="60" fillId="0" borderId="283" xfId="2" applyNumberFormat="1" applyFont="1" applyFill="1" applyBorder="1" applyAlignment="1">
      <alignment horizontal="center" vertical="center" wrapText="1"/>
    </xf>
    <xf numFmtId="195" fontId="60" fillId="0" borderId="101" xfId="2" applyNumberFormat="1" applyFont="1" applyFill="1" applyBorder="1" applyAlignment="1">
      <alignment horizontal="center" vertical="center" wrapText="1"/>
    </xf>
    <xf numFmtId="193" fontId="60" fillId="0" borderId="284" xfId="0" applyNumberFormat="1" applyFont="1" applyBorder="1" applyAlignment="1">
      <alignment horizontal="center" vertical="center" wrapText="1"/>
    </xf>
    <xf numFmtId="199" fontId="58" fillId="6" borderId="100" xfId="2" applyNumberFormat="1" applyFont="1" applyFill="1" applyBorder="1" applyAlignment="1" applyProtection="1">
      <alignment horizontal="center" vertical="center"/>
    </xf>
    <xf numFmtId="199" fontId="58" fillId="7" borderId="228" xfId="2" applyNumberFormat="1" applyFont="1" applyFill="1" applyBorder="1" applyAlignment="1" applyProtection="1">
      <alignment horizontal="center" vertical="center"/>
    </xf>
    <xf numFmtId="0" fontId="58" fillId="30" borderId="93" xfId="0" applyFont="1" applyFill="1" applyBorder="1" applyAlignment="1">
      <alignment horizontal="center" vertical="center"/>
    </xf>
    <xf numFmtId="0" fontId="58" fillId="30" borderId="80" xfId="0" applyFont="1" applyFill="1" applyBorder="1" applyAlignment="1">
      <alignment horizontal="center" vertical="center"/>
    </xf>
    <xf numFmtId="0" fontId="60" fillId="30" borderId="77" xfId="0" applyFont="1" applyFill="1" applyBorder="1" applyAlignment="1">
      <alignment horizontal="center" vertical="center"/>
    </xf>
    <xf numFmtId="0" fontId="60" fillId="0" borderId="458" xfId="0" applyFont="1" applyBorder="1" applyAlignment="1">
      <alignment horizontal="center" vertical="center" wrapText="1"/>
    </xf>
    <xf numFmtId="0" fontId="59" fillId="0" borderId="78" xfId="0" applyFont="1" applyBorder="1" applyAlignment="1">
      <alignment horizontal="center" vertical="center" wrapText="1"/>
    </xf>
    <xf numFmtId="194" fontId="60" fillId="0" borderId="458" xfId="2" applyNumberFormat="1" applyFont="1" applyFill="1" applyBorder="1" applyAlignment="1">
      <alignment horizontal="center" vertical="center" wrapText="1"/>
    </xf>
    <xf numFmtId="195" fontId="60" fillId="0" borderId="213" xfId="2" applyNumberFormat="1" applyFont="1" applyFill="1" applyBorder="1" applyAlignment="1">
      <alignment horizontal="center" vertical="center" wrapText="1"/>
    </xf>
    <xf numFmtId="193" fontId="60" fillId="0" borderId="459" xfId="0" applyNumberFormat="1" applyFont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0" fontId="58" fillId="0" borderId="213" xfId="0" applyFont="1" applyBorder="1" applyAlignment="1">
      <alignment horizontal="center" vertical="center" wrapText="1"/>
    </xf>
    <xf numFmtId="184" fontId="60" fillId="6" borderId="213" xfId="2" applyNumberFormat="1" applyFont="1" applyFill="1" applyBorder="1" applyAlignment="1" applyProtection="1">
      <alignment horizontal="center" vertical="center"/>
    </xf>
    <xf numFmtId="199" fontId="58" fillId="6" borderId="93" xfId="2" applyNumberFormat="1" applyFont="1" applyFill="1" applyBorder="1" applyAlignment="1" applyProtection="1">
      <alignment horizontal="center" vertical="center"/>
    </xf>
    <xf numFmtId="199" fontId="58" fillId="7" borderId="92" xfId="2" applyNumberFormat="1" applyFont="1" applyFill="1" applyBorder="1" applyAlignment="1" applyProtection="1">
      <alignment horizontal="center" vertical="center"/>
    </xf>
    <xf numFmtId="0" fontId="58" fillId="0" borderId="96" xfId="0" applyFont="1" applyBorder="1">
      <alignment vertical="center"/>
    </xf>
    <xf numFmtId="0" fontId="60" fillId="0" borderId="97" xfId="0" applyFont="1" applyBorder="1" applyAlignment="1">
      <alignment horizontal="center" vertical="center"/>
    </xf>
    <xf numFmtId="201" fontId="58" fillId="0" borderId="97" xfId="2" applyNumberFormat="1" applyFont="1" applyFill="1" applyBorder="1" applyAlignment="1" applyProtection="1">
      <alignment horizontal="center" vertical="center"/>
    </xf>
    <xf numFmtId="0" fontId="60" fillId="0" borderId="97" xfId="0" applyFont="1" applyBorder="1" applyAlignment="1">
      <alignment vertical="center" wrapText="1"/>
    </xf>
    <xf numFmtId="0" fontId="59" fillId="0" borderId="97" xfId="0" applyFont="1" applyBorder="1" applyAlignment="1">
      <alignment vertical="center" wrapText="1"/>
    </xf>
    <xf numFmtId="184" fontId="60" fillId="0" borderId="97" xfId="2" applyNumberFormat="1" applyFont="1" applyFill="1" applyBorder="1" applyAlignment="1" applyProtection="1">
      <alignment horizontal="center" vertical="center"/>
    </xf>
    <xf numFmtId="184" fontId="59" fillId="0" borderId="150" xfId="2" applyNumberFormat="1" applyFont="1" applyFill="1" applyBorder="1" applyAlignment="1" applyProtection="1">
      <alignment horizontal="center" vertical="center"/>
    </xf>
    <xf numFmtId="186" fontId="58" fillId="0" borderId="261" xfId="2" applyNumberFormat="1" applyFont="1" applyFill="1" applyBorder="1" applyAlignment="1" applyProtection="1">
      <alignment horizontal="center" vertical="center"/>
    </xf>
    <xf numFmtId="199" fontId="58" fillId="0" borderId="96" xfId="2" applyNumberFormat="1" applyFont="1" applyFill="1" applyBorder="1" applyAlignment="1" applyProtection="1">
      <alignment horizontal="center" vertical="center"/>
    </xf>
    <xf numFmtId="199" fontId="58" fillId="0" borderId="150" xfId="2" applyNumberFormat="1" applyFont="1" applyFill="1" applyBorder="1" applyAlignment="1" applyProtection="1">
      <alignment horizontal="center" vertical="center"/>
    </xf>
    <xf numFmtId="0" fontId="58" fillId="0" borderId="91" xfId="0" applyFont="1" applyBorder="1">
      <alignment vertical="center"/>
    </xf>
    <xf numFmtId="201" fontId="58" fillId="0" borderId="71" xfId="2" applyNumberFormat="1" applyFont="1" applyFill="1" applyBorder="1" applyAlignment="1" applyProtection="1">
      <alignment horizontal="center" vertical="center"/>
    </xf>
    <xf numFmtId="0" fontId="60" fillId="0" borderId="71" xfId="0" applyFont="1" applyBorder="1" applyAlignment="1">
      <alignment vertical="center" wrapText="1"/>
    </xf>
    <xf numFmtId="0" fontId="59" fillId="0" borderId="71" xfId="0" applyFont="1" applyBorder="1" applyAlignment="1">
      <alignment vertical="center" wrapText="1"/>
    </xf>
    <xf numFmtId="184" fontId="60" fillId="0" borderId="71" xfId="2" applyNumberFormat="1" applyFont="1" applyFill="1" applyBorder="1" applyAlignment="1" applyProtection="1">
      <alignment horizontal="center" vertical="center"/>
    </xf>
    <xf numFmtId="184" fontId="59" fillId="0" borderId="90" xfId="2" applyNumberFormat="1" applyFont="1" applyFill="1" applyBorder="1" applyAlignment="1" applyProtection="1">
      <alignment horizontal="center" vertical="center"/>
    </xf>
    <xf numFmtId="186" fontId="58" fillId="0" borderId="262" xfId="2" applyNumberFormat="1" applyFont="1" applyFill="1" applyBorder="1" applyAlignment="1" applyProtection="1">
      <alignment horizontal="center" vertical="center"/>
    </xf>
    <xf numFmtId="199" fontId="58" fillId="0" borderId="91" xfId="2" applyNumberFormat="1" applyFont="1" applyFill="1" applyBorder="1" applyAlignment="1" applyProtection="1">
      <alignment horizontal="center" vertical="center"/>
    </xf>
    <xf numFmtId="199" fontId="58" fillId="0" borderId="90" xfId="2" applyNumberFormat="1" applyFont="1" applyFill="1" applyBorder="1" applyAlignment="1" applyProtection="1">
      <alignment horizontal="center" vertical="center"/>
    </xf>
    <xf numFmtId="0" fontId="108" fillId="41" borderId="97" xfId="0" applyFont="1" applyFill="1" applyBorder="1" applyAlignment="1">
      <alignment horizontal="center" vertical="center" wrapText="1"/>
    </xf>
    <xf numFmtId="0" fontId="108" fillId="41" borderId="71" xfId="0" applyFont="1" applyFill="1" applyBorder="1" applyAlignment="1">
      <alignment horizontal="center" vertical="center" wrapText="1"/>
    </xf>
    <xf numFmtId="201" fontId="60" fillId="23" borderId="452" xfId="2" applyNumberFormat="1" applyFont="1" applyFill="1" applyBorder="1" applyAlignment="1" applyProtection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43" borderId="0" xfId="0" applyFont="1" applyFill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109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5" fillId="44" borderId="0" xfId="0" applyFont="1" applyFill="1" applyAlignment="1">
      <alignment horizontal="center" vertical="center"/>
    </xf>
    <xf numFmtId="0" fontId="27" fillId="0" borderId="6" xfId="0" applyFont="1" applyBorder="1">
      <alignment vertical="center"/>
    </xf>
    <xf numFmtId="0" fontId="0" fillId="42" borderId="6" xfId="0" applyFill="1" applyBorder="1">
      <alignment vertical="center"/>
    </xf>
    <xf numFmtId="199" fontId="16" fillId="0" borderId="278" xfId="2" applyNumberFormat="1" applyFont="1" applyBorder="1">
      <alignment vertical="center"/>
    </xf>
    <xf numFmtId="199" fontId="16" fillId="0" borderId="81" xfId="2" applyNumberFormat="1" applyFont="1" applyBorder="1">
      <alignment vertical="center"/>
    </xf>
    <xf numFmtId="199" fontId="45" fillId="0" borderId="81" xfId="2" applyNumberFormat="1" applyFont="1" applyFill="1" applyBorder="1" applyAlignment="1">
      <alignment vertical="center"/>
    </xf>
    <xf numFmtId="199" fontId="16" fillId="0" borderId="81" xfId="2" applyNumberFormat="1" applyFont="1" applyBorder="1" applyAlignment="1">
      <alignment vertical="center"/>
    </xf>
    <xf numFmtId="199" fontId="16" fillId="0" borderId="276" xfId="2" applyNumberFormat="1" applyFont="1" applyBorder="1">
      <alignment vertical="center"/>
    </xf>
    <xf numFmtId="199" fontId="16" fillId="0" borderId="81" xfId="2" applyNumberFormat="1" applyFont="1" applyFill="1" applyBorder="1" applyAlignment="1">
      <alignment vertical="center"/>
    </xf>
    <xf numFmtId="199" fontId="16" fillId="0" borderId="286" xfId="2" applyNumberFormat="1" applyFont="1" applyFill="1" applyBorder="1">
      <alignment vertical="center"/>
    </xf>
    <xf numFmtId="199" fontId="16" fillId="0" borderId="286" xfId="2" applyNumberFormat="1" applyFont="1" applyBorder="1">
      <alignment vertical="center"/>
    </xf>
    <xf numFmtId="199" fontId="16" fillId="0" borderId="81" xfId="2" applyNumberFormat="1" applyFont="1" applyFill="1" applyBorder="1">
      <alignment vertical="center"/>
    </xf>
    <xf numFmtId="199" fontId="16" fillId="0" borderId="292" xfId="2" applyNumberFormat="1" applyFont="1" applyBorder="1">
      <alignment vertical="center"/>
    </xf>
    <xf numFmtId="199" fontId="16" fillId="0" borderId="276" xfId="2" applyNumberFormat="1" applyFont="1" applyBorder="1" applyAlignment="1">
      <alignment vertical="center"/>
    </xf>
    <xf numFmtId="199" fontId="16" fillId="0" borderId="78" xfId="2" applyNumberFormat="1" applyFont="1" applyBorder="1">
      <alignment vertical="center"/>
    </xf>
    <xf numFmtId="199" fontId="16" fillId="0" borderId="284" xfId="2" applyNumberFormat="1" applyFont="1" applyBorder="1" applyAlignment="1">
      <alignment vertical="center"/>
    </xf>
    <xf numFmtId="199" fontId="16" fillId="0" borderId="324" xfId="2" applyNumberFormat="1" applyFont="1" applyBorder="1" applyAlignment="1">
      <alignment vertical="center"/>
    </xf>
    <xf numFmtId="199" fontId="16" fillId="0" borderId="78" xfId="2" applyNumberFormat="1" applyFont="1" applyBorder="1" applyAlignment="1">
      <alignment vertical="center"/>
    </xf>
    <xf numFmtId="199" fontId="16" fillId="0" borderId="299" xfId="2" applyNumberFormat="1" applyFont="1" applyBorder="1" applyAlignment="1">
      <alignment vertical="center"/>
    </xf>
    <xf numFmtId="199" fontId="16" fillId="0" borderId="322" xfId="2" applyNumberFormat="1" applyFont="1" applyBorder="1" applyAlignment="1">
      <alignment vertical="center"/>
    </xf>
    <xf numFmtId="199" fontId="16" fillId="0" borderId="299" xfId="2" applyNumberFormat="1" applyFont="1" applyFill="1" applyBorder="1">
      <alignment vertical="center"/>
    </xf>
    <xf numFmtId="199" fontId="16" fillId="0" borderId="301" xfId="2" applyNumberFormat="1" applyFont="1" applyFill="1" applyBorder="1">
      <alignment vertical="center"/>
    </xf>
    <xf numFmtId="199" fontId="16" fillId="5" borderId="289" xfId="2" applyNumberFormat="1" applyFont="1" applyFill="1" applyBorder="1">
      <alignment vertical="center"/>
    </xf>
    <xf numFmtId="199" fontId="16" fillId="5" borderId="292" xfId="2" applyNumberFormat="1" applyFont="1" applyFill="1" applyBorder="1">
      <alignment vertical="center"/>
    </xf>
    <xf numFmtId="199" fontId="16" fillId="0" borderId="289" xfId="2" applyNumberFormat="1" applyFont="1" applyBorder="1">
      <alignment vertical="center"/>
    </xf>
    <xf numFmtId="199" fontId="16" fillId="0" borderId="278" xfId="2" applyNumberFormat="1" applyFont="1" applyBorder="1" applyAlignment="1">
      <alignment vertical="center"/>
    </xf>
    <xf numFmtId="199" fontId="16" fillId="0" borderId="278" xfId="2" applyNumberFormat="1" applyFont="1" applyFill="1" applyBorder="1">
      <alignment vertical="center"/>
    </xf>
    <xf numFmtId="199" fontId="16" fillId="0" borderId="276" xfId="2" applyNumberFormat="1" applyFont="1" applyFill="1" applyBorder="1">
      <alignment vertical="center"/>
    </xf>
    <xf numFmtId="199" fontId="16" fillId="0" borderId="276" xfId="2" applyNumberFormat="1" applyFont="1" applyFill="1" applyBorder="1" applyAlignment="1">
      <alignment vertical="center"/>
    </xf>
    <xf numFmtId="199" fontId="16" fillId="0" borderId="292" xfId="2" applyNumberFormat="1" applyFont="1" applyFill="1" applyBorder="1">
      <alignment vertical="center"/>
    </xf>
    <xf numFmtId="199" fontId="16" fillId="0" borderId="301" xfId="2" applyNumberFormat="1" applyFont="1" applyBorder="1">
      <alignment vertical="center"/>
    </xf>
    <xf numFmtId="199" fontId="16" fillId="0" borderId="284" xfId="2" applyNumberFormat="1" applyFont="1" applyBorder="1">
      <alignment vertical="center"/>
    </xf>
    <xf numFmtId="176" fontId="0" fillId="0" borderId="0" xfId="2" applyNumberFormat="1" applyFont="1" applyAlignment="1">
      <alignment horizontal="right" vertical="center"/>
    </xf>
    <xf numFmtId="198" fontId="16" fillId="11" borderId="398" xfId="2" applyNumberFormat="1" applyFont="1" applyFill="1" applyBorder="1" applyAlignment="1">
      <alignment horizontal="right" vertical="center"/>
    </xf>
    <xf numFmtId="200" fontId="16" fillId="11" borderId="435" xfId="2" applyNumberFormat="1" applyFont="1" applyFill="1" applyBorder="1" applyAlignment="1">
      <alignment horizontal="right" vertical="center"/>
    </xf>
    <xf numFmtId="200" fontId="16" fillId="11" borderId="437" xfId="2" applyNumberFormat="1" applyFont="1" applyFill="1" applyBorder="1" applyAlignment="1">
      <alignment horizontal="right" vertical="center"/>
    </xf>
    <xf numFmtId="200" fontId="16" fillId="11" borderId="439" xfId="2" applyNumberFormat="1" applyFont="1" applyFill="1" applyBorder="1" applyAlignment="1">
      <alignment horizontal="right" vertical="center"/>
    </xf>
    <xf numFmtId="192" fontId="0" fillId="0" borderId="0" xfId="2" applyNumberFormat="1" applyFont="1" applyAlignment="1">
      <alignment horizontal="right" vertical="center"/>
    </xf>
    <xf numFmtId="198" fontId="16" fillId="11" borderId="397" xfId="2" applyNumberFormat="1" applyFont="1" applyFill="1" applyBorder="1" applyAlignment="1">
      <alignment horizontal="right" vertical="center"/>
    </xf>
    <xf numFmtId="198" fontId="16" fillId="11" borderId="377" xfId="2" applyNumberFormat="1" applyFont="1" applyFill="1" applyBorder="1" applyAlignment="1">
      <alignment horizontal="right" vertical="center"/>
    </xf>
    <xf numFmtId="198" fontId="32" fillId="11" borderId="378" xfId="2" applyNumberFormat="1" applyFont="1" applyFill="1" applyBorder="1" applyAlignment="1">
      <alignment horizontal="right" vertical="center"/>
    </xf>
    <xf numFmtId="198" fontId="16" fillId="11" borderId="375" xfId="2" applyNumberFormat="1" applyFont="1" applyFill="1" applyBorder="1" applyAlignment="1">
      <alignment horizontal="right" vertical="center"/>
    </xf>
    <xf numFmtId="198" fontId="16" fillId="11" borderId="396" xfId="2" applyNumberFormat="1" applyFont="1" applyFill="1" applyBorder="1" applyAlignment="1">
      <alignment horizontal="right" vertical="center"/>
    </xf>
    <xf numFmtId="198" fontId="16" fillId="11" borderId="376" xfId="2" applyNumberFormat="1" applyFont="1" applyFill="1" applyBorder="1" applyAlignment="1">
      <alignment horizontal="right" vertical="center"/>
    </xf>
    <xf numFmtId="198" fontId="16" fillId="11" borderId="400" xfId="2" applyNumberFormat="1" applyFont="1" applyFill="1" applyBorder="1" applyAlignment="1">
      <alignment horizontal="right" vertical="center"/>
    </xf>
    <xf numFmtId="198" fontId="16" fillId="11" borderId="408" xfId="2" applyNumberFormat="1" applyFont="1" applyFill="1" applyBorder="1" applyAlignment="1">
      <alignment horizontal="right" vertical="center"/>
    </xf>
    <xf numFmtId="198" fontId="32" fillId="11" borderId="407" xfId="2" applyNumberFormat="1" applyFont="1" applyFill="1" applyBorder="1" applyAlignment="1">
      <alignment horizontal="right" vertical="center"/>
    </xf>
    <xf numFmtId="198" fontId="16" fillId="11" borderId="416" xfId="2" applyNumberFormat="1" applyFont="1" applyFill="1" applyBorder="1" applyAlignment="1">
      <alignment horizontal="right" vertical="center"/>
    </xf>
    <xf numFmtId="198" fontId="16" fillId="11" borderId="399" xfId="2" applyNumberFormat="1" applyFont="1" applyFill="1" applyBorder="1" applyAlignment="1">
      <alignment horizontal="right" vertical="center"/>
    </xf>
    <xf numFmtId="176" fontId="32" fillId="0" borderId="407" xfId="10" applyNumberFormat="1" applyFont="1" applyBorder="1" applyAlignment="1">
      <alignment horizontal="right" vertical="center"/>
    </xf>
    <xf numFmtId="176" fontId="16" fillId="0" borderId="408" xfId="10" applyNumberFormat="1" applyFont="1" applyBorder="1" applyAlignment="1">
      <alignment horizontal="right" vertical="center"/>
    </xf>
    <xf numFmtId="176" fontId="16" fillId="0" borderId="375" xfId="10" applyNumberFormat="1" applyFont="1" applyBorder="1" applyAlignment="1">
      <alignment horizontal="right" vertical="center"/>
    </xf>
    <xf numFmtId="176" fontId="32" fillId="0" borderId="378" xfId="10" applyNumberFormat="1" applyFont="1" applyBorder="1" applyAlignment="1">
      <alignment horizontal="right" vertical="center"/>
    </xf>
    <xf numFmtId="198" fontId="16" fillId="11" borderId="378" xfId="2" applyNumberFormat="1" applyFont="1" applyFill="1" applyBorder="1" applyAlignment="1">
      <alignment horizontal="right" vertical="center"/>
    </xf>
    <xf numFmtId="198" fontId="16" fillId="11" borderId="379" xfId="2" applyNumberFormat="1" applyFont="1" applyFill="1" applyBorder="1" applyAlignment="1">
      <alignment horizontal="right" vertical="center"/>
    </xf>
    <xf numFmtId="192" fontId="16" fillId="0" borderId="0" xfId="2" applyNumberFormat="1" applyFont="1" applyAlignment="1">
      <alignment horizontal="right" vertical="center"/>
    </xf>
    <xf numFmtId="176" fontId="0" fillId="0" borderId="454" xfId="2" applyNumberFormat="1" applyFont="1" applyBorder="1" applyAlignment="1">
      <alignment horizontal="right" vertical="center"/>
    </xf>
    <xf numFmtId="199" fontId="16" fillId="0" borderId="435" xfId="2" applyNumberFormat="1" applyFont="1" applyBorder="1" applyAlignment="1">
      <alignment horizontal="right" vertical="center"/>
    </xf>
    <xf numFmtId="199" fontId="16" fillId="0" borderId="470" xfId="2" applyNumberFormat="1" applyFont="1" applyBorder="1" applyAlignment="1">
      <alignment horizontal="right" vertical="center"/>
    </xf>
    <xf numFmtId="199" fontId="16" fillId="0" borderId="346" xfId="2" applyNumberFormat="1" applyFont="1" applyBorder="1" applyAlignment="1">
      <alignment horizontal="right" vertical="center"/>
    </xf>
    <xf numFmtId="199" fontId="16" fillId="5" borderId="468" xfId="2" applyNumberFormat="1" applyFont="1" applyFill="1" applyBorder="1" applyAlignment="1">
      <alignment horizontal="right" vertical="center"/>
    </xf>
    <xf numFmtId="199" fontId="16" fillId="5" borderId="346" xfId="2" applyNumberFormat="1" applyFont="1" applyFill="1" applyBorder="1" applyAlignment="1">
      <alignment horizontal="right" vertical="center"/>
    </xf>
    <xf numFmtId="199" fontId="16" fillId="0" borderId="165" xfId="2" applyNumberFormat="1" applyFont="1" applyBorder="1" applyAlignment="1">
      <alignment horizontal="right" vertical="center"/>
    </xf>
    <xf numFmtId="199" fontId="16" fillId="0" borderId="30" xfId="2" applyNumberFormat="1" applyFont="1" applyBorder="1" applyAlignment="1">
      <alignment horizontal="right" vertical="center"/>
    </xf>
    <xf numFmtId="199" fontId="16" fillId="0" borderId="468" xfId="2" applyNumberFormat="1" applyFont="1" applyBorder="1" applyAlignment="1">
      <alignment horizontal="right" vertical="center"/>
    </xf>
    <xf numFmtId="199" fontId="16" fillId="0" borderId="469" xfId="2" applyNumberFormat="1" applyFont="1" applyBorder="1" applyAlignment="1">
      <alignment horizontal="right" vertical="center"/>
    </xf>
    <xf numFmtId="199" fontId="16" fillId="0" borderId="165" xfId="2" applyNumberFormat="1" applyFont="1" applyFill="1" applyBorder="1" applyAlignment="1">
      <alignment horizontal="right" vertical="center"/>
    </xf>
    <xf numFmtId="199" fontId="16" fillId="0" borderId="467" xfId="2" applyNumberFormat="1" applyFont="1" applyBorder="1" applyAlignment="1">
      <alignment horizontal="right" vertical="center"/>
    </xf>
    <xf numFmtId="199" fontId="16" fillId="0" borderId="346" xfId="2" applyNumberFormat="1" applyFont="1" applyFill="1" applyBorder="1" applyAlignment="1">
      <alignment horizontal="right" vertical="center"/>
    </xf>
    <xf numFmtId="199" fontId="16" fillId="0" borderId="471" xfId="2" applyNumberFormat="1" applyFont="1" applyBorder="1" applyAlignment="1">
      <alignment horizontal="right" vertical="center"/>
    </xf>
    <xf numFmtId="199" fontId="16" fillId="0" borderId="5" xfId="2" applyNumberFormat="1" applyFont="1" applyBorder="1" applyAlignment="1">
      <alignment horizontal="right" vertical="center"/>
    </xf>
    <xf numFmtId="192" fontId="0" fillId="0" borderId="0" xfId="0" applyNumberFormat="1" applyAlignment="1">
      <alignment horizontal="right" vertical="center"/>
    </xf>
    <xf numFmtId="199" fontId="16" fillId="0" borderId="454" xfId="2" applyNumberFormat="1" applyFont="1" applyFill="1" applyBorder="1" applyAlignment="1">
      <alignment horizontal="right" vertical="center"/>
    </xf>
    <xf numFmtId="198" fontId="16" fillId="11" borderId="477" xfId="2" applyNumberFormat="1" applyFont="1" applyFill="1" applyBorder="1" applyAlignment="1">
      <alignment horizontal="right" vertical="center"/>
    </xf>
    <xf numFmtId="198" fontId="16" fillId="11" borderId="437" xfId="2" applyNumberFormat="1" applyFont="1" applyFill="1" applyBorder="1" applyAlignment="1">
      <alignment horizontal="right" vertical="center"/>
    </xf>
    <xf numFmtId="198" fontId="16" fillId="11" borderId="461" xfId="2" applyNumberFormat="1" applyFont="1" applyFill="1" applyBorder="1" applyAlignment="1">
      <alignment horizontal="right" vertical="center"/>
    </xf>
    <xf numFmtId="198" fontId="32" fillId="11" borderId="462" xfId="2" applyNumberFormat="1" applyFont="1" applyFill="1" applyBorder="1" applyAlignment="1">
      <alignment horizontal="right" vertical="center"/>
    </xf>
    <xf numFmtId="198" fontId="16" fillId="11" borderId="460" xfId="2" applyNumberFormat="1" applyFont="1" applyFill="1" applyBorder="1" applyAlignment="1">
      <alignment horizontal="right" vertical="center"/>
    </xf>
    <xf numFmtId="198" fontId="16" fillId="11" borderId="435" xfId="2" applyNumberFormat="1" applyFont="1" applyFill="1" applyBorder="1" applyAlignment="1">
      <alignment horizontal="right" vertical="center"/>
    </xf>
    <xf numFmtId="198" fontId="16" fillId="11" borderId="463" xfId="2" applyNumberFormat="1" applyFont="1" applyFill="1" applyBorder="1" applyAlignment="1">
      <alignment horizontal="right" vertical="center"/>
    </xf>
    <xf numFmtId="199" fontId="16" fillId="0" borderId="478" xfId="2" applyNumberFormat="1" applyFont="1" applyFill="1" applyBorder="1" applyAlignment="1">
      <alignment horizontal="right" vertical="center"/>
    </xf>
    <xf numFmtId="199" fontId="16" fillId="0" borderId="177" xfId="2" applyNumberFormat="1" applyFont="1" applyFill="1" applyBorder="1" applyAlignment="1">
      <alignment horizontal="right" vertical="center"/>
    </xf>
    <xf numFmtId="199" fontId="16" fillId="0" borderId="479" xfId="2" applyNumberFormat="1" applyFont="1" applyFill="1" applyBorder="1">
      <alignment vertical="center"/>
    </xf>
    <xf numFmtId="199" fontId="16" fillId="23" borderId="177" xfId="2" applyNumberFormat="1" applyFont="1" applyFill="1" applyBorder="1" applyAlignment="1">
      <alignment horizontal="right" vertical="center"/>
    </xf>
    <xf numFmtId="199" fontId="16" fillId="0" borderId="145" xfId="2" applyNumberFormat="1" applyFont="1" applyFill="1" applyBorder="1" applyAlignment="1">
      <alignment horizontal="center" vertical="center"/>
    </xf>
    <xf numFmtId="199" fontId="16" fillId="0" borderId="446" xfId="2" applyNumberFormat="1" applyFont="1" applyFill="1" applyBorder="1" applyAlignment="1">
      <alignment horizontal="center" vertical="center"/>
    </xf>
    <xf numFmtId="199" fontId="16" fillId="0" borderId="480" xfId="2" applyNumberFormat="1" applyFont="1" applyFill="1" applyBorder="1" applyAlignment="1">
      <alignment horizontal="center" vertical="center"/>
    </xf>
    <xf numFmtId="199" fontId="16" fillId="0" borderId="481" xfId="2" applyNumberFormat="1" applyFont="1" applyFill="1" applyBorder="1" applyAlignment="1">
      <alignment horizontal="center" vertical="center"/>
    </xf>
    <xf numFmtId="199" fontId="16" fillId="0" borderId="482" xfId="2" applyNumberFormat="1" applyFont="1" applyFill="1" applyBorder="1" applyAlignment="1">
      <alignment horizontal="center" vertical="center"/>
    </xf>
    <xf numFmtId="198" fontId="16" fillId="0" borderId="0" xfId="2" applyNumberFormat="1" applyFont="1" applyFill="1" applyBorder="1" applyAlignment="1">
      <alignment horizontal="right" vertical="center"/>
    </xf>
    <xf numFmtId="199" fontId="16" fillId="0" borderId="193" xfId="2" applyNumberFormat="1" applyFont="1" applyBorder="1" applyAlignment="1">
      <alignment horizontal="center" vertical="center"/>
    </xf>
    <xf numFmtId="199" fontId="98" fillId="0" borderId="75" xfId="2" applyNumberFormat="1" applyFont="1" applyBorder="1">
      <alignment vertical="center"/>
    </xf>
    <xf numFmtId="199" fontId="16" fillId="0" borderId="381" xfId="2" applyNumberFormat="1" applyFont="1" applyBorder="1">
      <alignment vertical="center"/>
    </xf>
    <xf numFmtId="199" fontId="98" fillId="0" borderId="365" xfId="2" applyNumberFormat="1" applyFont="1" applyBorder="1">
      <alignment vertical="center"/>
    </xf>
    <xf numFmtId="199" fontId="16" fillId="0" borderId="75" xfId="2" applyNumberFormat="1" applyFont="1" applyBorder="1" applyAlignment="1">
      <alignment horizontal="center" vertical="center"/>
    </xf>
    <xf numFmtId="199" fontId="16" fillId="0" borderId="483" xfId="2" applyNumberFormat="1" applyFont="1" applyBorder="1">
      <alignment vertical="center"/>
    </xf>
    <xf numFmtId="199" fontId="16" fillId="0" borderId="484" xfId="2" applyNumberFormat="1" applyFont="1" applyBorder="1">
      <alignment vertical="center"/>
    </xf>
    <xf numFmtId="199" fontId="98" fillId="0" borderId="189" xfId="2" applyNumberFormat="1" applyFont="1" applyBorder="1">
      <alignment vertical="center"/>
    </xf>
    <xf numFmtId="199" fontId="98" fillId="0" borderId="228" xfId="2" applyNumberFormat="1" applyFont="1" applyBorder="1">
      <alignment vertical="center"/>
    </xf>
    <xf numFmtId="199" fontId="16" fillId="0" borderId="485" xfId="2" applyNumberFormat="1" applyFont="1" applyBorder="1">
      <alignment vertical="center"/>
    </xf>
    <xf numFmtId="199" fontId="16" fillId="0" borderId="486" xfId="2" applyNumberFormat="1" applyFont="1" applyBorder="1">
      <alignment vertical="center"/>
    </xf>
    <xf numFmtId="199" fontId="16" fillId="0" borderId="75" xfId="2" applyNumberFormat="1" applyFont="1" applyBorder="1" applyAlignment="1">
      <alignment vertical="center" wrapText="1"/>
    </xf>
    <xf numFmtId="200" fontId="16" fillId="11" borderId="472" xfId="2" applyNumberFormat="1" applyFont="1" applyFill="1" applyBorder="1" applyAlignment="1">
      <alignment horizontal="right" vertical="center"/>
    </xf>
    <xf numFmtId="200" fontId="16" fillId="11" borderId="473" xfId="2" applyNumberFormat="1" applyFont="1" applyFill="1" applyBorder="1" applyAlignment="1">
      <alignment horizontal="right" vertical="center"/>
    </xf>
    <xf numFmtId="200" fontId="16" fillId="11" borderId="461" xfId="2" applyNumberFormat="1" applyFont="1" applyFill="1" applyBorder="1" applyAlignment="1">
      <alignment horizontal="right" vertical="center"/>
    </xf>
    <xf numFmtId="200" fontId="16" fillId="11" borderId="474" xfId="2" applyNumberFormat="1" applyFont="1" applyFill="1" applyBorder="1" applyAlignment="1">
      <alignment horizontal="right" vertical="center"/>
    </xf>
    <xf numFmtId="200" fontId="16" fillId="11" borderId="475" xfId="2" applyNumberFormat="1" applyFont="1" applyFill="1" applyBorder="1" applyAlignment="1">
      <alignment horizontal="right" vertical="center"/>
    </xf>
    <xf numFmtId="200" fontId="32" fillId="11" borderId="439" xfId="2" applyNumberFormat="1" applyFont="1" applyFill="1" applyBorder="1" applyAlignment="1">
      <alignment horizontal="right" vertical="center"/>
    </xf>
    <xf numFmtId="200" fontId="16" fillId="11" borderId="476" xfId="2" applyNumberFormat="1" applyFont="1" applyFill="1" applyBorder="1" applyAlignment="1">
      <alignment horizontal="right" vertical="center"/>
    </xf>
    <xf numFmtId="200" fontId="16" fillId="11" borderId="460" xfId="2" applyNumberFormat="1" applyFont="1" applyFill="1" applyBorder="1" applyAlignment="1">
      <alignment horizontal="right" vertical="center"/>
    </xf>
    <xf numFmtId="198" fontId="16" fillId="11" borderId="472" xfId="2" applyNumberFormat="1" applyFont="1" applyFill="1" applyBorder="1" applyAlignment="1">
      <alignment horizontal="right" vertical="center"/>
    </xf>
    <xf numFmtId="200" fontId="16" fillId="11" borderId="489" xfId="2" applyNumberFormat="1" applyFont="1" applyFill="1" applyBorder="1" applyAlignment="1">
      <alignment horizontal="right" vertical="center"/>
    </xf>
    <xf numFmtId="200" fontId="16" fillId="11" borderId="490" xfId="2" applyNumberFormat="1" applyFont="1" applyFill="1" applyBorder="1" applyAlignment="1">
      <alignment horizontal="right" vertical="center"/>
    </xf>
    <xf numFmtId="200" fontId="16" fillId="11" borderId="437" xfId="2" applyNumberFormat="1" applyFont="1" applyFill="1" applyBorder="1" applyAlignment="1">
      <alignment horizontal="right" vertical="center" wrapText="1"/>
    </xf>
    <xf numFmtId="200" fontId="16" fillId="11" borderId="491" xfId="2" applyNumberFormat="1" applyFont="1" applyFill="1" applyBorder="1" applyAlignment="1">
      <alignment horizontal="right" vertical="center"/>
    </xf>
    <xf numFmtId="176" fontId="0" fillId="0" borderId="0" xfId="2" applyNumberFormat="1" applyFont="1" applyBorder="1">
      <alignment vertical="center"/>
    </xf>
    <xf numFmtId="199" fontId="16" fillId="0" borderId="492" xfId="2" applyNumberFormat="1" applyFont="1" applyBorder="1">
      <alignment vertical="center"/>
    </xf>
    <xf numFmtId="199" fontId="16" fillId="0" borderId="177" xfId="2" applyNumberFormat="1" applyFont="1" applyBorder="1">
      <alignment vertical="center"/>
    </xf>
    <xf numFmtId="199" fontId="16" fillId="0" borderId="493" xfId="2" applyNumberFormat="1" applyFont="1" applyBorder="1">
      <alignment vertical="center"/>
    </xf>
    <xf numFmtId="199" fontId="58" fillId="0" borderId="177" xfId="2" applyNumberFormat="1" applyFont="1" applyFill="1" applyBorder="1" applyAlignment="1" applyProtection="1">
      <alignment horizontal="right" vertical="center"/>
    </xf>
    <xf numFmtId="0" fontId="60" fillId="0" borderId="178" xfId="0" applyFont="1" applyBorder="1" applyAlignment="1">
      <alignment vertical="center"/>
    </xf>
    <xf numFmtId="199" fontId="58" fillId="0" borderId="494" xfId="2" applyNumberFormat="1" applyFont="1" applyFill="1" applyBorder="1" applyAlignment="1" applyProtection="1">
      <alignment horizontal="right" vertical="center"/>
    </xf>
    <xf numFmtId="199" fontId="58" fillId="31" borderId="477" xfId="2" applyNumberFormat="1" applyFont="1" applyFill="1" applyBorder="1" applyAlignment="1" applyProtection="1">
      <alignment horizontal="right" vertical="center"/>
    </xf>
    <xf numFmtId="199" fontId="58" fillId="31" borderId="437" xfId="2" applyNumberFormat="1" applyFont="1" applyFill="1" applyBorder="1" applyAlignment="1" applyProtection="1">
      <alignment horizontal="right" vertical="center"/>
    </xf>
    <xf numFmtId="199" fontId="58" fillId="12" borderId="437" xfId="2" applyNumberFormat="1" applyFont="1" applyFill="1" applyBorder="1" applyAlignment="1" applyProtection="1">
      <alignment horizontal="right" vertical="center"/>
    </xf>
    <xf numFmtId="199" fontId="58" fillId="24" borderId="437" xfId="2" applyNumberFormat="1" applyFont="1" applyFill="1" applyBorder="1" applyAlignment="1" applyProtection="1">
      <alignment horizontal="right" vertical="center"/>
    </xf>
    <xf numFmtId="199" fontId="58" fillId="0" borderId="437" xfId="2" applyNumberFormat="1" applyFont="1" applyFill="1" applyBorder="1" applyAlignment="1" applyProtection="1">
      <alignment horizontal="right" vertical="center"/>
    </xf>
    <xf numFmtId="199" fontId="58" fillId="24" borderId="439" xfId="2" applyNumberFormat="1" applyFont="1" applyFill="1" applyBorder="1" applyAlignment="1" applyProtection="1">
      <alignment horizontal="right" vertical="center"/>
    </xf>
    <xf numFmtId="199" fontId="58" fillId="0" borderId="477" xfId="2" applyNumberFormat="1" applyFont="1" applyFill="1" applyBorder="1" applyAlignment="1" applyProtection="1">
      <alignment horizontal="right" vertical="center"/>
    </xf>
    <xf numFmtId="199" fontId="58" fillId="0" borderId="495" xfId="2" applyNumberFormat="1" applyFont="1" applyFill="1" applyBorder="1" applyAlignment="1" applyProtection="1">
      <alignment horizontal="right" vertical="center"/>
    </xf>
    <xf numFmtId="199" fontId="58" fillId="24" borderId="435" xfId="2" applyNumberFormat="1" applyFont="1" applyFill="1" applyBorder="1" applyAlignment="1" applyProtection="1">
      <alignment horizontal="right" vertical="center"/>
    </xf>
    <xf numFmtId="199" fontId="58" fillId="24" borderId="496" xfId="2" applyNumberFormat="1" applyFont="1" applyFill="1" applyBorder="1" applyAlignment="1" applyProtection="1">
      <alignment horizontal="right" vertical="center"/>
    </xf>
    <xf numFmtId="192" fontId="58" fillId="0" borderId="0" xfId="0" applyNumberFormat="1" applyFont="1" applyAlignment="1">
      <alignment horizontal="right" vertical="center"/>
    </xf>
    <xf numFmtId="176" fontId="15" fillId="24" borderId="487" xfId="2" applyNumberFormat="1" applyFont="1" applyFill="1" applyBorder="1" applyAlignment="1">
      <alignment horizontal="center" vertical="center" wrapText="1"/>
    </xf>
    <xf numFmtId="176" fontId="15" fillId="24" borderId="488" xfId="2" applyNumberFormat="1" applyFont="1" applyFill="1" applyBorder="1" applyAlignment="1">
      <alignment horizontal="right" vertical="center" wrapText="1"/>
    </xf>
    <xf numFmtId="199" fontId="58" fillId="0" borderId="446" xfId="2" applyNumberFormat="1" applyFont="1" applyFill="1" applyBorder="1" applyAlignment="1" applyProtection="1">
      <alignment horizontal="right" vertical="center"/>
    </xf>
    <xf numFmtId="176" fontId="15" fillId="7" borderId="500" xfId="2" applyNumberFormat="1" applyFont="1" applyFill="1" applyBorder="1" applyAlignment="1">
      <alignment horizontal="center" vertical="center" wrapText="1"/>
    </xf>
    <xf numFmtId="176" fontId="15" fillId="24" borderId="509" xfId="2" applyNumberFormat="1" applyFont="1" applyFill="1" applyBorder="1" applyAlignment="1">
      <alignment horizontal="center" vertical="center" wrapText="1"/>
    </xf>
    <xf numFmtId="176" fontId="15" fillId="7" borderId="452" xfId="2" applyNumberFormat="1" applyFont="1" applyFill="1" applyBorder="1" applyAlignment="1">
      <alignment horizontal="center" vertical="center"/>
    </xf>
    <xf numFmtId="0" fontId="74" fillId="16" borderId="514" xfId="0" applyFont="1" applyFill="1" applyBorder="1" applyAlignment="1">
      <alignment horizontal="center" vertical="center"/>
    </xf>
    <xf numFmtId="0" fontId="74" fillId="22" borderId="515" xfId="0" applyFont="1" applyFill="1" applyBorder="1" applyAlignment="1">
      <alignment horizontal="center" vertical="center"/>
    </xf>
    <xf numFmtId="0" fontId="67" fillId="6" borderId="452" xfId="0" applyFont="1" applyFill="1" applyBorder="1" applyAlignment="1">
      <alignment horizontal="right" vertical="center" wrapText="1"/>
    </xf>
    <xf numFmtId="0" fontId="67" fillId="7" borderId="516" xfId="0" applyFont="1" applyFill="1" applyBorder="1" applyAlignment="1">
      <alignment horizontal="center" vertical="center" wrapText="1"/>
    </xf>
    <xf numFmtId="0" fontId="67" fillId="4" borderId="517" xfId="0" applyFont="1" applyFill="1" applyBorder="1" applyAlignment="1">
      <alignment horizontal="center" vertical="center" wrapText="1"/>
    </xf>
    <xf numFmtId="0" fontId="67" fillId="6" borderId="518" xfId="0" applyFont="1" applyFill="1" applyBorder="1" applyAlignment="1">
      <alignment horizontal="center" vertical="center" wrapText="1"/>
    </xf>
    <xf numFmtId="0" fontId="67" fillId="7" borderId="519" xfId="0" applyFont="1" applyFill="1" applyBorder="1" applyAlignment="1">
      <alignment horizontal="center" vertical="center" wrapText="1"/>
    </xf>
    <xf numFmtId="176" fontId="15" fillId="24" borderId="522" xfId="2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right" vertical="center"/>
    </xf>
    <xf numFmtId="198" fontId="17" fillId="0" borderId="6" xfId="2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110" fillId="46" borderId="525" xfId="0" applyFont="1" applyFill="1" applyBorder="1" applyAlignment="1">
      <alignment horizontal="center" vertical="center" wrapText="1"/>
    </xf>
    <xf numFmtId="0" fontId="111" fillId="0" borderId="527" xfId="0" applyFont="1" applyBorder="1" applyAlignment="1">
      <alignment horizontal="center" vertical="center" wrapText="1"/>
    </xf>
    <xf numFmtId="202" fontId="112" fillId="0" borderId="527" xfId="0" applyNumberFormat="1" applyFont="1" applyBorder="1" applyAlignment="1">
      <alignment horizontal="right" vertical="center" wrapText="1"/>
    </xf>
    <xf numFmtId="0" fontId="113" fillId="0" borderId="527" xfId="0" applyFont="1" applyBorder="1" applyAlignment="1">
      <alignment vertical="center" wrapText="1"/>
    </xf>
    <xf numFmtId="0" fontId="48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0" fontId="111" fillId="0" borderId="527" xfId="0" applyFont="1" applyFill="1" applyBorder="1" applyAlignment="1">
      <alignment horizontal="center" vertical="center" wrapText="1"/>
    </xf>
    <xf numFmtId="202" fontId="112" fillId="0" borderId="527" xfId="0" applyNumberFormat="1" applyFont="1" applyFill="1" applyBorder="1" applyAlignment="1">
      <alignment horizontal="right" vertical="center" wrapText="1"/>
    </xf>
    <xf numFmtId="0" fontId="58" fillId="0" borderId="0" xfId="0" applyFont="1" applyAlignment="1">
      <alignment horizontal="left" vertical="center"/>
    </xf>
    <xf numFmtId="0" fontId="115" fillId="46" borderId="535" xfId="0" applyFont="1" applyFill="1" applyBorder="1" applyAlignment="1">
      <alignment horizontal="center" vertical="center" wrapText="1"/>
    </xf>
    <xf numFmtId="0" fontId="113" fillId="0" borderId="527" xfId="0" applyFont="1" applyBorder="1" applyAlignment="1">
      <alignment horizontal="right" vertical="center" wrapText="1"/>
    </xf>
    <xf numFmtId="0" fontId="8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0" borderId="0" xfId="9" applyFont="1" applyAlignment="1">
      <alignment horizontal="center" vertical="center"/>
    </xf>
    <xf numFmtId="0" fontId="2" fillId="0" borderId="11" xfId="9" applyFont="1" applyBorder="1" applyAlignment="1">
      <alignment horizontal="center" vertical="center"/>
    </xf>
    <xf numFmtId="0" fontId="2" fillId="0" borderId="165" xfId="9" applyFont="1" applyBorder="1" applyAlignment="1">
      <alignment horizontal="center" vertical="center"/>
    </xf>
    <xf numFmtId="0" fontId="2" fillId="0" borderId="30" xfId="9" applyFont="1" applyBorder="1" applyAlignment="1">
      <alignment horizontal="center" vertical="center"/>
    </xf>
    <xf numFmtId="0" fontId="2" fillId="0" borderId="15" xfId="9" applyFont="1" applyBorder="1" applyAlignment="1">
      <alignment horizontal="center" vertical="center"/>
    </xf>
    <xf numFmtId="0" fontId="2" fillId="0" borderId="5" xfId="9" applyFont="1" applyBorder="1" applyAlignment="1">
      <alignment horizontal="center" vertical="center"/>
    </xf>
    <xf numFmtId="0" fontId="0" fillId="0" borderId="5" xfId="9" quotePrefix="1" applyFont="1" applyBorder="1" applyAlignment="1">
      <alignment horizontal="center" vertical="center"/>
    </xf>
    <xf numFmtId="0" fontId="2" fillId="0" borderId="167" xfId="9" applyFont="1" applyBorder="1" applyAlignment="1">
      <alignment horizontal="center" vertical="center"/>
    </xf>
    <xf numFmtId="0" fontId="2" fillId="0" borderId="0" xfId="9" applyFont="1">
      <alignment vertical="center"/>
    </xf>
    <xf numFmtId="0" fontId="29" fillId="0" borderId="11" xfId="9" applyFont="1" applyBorder="1" applyAlignment="1">
      <alignment horizontal="center" vertical="center"/>
    </xf>
    <xf numFmtId="0" fontId="16" fillId="0" borderId="24" xfId="9" applyFont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/>
    </xf>
    <xf numFmtId="0" fontId="29" fillId="0" borderId="25" xfId="9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/>
    </xf>
    <xf numFmtId="0" fontId="17" fillId="0" borderId="192" xfId="0" applyFont="1" applyBorder="1" applyAlignment="1">
      <alignment horizontal="center" vertical="center" wrapText="1"/>
    </xf>
    <xf numFmtId="0" fontId="17" fillId="0" borderId="135" xfId="0" applyFont="1" applyBorder="1" applyAlignment="1">
      <alignment horizontal="center" vertical="center" wrapText="1"/>
    </xf>
    <xf numFmtId="203" fontId="17" fillId="0" borderId="189" xfId="2" applyNumberFormat="1" applyFont="1" applyBorder="1" applyAlignment="1">
      <alignment vertical="center"/>
    </xf>
    <xf numFmtId="0" fontId="27" fillId="23" borderId="278" xfId="0" applyFont="1" applyFill="1" applyBorder="1" applyAlignment="1">
      <alignment horizontal="center" vertical="center"/>
    </xf>
    <xf numFmtId="194" fontId="48" fillId="0" borderId="277" xfId="2" applyNumberFormat="1" applyFont="1" applyBorder="1" applyAlignment="1">
      <alignment horizontal="center" vertical="center"/>
    </xf>
    <xf numFmtId="194" fontId="27" fillId="0" borderId="190" xfId="2" applyNumberFormat="1" applyFont="1" applyBorder="1" applyAlignment="1">
      <alignment horizontal="center" vertical="center"/>
    </xf>
    <xf numFmtId="195" fontId="27" fillId="0" borderId="135" xfId="2" applyNumberFormat="1" applyFont="1" applyBorder="1" applyAlignment="1">
      <alignment horizontal="center" vertical="center"/>
    </xf>
    <xf numFmtId="0" fontId="26" fillId="0" borderId="135" xfId="0" quotePrefix="1" applyFont="1" applyBorder="1" applyAlignment="1">
      <alignment horizontal="center" vertical="center"/>
    </xf>
    <xf numFmtId="193" fontId="27" fillId="0" borderId="278" xfId="0" applyNumberFormat="1" applyFont="1" applyBorder="1" applyAlignment="1">
      <alignment horizontal="center" vertical="center"/>
    </xf>
    <xf numFmtId="0" fontId="48" fillId="0" borderId="170" xfId="0" applyFont="1" applyBorder="1" applyAlignment="1">
      <alignment horizontal="center" vertical="center" wrapText="1"/>
    </xf>
    <xf numFmtId="0" fontId="27" fillId="0" borderId="170" xfId="0" applyFont="1" applyBorder="1" applyAlignment="1">
      <alignment horizontal="center" vertical="center" wrapText="1"/>
    </xf>
    <xf numFmtId="176" fontId="45" fillId="0" borderId="135" xfId="2" applyNumberFormat="1" applyFont="1" applyFill="1" applyBorder="1">
      <alignment vertical="center"/>
    </xf>
    <xf numFmtId="176" fontId="32" fillId="0" borderId="135" xfId="2" applyNumberFormat="1" applyFont="1" applyFill="1" applyBorder="1">
      <alignment vertical="center"/>
    </xf>
    <xf numFmtId="199" fontId="16" fillId="0" borderId="192" xfId="2" applyNumberFormat="1" applyFont="1" applyFill="1" applyBorder="1">
      <alignment vertical="center"/>
    </xf>
    <xf numFmtId="0" fontId="0" fillId="0" borderId="538" xfId="0" applyBorder="1" applyAlignment="1">
      <alignment vertical="center" wrapText="1"/>
    </xf>
    <xf numFmtId="0" fontId="17" fillId="0" borderId="193" xfId="0" applyFont="1" applyBorder="1" applyAlignment="1">
      <alignment horizontal="center" vertical="center" wrapText="1"/>
    </xf>
    <xf numFmtId="0" fontId="27" fillId="0" borderId="81" xfId="0" applyFont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0" fillId="0" borderId="449" xfId="0" applyBorder="1" applyAlignment="1">
      <alignment vertical="center" wrapText="1"/>
    </xf>
    <xf numFmtId="0" fontId="17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81" xfId="0" applyBorder="1" applyAlignment="1">
      <alignment vertical="center" wrapText="1"/>
    </xf>
    <xf numFmtId="203" fontId="17" fillId="0" borderId="75" xfId="2" applyNumberFormat="1" applyFont="1" applyBorder="1" applyAlignment="1">
      <alignment vertical="center"/>
    </xf>
    <xf numFmtId="203" fontId="17" fillId="0" borderId="6" xfId="2" applyNumberFormat="1" applyFont="1" applyBorder="1" applyAlignment="1">
      <alignment vertical="center"/>
    </xf>
    <xf numFmtId="203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7" fillId="0" borderId="194" xfId="0" applyFont="1" applyBorder="1" applyAlignment="1">
      <alignment horizontal="center" vertical="center" wrapText="1"/>
    </xf>
    <xf numFmtId="203" fontId="17" fillId="0" borderId="136" xfId="2" applyNumberFormat="1" applyFont="1" applyBorder="1" applyAlignment="1">
      <alignment vertical="center"/>
    </xf>
    <xf numFmtId="0" fontId="0" fillId="0" borderId="136" xfId="0" applyBorder="1">
      <alignment vertical="center"/>
    </xf>
    <xf numFmtId="0" fontId="0" fillId="0" borderId="136" xfId="0" applyBorder="1" applyAlignment="1">
      <alignment vertical="center" wrapText="1"/>
    </xf>
    <xf numFmtId="0" fontId="0" fillId="0" borderId="276" xfId="0" applyBorder="1" applyAlignment="1">
      <alignment vertical="center" wrapText="1"/>
    </xf>
    <xf numFmtId="0" fontId="48" fillId="0" borderId="136" xfId="0" quotePrefix="1" applyFont="1" applyBorder="1" applyAlignment="1">
      <alignment horizontal="center" vertical="center"/>
    </xf>
    <xf numFmtId="0" fontId="26" fillId="0" borderId="136" xfId="0" quotePrefix="1" applyFont="1" applyBorder="1" applyAlignment="1">
      <alignment horizontal="center" vertical="center"/>
    </xf>
    <xf numFmtId="0" fontId="48" fillId="0" borderId="454" xfId="0" applyFont="1" applyBorder="1">
      <alignment vertical="center"/>
    </xf>
    <xf numFmtId="0" fontId="27" fillId="0" borderId="454" xfId="0" applyFont="1" applyBorder="1">
      <alignment vertical="center"/>
    </xf>
    <xf numFmtId="0" fontId="0" fillId="0" borderId="539" xfId="0" applyBorder="1" applyAlignment="1">
      <alignment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99" fontId="16" fillId="0" borderId="189" xfId="2" applyNumberFormat="1" applyFont="1" applyFill="1" applyBorder="1">
      <alignment vertical="center"/>
    </xf>
    <xf numFmtId="176" fontId="15" fillId="24" borderId="460" xfId="2" applyNumberFormat="1" applyFont="1" applyFill="1" applyBorder="1" applyAlignment="1">
      <alignment horizontal="center" vertical="center" wrapText="1"/>
    </xf>
    <xf numFmtId="176" fontId="15" fillId="24" borderId="488" xfId="2" applyNumberFormat="1" applyFont="1" applyFill="1" applyBorder="1" applyAlignment="1">
      <alignment horizontal="center" vertical="center" wrapText="1"/>
    </xf>
    <xf numFmtId="0" fontId="58" fillId="0" borderId="510" xfId="0" applyFont="1" applyBorder="1" applyAlignment="1">
      <alignment horizontal="center" vertical="center"/>
    </xf>
    <xf numFmtId="0" fontId="58" fillId="0" borderId="523" xfId="0" applyFont="1" applyBorder="1" applyAlignment="1">
      <alignment horizontal="center" vertical="center"/>
    </xf>
    <xf numFmtId="0" fontId="58" fillId="0" borderId="511" xfId="0" applyFont="1" applyBorder="1" applyAlignment="1">
      <alignment horizontal="center" vertical="center"/>
    </xf>
    <xf numFmtId="0" fontId="58" fillId="0" borderId="524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60" fillId="6" borderId="75" xfId="0" applyFont="1" applyFill="1" applyBorder="1" applyAlignment="1">
      <alignment horizontal="center" vertical="center" wrapText="1"/>
    </xf>
    <xf numFmtId="0" fontId="60" fillId="6" borderId="83" xfId="0" applyFont="1" applyFill="1" applyBorder="1" applyAlignment="1">
      <alignment horizontal="center" vertical="center" wrapText="1"/>
    </xf>
    <xf numFmtId="0" fontId="15" fillId="9" borderId="150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 wrapText="1"/>
    </xf>
    <xf numFmtId="0" fontId="67" fillId="0" borderId="220" xfId="0" applyFont="1" applyBorder="1" applyAlignment="1">
      <alignment horizontal="center" vertical="center" wrapText="1"/>
    </xf>
    <xf numFmtId="0" fontId="67" fillId="0" borderId="221" xfId="0" applyFont="1" applyBorder="1" applyAlignment="1">
      <alignment horizontal="center" vertical="center" wrapText="1"/>
    </xf>
    <xf numFmtId="185" fontId="58" fillId="23" borderId="259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176" fontId="43" fillId="23" borderId="441" xfId="2" applyNumberFormat="1" applyFont="1" applyFill="1" applyBorder="1" applyAlignment="1">
      <alignment horizontal="center" vertical="center"/>
    </xf>
    <xf numFmtId="176" fontId="43" fillId="23" borderId="189" xfId="2" applyNumberFormat="1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60" fillId="6" borderId="102" xfId="0" applyFont="1" applyFill="1" applyBorder="1" applyAlignment="1">
      <alignment horizontal="center" vertical="center" wrapText="1"/>
    </xf>
    <xf numFmtId="0" fontId="59" fillId="7" borderId="125" xfId="0" applyFont="1" applyFill="1" applyBorder="1" applyAlignment="1">
      <alignment horizontal="center" vertical="center" wrapText="1"/>
    </xf>
    <xf numFmtId="0" fontId="59" fillId="7" borderId="102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/>
    </xf>
    <xf numFmtId="0" fontId="15" fillId="9" borderId="150" xfId="0" applyFont="1" applyFill="1" applyBorder="1" applyAlignment="1">
      <alignment horizontal="center" vertical="center"/>
    </xf>
    <xf numFmtId="0" fontId="67" fillId="4" borderId="384" xfId="0" applyFont="1" applyFill="1" applyBorder="1" applyAlignment="1">
      <alignment horizontal="center" vertical="center"/>
    </xf>
    <xf numFmtId="0" fontId="67" fillId="4" borderId="401" xfId="0" applyFont="1" applyFill="1" applyBorder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0" fontId="67" fillId="39" borderId="454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7" fillId="36" borderId="454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 wrapText="1"/>
    </xf>
    <xf numFmtId="0" fontId="15" fillId="23" borderId="31" xfId="0" applyFont="1" applyFill="1" applyBorder="1" applyAlignment="1">
      <alignment horizontal="center" vertical="center"/>
    </xf>
    <xf numFmtId="0" fontId="15" fillId="23" borderId="29" xfId="0" applyFont="1" applyFill="1" applyBorder="1" applyAlignment="1">
      <alignment horizontal="center" vertical="center"/>
    </xf>
    <xf numFmtId="0" fontId="15" fillId="4" borderId="328" xfId="0" applyFont="1" applyFill="1" applyBorder="1" applyAlignment="1">
      <alignment horizontal="center" vertical="center"/>
    </xf>
    <xf numFmtId="0" fontId="15" fillId="4" borderId="171" xfId="0" applyFont="1" applyFill="1" applyBorder="1" applyAlignment="1">
      <alignment horizontal="center" vertical="center"/>
    </xf>
    <xf numFmtId="0" fontId="15" fillId="4" borderId="329" xfId="0" applyFont="1" applyFill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0" fontId="59" fillId="23" borderId="115" xfId="0" applyFont="1" applyFill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74" fillId="16" borderId="330" xfId="0" applyFont="1" applyFill="1" applyBorder="1" applyAlignment="1">
      <alignment horizontal="center" vertical="center"/>
    </xf>
    <xf numFmtId="0" fontId="74" fillId="16" borderId="331" xfId="0" applyFont="1" applyFill="1" applyBorder="1" applyAlignment="1">
      <alignment horizontal="center" vertical="center"/>
    </xf>
    <xf numFmtId="0" fontId="74" fillId="16" borderId="332" xfId="0" applyFont="1" applyFill="1" applyBorder="1" applyAlignment="1">
      <alignment horizontal="center" vertical="center"/>
    </xf>
    <xf numFmtId="0" fontId="74" fillId="22" borderId="331" xfId="0" applyFont="1" applyFill="1" applyBorder="1" applyAlignment="1">
      <alignment horizontal="center" vertical="center"/>
    </xf>
    <xf numFmtId="0" fontId="74" fillId="22" borderId="332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59" fillId="0" borderId="102" xfId="0" applyFont="1" applyBorder="1" applyAlignment="1">
      <alignment horizontal="center" vertical="center"/>
    </xf>
    <xf numFmtId="0" fontId="67" fillId="0" borderId="150" xfId="0" applyFont="1" applyBorder="1" applyAlignment="1">
      <alignment horizontal="center" vertical="center"/>
    </xf>
    <xf numFmtId="0" fontId="67" fillId="0" borderId="440" xfId="0" applyFont="1" applyBorder="1" applyAlignment="1">
      <alignment horizontal="center" vertical="center"/>
    </xf>
    <xf numFmtId="0" fontId="58" fillId="7" borderId="102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7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60" fillId="12" borderId="17" xfId="0" applyFont="1" applyFill="1" applyBorder="1" applyAlignment="1">
      <alignment horizontal="center" vertical="center" wrapText="1"/>
    </xf>
    <xf numFmtId="0" fontId="60" fillId="12" borderId="16" xfId="0" applyFont="1" applyFill="1" applyBorder="1" applyAlignment="1">
      <alignment horizontal="center" vertical="center" wrapText="1"/>
    </xf>
    <xf numFmtId="0" fontId="60" fillId="12" borderId="69" xfId="0" applyFont="1" applyFill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0" fontId="60" fillId="12" borderId="75" xfId="0" applyFont="1" applyFill="1" applyBorder="1" applyAlignment="1">
      <alignment horizontal="center" vertical="center" wrapText="1"/>
    </xf>
    <xf numFmtId="0" fontId="60" fillId="12" borderId="83" xfId="0" applyFont="1" applyFill="1" applyBorder="1" applyAlignment="1">
      <alignment horizontal="center" vertical="center" wrapText="1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9" fillId="23" borderId="77" xfId="0" applyFont="1" applyFill="1" applyBorder="1" applyAlignment="1">
      <alignment horizontal="center" vertical="center"/>
    </xf>
    <xf numFmtId="0" fontId="58" fillId="4" borderId="101" xfId="0" applyFont="1" applyFill="1" applyBorder="1" applyAlignment="1">
      <alignment horizontal="center" vertical="center"/>
    </xf>
    <xf numFmtId="0" fontId="58" fillId="4" borderId="77" xfId="0" applyFont="1" applyFill="1" applyBorder="1" applyAlignment="1">
      <alignment horizontal="center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0" fontId="60" fillId="12" borderId="344" xfId="0" applyFont="1" applyFill="1" applyBorder="1" applyAlignment="1">
      <alignment horizontal="center" vertical="center" wrapText="1"/>
    </xf>
    <xf numFmtId="0" fontId="60" fillId="12" borderId="345" xfId="0" applyFont="1" applyFill="1" applyBorder="1" applyAlignment="1">
      <alignment horizontal="center" vertical="center" wrapText="1"/>
    </xf>
    <xf numFmtId="0" fontId="60" fillId="12" borderId="224" xfId="0" applyFont="1" applyFill="1" applyBorder="1" applyAlignment="1">
      <alignment horizontal="center" vertical="center" wrapText="1"/>
    </xf>
    <xf numFmtId="0" fontId="60" fillId="12" borderId="244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23" borderId="71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186" fontId="58" fillId="23" borderId="139" xfId="2" applyNumberFormat="1" applyFont="1" applyFill="1" applyBorder="1" applyAlignment="1" applyProtection="1">
      <alignment horizontal="center" vertical="center"/>
    </xf>
    <xf numFmtId="186" fontId="58" fillId="23" borderId="446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214" xfId="0" applyFont="1" applyFill="1" applyBorder="1" applyAlignment="1">
      <alignment horizontal="center" vertical="center" wrapText="1"/>
    </xf>
    <xf numFmtId="0" fontId="60" fillId="6" borderId="211" xfId="0" applyFont="1" applyFill="1" applyBorder="1" applyAlignment="1">
      <alignment horizontal="center" vertical="center" wrapText="1"/>
    </xf>
    <xf numFmtId="0" fontId="60" fillId="6" borderId="243" xfId="0" applyFont="1" applyFill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/>
    </xf>
    <xf numFmtId="0" fontId="58" fillId="6" borderId="497" xfId="0" applyFont="1" applyFill="1" applyBorder="1" applyAlignment="1">
      <alignment horizontal="center" vertical="center"/>
    </xf>
    <xf numFmtId="0" fontId="58" fillId="6" borderId="512" xfId="0" applyFont="1" applyFill="1" applyBorder="1" applyAlignment="1">
      <alignment horizontal="center" vertical="center"/>
    </xf>
    <xf numFmtId="0" fontId="58" fillId="6" borderId="498" xfId="0" applyFont="1" applyFill="1" applyBorder="1" applyAlignment="1">
      <alignment horizontal="center" vertical="center" wrapText="1"/>
    </xf>
    <xf numFmtId="0" fontId="58" fillId="6" borderId="452" xfId="0" applyFont="1" applyFill="1" applyBorder="1" applyAlignment="1">
      <alignment horizontal="center" vertical="center" wrapText="1"/>
    </xf>
    <xf numFmtId="0" fontId="58" fillId="6" borderId="499" xfId="0" applyFont="1" applyFill="1" applyBorder="1" applyAlignment="1">
      <alignment horizontal="center" vertical="center" wrapText="1"/>
    </xf>
    <xf numFmtId="0" fontId="58" fillId="6" borderId="513" xfId="0" applyFont="1" applyFill="1" applyBorder="1" applyAlignment="1">
      <alignment horizontal="center" vertical="center" wrapText="1"/>
    </xf>
    <xf numFmtId="0" fontId="15" fillId="23" borderId="501" xfId="0" applyFont="1" applyFill="1" applyBorder="1" applyAlignment="1">
      <alignment horizontal="center" vertical="center"/>
    </xf>
    <xf numFmtId="0" fontId="15" fillId="23" borderId="502" xfId="0" applyFont="1" applyFill="1" applyBorder="1" applyAlignment="1">
      <alignment horizontal="center" vertical="center"/>
    </xf>
    <xf numFmtId="0" fontId="67" fillId="0" borderId="503" xfId="0" applyFont="1" applyBorder="1" applyAlignment="1">
      <alignment horizontal="center" vertical="center" wrapText="1"/>
    </xf>
    <xf numFmtId="0" fontId="67" fillId="0" borderId="504" xfId="0" applyFont="1" applyBorder="1" applyAlignment="1">
      <alignment horizontal="center" vertical="center" wrapText="1"/>
    </xf>
    <xf numFmtId="176" fontId="43" fillId="23" borderId="505" xfId="2" applyNumberFormat="1" applyFont="1" applyFill="1" applyBorder="1" applyAlignment="1">
      <alignment horizontal="center" vertical="center"/>
    </xf>
    <xf numFmtId="176" fontId="43" fillId="23" borderId="506" xfId="2" applyNumberFormat="1" applyFont="1" applyFill="1" applyBorder="1" applyAlignment="1">
      <alignment horizontal="center" vertical="center"/>
    </xf>
    <xf numFmtId="176" fontId="15" fillId="24" borderId="507" xfId="2" applyNumberFormat="1" applyFont="1" applyFill="1" applyBorder="1" applyAlignment="1">
      <alignment horizontal="center" vertical="center" wrapText="1"/>
    </xf>
    <xf numFmtId="176" fontId="15" fillId="24" borderId="520" xfId="2" applyNumberFormat="1" applyFont="1" applyFill="1" applyBorder="1" applyAlignment="1">
      <alignment horizontal="center" vertical="center" wrapText="1"/>
    </xf>
    <xf numFmtId="0" fontId="43" fillId="45" borderId="508" xfId="0" applyFont="1" applyFill="1" applyBorder="1" applyAlignment="1">
      <alignment horizontal="center" vertical="center"/>
    </xf>
    <xf numFmtId="0" fontId="43" fillId="45" borderId="521" xfId="0" applyFont="1" applyFill="1" applyBorder="1" applyAlignment="1">
      <alignment horizontal="center" vertical="center"/>
    </xf>
    <xf numFmtId="0" fontId="15" fillId="6" borderId="34" xfId="0" applyFont="1" applyFill="1" applyBorder="1" applyAlignment="1">
      <alignment horizontal="center" vertical="center"/>
    </xf>
    <xf numFmtId="0" fontId="15" fillId="6" borderId="48" xfId="0" applyFont="1" applyFill="1" applyBorder="1" applyAlignment="1">
      <alignment horizontal="center" vertical="center"/>
    </xf>
    <xf numFmtId="0" fontId="43" fillId="45" borderId="138" xfId="0" applyFont="1" applyFill="1" applyBorder="1" applyAlignment="1">
      <alignment horizontal="center" vertical="center"/>
    </xf>
    <xf numFmtId="0" fontId="43" fillId="45" borderId="145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0" fontId="43" fillId="0" borderId="200" xfId="0" applyFont="1" applyBorder="1" applyAlignment="1">
      <alignment horizontal="center" vertical="center"/>
    </xf>
    <xf numFmtId="0" fontId="43" fillId="0" borderId="204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8" fillId="4" borderId="101" xfId="0" applyFont="1" applyFill="1" applyBorder="1" applyAlignment="1">
      <alignment horizontal="center" vertical="center"/>
    </xf>
    <xf numFmtId="0" fontId="48" fillId="4" borderId="140" xfId="0" applyFont="1" applyFill="1" applyBorder="1" applyAlignment="1">
      <alignment horizontal="center" vertical="center"/>
    </xf>
    <xf numFmtId="0" fontId="48" fillId="0" borderId="6" xfId="0" applyFont="1" applyBorder="1" applyAlignment="1">
      <alignment horizontal="center" vertical="center" wrapText="1"/>
    </xf>
    <xf numFmtId="0" fontId="48" fillId="4" borderId="77" xfId="0" applyFont="1" applyFill="1" applyBorder="1" applyAlignment="1">
      <alignment horizontal="center" vertical="center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27" fillId="0" borderId="101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27" fillId="0" borderId="102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7" fillId="0" borderId="283" xfId="0" applyFont="1" applyBorder="1" applyAlignment="1">
      <alignment horizontal="center" vertical="center" wrapText="1"/>
    </xf>
    <xf numFmtId="0" fontId="27" fillId="0" borderId="323" xfId="0" applyFont="1" applyBorder="1" applyAlignment="1">
      <alignment horizontal="center" vertical="center" wrapText="1"/>
    </xf>
    <xf numFmtId="0" fontId="27" fillId="0" borderId="298" xfId="0" applyFont="1" applyBorder="1" applyAlignment="1">
      <alignment horizontal="center" vertical="center" wrapText="1"/>
    </xf>
    <xf numFmtId="0" fontId="48" fillId="4" borderId="102" xfId="0" applyFont="1" applyFill="1" applyBorder="1" applyAlignment="1">
      <alignment horizontal="center" vertical="center"/>
    </xf>
    <xf numFmtId="0" fontId="48" fillId="0" borderId="136" xfId="0" applyFont="1" applyBorder="1" applyAlignment="1">
      <alignment horizontal="center" vertical="center" wrapText="1"/>
    </xf>
    <xf numFmtId="0" fontId="27" fillId="0" borderId="77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27" fillId="0" borderId="137" xfId="0" applyFont="1" applyBorder="1" applyAlignment="1">
      <alignment horizontal="center" vertical="center" wrapText="1"/>
    </xf>
    <xf numFmtId="0" fontId="27" fillId="0" borderId="321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3" fillId="6" borderId="226" xfId="0" applyFont="1" applyFill="1" applyBorder="1" applyAlignment="1">
      <alignment horizontal="center" vertical="center"/>
    </xf>
    <xf numFmtId="0" fontId="43" fillId="6" borderId="232" xfId="0" applyFont="1" applyFill="1" applyBorder="1" applyAlignment="1">
      <alignment horizontal="center" vertical="center"/>
    </xf>
    <xf numFmtId="0" fontId="15" fillId="6" borderId="190" xfId="0" applyFont="1" applyFill="1" applyBorder="1" applyAlignment="1">
      <alignment horizontal="center" vertical="center"/>
    </xf>
    <xf numFmtId="0" fontId="15" fillId="6" borderId="195" xfId="0" applyFont="1" applyFill="1" applyBorder="1" applyAlignment="1">
      <alignment horizontal="center" vertical="center"/>
    </xf>
    <xf numFmtId="0" fontId="27" fillId="0" borderId="7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176" fontId="43" fillId="6" borderId="192" xfId="2" applyNumberFormat="1" applyFont="1" applyFill="1" applyBorder="1" applyAlignment="1">
      <alignment horizontal="center" vertical="center"/>
    </xf>
    <xf numFmtId="176" fontId="43" fillId="6" borderId="189" xfId="2" applyNumberFormat="1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/>
    </xf>
    <xf numFmtId="0" fontId="15" fillId="6" borderId="140" xfId="0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/>
    </xf>
    <xf numFmtId="0" fontId="15" fillId="9" borderId="189" xfId="0" applyFont="1" applyFill="1" applyBorder="1" applyAlignment="1">
      <alignment horizontal="center" vertical="center"/>
    </xf>
    <xf numFmtId="0" fontId="15" fillId="9" borderId="190" xfId="0" applyFont="1" applyFill="1" applyBorder="1" applyAlignment="1">
      <alignment horizontal="center" vertical="center"/>
    </xf>
    <xf numFmtId="176" fontId="15" fillId="6" borderId="189" xfId="2" applyNumberFormat="1" applyFont="1" applyFill="1" applyBorder="1" applyAlignment="1">
      <alignment horizontal="center" vertical="center"/>
    </xf>
    <xf numFmtId="176" fontId="15" fillId="6" borderId="165" xfId="2" applyNumberFormat="1" applyFont="1" applyFill="1" applyBorder="1" applyAlignment="1">
      <alignment horizontal="center" vertical="center"/>
    </xf>
    <xf numFmtId="198" fontId="15" fillId="11" borderId="487" xfId="2" applyNumberFormat="1" applyFont="1" applyFill="1" applyBorder="1" applyAlignment="1">
      <alignment horizontal="center" vertical="center" wrapText="1"/>
    </xf>
    <xf numFmtId="198" fontId="15" fillId="11" borderId="488" xfId="2" applyNumberFormat="1" applyFont="1" applyFill="1" applyBorder="1" applyAlignment="1">
      <alignment horizontal="center" vertical="center" wrapText="1"/>
    </xf>
    <xf numFmtId="0" fontId="15" fillId="4" borderId="31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/>
    </xf>
    <xf numFmtId="0" fontId="74" fillId="16" borderId="46" xfId="0" applyFont="1" applyFill="1" applyBorder="1" applyAlignment="1">
      <alignment horizontal="center" vertical="center"/>
    </xf>
    <xf numFmtId="0" fontId="74" fillId="16" borderId="168" xfId="0" applyFont="1" applyFill="1" applyBorder="1" applyAlignment="1">
      <alignment horizontal="center" vertical="center"/>
    </xf>
    <xf numFmtId="0" fontId="74" fillId="16" borderId="50" xfId="0" applyFont="1" applyFill="1" applyBorder="1" applyAlignment="1">
      <alignment horizontal="center" vertical="center"/>
    </xf>
    <xf numFmtId="0" fontId="74" fillId="22" borderId="168" xfId="0" applyFont="1" applyFill="1" applyBorder="1" applyAlignment="1">
      <alignment horizontal="center" vertical="center"/>
    </xf>
    <xf numFmtId="0" fontId="74" fillId="22" borderId="50" xfId="0" applyFont="1" applyFill="1" applyBorder="1" applyAlignment="1">
      <alignment horizontal="center" vertical="center"/>
    </xf>
    <xf numFmtId="176" fontId="16" fillId="0" borderId="75" xfId="2" applyNumberFormat="1" applyFont="1" applyBorder="1" applyAlignment="1">
      <alignment horizontal="center" vertical="center"/>
    </xf>
    <xf numFmtId="176" fontId="16" fillId="0" borderId="228" xfId="2" applyNumberFormat="1" applyFont="1" applyBorder="1" applyAlignment="1">
      <alignment horizontal="center" vertical="center"/>
    </xf>
    <xf numFmtId="176" fontId="16" fillId="0" borderId="384" xfId="2" applyNumberFormat="1" applyFont="1" applyBorder="1" applyAlignment="1">
      <alignment horizontal="center" vertical="center"/>
    </xf>
    <xf numFmtId="176" fontId="16" fillId="0" borderId="92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176" fontId="16" fillId="0" borderId="365" xfId="2" applyNumberFormat="1" applyFont="1" applyBorder="1" applyAlignment="1">
      <alignment horizontal="center" vertical="center"/>
    </xf>
    <xf numFmtId="200" fontId="16" fillId="11" borderId="439" xfId="2" applyNumberFormat="1" applyFont="1" applyFill="1" applyBorder="1" applyAlignment="1">
      <alignment horizontal="right" vertical="center"/>
    </xf>
    <xf numFmtId="200" fontId="16" fillId="11" borderId="435" xfId="2" applyNumberFormat="1" applyFont="1" applyFill="1" applyBorder="1" applyAlignment="1">
      <alignment horizontal="right" vertical="center"/>
    </xf>
    <xf numFmtId="0" fontId="27" fillId="0" borderId="54" xfId="0" applyFont="1" applyBorder="1" applyAlignment="1">
      <alignment horizontal="left" vertical="center"/>
    </xf>
    <xf numFmtId="0" fontId="27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5" fillId="6" borderId="226" xfId="0" applyFont="1" applyFill="1" applyBorder="1" applyAlignment="1">
      <alignment horizontal="center" vertical="center" wrapText="1"/>
    </xf>
    <xf numFmtId="0" fontId="15" fillId="6" borderId="202" xfId="0" applyFont="1" applyFill="1" applyBorder="1" applyAlignment="1">
      <alignment horizontal="center" vertical="center" wrapText="1"/>
    </xf>
    <xf numFmtId="0" fontId="43" fillId="6" borderId="137" xfId="0" applyFont="1" applyFill="1" applyBorder="1" applyAlignment="1">
      <alignment horizontal="center" vertical="center"/>
    </xf>
    <xf numFmtId="0" fontId="43" fillId="6" borderId="140" xfId="0" applyFont="1" applyFill="1" applyBorder="1" applyAlignment="1">
      <alignment horizontal="center" vertical="center"/>
    </xf>
    <xf numFmtId="0" fontId="43" fillId="6" borderId="137" xfId="0" applyFont="1" applyFill="1" applyBorder="1" applyAlignment="1">
      <alignment horizontal="center" vertical="center" wrapText="1"/>
    </xf>
    <xf numFmtId="0" fontId="43" fillId="6" borderId="140" xfId="0" applyFont="1" applyFill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27" fillId="0" borderId="215" xfId="0" applyFont="1" applyBorder="1" applyAlignment="1">
      <alignment horizontal="center" vertical="center" wrapText="1"/>
    </xf>
    <xf numFmtId="0" fontId="27" fillId="0" borderId="274" xfId="0" applyFont="1" applyBorder="1" applyAlignment="1">
      <alignment horizontal="center" vertical="center" wrapText="1"/>
    </xf>
    <xf numFmtId="176" fontId="15" fillId="6" borderId="10" xfId="2" applyNumberFormat="1" applyFont="1" applyFill="1" applyBorder="1" applyAlignment="1">
      <alignment horizontal="center" vertical="center"/>
    </xf>
    <xf numFmtId="176" fontId="43" fillId="6" borderId="202" xfId="2" applyNumberFormat="1" applyFont="1" applyFill="1" applyBorder="1" applyAlignment="1">
      <alignment horizontal="center" vertical="center"/>
    </xf>
    <xf numFmtId="176" fontId="43" fillId="6" borderId="419" xfId="2" applyNumberFormat="1" applyFont="1" applyFill="1" applyBorder="1" applyAlignment="1">
      <alignment horizontal="center" vertical="center"/>
    </xf>
    <xf numFmtId="0" fontId="43" fillId="45" borderId="407" xfId="0" applyFont="1" applyFill="1" applyBorder="1" applyAlignment="1">
      <alignment horizontal="right" vertical="center"/>
    </xf>
    <xf numFmtId="0" fontId="43" fillId="45" borderId="408" xfId="0" applyFont="1" applyFill="1" applyBorder="1" applyAlignment="1">
      <alignment horizontal="right" vertical="center"/>
    </xf>
    <xf numFmtId="198" fontId="15" fillId="11" borderId="407" xfId="2" applyNumberFormat="1" applyFont="1" applyFill="1" applyBorder="1" applyAlignment="1">
      <alignment horizontal="center" vertical="center" wrapText="1"/>
    </xf>
    <xf numFmtId="198" fontId="15" fillId="11" borderId="408" xfId="2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3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43" fillId="45" borderId="407" xfId="0" applyFont="1" applyFill="1" applyBorder="1" applyAlignment="1">
      <alignment horizontal="center" vertical="center"/>
    </xf>
    <xf numFmtId="0" fontId="43" fillId="45" borderId="408" xfId="0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5" borderId="189" xfId="2" applyNumberFormat="1" applyFont="1" applyFill="1" applyBorder="1" applyAlignment="1">
      <alignment horizontal="center" vertical="center"/>
    </xf>
    <xf numFmtId="201" fontId="58" fillId="35" borderId="365" xfId="2" applyNumberFormat="1" applyFont="1" applyFill="1" applyBorder="1" applyAlignment="1">
      <alignment horizontal="center" vertical="center"/>
    </xf>
    <xf numFmtId="201" fontId="58" fillId="35" borderId="77" xfId="2" applyNumberFormat="1" applyFont="1" applyFill="1" applyBorder="1" applyAlignment="1">
      <alignment horizontal="center" vertical="center"/>
    </xf>
    <xf numFmtId="201" fontId="58" fillId="35" borderId="6" xfId="2" applyNumberFormat="1" applyFont="1" applyFill="1" applyBorder="1" applyAlignment="1">
      <alignment horizontal="center" vertical="center"/>
    </xf>
    <xf numFmtId="201" fontId="106" fillId="12" borderId="228" xfId="2" applyNumberFormat="1" applyFont="1" applyFill="1" applyBorder="1" applyAlignment="1">
      <alignment horizontal="center" vertical="center"/>
    </xf>
    <xf numFmtId="201" fontId="106" fillId="12" borderId="384" xfId="2" applyNumberFormat="1" applyFont="1" applyFill="1" applyBorder="1" applyAlignment="1">
      <alignment horizontal="center" vertical="center"/>
    </xf>
    <xf numFmtId="201" fontId="106" fillId="12" borderId="92" xfId="2" applyNumberFormat="1" applyFont="1" applyFill="1" applyBorder="1" applyAlignment="1">
      <alignment horizontal="center" vertical="center"/>
    </xf>
    <xf numFmtId="201" fontId="58" fillId="12" borderId="228" xfId="2" applyNumberFormat="1" applyFont="1" applyFill="1" applyBorder="1" applyAlignment="1">
      <alignment horizontal="center" vertical="center"/>
    </xf>
    <xf numFmtId="201" fontId="58" fillId="12" borderId="92" xfId="2" applyNumberFormat="1" applyFont="1" applyFill="1" applyBorder="1" applyAlignment="1">
      <alignment horizontal="center" vertical="center"/>
    </xf>
    <xf numFmtId="201" fontId="58" fillId="36" borderId="228" xfId="2" applyNumberFormat="1" applyFont="1" applyFill="1" applyBorder="1" applyAlignment="1">
      <alignment horizontal="center" vertical="center"/>
    </xf>
    <xf numFmtId="201" fontId="58" fillId="36" borderId="384" xfId="2" applyNumberFormat="1" applyFont="1" applyFill="1" applyBorder="1" applyAlignment="1">
      <alignment horizontal="center" vertical="center"/>
    </xf>
    <xf numFmtId="201" fontId="58" fillId="36" borderId="92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readingOrder="1"/>
    </xf>
    <xf numFmtId="0" fontId="75" fillId="0" borderId="136" xfId="0" applyFont="1" applyBorder="1" applyAlignment="1">
      <alignment horizontal="center" vertical="center" readingOrder="1"/>
    </xf>
    <xf numFmtId="0" fontId="49" fillId="0" borderId="135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49" fillId="0" borderId="136" xfId="0" applyFont="1" applyBorder="1" applyAlignment="1">
      <alignment horizontal="center" vertical="center" readingOrder="1"/>
    </xf>
    <xf numFmtId="176" fontId="45" fillId="0" borderId="228" xfId="2" applyNumberFormat="1" applyFont="1" applyFill="1" applyBorder="1" applyAlignment="1">
      <alignment horizontal="center" vertical="center"/>
    </xf>
    <xf numFmtId="176" fontId="45" fillId="0" borderId="92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3" fillId="4" borderId="6" xfId="0" applyFont="1" applyFill="1" applyBorder="1" applyAlignment="1">
      <alignment horizontal="center" vertical="center" wrapText="1"/>
    </xf>
    <xf numFmtId="0" fontId="103" fillId="4" borderId="136" xfId="0" applyFont="1" applyFill="1" applyBorder="1" applyAlignment="1">
      <alignment horizontal="center" vertical="center" wrapText="1"/>
    </xf>
    <xf numFmtId="0" fontId="103" fillId="0" borderId="77" xfId="0" applyFont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103" fillId="0" borderId="101" xfId="0" applyFont="1" applyBorder="1" applyAlignment="1">
      <alignment horizontal="center" vertical="center" wrapText="1"/>
    </xf>
    <xf numFmtId="0" fontId="43" fillId="7" borderId="200" xfId="0" applyFont="1" applyFill="1" applyBorder="1" applyAlignment="1">
      <alignment horizontal="center" vertical="center" wrapText="1"/>
    </xf>
    <xf numFmtId="0" fontId="43" fillId="7" borderId="201" xfId="0" applyFont="1" applyFill="1" applyBorder="1" applyAlignment="1">
      <alignment horizontal="center" vertical="center" wrapText="1"/>
    </xf>
    <xf numFmtId="0" fontId="43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201" fontId="58" fillId="38" borderId="14" xfId="2" applyNumberFormat="1" applyFont="1" applyFill="1" applyBorder="1" applyAlignment="1">
      <alignment horizontal="center" vertical="center"/>
    </xf>
    <xf numFmtId="201" fontId="58" fillId="38" borderId="450" xfId="2" applyNumberFormat="1" applyFont="1" applyFill="1" applyBorder="1" applyAlignment="1">
      <alignment horizontal="center" vertical="center"/>
    </xf>
    <xf numFmtId="0" fontId="75" fillId="5" borderId="135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/>
    </xf>
    <xf numFmtId="0" fontId="75" fillId="5" borderId="136" xfId="0" applyFont="1" applyFill="1" applyBorder="1" applyAlignment="1">
      <alignment horizontal="center" vertical="center"/>
    </xf>
    <xf numFmtId="0" fontId="49" fillId="5" borderId="135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/>
    </xf>
    <xf numFmtId="0" fontId="49" fillId="5" borderId="136" xfId="0" applyFont="1" applyFill="1" applyBorder="1" applyAlignment="1">
      <alignment horizontal="center" vertical="center"/>
    </xf>
    <xf numFmtId="0" fontId="27" fillId="5" borderId="135" xfId="0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center" vertical="center"/>
    </xf>
    <xf numFmtId="0" fontId="27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75" fillId="0" borderId="136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176" fontId="43" fillId="6" borderId="423" xfId="2" applyNumberFormat="1" applyFont="1" applyFill="1" applyBorder="1" applyAlignment="1">
      <alignment horizontal="center" vertical="center"/>
    </xf>
    <xf numFmtId="0" fontId="43" fillId="6" borderId="202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 wrapText="1"/>
    </xf>
    <xf numFmtId="0" fontId="15" fillId="6" borderId="140" xfId="0" applyFont="1" applyFill="1" applyBorder="1" applyAlignment="1">
      <alignment horizontal="center" vertical="center" wrapText="1"/>
    </xf>
    <xf numFmtId="198" fontId="15" fillId="11" borderId="373" xfId="2" applyNumberFormat="1" applyFont="1" applyFill="1" applyBorder="1" applyAlignment="1">
      <alignment horizontal="center" vertical="center" wrapText="1"/>
    </xf>
    <xf numFmtId="198" fontId="15" fillId="11" borderId="374" xfId="2" applyNumberFormat="1" applyFont="1" applyFill="1" applyBorder="1" applyAlignment="1">
      <alignment horizontal="center" vertical="center" wrapText="1"/>
    </xf>
    <xf numFmtId="0" fontId="15" fillId="9" borderId="135" xfId="0" applyFont="1" applyFill="1" applyBorder="1" applyAlignment="1">
      <alignment horizontal="center" vertical="center"/>
    </xf>
    <xf numFmtId="0" fontId="15" fillId="6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0" fontId="75" fillId="0" borderId="6" xfId="0" applyFont="1" applyBorder="1" applyAlignment="1">
      <alignment horizontal="center" vertical="center" wrapText="1" readingOrder="1"/>
    </xf>
    <xf numFmtId="0" fontId="48" fillId="25" borderId="6" xfId="0" applyFont="1" applyFill="1" applyBorder="1" applyAlignment="1">
      <alignment horizontal="center" vertical="center"/>
    </xf>
    <xf numFmtId="0" fontId="49" fillId="0" borderId="6" xfId="0" applyFont="1" applyBorder="1" applyAlignment="1">
      <alignment horizontal="center" vertical="center" wrapText="1" readingOrder="1"/>
    </xf>
    <xf numFmtId="0" fontId="103" fillId="0" borderId="6" xfId="0" applyFont="1" applyBorder="1" applyAlignment="1">
      <alignment horizontal="center" vertical="center" wrapText="1"/>
    </xf>
    <xf numFmtId="201" fontId="58" fillId="12" borderId="75" xfId="2" applyNumberFormat="1" applyFont="1" applyFill="1" applyBorder="1" applyAlignment="1">
      <alignment horizontal="center" vertical="center"/>
    </xf>
    <xf numFmtId="176" fontId="16" fillId="0" borderId="401" xfId="2" applyNumberFormat="1" applyFont="1" applyBorder="1" applyAlignment="1">
      <alignment horizontal="center" vertical="center"/>
    </xf>
    <xf numFmtId="0" fontId="75" fillId="0" borderId="321" xfId="0" applyFont="1" applyBorder="1" applyAlignment="1">
      <alignment horizontal="center" vertical="center" wrapText="1"/>
    </xf>
    <xf numFmtId="0" fontId="75" fillId="0" borderId="323" xfId="0" applyFont="1" applyBorder="1" applyAlignment="1">
      <alignment horizontal="center" vertical="center" wrapText="1"/>
    </xf>
    <xf numFmtId="0" fontId="75" fillId="0" borderId="76" xfId="0" applyFont="1" applyBorder="1" applyAlignment="1">
      <alignment horizontal="center" vertical="center" wrapText="1"/>
    </xf>
    <xf numFmtId="0" fontId="49" fillId="0" borderId="137" xfId="0" applyFont="1" applyBorder="1" applyAlignment="1">
      <alignment horizontal="center" vertical="center" wrapText="1"/>
    </xf>
    <xf numFmtId="0" fontId="49" fillId="0" borderId="102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49" fillId="0" borderId="101" xfId="0" applyFont="1" applyBorder="1" applyAlignment="1">
      <alignment horizontal="center" vertical="center" wrapText="1"/>
    </xf>
    <xf numFmtId="0" fontId="49" fillId="0" borderId="140" xfId="0" applyFont="1" applyBorder="1" applyAlignment="1">
      <alignment horizontal="center" vertical="center" wrapText="1"/>
    </xf>
    <xf numFmtId="176" fontId="16" fillId="0" borderId="228" xfId="2" applyNumberFormat="1" applyFont="1" applyFill="1" applyBorder="1" applyAlignment="1">
      <alignment horizontal="center" vertical="center"/>
    </xf>
    <xf numFmtId="176" fontId="16" fillId="0" borderId="384" xfId="2" applyNumberFormat="1" applyFont="1" applyFill="1" applyBorder="1" applyAlignment="1">
      <alignment horizontal="center" vertical="center"/>
    </xf>
    <xf numFmtId="176" fontId="16" fillId="0" borderId="92" xfId="2" applyNumberFormat="1" applyFont="1" applyFill="1" applyBorder="1" applyAlignment="1">
      <alignment horizontal="center" vertical="center"/>
    </xf>
    <xf numFmtId="0" fontId="75" fillId="0" borderId="13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75" fillId="0" borderId="283" xfId="0" applyFont="1" applyBorder="1" applyAlignment="1">
      <alignment horizontal="center" vertical="center" wrapText="1"/>
    </xf>
    <xf numFmtId="0" fontId="75" fillId="0" borderId="298" xfId="0" applyFont="1" applyBorder="1" applyAlignment="1">
      <alignment horizontal="center" vertical="center" wrapText="1"/>
    </xf>
    <xf numFmtId="176" fontId="16" fillId="0" borderId="401" xfId="2" applyNumberFormat="1" applyFont="1" applyFill="1" applyBorder="1" applyAlignment="1">
      <alignment horizontal="center" vertical="center"/>
    </xf>
    <xf numFmtId="0" fontId="75" fillId="0" borderId="102" xfId="0" applyFont="1" applyBorder="1" applyAlignment="1">
      <alignment horizontal="center" vertical="center"/>
    </xf>
    <xf numFmtId="0" fontId="75" fillId="0" borderId="77" xfId="0" applyFont="1" applyBorder="1" applyAlignment="1">
      <alignment horizontal="center" vertical="center"/>
    </xf>
    <xf numFmtId="0" fontId="49" fillId="0" borderId="102" xfId="0" applyFont="1" applyBorder="1" applyAlignment="1">
      <alignment horizontal="center" vertical="center"/>
    </xf>
    <xf numFmtId="0" fontId="49" fillId="0" borderId="77" xfId="0" applyFont="1" applyBorder="1" applyAlignment="1">
      <alignment horizontal="center" vertical="center"/>
    </xf>
    <xf numFmtId="0" fontId="27" fillId="0" borderId="102" xfId="0" applyFont="1" applyBorder="1" applyAlignment="1">
      <alignment horizontal="center" vertical="center"/>
    </xf>
    <xf numFmtId="0" fontId="27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0" fillId="0" borderId="102" xfId="0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3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0" fontId="103" fillId="0" borderId="102" xfId="0" applyFont="1" applyBorder="1" applyAlignment="1">
      <alignment horizontal="center" vertical="center" wrapText="1"/>
    </xf>
    <xf numFmtId="198" fontId="45" fillId="11" borderId="378" xfId="2" applyNumberFormat="1" applyFont="1" applyFill="1" applyBorder="1" applyAlignment="1">
      <alignment horizontal="right" vertical="center"/>
    </xf>
    <xf numFmtId="198" fontId="45" fillId="11" borderId="375" xfId="2" applyNumberFormat="1" applyFont="1" applyFill="1" applyBorder="1" applyAlignment="1">
      <alignment horizontal="right" vertical="center"/>
    </xf>
    <xf numFmtId="198" fontId="16" fillId="11" borderId="378" xfId="2" applyNumberFormat="1" applyFont="1" applyFill="1" applyBorder="1" applyAlignment="1">
      <alignment horizontal="right" vertical="center"/>
    </xf>
    <xf numFmtId="198" fontId="16" fillId="11" borderId="375" xfId="2" applyNumberFormat="1" applyFont="1" applyFill="1" applyBorder="1" applyAlignment="1">
      <alignment horizontal="right" vertical="center"/>
    </xf>
    <xf numFmtId="198" fontId="16" fillId="11" borderId="376" xfId="2" applyNumberFormat="1" applyFont="1" applyFill="1" applyBorder="1" applyAlignment="1">
      <alignment horizontal="right" vertical="center"/>
    </xf>
    <xf numFmtId="0" fontId="82" fillId="0" borderId="54" xfId="0" applyFont="1" applyBorder="1" applyAlignment="1">
      <alignment horizontal="center" vertical="center" wrapText="1"/>
    </xf>
    <xf numFmtId="0" fontId="82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75" fillId="0" borderId="6" xfId="0" applyFont="1" applyBorder="1" applyAlignment="1">
      <alignment horizontal="center" vertical="center"/>
    </xf>
    <xf numFmtId="176" fontId="16" fillId="0" borderId="402" xfId="2" applyNumberFormat="1" applyFont="1" applyBorder="1" applyAlignment="1">
      <alignment horizontal="center" vertical="center"/>
    </xf>
    <xf numFmtId="0" fontId="75" fillId="0" borderId="102" xfId="0" applyFont="1" applyBorder="1" applyAlignment="1">
      <alignment horizontal="center" vertical="center" wrapText="1" readingOrder="1"/>
    </xf>
    <xf numFmtId="0" fontId="75" fillId="0" borderId="77" xfId="0" applyFont="1" applyBorder="1" applyAlignment="1">
      <alignment horizontal="center" vertical="center" wrapText="1" readingOrder="1"/>
    </xf>
    <xf numFmtId="0" fontId="81" fillId="0" borderId="193" xfId="9" applyFont="1" applyBorder="1" applyAlignment="1">
      <alignment horizontal="center" vertical="center"/>
    </xf>
    <xf numFmtId="0" fontId="81" fillId="0" borderId="194" xfId="9" applyFont="1" applyBorder="1" applyAlignment="1">
      <alignment horizontal="center" vertical="center"/>
    </xf>
    <xf numFmtId="179" fontId="12" fillId="4" borderId="101" xfId="9" applyNumberFormat="1" applyFill="1" applyBorder="1" applyAlignment="1">
      <alignment horizontal="center" vertical="center" wrapText="1"/>
    </xf>
    <xf numFmtId="179" fontId="12" fillId="4" borderId="140" xfId="9" applyNumberFormat="1" applyFill="1" applyBorder="1" applyAlignment="1">
      <alignment horizontal="center" vertical="center" wrapText="1"/>
    </xf>
    <xf numFmtId="179" fontId="4" fillId="0" borderId="245" xfId="9" applyNumberFormat="1" applyFont="1" applyBorder="1" applyAlignment="1">
      <alignment horizontal="center" vertical="center" wrapText="1"/>
    </xf>
    <xf numFmtId="179" fontId="4" fillId="0" borderId="248" xfId="9" applyNumberFormat="1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0" fontId="76" fillId="0" borderId="245" xfId="9" applyFont="1" applyBorder="1" applyAlignment="1">
      <alignment horizontal="center" vertical="center" wrapText="1"/>
    </xf>
    <xf numFmtId="0" fontId="76" fillId="0" borderId="248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horizontal="center" vertical="center"/>
    </xf>
    <xf numFmtId="176" fontId="16" fillId="0" borderId="401" xfId="10" applyNumberFormat="1" applyFont="1" applyBorder="1" applyAlignment="1">
      <alignment horizontal="center" vertical="center"/>
    </xf>
    <xf numFmtId="179" fontId="12" fillId="4" borderId="77" xfId="9" applyNumberFormat="1" applyFill="1" applyBorder="1" applyAlignment="1">
      <alignment horizontal="center" vertical="center" wrapText="1"/>
    </xf>
    <xf numFmtId="179" fontId="4" fillId="0" borderId="77" xfId="9" applyNumberFormat="1" applyFont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0" fontId="76" fillId="0" borderId="249" xfId="9" applyFont="1" applyBorder="1" applyAlignment="1">
      <alignment horizontal="center" vertical="center" wrapText="1"/>
    </xf>
    <xf numFmtId="0" fontId="76" fillId="0" borderId="246" xfId="9" applyFont="1" applyBorder="1" applyAlignment="1">
      <alignment horizontal="center" vertical="center" wrapText="1"/>
    </xf>
    <xf numFmtId="176" fontId="16" fillId="0" borderId="92" xfId="10" applyNumberFormat="1" applyFont="1" applyBorder="1" applyAlignment="1">
      <alignment horizontal="center" vertical="center"/>
    </xf>
    <xf numFmtId="0" fontId="81" fillId="0" borderId="201" xfId="9" applyFont="1" applyBorder="1" applyAlignment="1">
      <alignment horizontal="center" vertical="center"/>
    </xf>
    <xf numFmtId="0" fontId="81" fillId="0" borderId="200" xfId="9" applyFont="1" applyBorder="1" applyAlignment="1">
      <alignment horizontal="center" vertical="center"/>
    </xf>
    <xf numFmtId="0" fontId="73" fillId="0" borderId="250" xfId="9" applyFont="1" applyBorder="1" applyAlignment="1">
      <alignment horizontal="center" vertical="center" wrapText="1"/>
    </xf>
    <xf numFmtId="0" fontId="76" fillId="0" borderId="250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6" fillId="0" borderId="247" xfId="9" applyFont="1" applyBorder="1" applyAlignment="1">
      <alignment horizontal="center" vertical="center" wrapText="1"/>
    </xf>
    <xf numFmtId="179" fontId="5" fillId="4" borderId="77" xfId="9" applyNumberFormat="1" applyFont="1" applyFill="1" applyBorder="1" applyAlignment="1">
      <alignment horizontal="center" vertical="center" wrapText="1"/>
    </xf>
    <xf numFmtId="179" fontId="5" fillId="4" borderId="6" xfId="9" applyNumberFormat="1" applyFont="1" applyFill="1" applyBorder="1" applyAlignment="1">
      <alignment horizontal="center" vertical="center" wrapText="1"/>
    </xf>
    <xf numFmtId="201" fontId="58" fillId="0" borderId="6" xfId="2" applyNumberFormat="1" applyFont="1" applyBorder="1" applyAlignment="1">
      <alignment horizontal="center" vertical="center"/>
    </xf>
    <xf numFmtId="0" fontId="5" fillId="0" borderId="54" xfId="9" quotePrefix="1" applyFont="1" applyBorder="1" applyAlignment="1">
      <alignment horizontal="center" vertical="center" wrapText="1"/>
    </xf>
    <xf numFmtId="0" fontId="5" fillId="0" borderId="51" xfId="9" applyFont="1" applyBorder="1" applyAlignment="1">
      <alignment horizontal="center" vertical="center" wrapText="1"/>
    </xf>
    <xf numFmtId="179" fontId="5" fillId="4" borderId="101" xfId="9" applyNumberFormat="1" applyFont="1" applyFill="1" applyBorder="1" applyAlignment="1">
      <alignment horizontal="center" vertical="center" wrapText="1"/>
    </xf>
    <xf numFmtId="176" fontId="16" fillId="0" borderId="384" xfId="10" applyNumberFormat="1" applyFont="1" applyBorder="1" applyAlignment="1">
      <alignment horizontal="center" vertical="center"/>
    </xf>
    <xf numFmtId="176" fontId="16" fillId="0" borderId="428" xfId="10" applyNumberFormat="1" applyFont="1" applyBorder="1" applyAlignment="1">
      <alignment horizontal="center" vertical="center"/>
    </xf>
    <xf numFmtId="176" fontId="16" fillId="0" borderId="429" xfId="10" applyNumberFormat="1" applyFont="1" applyBorder="1" applyAlignment="1">
      <alignment horizontal="center" vertical="center"/>
    </xf>
    <xf numFmtId="179" fontId="5" fillId="6" borderId="101" xfId="9" applyNumberFormat="1" applyFont="1" applyFill="1" applyBorder="1" applyAlignment="1">
      <alignment horizontal="center" vertical="center" wrapText="1"/>
    </xf>
    <xf numFmtId="179" fontId="5" fillId="6" borderId="77" xfId="9" applyNumberFormat="1" applyFont="1" applyFill="1" applyBorder="1" applyAlignment="1">
      <alignment horizontal="center" vertical="center" wrapText="1"/>
    </xf>
    <xf numFmtId="179" fontId="4" fillId="0" borderId="136" xfId="9" applyNumberFormat="1" applyFont="1" applyBorder="1" applyAlignment="1">
      <alignment horizontal="center" vertical="center" wrapText="1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5" borderId="136" xfId="2" applyNumberFormat="1" applyFont="1" applyFill="1" applyBorder="1" applyAlignment="1">
      <alignment horizontal="center" vertical="center"/>
    </xf>
    <xf numFmtId="0" fontId="81" fillId="0" borderId="192" xfId="9" applyFont="1" applyBorder="1" applyAlignment="1">
      <alignment horizontal="center" vertical="center"/>
    </xf>
    <xf numFmtId="179" fontId="5" fillId="4" borderId="137" xfId="9" applyNumberFormat="1" applyFont="1" applyFill="1" applyBorder="1" applyAlignment="1">
      <alignment horizontal="center" vertical="center" wrapText="1"/>
    </xf>
    <xf numFmtId="176" fontId="16" fillId="0" borderId="402" xfId="10" applyNumberFormat="1" applyFont="1" applyBorder="1" applyAlignment="1">
      <alignment horizontal="center" vertical="center"/>
    </xf>
    <xf numFmtId="0" fontId="49" fillId="0" borderId="214" xfId="0" applyFont="1" applyBorder="1" applyAlignment="1">
      <alignment horizontal="center" vertical="center" wrapText="1"/>
    </xf>
    <xf numFmtId="0" fontId="49" fillId="0" borderId="211" xfId="0" applyFont="1" applyBorder="1" applyAlignment="1">
      <alignment horizontal="center" vertical="center" wrapText="1"/>
    </xf>
    <xf numFmtId="0" fontId="49" fillId="0" borderId="197" xfId="0" applyFont="1" applyBorder="1" applyAlignment="1">
      <alignment horizontal="center" vertical="center" wrapText="1"/>
    </xf>
    <xf numFmtId="0" fontId="27" fillId="0" borderId="214" xfId="0" applyFont="1" applyBorder="1" applyAlignment="1">
      <alignment horizontal="center" vertical="center" wrapText="1"/>
    </xf>
    <xf numFmtId="0" fontId="27" fillId="0" borderId="211" xfId="0" applyFont="1" applyBorder="1" applyAlignment="1">
      <alignment horizontal="center" vertical="center" wrapText="1"/>
    </xf>
    <xf numFmtId="0" fontId="27" fillId="0" borderId="197" xfId="0" applyFont="1" applyBorder="1" applyAlignment="1">
      <alignment horizontal="center" vertical="center" wrapText="1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75" fillId="0" borderId="240" xfId="0" applyFont="1" applyBorder="1" applyAlignment="1">
      <alignment horizontal="center" vertical="center" wrapText="1"/>
    </xf>
    <xf numFmtId="0" fontId="75" fillId="0" borderId="211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0" fontId="49" fillId="0" borderId="240" xfId="0" applyFont="1" applyBorder="1" applyAlignment="1">
      <alignment horizontal="center" vertical="center" wrapText="1"/>
    </xf>
    <xf numFmtId="0" fontId="27" fillId="0" borderId="240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75" fillId="0" borderId="214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81" fillId="0" borderId="226" xfId="9" applyFont="1" applyBorder="1" applyAlignment="1">
      <alignment horizontal="center" vertical="center"/>
    </xf>
    <xf numFmtId="0" fontId="81" fillId="0" borderId="204" xfId="9" applyFont="1" applyBorder="1" applyAlignment="1">
      <alignment horizontal="center" vertical="center"/>
    </xf>
    <xf numFmtId="179" fontId="92" fillId="4" borderId="135" xfId="9" applyNumberFormat="1" applyFont="1" applyFill="1" applyBorder="1" applyAlignment="1">
      <alignment horizontal="center" vertical="center" wrapText="1"/>
    </xf>
    <xf numFmtId="179" fontId="92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2" fillId="0" borderId="54" xfId="9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/>
    </xf>
    <xf numFmtId="179" fontId="92" fillId="0" borderId="136" xfId="9" applyNumberFormat="1" applyFont="1" applyBorder="1" applyAlignment="1">
      <alignment horizontal="center" vertical="center"/>
    </xf>
    <xf numFmtId="0" fontId="86" fillId="0" borderId="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87" fillId="0" borderId="136" xfId="0" applyFont="1" applyBorder="1" applyAlignment="1">
      <alignment horizontal="center" vertical="center" wrapText="1"/>
    </xf>
    <xf numFmtId="201" fontId="58" fillId="0" borderId="135" xfId="2" applyNumberFormat="1" applyFont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179" fontId="12" fillId="4" borderId="136" xfId="9" applyNumberFormat="1" applyFill="1" applyBorder="1" applyAlignment="1">
      <alignment horizontal="center" vertical="center" wrapText="1"/>
    </xf>
    <xf numFmtId="0" fontId="81" fillId="0" borderId="202" xfId="9" applyFont="1" applyBorder="1" applyAlignment="1">
      <alignment horizontal="center" vertical="center"/>
    </xf>
    <xf numFmtId="179" fontId="5" fillId="4" borderId="102" xfId="9" applyNumberFormat="1" applyFont="1" applyFill="1" applyBorder="1" applyAlignment="1">
      <alignment horizontal="center" vertical="center" wrapText="1"/>
    </xf>
    <xf numFmtId="179" fontId="5" fillId="4" borderId="140" xfId="9" applyNumberFormat="1" applyFont="1" applyFill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6" fillId="0" borderId="135" xfId="9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86" fillId="0" borderId="77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7" fillId="0" borderId="140" xfId="9" applyFont="1" applyBorder="1" applyAlignment="1">
      <alignment horizontal="center" vertical="center" wrapText="1"/>
    </xf>
    <xf numFmtId="179" fontId="12" fillId="4" borderId="6" xfId="9" applyNumberFormat="1" applyFill="1" applyBorder="1" applyAlignment="1">
      <alignment horizontal="center" vertical="center" wrapText="1"/>
    </xf>
    <xf numFmtId="0" fontId="43" fillId="45" borderId="376" xfId="0" applyFont="1" applyFill="1" applyBorder="1" applyAlignment="1">
      <alignment horizontal="center" vertical="center"/>
    </xf>
    <xf numFmtId="0" fontId="15" fillId="6" borderId="241" xfId="0" applyFont="1" applyFill="1" applyBorder="1" applyAlignment="1">
      <alignment horizontal="center" vertical="center" wrapText="1"/>
    </xf>
    <xf numFmtId="0" fontId="15" fillId="6" borderId="242" xfId="0" applyFont="1" applyFill="1" applyBorder="1" applyAlignment="1">
      <alignment horizontal="center" vertical="center" wrapText="1"/>
    </xf>
    <xf numFmtId="201" fontId="16" fillId="0" borderId="137" xfId="2" applyNumberFormat="1" applyFont="1" applyFill="1" applyBorder="1" applyAlignment="1">
      <alignment horizontal="center" vertical="center"/>
    </xf>
    <xf numFmtId="201" fontId="16" fillId="0" borderId="102" xfId="2" applyNumberFormat="1" applyFont="1" applyFill="1" applyBorder="1" applyAlignment="1">
      <alignment horizontal="center" vertical="center"/>
    </xf>
    <xf numFmtId="201" fontId="16" fillId="0" borderId="140" xfId="2" applyNumberFormat="1" applyFont="1" applyFill="1" applyBorder="1" applyAlignment="1">
      <alignment horizontal="center" vertical="center"/>
    </xf>
    <xf numFmtId="201" fontId="16" fillId="0" borderId="137" xfId="2" applyNumberFormat="1" applyFont="1" applyBorder="1" applyAlignment="1">
      <alignment horizontal="center" vertical="center"/>
    </xf>
    <xf numFmtId="201" fontId="16" fillId="0" borderId="102" xfId="2" applyNumberFormat="1" applyFont="1" applyBorder="1" applyAlignment="1">
      <alignment horizontal="center" vertical="center"/>
    </xf>
    <xf numFmtId="201" fontId="16" fillId="0" borderId="140" xfId="2" applyNumberFormat="1" applyFont="1" applyBorder="1" applyAlignment="1">
      <alignment horizontal="center" vertical="center"/>
    </xf>
    <xf numFmtId="0" fontId="48" fillId="0" borderId="321" xfId="0" applyFont="1" applyBorder="1" applyAlignment="1">
      <alignment horizontal="center" vertical="center" wrapText="1"/>
    </xf>
    <xf numFmtId="0" fontId="48" fillId="0" borderId="323" xfId="0" applyFont="1" applyBorder="1" applyAlignment="1">
      <alignment horizontal="center" vertical="center" wrapText="1"/>
    </xf>
    <xf numFmtId="0" fontId="48" fillId="0" borderId="298" xfId="0" applyFont="1" applyBorder="1" applyAlignment="1">
      <alignment horizontal="center" vertical="center" wrapText="1"/>
    </xf>
    <xf numFmtId="0" fontId="48" fillId="0" borderId="283" xfId="0" applyFont="1" applyBorder="1" applyAlignment="1">
      <alignment horizontal="center" vertical="center" wrapText="1"/>
    </xf>
    <xf numFmtId="0" fontId="15" fillId="9" borderId="31" xfId="0" applyFont="1" applyFill="1" applyBorder="1" applyAlignment="1">
      <alignment horizontal="center" vertical="center"/>
    </xf>
    <xf numFmtId="0" fontId="15" fillId="9" borderId="27" xfId="0" applyFont="1" applyFill="1" applyBorder="1" applyAlignment="1">
      <alignment horizontal="center" vertical="center"/>
    </xf>
    <xf numFmtId="0" fontId="15" fillId="9" borderId="29" xfId="0" applyFont="1" applyFill="1" applyBorder="1" applyAlignment="1">
      <alignment horizontal="center" vertical="center"/>
    </xf>
    <xf numFmtId="0" fontId="43" fillId="6" borderId="46" xfId="0" applyFont="1" applyFill="1" applyBorder="1" applyAlignment="1">
      <alignment horizontal="center" vertical="center"/>
    </xf>
    <xf numFmtId="0" fontId="43" fillId="6" borderId="168" xfId="0" applyFont="1" applyFill="1" applyBorder="1" applyAlignment="1">
      <alignment horizontal="center" vertical="center"/>
    </xf>
    <xf numFmtId="0" fontId="43" fillId="6" borderId="50" xfId="0" applyFont="1" applyFill="1" applyBorder="1" applyAlignment="1">
      <alignment horizontal="center" vertical="center"/>
    </xf>
    <xf numFmtId="0" fontId="26" fillId="6" borderId="46" xfId="0" applyFont="1" applyFill="1" applyBorder="1" applyAlignment="1">
      <alignment horizontal="center" vertical="center"/>
    </xf>
    <xf numFmtId="0" fontId="26" fillId="6" borderId="168" xfId="0" applyFont="1" applyFill="1" applyBorder="1" applyAlignment="1">
      <alignment horizontal="center" vertical="center"/>
    </xf>
    <xf numFmtId="0" fontId="26" fillId="6" borderId="50" xfId="0" applyFont="1" applyFill="1" applyBorder="1" applyAlignment="1">
      <alignment horizontal="center" vertical="center"/>
    </xf>
    <xf numFmtId="0" fontId="48" fillId="23" borderId="321" xfId="0" applyFont="1" applyFill="1" applyBorder="1" applyAlignment="1">
      <alignment horizontal="center" vertical="center"/>
    </xf>
    <xf numFmtId="0" fontId="48" fillId="23" borderId="323" xfId="0" applyFont="1" applyFill="1" applyBorder="1" applyAlignment="1">
      <alignment horizontal="center" vertical="center"/>
    </xf>
    <xf numFmtId="0" fontId="48" fillId="23" borderId="298" xfId="0" applyFont="1" applyFill="1" applyBorder="1" applyAlignment="1">
      <alignment horizontal="center" vertical="center"/>
    </xf>
    <xf numFmtId="0" fontId="27" fillId="23" borderId="322" xfId="0" applyFont="1" applyFill="1" applyBorder="1" applyAlignment="1">
      <alignment horizontal="center" vertical="center"/>
    </xf>
    <xf numFmtId="0" fontId="27" fillId="23" borderId="324" xfId="0" applyFont="1" applyFill="1" applyBorder="1" applyAlignment="1">
      <alignment horizontal="center" vertical="center"/>
    </xf>
    <xf numFmtId="0" fontId="27" fillId="23" borderId="299" xfId="0" applyFont="1" applyFill="1" applyBorder="1" applyAlignment="1">
      <alignment horizontal="center" vertical="center"/>
    </xf>
    <xf numFmtId="194" fontId="48" fillId="0" borderId="321" xfId="2" applyNumberFormat="1" applyFont="1" applyFill="1" applyBorder="1" applyAlignment="1">
      <alignment horizontal="center" vertical="center"/>
    </xf>
    <xf numFmtId="194" fontId="48" fillId="0" borderId="323" xfId="2" applyNumberFormat="1" applyFont="1" applyFill="1" applyBorder="1" applyAlignment="1">
      <alignment horizontal="center" vertical="center"/>
    </xf>
    <xf numFmtId="194" fontId="48" fillId="0" borderId="298" xfId="2" applyNumberFormat="1" applyFont="1" applyFill="1" applyBorder="1" applyAlignment="1">
      <alignment horizontal="center" vertical="center"/>
    </xf>
    <xf numFmtId="195" fontId="48" fillId="0" borderId="137" xfId="2" applyNumberFormat="1" applyFont="1" applyFill="1" applyBorder="1" applyAlignment="1">
      <alignment horizontal="center" vertical="center"/>
    </xf>
    <xf numFmtId="195" fontId="48" fillId="0" borderId="102" xfId="2" applyNumberFormat="1" applyFont="1" applyFill="1" applyBorder="1" applyAlignment="1">
      <alignment horizontal="center" vertical="center"/>
    </xf>
    <xf numFmtId="195" fontId="48" fillId="0" borderId="140" xfId="2" applyNumberFormat="1" applyFont="1" applyFill="1" applyBorder="1" applyAlignment="1">
      <alignment horizontal="center" vertical="center"/>
    </xf>
    <xf numFmtId="0" fontId="48" fillId="0" borderId="137" xfId="0" quotePrefix="1" applyFont="1" applyBorder="1" applyAlignment="1">
      <alignment horizontal="center" vertical="center"/>
    </xf>
    <xf numFmtId="0" fontId="48" fillId="0" borderId="140" xfId="0" applyFont="1" applyBorder="1" applyAlignment="1">
      <alignment horizontal="center" vertical="center"/>
    </xf>
    <xf numFmtId="193" fontId="48" fillId="0" borderId="322" xfId="0" applyNumberFormat="1" applyFont="1" applyBorder="1" applyAlignment="1">
      <alignment horizontal="center" vertical="center"/>
    </xf>
    <xf numFmtId="193" fontId="48" fillId="0" borderId="324" xfId="0" applyNumberFormat="1" applyFont="1" applyBorder="1" applyAlignment="1">
      <alignment horizontal="center" vertical="center"/>
    </xf>
    <xf numFmtId="193" fontId="48" fillId="0" borderId="299" xfId="0" applyNumberFormat="1" applyFont="1" applyBorder="1" applyAlignment="1">
      <alignment horizontal="center" vertical="center"/>
    </xf>
    <xf numFmtId="194" fontId="27" fillId="0" borderId="321" xfId="2" applyNumberFormat="1" applyFont="1" applyFill="1" applyBorder="1" applyAlignment="1">
      <alignment horizontal="center" vertical="center"/>
    </xf>
    <xf numFmtId="194" fontId="27" fillId="0" borderId="323" xfId="2" applyNumberFormat="1" applyFont="1" applyFill="1" applyBorder="1" applyAlignment="1">
      <alignment horizontal="center" vertical="center"/>
    </xf>
    <xf numFmtId="194" fontId="27" fillId="0" borderId="298" xfId="2" applyNumberFormat="1" applyFont="1" applyFill="1" applyBorder="1" applyAlignment="1">
      <alignment horizontal="center" vertical="center"/>
    </xf>
    <xf numFmtId="195" fontId="27" fillId="0" borderId="137" xfId="2" applyNumberFormat="1" applyFont="1" applyFill="1" applyBorder="1" applyAlignment="1">
      <alignment horizontal="center" vertical="center"/>
    </xf>
    <xf numFmtId="195" fontId="27" fillId="0" borderId="102" xfId="2" applyNumberFormat="1" applyFont="1" applyFill="1" applyBorder="1" applyAlignment="1">
      <alignment horizontal="center" vertical="center"/>
    </xf>
    <xf numFmtId="195" fontId="27" fillId="0" borderId="140" xfId="2" applyNumberFormat="1" applyFont="1" applyFill="1" applyBorder="1" applyAlignment="1">
      <alignment horizontal="center" vertical="center"/>
    </xf>
    <xf numFmtId="0" fontId="26" fillId="0" borderId="137" xfId="0" quotePrefix="1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140" xfId="0" applyFont="1" applyBorder="1" applyAlignment="1">
      <alignment horizontal="center" vertical="center"/>
    </xf>
    <xf numFmtId="193" fontId="27" fillId="0" borderId="322" xfId="0" applyNumberFormat="1" applyFont="1" applyBorder="1" applyAlignment="1">
      <alignment horizontal="center" vertical="center"/>
    </xf>
    <xf numFmtId="193" fontId="27" fillId="0" borderId="324" xfId="0" applyNumberFormat="1" applyFont="1" applyBorder="1" applyAlignment="1">
      <alignment horizontal="center" vertical="center"/>
    </xf>
    <xf numFmtId="193" fontId="27" fillId="0" borderId="299" xfId="0" applyNumberFormat="1" applyFont="1" applyBorder="1" applyAlignment="1">
      <alignment horizontal="center" vertical="center"/>
    </xf>
    <xf numFmtId="0" fontId="48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7" fillId="0" borderId="322" xfId="0" applyFont="1" applyBorder="1" applyAlignment="1">
      <alignment horizontal="center" vertical="center" wrapText="1"/>
    </xf>
    <xf numFmtId="0" fontId="27" fillId="0" borderId="324" xfId="0" applyFont="1" applyBorder="1" applyAlignment="1">
      <alignment horizontal="center" vertical="center" wrapText="1"/>
    </xf>
    <xf numFmtId="0" fontId="27" fillId="0" borderId="299" xfId="0" applyFont="1" applyBorder="1" applyAlignment="1">
      <alignment horizontal="center" vertical="center" wrapText="1"/>
    </xf>
    <xf numFmtId="199" fontId="16" fillId="0" borderId="226" xfId="2" applyNumberFormat="1" applyFont="1" applyFill="1" applyBorder="1" applyAlignment="1">
      <alignment horizontal="center" vertical="center"/>
    </xf>
    <xf numFmtId="199" fontId="16" fillId="0" borderId="204" xfId="2" applyNumberFormat="1" applyFont="1" applyFill="1" applyBorder="1" applyAlignment="1">
      <alignment horizontal="center" vertical="center"/>
    </xf>
    <xf numFmtId="199" fontId="16" fillId="0" borderId="202" xfId="2" applyNumberFormat="1" applyFont="1" applyFill="1" applyBorder="1" applyAlignment="1">
      <alignment horizontal="center" vertical="center"/>
    </xf>
    <xf numFmtId="176" fontId="16" fillId="0" borderId="402" xfId="2" applyNumberFormat="1" applyFont="1" applyFill="1" applyBorder="1" applyAlignment="1">
      <alignment horizontal="center" vertical="center"/>
    </xf>
    <xf numFmtId="176" fontId="32" fillId="0" borderId="137" xfId="2" applyNumberFormat="1" applyFont="1" applyFill="1" applyBorder="1" applyAlignment="1">
      <alignment horizontal="center" vertical="center"/>
    </xf>
    <xf numFmtId="176" fontId="32" fillId="0" borderId="102" xfId="2" applyNumberFormat="1" applyFont="1" applyFill="1" applyBorder="1" applyAlignment="1">
      <alignment horizontal="center" vertical="center"/>
    </xf>
    <xf numFmtId="176" fontId="32" fillId="0" borderId="140" xfId="2" applyNumberFormat="1" applyFont="1" applyFill="1" applyBorder="1" applyAlignment="1">
      <alignment horizontal="center" vertical="center"/>
    </xf>
    <xf numFmtId="199" fontId="16" fillId="0" borderId="226" xfId="2" applyNumberFormat="1" applyFont="1" applyBorder="1" applyAlignment="1">
      <alignment horizontal="center" vertical="center"/>
    </xf>
    <xf numFmtId="199" fontId="16" fillId="0" borderId="204" xfId="2" applyNumberFormat="1" applyFont="1" applyBorder="1" applyAlignment="1">
      <alignment horizontal="center" vertical="center"/>
    </xf>
    <xf numFmtId="199" fontId="16" fillId="0" borderId="202" xfId="2" applyNumberFormat="1" applyFont="1" applyBorder="1" applyAlignment="1">
      <alignment horizontal="center" vertical="center"/>
    </xf>
    <xf numFmtId="176" fontId="32" fillId="0" borderId="137" xfId="2" applyNumberFormat="1" applyFont="1" applyBorder="1" applyAlignment="1">
      <alignment horizontal="center" vertical="center"/>
    </xf>
    <xf numFmtId="176" fontId="32" fillId="0" borderId="102" xfId="2" applyNumberFormat="1" applyFont="1" applyBorder="1" applyAlignment="1">
      <alignment horizontal="center" vertical="center"/>
    </xf>
    <xf numFmtId="176" fontId="32" fillId="0" borderId="140" xfId="2" applyNumberFormat="1" applyFont="1" applyBorder="1" applyAlignment="1">
      <alignment horizontal="center" vertical="center"/>
    </xf>
    <xf numFmtId="176" fontId="45" fillId="0" borderId="137" xfId="2" applyNumberFormat="1" applyFont="1" applyBorder="1" applyAlignment="1">
      <alignment horizontal="center" vertical="center"/>
    </xf>
    <xf numFmtId="176" fontId="45" fillId="0" borderId="102" xfId="2" applyNumberFormat="1" applyFont="1" applyBorder="1" applyAlignment="1">
      <alignment horizontal="center" vertical="center"/>
    </xf>
    <xf numFmtId="176" fontId="45" fillId="0" borderId="140" xfId="2" applyNumberFormat="1" applyFont="1" applyBorder="1" applyAlignment="1">
      <alignment horizontal="center" vertical="center"/>
    </xf>
    <xf numFmtId="0" fontId="27" fillId="0" borderId="226" xfId="0" applyFont="1" applyBorder="1" applyAlignment="1">
      <alignment horizontal="center" vertical="center"/>
    </xf>
    <xf numFmtId="0" fontId="27" fillId="0" borderId="204" xfId="0" applyFont="1" applyBorder="1" applyAlignment="1">
      <alignment horizontal="center" vertical="center"/>
    </xf>
    <xf numFmtId="0" fontId="27" fillId="0" borderId="202" xfId="0" applyFont="1" applyBorder="1" applyAlignment="1">
      <alignment horizontal="center" vertical="center"/>
    </xf>
    <xf numFmtId="201" fontId="98" fillId="0" borderId="137" xfId="2" applyNumberFormat="1" applyFont="1" applyFill="1" applyBorder="1" applyAlignment="1">
      <alignment horizontal="center" vertical="center"/>
    </xf>
    <xf numFmtId="201" fontId="98" fillId="0" borderId="102" xfId="2" applyNumberFormat="1" applyFont="1" applyFill="1" applyBorder="1" applyAlignment="1">
      <alignment horizontal="center" vertical="center"/>
    </xf>
    <xf numFmtId="201" fontId="98" fillId="0" borderId="140" xfId="2" applyNumberFormat="1" applyFont="1" applyFill="1" applyBorder="1" applyAlignment="1">
      <alignment horizontal="center" vertical="center"/>
    </xf>
    <xf numFmtId="176" fontId="45" fillId="0" borderId="137" xfId="2" applyNumberFormat="1" applyFont="1" applyFill="1" applyBorder="1" applyAlignment="1">
      <alignment horizontal="center" vertical="center"/>
    </xf>
    <xf numFmtId="176" fontId="45" fillId="0" borderId="102" xfId="2" applyNumberFormat="1" applyFont="1" applyFill="1" applyBorder="1" applyAlignment="1">
      <alignment horizontal="center" vertical="center"/>
    </xf>
    <xf numFmtId="176" fontId="45" fillId="0" borderId="140" xfId="2" applyNumberFormat="1" applyFont="1" applyFill="1" applyBorder="1" applyAlignment="1">
      <alignment horizontal="center" vertical="center"/>
    </xf>
    <xf numFmtId="176" fontId="32" fillId="0" borderId="402" xfId="2" applyNumberFormat="1" applyFont="1" applyFill="1" applyBorder="1" applyAlignment="1">
      <alignment horizontal="center" vertical="center"/>
    </xf>
    <xf numFmtId="176" fontId="32" fillId="0" borderId="384" xfId="2" applyNumberFormat="1" applyFont="1" applyFill="1" applyBorder="1" applyAlignment="1">
      <alignment horizontal="center" vertical="center"/>
    </xf>
    <xf numFmtId="176" fontId="32" fillId="0" borderId="401" xfId="2" applyNumberFormat="1" applyFont="1" applyFill="1" applyBorder="1" applyAlignment="1">
      <alignment horizontal="center" vertical="center"/>
    </xf>
    <xf numFmtId="199" fontId="45" fillId="0" borderId="226" xfId="2" applyNumberFormat="1" applyFont="1" applyFill="1" applyBorder="1" applyAlignment="1">
      <alignment horizontal="center" vertical="center"/>
    </xf>
    <xf numFmtId="199" fontId="45" fillId="0" borderId="204" xfId="2" applyNumberFormat="1" applyFont="1" applyFill="1" applyBorder="1" applyAlignment="1">
      <alignment horizontal="center" vertical="center"/>
    </xf>
    <xf numFmtId="199" fontId="45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6" fontId="45" fillId="0" borderId="214" xfId="2" applyNumberFormat="1" applyFont="1" applyFill="1" applyBorder="1" applyAlignment="1">
      <alignment horizontal="center" vertical="center"/>
    </xf>
    <xf numFmtId="176" fontId="45" fillId="0" borderId="211" xfId="2" applyNumberFormat="1" applyFont="1" applyFill="1" applyBorder="1" applyAlignment="1">
      <alignment horizontal="center" vertical="center"/>
    </xf>
    <xf numFmtId="176" fontId="45" fillId="0" borderId="352" xfId="2" applyNumberFormat="1" applyFont="1" applyFill="1" applyBorder="1" applyAlignment="1">
      <alignment horizontal="center" vertical="center"/>
    </xf>
    <xf numFmtId="176" fontId="32" fillId="0" borderId="214" xfId="2" applyNumberFormat="1" applyFont="1" applyFill="1" applyBorder="1" applyAlignment="1">
      <alignment horizontal="center" vertical="center"/>
    </xf>
    <xf numFmtId="176" fontId="32" fillId="0" borderId="211" xfId="2" applyNumberFormat="1" applyFont="1" applyFill="1" applyBorder="1" applyAlignment="1">
      <alignment horizontal="center" vertical="center"/>
    </xf>
    <xf numFmtId="176" fontId="32" fillId="0" borderId="352" xfId="2" applyNumberFormat="1" applyFont="1" applyFill="1" applyBorder="1" applyAlignment="1">
      <alignment horizontal="center" vertical="center"/>
    </xf>
    <xf numFmtId="176" fontId="16" fillId="0" borderId="403" xfId="2" applyNumberFormat="1" applyFont="1" applyFill="1" applyBorder="1" applyAlignment="1">
      <alignment horizontal="center" vertical="center"/>
    </xf>
    <xf numFmtId="176" fontId="16" fillId="0" borderId="404" xfId="2" applyNumberFormat="1" applyFont="1" applyFill="1" applyBorder="1" applyAlignment="1">
      <alignment horizontal="center" vertical="center"/>
    </xf>
    <xf numFmtId="176" fontId="16" fillId="0" borderId="405" xfId="2" applyNumberFormat="1" applyFont="1" applyFill="1" applyBorder="1" applyAlignment="1">
      <alignment horizontal="center" vertical="center"/>
    </xf>
    <xf numFmtId="199" fontId="16" fillId="0" borderId="420" xfId="2" applyNumberFormat="1" applyFont="1" applyFill="1" applyBorder="1" applyAlignment="1">
      <alignment horizontal="center" vertical="center"/>
    </xf>
    <xf numFmtId="199" fontId="16" fillId="0" borderId="421" xfId="2" applyNumberFormat="1" applyFont="1" applyFill="1" applyBorder="1" applyAlignment="1">
      <alignment horizontal="center" vertical="center"/>
    </xf>
    <xf numFmtId="199" fontId="16" fillId="0" borderId="422" xfId="2" applyNumberFormat="1" applyFont="1" applyFill="1" applyBorder="1" applyAlignment="1">
      <alignment horizontal="center" vertical="center"/>
    </xf>
    <xf numFmtId="198" fontId="16" fillId="11" borderId="464" xfId="2" applyNumberFormat="1" applyFont="1" applyFill="1" applyBorder="1" applyAlignment="1">
      <alignment horizontal="right" vertical="center"/>
    </xf>
    <xf numFmtId="198" fontId="16" fillId="11" borderId="465" xfId="2" applyNumberFormat="1" applyFont="1" applyFill="1" applyBorder="1" applyAlignment="1">
      <alignment horizontal="right" vertical="center"/>
    </xf>
    <xf numFmtId="198" fontId="16" fillId="11" borderId="466" xfId="2" applyNumberFormat="1" applyFont="1" applyFill="1" applyBorder="1" applyAlignment="1">
      <alignment horizontal="right" vertical="center"/>
    </xf>
    <xf numFmtId="176" fontId="45" fillId="0" borderId="77" xfId="2" applyNumberFormat="1" applyFont="1" applyFill="1" applyBorder="1" applyAlignment="1">
      <alignment horizontal="center" vertical="center"/>
    </xf>
    <xf numFmtId="176" fontId="32" fillId="0" borderId="77" xfId="2" applyNumberFormat="1" applyFont="1" applyFill="1" applyBorder="1" applyAlignment="1">
      <alignment horizontal="center" vertical="center"/>
    </xf>
    <xf numFmtId="199" fontId="16" fillId="0" borderId="201" xfId="2" applyNumberFormat="1" applyFont="1" applyFill="1" applyBorder="1" applyAlignment="1">
      <alignment horizontal="center" vertical="center"/>
    </xf>
    <xf numFmtId="194" fontId="48" fillId="0" borderId="321" xfId="2" applyNumberFormat="1" applyFont="1" applyBorder="1" applyAlignment="1">
      <alignment horizontal="center" vertical="center"/>
    </xf>
    <xf numFmtId="194" fontId="48" fillId="0" borderId="323" xfId="2" applyNumberFormat="1" applyFont="1" applyBorder="1" applyAlignment="1">
      <alignment horizontal="center" vertical="center"/>
    </xf>
    <xf numFmtId="194" fontId="48" fillId="0" borderId="298" xfId="2" applyNumberFormat="1" applyFont="1" applyBorder="1" applyAlignment="1">
      <alignment horizontal="center" vertical="center"/>
    </xf>
    <xf numFmtId="195" fontId="48" fillId="0" borderId="137" xfId="2" applyNumberFormat="1" applyFont="1" applyBorder="1" applyAlignment="1">
      <alignment horizontal="center" vertical="center"/>
    </xf>
    <xf numFmtId="195" fontId="48" fillId="0" borderId="102" xfId="2" applyNumberFormat="1" applyFont="1" applyBorder="1" applyAlignment="1">
      <alignment horizontal="center" vertical="center"/>
    </xf>
    <xf numFmtId="195" fontId="48" fillId="0" borderId="140" xfId="2" applyNumberFormat="1" applyFont="1" applyBorder="1" applyAlignment="1">
      <alignment horizontal="center" vertical="center"/>
    </xf>
    <xf numFmtId="194" fontId="27" fillId="0" borderId="321" xfId="2" applyNumberFormat="1" applyFont="1" applyBorder="1" applyAlignment="1">
      <alignment horizontal="center" vertical="center"/>
    </xf>
    <xf numFmtId="194" fontId="27" fillId="0" borderId="323" xfId="2" applyNumberFormat="1" applyFont="1" applyBorder="1" applyAlignment="1">
      <alignment horizontal="center" vertical="center"/>
    </xf>
    <xf numFmtId="194" fontId="27" fillId="0" borderId="298" xfId="2" applyNumberFormat="1" applyFont="1" applyBorder="1" applyAlignment="1">
      <alignment horizontal="center" vertical="center"/>
    </xf>
    <xf numFmtId="195" fontId="27" fillId="0" borderId="137" xfId="2" applyNumberFormat="1" applyFont="1" applyBorder="1" applyAlignment="1">
      <alignment horizontal="center" vertical="center"/>
    </xf>
    <xf numFmtId="195" fontId="27" fillId="0" borderId="102" xfId="2" applyNumberFormat="1" applyFont="1" applyBorder="1" applyAlignment="1">
      <alignment horizontal="center" vertical="center"/>
    </xf>
    <xf numFmtId="195" fontId="27" fillId="0" borderId="140" xfId="2" applyNumberFormat="1" applyFont="1" applyBorder="1" applyAlignment="1">
      <alignment horizontal="center" vertical="center"/>
    </xf>
    <xf numFmtId="199" fontId="32" fillId="0" borderId="402" xfId="2" applyNumberFormat="1" applyFont="1" applyFill="1" applyBorder="1" applyAlignment="1">
      <alignment horizontal="center" vertical="center"/>
    </xf>
    <xf numFmtId="199" fontId="32" fillId="0" borderId="384" xfId="2" applyNumberFormat="1" applyFont="1" applyFill="1" applyBorder="1" applyAlignment="1">
      <alignment horizontal="center" vertical="center"/>
    </xf>
    <xf numFmtId="199" fontId="32" fillId="0" borderId="401" xfId="2" applyNumberFormat="1" applyFont="1" applyFill="1" applyBorder="1" applyAlignment="1">
      <alignment horizontal="center" vertical="center"/>
    </xf>
    <xf numFmtId="199" fontId="16" fillId="0" borderId="402" xfId="2" applyNumberFormat="1" applyFont="1" applyFill="1" applyBorder="1" applyAlignment="1">
      <alignment horizontal="center" vertical="center"/>
    </xf>
    <xf numFmtId="199" fontId="16" fillId="0" borderId="384" xfId="2" applyNumberFormat="1" applyFont="1" applyFill="1" applyBorder="1" applyAlignment="1">
      <alignment horizontal="center" vertical="center"/>
    </xf>
    <xf numFmtId="199" fontId="16" fillId="0" borderId="401" xfId="2" applyNumberFormat="1" applyFont="1" applyFill="1" applyBorder="1" applyAlignment="1">
      <alignment horizontal="center" vertical="center"/>
    </xf>
    <xf numFmtId="0" fontId="48" fillId="23" borderId="325" xfId="0" applyFont="1" applyFill="1" applyBorder="1" applyAlignment="1">
      <alignment horizontal="center" vertical="center"/>
    </xf>
    <xf numFmtId="0" fontId="27" fillId="23" borderId="327" xfId="0" applyFont="1" applyFill="1" applyBorder="1" applyAlignment="1">
      <alignment horizontal="center" vertical="center"/>
    </xf>
    <xf numFmtId="194" fontId="48" fillId="0" borderId="325" xfId="2" applyNumberFormat="1" applyFont="1" applyBorder="1" applyAlignment="1">
      <alignment horizontal="center" vertical="center"/>
    </xf>
    <xf numFmtId="195" fontId="48" fillId="0" borderId="326" xfId="2" applyNumberFormat="1" applyFont="1" applyBorder="1" applyAlignment="1">
      <alignment horizontal="center" vertical="center"/>
    </xf>
    <xf numFmtId="0" fontId="48" fillId="0" borderId="326" xfId="0" applyFont="1" applyBorder="1" applyAlignment="1">
      <alignment horizontal="center" vertical="center"/>
    </xf>
    <xf numFmtId="193" fontId="48" fillId="0" borderId="327" xfId="0" applyNumberFormat="1" applyFont="1" applyBorder="1" applyAlignment="1">
      <alignment horizontal="center" vertical="center"/>
    </xf>
    <xf numFmtId="194" fontId="27" fillId="0" borderId="325" xfId="2" applyNumberFormat="1" applyFont="1" applyBorder="1" applyAlignment="1">
      <alignment horizontal="center" vertical="center"/>
    </xf>
    <xf numFmtId="195" fontId="27" fillId="0" borderId="326" xfId="2" applyNumberFormat="1" applyFont="1" applyBorder="1" applyAlignment="1">
      <alignment horizontal="center" vertical="center"/>
    </xf>
    <xf numFmtId="0" fontId="26" fillId="0" borderId="326" xfId="0" applyFont="1" applyBorder="1" applyAlignment="1">
      <alignment horizontal="center" vertical="center"/>
    </xf>
    <xf numFmtId="193" fontId="27" fillId="0" borderId="327" xfId="0" applyNumberFormat="1" applyFont="1" applyBorder="1" applyAlignment="1">
      <alignment horizontal="center" vertical="center"/>
    </xf>
    <xf numFmtId="199" fontId="16" fillId="0" borderId="92" xfId="2" applyNumberFormat="1" applyFont="1" applyFill="1" applyBorder="1" applyAlignment="1">
      <alignment horizontal="center" vertical="center"/>
    </xf>
    <xf numFmtId="199" fontId="16" fillId="0" borderId="403" xfId="2" applyNumberFormat="1" applyFont="1" applyFill="1" applyBorder="1" applyAlignment="1">
      <alignment horizontal="center" vertical="center"/>
    </xf>
    <xf numFmtId="199" fontId="16" fillId="0" borderId="404" xfId="2" applyNumberFormat="1" applyFont="1" applyFill="1" applyBorder="1" applyAlignment="1">
      <alignment horizontal="center" vertical="center"/>
    </xf>
    <xf numFmtId="199" fontId="16" fillId="0" borderId="405" xfId="2" applyNumberFormat="1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176" fontId="43" fillId="6" borderId="364" xfId="2" applyNumberFormat="1" applyFont="1" applyFill="1" applyBorder="1" applyAlignment="1">
      <alignment horizontal="center" vertical="center"/>
    </xf>
    <xf numFmtId="176" fontId="43" fillId="6" borderId="417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center" vertical="center" wrapText="1"/>
    </xf>
    <xf numFmtId="0" fontId="0" fillId="0" borderId="393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40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67" fillId="4" borderId="384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7" fillId="0" borderId="101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203" fontId="17" fillId="0" borderId="6" xfId="2" applyNumberFormat="1" applyFont="1" applyBorder="1" applyAlignment="1">
      <alignment horizontal="center" vertical="center"/>
    </xf>
    <xf numFmtId="176" fontId="16" fillId="0" borderId="428" xfId="2" applyNumberFormat="1" applyFont="1" applyFill="1" applyBorder="1" applyAlignment="1">
      <alignment horizontal="center" vertical="center"/>
    </xf>
    <xf numFmtId="176" fontId="16" fillId="0" borderId="429" xfId="2" applyNumberFormat="1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5" fillId="0" borderId="101" xfId="0" applyFont="1" applyBorder="1" applyAlignment="1">
      <alignment horizontal="center" vertical="center" wrapText="1"/>
    </xf>
    <xf numFmtId="0" fontId="15" fillId="0" borderId="77" xfId="0" applyFont="1" applyBorder="1" applyAlignment="1">
      <alignment horizontal="center" vertical="center" wrapText="1"/>
    </xf>
    <xf numFmtId="203" fontId="17" fillId="0" borderId="101" xfId="2" applyNumberFormat="1" applyFont="1" applyBorder="1" applyAlignment="1">
      <alignment horizontal="center" vertical="center"/>
    </xf>
    <xf numFmtId="203" fontId="17" fillId="0" borderId="77" xfId="2" applyNumberFormat="1" applyFont="1" applyBorder="1" applyAlignment="1">
      <alignment horizontal="center" vertical="center"/>
    </xf>
    <xf numFmtId="0" fontId="15" fillId="0" borderId="455" xfId="0" applyFont="1" applyBorder="1" applyAlignment="1">
      <alignment horizontal="center" vertical="center"/>
    </xf>
    <xf numFmtId="0" fontId="15" fillId="0" borderId="221" xfId="0" applyFont="1" applyBorder="1" applyAlignment="1">
      <alignment horizontal="center" vertical="center"/>
    </xf>
    <xf numFmtId="0" fontId="15" fillId="0" borderId="456" xfId="0" applyFont="1" applyBorder="1" applyAlignment="1">
      <alignment horizontal="center" vertical="center"/>
    </xf>
    <xf numFmtId="22" fontId="111" fillId="0" borderId="530" xfId="0" applyNumberFormat="1" applyFont="1" applyBorder="1" applyAlignment="1">
      <alignment horizontal="left" vertical="center" wrapText="1"/>
    </xf>
    <xf numFmtId="22" fontId="111" fillId="0" borderId="531" xfId="0" applyNumberFormat="1" applyFont="1" applyBorder="1" applyAlignment="1">
      <alignment horizontal="left" vertical="center" wrapText="1"/>
    </xf>
    <xf numFmtId="22" fontId="111" fillId="0" borderId="532" xfId="0" applyNumberFormat="1" applyFont="1" applyBorder="1" applyAlignment="1">
      <alignment horizontal="left" vertical="center" wrapText="1"/>
    </xf>
    <xf numFmtId="22" fontId="111" fillId="0" borderId="533" xfId="0" applyNumberFormat="1" applyFont="1" applyBorder="1" applyAlignment="1">
      <alignment horizontal="left" vertical="center" wrapText="1"/>
    </xf>
    <xf numFmtId="22" fontId="111" fillId="0" borderId="534" xfId="0" applyNumberFormat="1" applyFont="1" applyBorder="1" applyAlignment="1">
      <alignment horizontal="left" vertical="center" wrapText="1"/>
    </xf>
    <xf numFmtId="22" fontId="111" fillId="0" borderId="527" xfId="0" applyNumberFormat="1" applyFont="1" applyBorder="1" applyAlignment="1">
      <alignment horizontal="left" vertical="center" wrapText="1"/>
    </xf>
    <xf numFmtId="0" fontId="114" fillId="0" borderId="526" xfId="0" applyFont="1" applyBorder="1" applyAlignment="1">
      <alignment vertical="center" wrapText="1"/>
    </xf>
    <xf numFmtId="0" fontId="114" fillId="0" borderId="528" xfId="0" applyFont="1" applyBorder="1" applyAlignment="1">
      <alignment vertical="center" wrapText="1"/>
    </xf>
    <xf numFmtId="0" fontId="114" fillId="0" borderId="529" xfId="0" applyFont="1" applyBorder="1" applyAlignment="1">
      <alignment vertical="center" wrapText="1"/>
    </xf>
    <xf numFmtId="0" fontId="114" fillId="0" borderId="530" xfId="0" applyFont="1" applyBorder="1" applyAlignment="1">
      <alignment vertical="center" wrapText="1"/>
    </xf>
    <xf numFmtId="0" fontId="114" fillId="0" borderId="531" xfId="0" applyFont="1" applyBorder="1" applyAlignment="1">
      <alignment vertical="center" wrapText="1"/>
    </xf>
    <xf numFmtId="0" fontId="114" fillId="0" borderId="532" xfId="0" applyFont="1" applyBorder="1" applyAlignment="1">
      <alignment vertical="center" wrapText="1"/>
    </xf>
    <xf numFmtId="0" fontId="114" fillId="0" borderId="536" xfId="0" applyFont="1" applyBorder="1" applyAlignment="1">
      <alignment vertical="center" wrapText="1"/>
    </xf>
    <xf numFmtId="0" fontId="114" fillId="0" borderId="2" xfId="0" applyFont="1" applyBorder="1" applyAlignment="1">
      <alignment vertical="center" wrapText="1"/>
    </xf>
    <xf numFmtId="0" fontId="114" fillId="0" borderId="537" xfId="0" applyFont="1" applyBorder="1" applyAlignment="1">
      <alignment vertical="center" wrapText="1"/>
    </xf>
    <xf numFmtId="0" fontId="111" fillId="0" borderId="526" xfId="0" applyFont="1" applyBorder="1" applyAlignment="1">
      <alignment horizontal="center" vertical="center" wrapText="1"/>
    </xf>
    <xf numFmtId="0" fontId="111" fillId="0" borderId="528" xfId="0" applyFont="1" applyBorder="1" applyAlignment="1">
      <alignment horizontal="center" vertical="center" wrapText="1"/>
    </xf>
    <xf numFmtId="0" fontId="111" fillId="0" borderId="529" xfId="0" applyFont="1" applyBorder="1" applyAlignment="1">
      <alignment horizontal="center" vertical="center" wrapText="1"/>
    </xf>
    <xf numFmtId="0" fontId="15" fillId="42" borderId="166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5" fillId="3" borderId="367" xfId="0" applyNumberFormat="1" applyFont="1" applyFill="1" applyBorder="1" applyAlignment="1">
      <alignment horizontal="center" vertical="center"/>
    </xf>
    <xf numFmtId="181" fontId="15" fillId="3" borderId="368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15" fillId="3" borderId="104" xfId="0" applyFont="1" applyFill="1" applyBorder="1" applyAlignment="1">
      <alignment horizontal="center" vertical="center"/>
    </xf>
    <xf numFmtId="0" fontId="15" fillId="3" borderId="105" xfId="0" applyFont="1" applyFill="1" applyBorder="1" applyAlignment="1">
      <alignment horizontal="center" vertical="center"/>
    </xf>
    <xf numFmtId="181" fontId="15" fillId="3" borderId="106" xfId="0" applyNumberFormat="1" applyFont="1" applyFill="1" applyBorder="1" applyAlignment="1">
      <alignment horizontal="center" vertical="center"/>
    </xf>
    <xf numFmtId="181" fontId="15" fillId="3" borderId="107" xfId="0" applyNumberFormat="1" applyFont="1" applyFill="1" applyBorder="1" applyAlignment="1">
      <alignment horizontal="center" vertical="center"/>
    </xf>
    <xf numFmtId="181" fontId="15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5" fillId="0" borderId="4" xfId="9" applyFont="1" applyBorder="1" applyAlignment="1">
      <alignment horizontal="center" vertical="center"/>
    </xf>
    <xf numFmtId="0" fontId="15" fillId="0" borderId="143" xfId="9" applyFont="1" applyBorder="1" applyAlignment="1">
      <alignment horizontal="center" vertical="center"/>
    </xf>
    <xf numFmtId="0" fontId="15" fillId="3" borderId="104" xfId="9" applyFont="1" applyFill="1" applyBorder="1" applyAlignment="1">
      <alignment horizontal="center" vertical="center"/>
    </xf>
    <xf numFmtId="0" fontId="12" fillId="0" borderId="105" xfId="9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02" fillId="8" borderId="6" xfId="0" applyFont="1" applyFill="1" applyBorder="1" applyAlignment="1">
      <alignment horizontal="center" vertical="center"/>
    </xf>
    <xf numFmtId="0" fontId="15" fillId="7" borderId="114" xfId="0" applyFont="1" applyFill="1" applyBorder="1" applyAlignment="1">
      <alignment horizontal="center" vertical="center"/>
    </xf>
    <xf numFmtId="0" fontId="15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5" fillId="23" borderId="110" xfId="0" applyFont="1" applyFill="1" applyBorder="1" applyAlignment="1">
      <alignment horizontal="center" vertical="center"/>
    </xf>
    <xf numFmtId="0" fontId="15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5" fillId="23" borderId="101" xfId="0" applyFont="1" applyFill="1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/>
    </xf>
    <xf numFmtId="0" fontId="15" fillId="6" borderId="75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15" fillId="6" borderId="83" xfId="0" applyFont="1" applyFill="1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6" fontId="15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NumberFormat="1">
      <alignment vertical="center"/>
    </xf>
    <xf numFmtId="199" fontId="16" fillId="12" borderId="6" xfId="2" applyNumberFormat="1" applyFont="1" applyFill="1" applyBorder="1" applyAlignment="1">
      <alignment horizontal="right" vertical="center"/>
    </xf>
    <xf numFmtId="199" fontId="16" fillId="12" borderId="136" xfId="2" applyNumberFormat="1" applyFont="1" applyFill="1" applyBorder="1" applyAlignment="1">
      <alignment horizontal="right" vertical="center"/>
    </xf>
    <xf numFmtId="203" fontId="44" fillId="0" borderId="6" xfId="2" applyNumberFormat="1" applyFont="1" applyBorder="1" applyAlignment="1">
      <alignment horizontal="right" vertical="center"/>
    </xf>
    <xf numFmtId="203" fontId="17" fillId="0" borderId="6" xfId="2" applyNumberFormat="1" applyFont="1" applyBorder="1" applyAlignment="1">
      <alignment horizontal="right" vertical="center"/>
    </xf>
    <xf numFmtId="198" fontId="16" fillId="11" borderId="475" xfId="2" applyNumberFormat="1" applyFont="1" applyFill="1" applyBorder="1" applyAlignment="1">
      <alignment horizontal="right" vertical="center"/>
    </xf>
    <xf numFmtId="198" fontId="16" fillId="11" borderId="439" xfId="2" applyNumberFormat="1" applyFont="1" applyFill="1" applyBorder="1" applyAlignment="1">
      <alignment horizontal="right" vertical="center"/>
    </xf>
    <xf numFmtId="198" fontId="16" fillId="11" borderId="435" xfId="2" applyNumberFormat="1" applyFont="1" applyFill="1" applyBorder="1" applyAlignment="1">
      <alignment horizontal="right" vertical="center"/>
    </xf>
    <xf numFmtId="0" fontId="0" fillId="0" borderId="0" xfId="0" applyFill="1">
      <alignment vertical="center"/>
    </xf>
    <xf numFmtId="199" fontId="58" fillId="0" borderId="479" xfId="2" applyNumberFormat="1" applyFont="1" applyFill="1" applyBorder="1" applyAlignment="1" applyProtection="1">
      <alignment horizontal="right" vertical="center"/>
    </xf>
    <xf numFmtId="199" fontId="16" fillId="0" borderId="540" xfId="2" applyNumberFormat="1" applyFont="1" applyBorder="1">
      <alignment vertical="center"/>
    </xf>
    <xf numFmtId="199" fontId="16" fillId="0" borderId="541" xfId="2" applyNumberFormat="1" applyFont="1" applyBorder="1">
      <alignment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1135380</xdr:colOff>
          <xdr:row>4</xdr:row>
          <xdr:rowOff>22860</xdr:rowOff>
        </xdr:from>
        <xdr:to>
          <xdr:col>8</xdr:col>
          <xdr:colOff>1699260</xdr:colOff>
          <xdr:row>5</xdr:row>
          <xdr:rowOff>38100</xdr:rowOff>
        </xdr:to>
        <xdr:sp macro="" textlink="">
          <xdr:nvSpPr>
            <xdr:cNvPr id="106497" name="Object 1" hidden="1">
              <a:extLst>
                <a:ext uri="{63B3BB69-23CF-44E3-9099-C40C66FF867C}">
                  <a14:compatExt spid="_x0000_s106497"/>
                </a:ext>
                <a:ext uri="{FF2B5EF4-FFF2-40B4-BE49-F238E27FC236}">
                  <a16:creationId xmlns:a16="http://schemas.microsoft.com/office/drawing/2014/main" id="{00000000-0008-0000-0500-000001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.xls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3"/>
  <sheetViews>
    <sheetView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sqref="A1:AP1"/>
    </sheetView>
  </sheetViews>
  <sheetFormatPr defaultColWidth="8.69921875" defaultRowHeight="15.6" x14ac:dyDescent="0.25"/>
  <cols>
    <col min="1" max="2" width="6.09765625" style="671" customWidth="1"/>
    <col min="3" max="3" width="8.69921875" style="671"/>
    <col min="4" max="4" width="20" style="671" customWidth="1"/>
    <col min="5" max="5" width="9.69921875" style="671" bestFit="1" customWidth="1"/>
    <col min="6" max="6" width="4.69921875" style="671" customWidth="1"/>
    <col min="7" max="7" width="5" style="671" customWidth="1"/>
    <col min="8" max="9" width="14.69921875" style="671" hidden="1" customWidth="1"/>
    <col min="10" max="11" width="19.3984375" style="671" bestFit="1" customWidth="1"/>
    <col min="12" max="12" width="5.69921875" style="671" hidden="1" customWidth="1"/>
    <col min="13" max="13" width="6.69921875" style="671" hidden="1" customWidth="1"/>
    <col min="14" max="14" width="3.69921875" style="671" hidden="1" customWidth="1"/>
    <col min="15" max="15" width="4.69921875" style="1794" hidden="1" customWidth="1"/>
    <col min="16" max="16" width="5.69921875" style="671" hidden="1" customWidth="1"/>
    <col min="17" max="17" width="6.69921875" style="671" hidden="1" customWidth="1"/>
    <col min="18" max="18" width="3.69921875" style="671" hidden="1" customWidth="1"/>
    <col min="19" max="19" width="4.69921875" style="1794" hidden="1" customWidth="1"/>
    <col min="20" max="21" width="9.3984375" style="671" hidden="1" customWidth="1"/>
    <col min="22" max="23" width="9.69921875" style="671" hidden="1" customWidth="1"/>
    <col min="24" max="31" width="9.3984375" style="671" hidden="1" customWidth="1"/>
    <col min="32" max="33" width="9.3984375" style="919" hidden="1" customWidth="1"/>
    <col min="34" max="38" width="9.09765625" style="671" customWidth="1"/>
    <col min="39" max="39" width="23.3984375" style="671" bestFit="1" customWidth="1"/>
    <col min="40" max="40" width="16.3984375" style="3006" customWidth="1"/>
    <col min="41" max="41" width="20.09765625" style="671" customWidth="1"/>
    <col min="42" max="42" width="26.09765625" style="671" customWidth="1"/>
    <col min="43" max="43" width="8.69921875" style="671"/>
    <col min="44" max="44" width="12.3984375" style="671" bestFit="1" customWidth="1"/>
    <col min="45" max="45" width="10.3984375" style="671" bestFit="1" customWidth="1"/>
    <col min="46" max="46" width="11.69921875" style="671" bestFit="1" customWidth="1"/>
    <col min="47" max="47" width="14.8984375" style="671" bestFit="1" customWidth="1"/>
    <col min="48" max="48" width="14.8984375" style="671" customWidth="1"/>
    <col min="49" max="55" width="8.69921875" style="671"/>
    <col min="56" max="56" width="30.09765625" style="671" bestFit="1" customWidth="1"/>
    <col min="57" max="57" width="10.59765625" style="671" customWidth="1"/>
    <col min="58" max="58" width="22.09765625" style="671" bestFit="1" customWidth="1"/>
    <col min="59" max="59" width="19.69921875" style="671" customWidth="1"/>
    <col min="60" max="60" width="8.69921875" style="3006"/>
    <col min="61" max="61" width="8.69921875" style="671"/>
    <col min="62" max="62" width="9.69921875" style="671" bestFit="1" customWidth="1"/>
    <col min="63" max="63" width="12.3984375" style="671" bestFit="1" customWidth="1"/>
    <col min="64" max="64" width="10.3984375" style="671" bestFit="1" customWidth="1"/>
    <col min="65" max="67" width="21.69921875" style="671" customWidth="1"/>
    <col min="68" max="68" width="33.8984375" style="671" bestFit="1" customWidth="1"/>
    <col min="69" max="69" width="11.59765625" style="671" customWidth="1"/>
    <col min="70" max="16384" width="8.69921875" style="671"/>
  </cols>
  <sheetData>
    <row r="1" spans="1:69" ht="30" x14ac:dyDescent="0.25">
      <c r="A1" s="3339" t="s">
        <v>0</v>
      </c>
      <c r="B1" s="3339"/>
      <c r="C1" s="3339"/>
      <c r="D1" s="3339"/>
      <c r="E1" s="3339"/>
      <c r="F1" s="3339"/>
      <c r="G1" s="3339"/>
      <c r="H1" s="3339"/>
      <c r="I1" s="3339"/>
      <c r="J1" s="3339"/>
      <c r="K1" s="3339"/>
      <c r="L1" s="3339"/>
      <c r="M1" s="3339"/>
      <c r="N1" s="3339"/>
      <c r="O1" s="3339"/>
      <c r="P1" s="3339"/>
      <c r="Q1" s="3339"/>
      <c r="R1" s="3339"/>
      <c r="S1" s="3339"/>
      <c r="T1" s="3339"/>
      <c r="U1" s="3339"/>
      <c r="V1" s="3339"/>
      <c r="W1" s="3339"/>
      <c r="X1" s="3339"/>
      <c r="Y1" s="3339"/>
      <c r="Z1" s="3339"/>
      <c r="AA1" s="3339"/>
      <c r="AB1" s="3339"/>
      <c r="AC1" s="3339"/>
      <c r="AD1" s="3339"/>
      <c r="AE1" s="3339"/>
      <c r="AF1" s="3339"/>
      <c r="AG1" s="3339"/>
      <c r="AH1" s="3339"/>
      <c r="AI1" s="3339"/>
      <c r="AJ1" s="3339"/>
      <c r="AK1" s="3339"/>
      <c r="AL1" s="3339"/>
      <c r="AM1" s="3339"/>
      <c r="AN1" s="3339"/>
      <c r="AO1" s="3339"/>
      <c r="AP1" s="3339"/>
      <c r="BA1" s="123"/>
      <c r="BB1" s="123"/>
      <c r="BC1" s="123"/>
      <c r="BD1" s="123"/>
      <c r="BE1" s="123"/>
      <c r="BF1" s="123"/>
      <c r="BG1"/>
      <c r="BH1" s="2989"/>
      <c r="BI1" s="123" t="str">
        <f>'7층~4층_고객 총사용량(삭제X)'!G2</f>
        <v>미디어꾼</v>
      </c>
      <c r="BJ1" s="2972" t="s">
        <v>9265</v>
      </c>
      <c r="BK1" s="2973" t="s">
        <v>9267</v>
      </c>
      <c r="BL1" s="2974" t="s">
        <v>9268</v>
      </c>
      <c r="BM1" s="2964" t="s">
        <v>9269</v>
      </c>
      <c r="BN1" s="2964" t="s">
        <v>10818</v>
      </c>
      <c r="BO1" s="2964" t="s">
        <v>10842</v>
      </c>
      <c r="BP1" s="3270">
        <f>COUNTIF($BO$5:$BO$254,"&gt;0")</f>
        <v>0</v>
      </c>
    </row>
    <row r="2" spans="1:69" ht="16.2" thickBot="1" x14ac:dyDescent="0.3">
      <c r="AP2" s="731" t="s">
        <v>1</v>
      </c>
      <c r="BA2" s="123"/>
      <c r="BB2" s="123"/>
      <c r="BC2" s="123"/>
      <c r="BD2" s="123"/>
      <c r="BE2" s="123"/>
      <c r="BF2" s="123"/>
      <c r="BG2"/>
      <c r="BH2" s="2989"/>
      <c r="BI2"/>
      <c r="BJ2" s="3007">
        <f>IFERROR(SUBTOTAL(109,BE5:BE254), 0)</f>
        <v>0</v>
      </c>
      <c r="BK2" s="3008">
        <f>IFERROR(SUBTOTAL(109,BM5:BM254)/(24*31), 0)</f>
        <v>0</v>
      </c>
      <c r="BL2" s="3007">
        <f>BJ2-BK2</f>
        <v>0</v>
      </c>
      <c r="BM2" s="3009" t="str">
        <f>IF(SIGN(BL2)&gt;=0,IF(BK2=0,"미사용 랙","적정 사용"),"사용초과")</f>
        <v>미사용 랙</v>
      </c>
      <c r="BN2" s="2993">
        <f>IFERROR(MAX($BN$5:$BN$254), 0)</f>
        <v>0</v>
      </c>
      <c r="BO2" s="3254" t="e">
        <f>BK2/BP1</f>
        <v>#DIV/0!</v>
      </c>
    </row>
    <row r="3" spans="1:69" ht="33.6" customHeight="1" thickTop="1" thickBot="1" x14ac:dyDescent="0.3">
      <c r="A3" s="2567" t="s">
        <v>2</v>
      </c>
      <c r="B3" s="2590" t="s">
        <v>3</v>
      </c>
      <c r="C3" s="2579" t="s">
        <v>4</v>
      </c>
      <c r="D3" s="2579" t="s">
        <v>5</v>
      </c>
      <c r="E3" s="2920" t="s">
        <v>9265</v>
      </c>
      <c r="F3" s="3389" t="s">
        <v>6</v>
      </c>
      <c r="G3" s="3390"/>
      <c r="H3" s="3368" t="s">
        <v>8736</v>
      </c>
      <c r="I3" s="3369"/>
      <c r="J3" s="3368" t="s">
        <v>8737</v>
      </c>
      <c r="K3" s="3369"/>
      <c r="L3" s="3370" t="s">
        <v>7</v>
      </c>
      <c r="M3" s="3371"/>
      <c r="N3" s="3371"/>
      <c r="O3" s="3371"/>
      <c r="P3" s="3371"/>
      <c r="Q3" s="3371"/>
      <c r="R3" s="3371"/>
      <c r="S3" s="3372"/>
      <c r="T3" s="3355" t="s">
        <v>8</v>
      </c>
      <c r="U3" s="3354"/>
      <c r="V3" s="3342" t="s">
        <v>9</v>
      </c>
      <c r="W3" s="3354"/>
      <c r="X3" s="3342" t="s">
        <v>10</v>
      </c>
      <c r="Y3" s="3354"/>
      <c r="Z3" s="3355" t="s">
        <v>11</v>
      </c>
      <c r="AA3" s="3354"/>
      <c r="AB3" s="3355" t="s">
        <v>12</v>
      </c>
      <c r="AC3" s="3354"/>
      <c r="AD3" s="3355" t="s">
        <v>13</v>
      </c>
      <c r="AE3" s="3354"/>
      <c r="AF3" s="3342" t="s">
        <v>14</v>
      </c>
      <c r="AG3" s="3343"/>
      <c r="AH3" s="3344" t="s">
        <v>8738</v>
      </c>
      <c r="AI3" s="3345"/>
      <c r="AJ3" s="3345"/>
      <c r="AK3" s="3348" t="s">
        <v>8723</v>
      </c>
      <c r="AL3" s="3349"/>
      <c r="AM3" s="3333" t="s">
        <v>10817</v>
      </c>
      <c r="AN3" s="3238" t="s">
        <v>6632</v>
      </c>
      <c r="AO3" s="2581" t="s">
        <v>15</v>
      </c>
      <c r="AP3" s="3097" t="s">
        <v>16</v>
      </c>
      <c r="AR3" s="3356" t="s">
        <v>9267</v>
      </c>
      <c r="AS3" s="3358" t="s">
        <v>9268</v>
      </c>
      <c r="AT3" s="3360" t="s">
        <v>9269</v>
      </c>
      <c r="AU3" s="2964" t="s">
        <v>9270</v>
      </c>
      <c r="AV3" s="2964"/>
      <c r="AW3" s="2964" t="s">
        <v>9271</v>
      </c>
      <c r="AX3" s="2964" t="s">
        <v>9273</v>
      </c>
      <c r="BA3" s="3432" t="s">
        <v>2</v>
      </c>
      <c r="BB3" s="3434" t="s">
        <v>9294</v>
      </c>
      <c r="BC3" s="3434" t="s">
        <v>4</v>
      </c>
      <c r="BD3" s="3436" t="s">
        <v>5</v>
      </c>
      <c r="BE3" s="3241" t="s">
        <v>9295</v>
      </c>
      <c r="BF3" s="3438" t="s">
        <v>8737</v>
      </c>
      <c r="BG3" s="3439"/>
      <c r="BH3" s="3440" t="s">
        <v>8738</v>
      </c>
      <c r="BI3" s="3441"/>
      <c r="BJ3" s="3441"/>
      <c r="BK3" s="3442" t="s">
        <v>8723</v>
      </c>
      <c r="BL3" s="3443"/>
      <c r="BM3" s="3444" t="s">
        <v>6632</v>
      </c>
      <c r="BN3" s="3446" t="s">
        <v>10817</v>
      </c>
      <c r="BO3" s="3242" t="s">
        <v>6632</v>
      </c>
      <c r="BP3" s="3335" t="s">
        <v>15</v>
      </c>
      <c r="BQ3" s="3337" t="s">
        <v>16</v>
      </c>
    </row>
    <row r="4" spans="1:69" ht="16.8" thickTop="1" thickBot="1" x14ac:dyDescent="0.3">
      <c r="A4" s="2806" t="s">
        <v>8739</v>
      </c>
      <c r="B4" s="2807"/>
      <c r="C4" s="2808"/>
      <c r="D4" s="2808"/>
      <c r="E4" s="2921" t="s">
        <v>9266</v>
      </c>
      <c r="F4" s="735" t="s">
        <v>17</v>
      </c>
      <c r="G4" s="735" t="s">
        <v>18</v>
      </c>
      <c r="H4" s="1795" t="s">
        <v>19</v>
      </c>
      <c r="I4" s="1796" t="s">
        <v>20</v>
      </c>
      <c r="J4" s="1795" t="s">
        <v>19</v>
      </c>
      <c r="K4" s="1796" t="s">
        <v>20</v>
      </c>
      <c r="L4" s="3380" t="s">
        <v>19</v>
      </c>
      <c r="M4" s="3381"/>
      <c r="N4" s="3381"/>
      <c r="O4" s="3382"/>
      <c r="P4" s="3383" t="s">
        <v>20</v>
      </c>
      <c r="Q4" s="3383"/>
      <c r="R4" s="3383"/>
      <c r="S4" s="3384"/>
      <c r="T4" s="1303" t="s">
        <v>19</v>
      </c>
      <c r="U4" s="1304" t="s">
        <v>20</v>
      </c>
      <c r="V4" s="1303" t="s">
        <v>19</v>
      </c>
      <c r="W4" s="1304" t="s">
        <v>20</v>
      </c>
      <c r="X4" s="1303" t="s">
        <v>19</v>
      </c>
      <c r="Y4" s="1304" t="s">
        <v>20</v>
      </c>
      <c r="Z4" s="1303" t="s">
        <v>19</v>
      </c>
      <c r="AA4" s="1304" t="s">
        <v>20</v>
      </c>
      <c r="AB4" s="1303" t="s">
        <v>19</v>
      </c>
      <c r="AC4" s="1304" t="s">
        <v>20</v>
      </c>
      <c r="AD4" s="1303" t="s">
        <v>19</v>
      </c>
      <c r="AE4" s="1304" t="s">
        <v>20</v>
      </c>
      <c r="AF4" s="1305" t="s">
        <v>19</v>
      </c>
      <c r="AG4" s="1306" t="s">
        <v>20</v>
      </c>
      <c r="AH4" s="736" t="s">
        <v>21</v>
      </c>
      <c r="AI4" s="944" t="s">
        <v>22</v>
      </c>
      <c r="AJ4" s="1297" t="s">
        <v>23</v>
      </c>
      <c r="AK4" s="2809" t="s">
        <v>21</v>
      </c>
      <c r="AL4" s="2810" t="s">
        <v>22</v>
      </c>
      <c r="AM4" s="3334"/>
      <c r="AN4" s="3239"/>
      <c r="AO4" s="2811"/>
      <c r="AP4" s="2812"/>
      <c r="AR4" s="3357"/>
      <c r="AS4" s="3359"/>
      <c r="AT4" s="3361"/>
      <c r="AU4" s="2965">
        <f>COUNTIF(AT5:AT504,"사용초과")</f>
        <v>0</v>
      </c>
      <c r="AV4" s="2965"/>
      <c r="AW4" s="2965">
        <f>COUNTIF(AT5:AT504,AW3)</f>
        <v>0</v>
      </c>
      <c r="AX4" s="2965">
        <f>COUNTIF(AT5:AT504,AX3)</f>
        <v>144</v>
      </c>
      <c r="BA4" s="3433"/>
      <c r="BB4" s="3435"/>
      <c r="BC4" s="3435"/>
      <c r="BD4" s="3437"/>
      <c r="BE4" s="3243" t="s">
        <v>9296</v>
      </c>
      <c r="BF4" s="3244" t="s">
        <v>19</v>
      </c>
      <c r="BG4" s="3245" t="s">
        <v>20</v>
      </c>
      <c r="BH4" s="3246" t="s">
        <v>21</v>
      </c>
      <c r="BI4" s="3247" t="s">
        <v>22</v>
      </c>
      <c r="BJ4" s="3248" t="s">
        <v>23</v>
      </c>
      <c r="BK4" s="3249" t="s">
        <v>21</v>
      </c>
      <c r="BL4" s="3250" t="s">
        <v>22</v>
      </c>
      <c r="BM4" s="3445"/>
      <c r="BN4" s="3447"/>
      <c r="BO4" s="3251"/>
      <c r="BP4" s="3336"/>
      <c r="BQ4" s="3338"/>
    </row>
    <row r="5" spans="1:69" ht="46.8" x14ac:dyDescent="0.25">
      <c r="A5" s="2813" t="s">
        <v>24</v>
      </c>
      <c r="B5" s="3366" t="s">
        <v>25</v>
      </c>
      <c r="C5" s="2234"/>
      <c r="D5" s="2234" t="s">
        <v>26</v>
      </c>
      <c r="E5" s="2956">
        <v>50</v>
      </c>
      <c r="F5" s="2235" t="s">
        <v>27</v>
      </c>
      <c r="G5" s="2235"/>
      <c r="H5" s="1929" t="s">
        <v>8740</v>
      </c>
      <c r="I5" s="2236"/>
      <c r="J5" s="1929" t="str">
        <f>"7-DaHall 1-"&amp;N5&amp;"-"&amp;M5&amp;"-"&amp;O5</f>
        <v>7-DaHall 1-PDU-03-225-6</v>
      </c>
      <c r="K5" s="2236"/>
      <c r="L5" s="2237">
        <v>380</v>
      </c>
      <c r="M5" s="2238">
        <v>225</v>
      </c>
      <c r="N5" s="893" t="s">
        <v>8741</v>
      </c>
      <c r="O5" s="2008">
        <v>6</v>
      </c>
      <c r="P5" s="2239"/>
      <c r="Q5" s="2240"/>
      <c r="R5" s="2241"/>
      <c r="S5" s="2242"/>
      <c r="T5" s="893" t="s">
        <v>28</v>
      </c>
      <c r="U5" s="2243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>
        <f>SUM('7층_부하량(월간_AVG)'!N140:P140)</f>
        <v>0</v>
      </c>
      <c r="AI5" s="732"/>
      <c r="AJ5" s="1299">
        <f t="shared" ref="AJ5:AJ6" si="0">AH5+AI5</f>
        <v>0</v>
      </c>
      <c r="AK5" s="2814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815"/>
      <c r="AM5" s="3240">
        <f>VLOOKUP(J5&amp;K5,'7층~4층_매핑테이블'!$Y$6:$AF$2020,8,0)</f>
        <v>32.356000000000002</v>
      </c>
      <c r="AN5" s="3227" t="e">
        <f>SUBTOTAL(9,AK5:AL5)</f>
        <v>#N/A</v>
      </c>
      <c r="AO5" s="2581"/>
      <c r="AP5" s="2583"/>
      <c r="AR5" s="2351" t="e">
        <f>AN5/(24*31)</f>
        <v>#N/A</v>
      </c>
      <c r="AS5" s="2351" t="e">
        <f>E5-AR5</f>
        <v>#N/A</v>
      </c>
      <c r="AT5" s="123" t="e">
        <f>IF(SIGN(AS5)&gt;=0,IF(AN5=0,"무부하 랙","적정함"),"사용초과")</f>
        <v>#N/A</v>
      </c>
      <c r="AU5" t="e">
        <f>IF(AT5="사용초과",D5,"")</f>
        <v>#N/A</v>
      </c>
      <c r="AV5" t="e">
        <f>IF(AU5="","",B5)</f>
        <v>#N/A</v>
      </c>
      <c r="BA5" s="123" t="str" cm="1">
        <f t="array" ref="BA5">IF($BI$1="", "", _xlfn._xlws.FILTER(A5:E1068, ISNUMBER(SEARCH($BI$1,D5:D1068)), "찾을 수 없음"))</f>
        <v>찾을 수 없음</v>
      </c>
      <c r="BB5" s="123"/>
      <c r="BC5" s="123"/>
      <c r="BD5" s="2997"/>
      <c r="BE5" s="123"/>
      <c r="BF5" s="2998" t="str" cm="1">
        <f t="array" ref="BF5">IF($BI$1="", "", _xlfn._xlws.FILTER(J5:K1068, ISNUMBER(SEARCH($BI$1,D5:D1068)), "찾을 수 없음"))</f>
        <v>찾을 수 없음</v>
      </c>
      <c r="BG5" s="2999"/>
      <c r="BH5" s="3005" t="str" cm="1">
        <f t="array" ref="BH5">IF($BI$1="", "", _xlfn._xlws.FILTER(AH5:AP1068, ISNUMBER(SEARCH($BI$1,D5:D1068)), "찾을 수 없음"))</f>
        <v>찾을 수 없음</v>
      </c>
      <c r="BI5" s="3000"/>
      <c r="BJ5" s="3001"/>
      <c r="BK5" s="3010"/>
      <c r="BL5" s="3011"/>
      <c r="BM5" s="3012"/>
    </row>
    <row r="6" spans="1:69" ht="47.4" thickBot="1" x14ac:dyDescent="0.3">
      <c r="A6" s="2806"/>
      <c r="B6" s="3367"/>
      <c r="C6" s="2244"/>
      <c r="D6" s="2244" t="s">
        <v>32</v>
      </c>
      <c r="E6" s="2957">
        <v>50</v>
      </c>
      <c r="F6" s="735" t="s">
        <v>27</v>
      </c>
      <c r="G6" s="735"/>
      <c r="H6" s="1994"/>
      <c r="I6" s="2245" t="s">
        <v>8742</v>
      </c>
      <c r="J6" s="1994"/>
      <c r="K6" s="2245" t="str">
        <f t="shared" ref="K6:K12" si="1">"7-DaHall 1-"&amp;R6&amp;"-"&amp;Q6&amp;"-"&amp;S6</f>
        <v>7-DaHall 1-PDU-04-150-1</v>
      </c>
      <c r="L6" s="2246"/>
      <c r="M6" s="2247"/>
      <c r="N6" s="894"/>
      <c r="O6" s="1998"/>
      <c r="P6" s="2248">
        <v>380</v>
      </c>
      <c r="Q6" s="2249">
        <v>150</v>
      </c>
      <c r="R6" s="2250" t="s">
        <v>8743</v>
      </c>
      <c r="S6" s="2251">
        <v>1</v>
      </c>
      <c r="T6" s="894"/>
      <c r="U6" s="2250" t="s">
        <v>33</v>
      </c>
      <c r="V6" s="908"/>
      <c r="W6" s="908"/>
      <c r="X6" s="908"/>
      <c r="Y6" s="908"/>
      <c r="Z6" s="908"/>
      <c r="AA6" s="908"/>
      <c r="AB6" s="908"/>
      <c r="AC6" s="2252" t="s">
        <v>34</v>
      </c>
      <c r="AD6" s="908"/>
      <c r="AE6" s="2252" t="s">
        <v>35</v>
      </c>
      <c r="AF6" s="908"/>
      <c r="AG6" s="2252" t="s">
        <v>36</v>
      </c>
      <c r="AH6" s="908"/>
      <c r="AI6" s="2253">
        <f>SUM('7층_부하량(월간_AVG)'!D153:F153)</f>
        <v>0</v>
      </c>
      <c r="AJ6" s="1322">
        <f t="shared" si="0"/>
        <v>0</v>
      </c>
      <c r="AK6" s="2816"/>
      <c r="AL6" s="2817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3240">
        <f>VLOOKUP(J6&amp;K6,'7층~4층_매핑테이블'!$Y$6:$AF$2020,8,0)</f>
        <v>28.323</v>
      </c>
      <c r="AN6" s="3228" t="e">
        <f t="shared" ref="AN6:AN71" si="2">SUBTOTAL(9,AK6:AL6)</f>
        <v>#N/A</v>
      </c>
      <c r="AO6" s="2582"/>
      <c r="AP6" s="2584"/>
      <c r="AR6" s="2351" t="e">
        <f t="shared" ref="AR6:AR71" si="3">AN6/(24*31)</f>
        <v>#N/A</v>
      </c>
      <c r="AS6" s="2351" t="e">
        <f t="shared" ref="AS6:AS71" si="4">E6-AR6</f>
        <v>#N/A</v>
      </c>
      <c r="AT6" s="123" t="e">
        <f>IF(SIGN(AS6)&gt;=0,IF(AN6=0,"무부하 랙","적정함"),"사용초과")</f>
        <v>#N/A</v>
      </c>
      <c r="AU6" t="e">
        <f t="shared" ref="AU6:AU69" si="5">IF(AT6="사용초과",D6,"")</f>
        <v>#N/A</v>
      </c>
      <c r="AV6" t="e">
        <f t="shared" ref="AV6:AV69" si="6">IF(AU6="","",B6)</f>
        <v>#N/A</v>
      </c>
      <c r="BA6" s="123"/>
      <c r="BB6" s="123"/>
      <c r="BC6" s="123"/>
      <c r="BD6" s="2997"/>
      <c r="BE6" s="123"/>
      <c r="BF6" s="2998"/>
      <c r="BG6" s="2999"/>
      <c r="BH6" s="3005"/>
      <c r="BI6" s="3000"/>
      <c r="BJ6" s="3001"/>
      <c r="BK6" s="3010"/>
      <c r="BL6" s="3011"/>
      <c r="BM6" s="3012"/>
    </row>
    <row r="7" spans="1:69" ht="54" customHeight="1" x14ac:dyDescent="0.25">
      <c r="A7" s="2818" t="s">
        <v>761</v>
      </c>
      <c r="B7" s="2572"/>
      <c r="C7" s="3385"/>
      <c r="D7" s="3387" t="s">
        <v>762</v>
      </c>
      <c r="E7" s="2876"/>
      <c r="F7" s="695"/>
      <c r="G7" s="695" t="s">
        <v>27</v>
      </c>
      <c r="H7" s="1902" t="s">
        <v>8744</v>
      </c>
      <c r="I7" s="1903" t="s">
        <v>8745</v>
      </c>
      <c r="J7" s="1902" t="str">
        <f t="shared" ref="J7:J12" si="7">"7-DaHall 1-"&amp;N7&amp;"-"&amp;M7&amp;"-"&amp;O7</f>
        <v>7-DaHall 1-A-4-35-32</v>
      </c>
      <c r="K7" s="1903" t="str">
        <f t="shared" si="1"/>
        <v>7-DaHall 1-B-4-35-32</v>
      </c>
      <c r="L7" s="1904">
        <v>48</v>
      </c>
      <c r="M7" s="1920">
        <v>35</v>
      </c>
      <c r="N7" s="888" t="s">
        <v>233</v>
      </c>
      <c r="O7" s="1905">
        <v>32</v>
      </c>
      <c r="P7" s="1847">
        <v>48</v>
      </c>
      <c r="Q7" s="1848">
        <v>35</v>
      </c>
      <c r="R7" s="899" t="s">
        <v>234</v>
      </c>
      <c r="S7" s="1907">
        <v>32</v>
      </c>
      <c r="T7" s="888" t="s">
        <v>763</v>
      </c>
      <c r="U7" s="899" t="s">
        <v>764</v>
      </c>
      <c r="V7" s="2558" t="s">
        <v>237</v>
      </c>
      <c r="W7" s="2560" t="s">
        <v>238</v>
      </c>
      <c r="X7" s="2558" t="s">
        <v>435</v>
      </c>
      <c r="Y7" s="2560" t="s">
        <v>436</v>
      </c>
      <c r="Z7" s="2558" t="s">
        <v>49</v>
      </c>
      <c r="AA7" s="2560" t="s">
        <v>765</v>
      </c>
      <c r="AB7" s="2558" t="s">
        <v>51</v>
      </c>
      <c r="AC7" s="2560" t="s">
        <v>52</v>
      </c>
      <c r="AD7" s="2558" t="s">
        <v>30</v>
      </c>
      <c r="AE7" s="2560" t="s">
        <v>35</v>
      </c>
      <c r="AF7" s="3350" t="s">
        <v>31</v>
      </c>
      <c r="AG7" s="3352" t="s">
        <v>36</v>
      </c>
      <c r="AH7" s="680"/>
      <c r="AI7" s="673"/>
      <c r="AJ7" s="1314"/>
      <c r="AK7" s="2916"/>
      <c r="AL7" s="2819"/>
      <c r="AM7" s="3240" t="e">
        <f>VLOOKUP(J7&amp;K7,'7층~4층_매핑테이블'!$Y$6:$AF$2020,8,0)</f>
        <v>#N/A</v>
      </c>
      <c r="AN7" s="3229">
        <f t="shared" si="2"/>
        <v>0</v>
      </c>
      <c r="AO7" s="696" t="s">
        <v>766</v>
      </c>
      <c r="AP7" s="697"/>
      <c r="AR7" s="2351">
        <f t="shared" si="3"/>
        <v>0</v>
      </c>
      <c r="AS7" s="2351">
        <f t="shared" si="4"/>
        <v>0</v>
      </c>
      <c r="AT7" s="123" t="str">
        <f t="shared" ref="AT7:AT71" si="8">IF(SIGN(AS7)&gt;=0,IF(AN7=0,"미사용 랙","적정함"),"사용초과")</f>
        <v>미사용 랙</v>
      </c>
      <c r="AU7" t="str">
        <f t="shared" si="5"/>
        <v/>
      </c>
      <c r="AV7" t="str">
        <f t="shared" si="6"/>
        <v/>
      </c>
      <c r="BA7" s="123"/>
      <c r="BB7" s="123"/>
      <c r="BC7" s="123"/>
      <c r="BD7" s="2997"/>
      <c r="BE7" s="123"/>
      <c r="BF7" s="2998"/>
      <c r="BG7" s="2999"/>
      <c r="BH7" s="3005"/>
      <c r="BI7" s="3000"/>
      <c r="BJ7" s="3001"/>
      <c r="BK7" s="3010"/>
      <c r="BL7" s="3011"/>
      <c r="BM7" s="3012"/>
    </row>
    <row r="8" spans="1:69" ht="47.4" thickBot="1" x14ac:dyDescent="0.3">
      <c r="A8" s="2820"/>
      <c r="B8" s="2573" t="s">
        <v>8746</v>
      </c>
      <c r="C8" s="3386"/>
      <c r="D8" s="3388"/>
      <c r="E8" s="2958">
        <v>2.2000000000000002</v>
      </c>
      <c r="F8" s="2569" t="s">
        <v>27</v>
      </c>
      <c r="G8" s="2569"/>
      <c r="H8" s="1921" t="s">
        <v>8747</v>
      </c>
      <c r="I8" s="1922" t="s">
        <v>8748</v>
      </c>
      <c r="J8" s="1921" t="str">
        <f t="shared" si="7"/>
        <v>7-DaHall 1-PDU-01-30-37</v>
      </c>
      <c r="K8" s="1922" t="str">
        <f t="shared" si="1"/>
        <v>7-DaHall 1-PDU-02-30-37</v>
      </c>
      <c r="L8" s="1923">
        <v>220</v>
      </c>
      <c r="M8" s="1924">
        <v>30</v>
      </c>
      <c r="N8" s="2821" t="s">
        <v>8749</v>
      </c>
      <c r="O8" s="1925">
        <v>37</v>
      </c>
      <c r="P8" s="1926">
        <v>220</v>
      </c>
      <c r="Q8" s="1927">
        <v>30</v>
      </c>
      <c r="R8" s="1058" t="s">
        <v>8750</v>
      </c>
      <c r="S8" s="1928">
        <v>37</v>
      </c>
      <c r="T8" s="1059" t="s">
        <v>767</v>
      </c>
      <c r="U8" s="1058" t="s">
        <v>768</v>
      </c>
      <c r="V8" s="1060"/>
      <c r="W8" s="1060"/>
      <c r="X8" s="1060"/>
      <c r="Y8" s="1060"/>
      <c r="Z8" s="1060"/>
      <c r="AA8" s="1060"/>
      <c r="AB8" s="2558" t="s">
        <v>164</v>
      </c>
      <c r="AC8" s="2560" t="s">
        <v>165</v>
      </c>
      <c r="AD8" s="2558" t="s">
        <v>110</v>
      </c>
      <c r="AE8" s="2560" t="s">
        <v>111</v>
      </c>
      <c r="AF8" s="3351"/>
      <c r="AG8" s="3353"/>
      <c r="AH8" s="1065">
        <f>SUM('7층_부하량(월간_AVG)'!D81:F81)</f>
        <v>0</v>
      </c>
      <c r="AI8" s="1061">
        <f>SUM('7층_부하량(월간_AVG)'!D49:F49)</f>
        <v>0</v>
      </c>
      <c r="AJ8" s="2913">
        <f t="shared" ref="AJ8" si="9">AH8+AI8</f>
        <v>0</v>
      </c>
      <c r="AK8" s="2816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817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3240">
        <f>VLOOKUP(J8&amp;K8,'7층~4층_매핑테이블'!$Y$6:$AF$2020,8,0)</f>
        <v>9.2999999999999999E-2</v>
      </c>
      <c r="AN8" s="3230" t="e">
        <f t="shared" si="2"/>
        <v>#N/A</v>
      </c>
      <c r="AO8" s="3225" t="s">
        <v>769</v>
      </c>
      <c r="AP8" s="2585"/>
      <c r="AR8" s="2351" t="e">
        <f t="shared" si="3"/>
        <v>#N/A</v>
      </c>
      <c r="AS8" s="2351" t="e">
        <f t="shared" si="4"/>
        <v>#N/A</v>
      </c>
      <c r="AT8" s="123" t="e">
        <f>IF(SIGN(AS8)&gt;=0,IF(AN8=0,"무부하 랙","적정함"),"사용초과")</f>
        <v>#N/A</v>
      </c>
      <c r="AU8" t="e">
        <f t="shared" si="5"/>
        <v>#N/A</v>
      </c>
      <c r="AV8" t="e">
        <f t="shared" si="6"/>
        <v>#N/A</v>
      </c>
      <c r="BA8" s="123"/>
      <c r="BB8" s="123"/>
      <c r="BC8" s="123"/>
      <c r="BD8" s="2997"/>
      <c r="BE8" s="123"/>
      <c r="BF8" s="2998"/>
      <c r="BG8" s="2999"/>
      <c r="BH8" s="3005"/>
      <c r="BI8" s="3000"/>
      <c r="BJ8" s="3001"/>
      <c r="BK8" s="3010"/>
      <c r="BL8" s="3011"/>
      <c r="BM8" s="3012"/>
    </row>
    <row r="9" spans="1:69" ht="55.5" customHeight="1" thickTop="1" thickBot="1" x14ac:dyDescent="0.3">
      <c r="A9" s="2806"/>
      <c r="B9" s="2595" t="s">
        <v>756</v>
      </c>
      <c r="C9" s="2142" t="s">
        <v>757</v>
      </c>
      <c r="D9" s="2595" t="s">
        <v>758</v>
      </c>
      <c r="E9" s="2595"/>
      <c r="F9" s="2595"/>
      <c r="G9" s="2595" t="s">
        <v>27</v>
      </c>
      <c r="H9" s="1813" t="s">
        <v>8751</v>
      </c>
      <c r="I9" s="1849" t="s">
        <v>8752</v>
      </c>
      <c r="J9" s="1813" t="str">
        <f t="shared" si="7"/>
        <v>7-DaHall 1-A-4-100-58</v>
      </c>
      <c r="K9" s="1849" t="str">
        <f t="shared" si="1"/>
        <v>7-DaHall 1-B-4-100-58</v>
      </c>
      <c r="L9" s="1815">
        <v>48</v>
      </c>
      <c r="M9" s="1816">
        <v>100</v>
      </c>
      <c r="N9" s="890" t="s">
        <v>233</v>
      </c>
      <c r="O9" s="1817">
        <v>58</v>
      </c>
      <c r="P9" s="1919">
        <v>48</v>
      </c>
      <c r="Q9" s="1848">
        <v>100</v>
      </c>
      <c r="R9" s="892" t="s">
        <v>234</v>
      </c>
      <c r="S9" s="1850">
        <v>58</v>
      </c>
      <c r="T9" s="890" t="s">
        <v>759</v>
      </c>
      <c r="U9" s="892" t="s">
        <v>760</v>
      </c>
      <c r="V9" s="2146" t="s">
        <v>237</v>
      </c>
      <c r="W9" s="903" t="s">
        <v>238</v>
      </c>
      <c r="X9" s="2822" t="s">
        <v>435</v>
      </c>
      <c r="Y9" s="2823" t="s">
        <v>436</v>
      </c>
      <c r="Z9" s="2822" t="s">
        <v>49</v>
      </c>
      <c r="AA9" s="2823" t="s">
        <v>50</v>
      </c>
      <c r="AB9" s="2822" t="s">
        <v>51</v>
      </c>
      <c r="AC9" s="2823" t="s">
        <v>52</v>
      </c>
      <c r="AD9" s="2822" t="s">
        <v>30</v>
      </c>
      <c r="AE9" s="2823" t="s">
        <v>35</v>
      </c>
      <c r="AF9" s="2146" t="s">
        <v>31</v>
      </c>
      <c r="AG9" s="903" t="s">
        <v>36</v>
      </c>
      <c r="AH9" s="690"/>
      <c r="AI9" s="678"/>
      <c r="AJ9" s="1307"/>
      <c r="AK9" s="2916"/>
      <c r="AL9" s="2819"/>
      <c r="AM9" s="3240" t="e">
        <f>VLOOKUP(J9&amp;K9,'7층~4층_매핑테이블'!$Y$6:$AF$2020,8,0)</f>
        <v>#N/A</v>
      </c>
      <c r="AN9" s="3229">
        <f t="shared" si="2"/>
        <v>0</v>
      </c>
      <c r="AO9" s="2598"/>
      <c r="AP9" s="679"/>
      <c r="AR9" s="2351">
        <f t="shared" si="3"/>
        <v>0</v>
      </c>
      <c r="AS9" s="2351">
        <f t="shared" si="4"/>
        <v>0</v>
      </c>
      <c r="AT9" s="123" t="str">
        <f t="shared" si="8"/>
        <v>미사용 랙</v>
      </c>
      <c r="AU9" t="str">
        <f t="shared" si="5"/>
        <v/>
      </c>
      <c r="AV9" t="str">
        <f t="shared" si="6"/>
        <v/>
      </c>
      <c r="BA9" s="123"/>
      <c r="BB9" s="123"/>
      <c r="BC9" s="123"/>
      <c r="BD9" s="2997"/>
      <c r="BE9" s="123"/>
      <c r="BF9" s="2998"/>
      <c r="BG9" s="2999"/>
      <c r="BH9" s="3005"/>
      <c r="BI9" s="3000"/>
      <c r="BJ9" s="3001"/>
      <c r="BK9" s="3010"/>
      <c r="BL9" s="3011"/>
      <c r="BM9" s="3012"/>
    </row>
    <row r="10" spans="1:69" ht="54.75" customHeight="1" x14ac:dyDescent="0.25">
      <c r="A10" s="2824"/>
      <c r="B10" s="2564" t="s">
        <v>751</v>
      </c>
      <c r="C10" s="2141" t="s">
        <v>752</v>
      </c>
      <c r="D10" s="2564" t="s">
        <v>753</v>
      </c>
      <c r="E10" s="2564"/>
      <c r="F10" s="2564"/>
      <c r="G10" s="2564" t="s">
        <v>27</v>
      </c>
      <c r="H10" s="1805" t="s">
        <v>8753</v>
      </c>
      <c r="I10" s="1837" t="s">
        <v>8754</v>
      </c>
      <c r="J10" s="1805" t="str">
        <f t="shared" si="7"/>
        <v>7-DaHall 1-A-4-100-56</v>
      </c>
      <c r="K10" s="1837" t="str">
        <f t="shared" si="1"/>
        <v>7-DaHall 1-B-4-35-56</v>
      </c>
      <c r="L10" s="1807">
        <v>48</v>
      </c>
      <c r="M10" s="1808">
        <v>100</v>
      </c>
      <c r="N10" s="2594" t="s">
        <v>233</v>
      </c>
      <c r="O10" s="1809">
        <v>56</v>
      </c>
      <c r="P10" s="1847">
        <v>48</v>
      </c>
      <c r="Q10" s="1848">
        <v>35</v>
      </c>
      <c r="R10" s="2578" t="s">
        <v>234</v>
      </c>
      <c r="S10" s="1838">
        <v>56</v>
      </c>
      <c r="T10" s="2594" t="s">
        <v>754</v>
      </c>
      <c r="U10" s="2578" t="s">
        <v>755</v>
      </c>
      <c r="V10" s="2146" t="s">
        <v>237</v>
      </c>
      <c r="W10" s="903" t="s">
        <v>238</v>
      </c>
      <c r="X10" s="2822" t="s">
        <v>435</v>
      </c>
      <c r="Y10" s="2823" t="s">
        <v>436</v>
      </c>
      <c r="Z10" s="2822" t="s">
        <v>49</v>
      </c>
      <c r="AA10" s="2823" t="s">
        <v>50</v>
      </c>
      <c r="AB10" s="2822" t="s">
        <v>51</v>
      </c>
      <c r="AC10" s="2823" t="s">
        <v>52</v>
      </c>
      <c r="AD10" s="2822" t="s">
        <v>30</v>
      </c>
      <c r="AE10" s="2823" t="s">
        <v>35</v>
      </c>
      <c r="AF10" s="2146" t="s">
        <v>31</v>
      </c>
      <c r="AG10" s="903" t="s">
        <v>36</v>
      </c>
      <c r="AH10" s="681"/>
      <c r="AI10" s="676"/>
      <c r="AJ10" s="2915"/>
      <c r="AK10" s="2916"/>
      <c r="AL10" s="2819"/>
      <c r="AM10" s="3240" t="e">
        <f>VLOOKUP(J10&amp;K10,'7층~4층_매핑테이블'!$Y$6:$AF$2020,8,0)</f>
        <v>#N/A</v>
      </c>
      <c r="AN10" s="3229">
        <f t="shared" si="2"/>
        <v>0</v>
      </c>
      <c r="AO10" s="2597"/>
      <c r="AP10" s="2599"/>
      <c r="AR10" s="2351">
        <f t="shared" si="3"/>
        <v>0</v>
      </c>
      <c r="AS10" s="2351">
        <f t="shared" si="4"/>
        <v>0</v>
      </c>
      <c r="AT10" s="123" t="str">
        <f t="shared" si="8"/>
        <v>미사용 랙</v>
      </c>
      <c r="AU10" t="str">
        <f t="shared" si="5"/>
        <v/>
      </c>
      <c r="AV10" t="str">
        <f t="shared" si="6"/>
        <v/>
      </c>
      <c r="BA10" s="123"/>
      <c r="BB10" s="123"/>
      <c r="BC10" s="123"/>
      <c r="BD10" s="2997"/>
      <c r="BE10" s="123"/>
      <c r="BF10" s="2998"/>
      <c r="BG10" s="2999"/>
      <c r="BH10" s="3005"/>
      <c r="BI10" s="3000"/>
      <c r="BJ10" s="3001"/>
      <c r="BK10" s="3010"/>
      <c r="BL10" s="3011"/>
      <c r="BM10" s="3012"/>
    </row>
    <row r="11" spans="1:69" ht="54.75" customHeight="1" x14ac:dyDescent="0.25">
      <c r="A11" s="2824"/>
      <c r="B11" s="2564" t="s">
        <v>746</v>
      </c>
      <c r="C11" s="2141" t="s">
        <v>747</v>
      </c>
      <c r="D11" s="2564" t="s">
        <v>748</v>
      </c>
      <c r="E11" s="2564"/>
      <c r="F11" s="2564"/>
      <c r="G11" s="2564" t="s">
        <v>27</v>
      </c>
      <c r="H11" s="1805" t="s">
        <v>8755</v>
      </c>
      <c r="I11" s="1837" t="s">
        <v>8756</v>
      </c>
      <c r="J11" s="1805" t="str">
        <f t="shared" si="7"/>
        <v>7-DaHall 1-A-4-50-59</v>
      </c>
      <c r="K11" s="1837" t="str">
        <f t="shared" si="1"/>
        <v>7-DaHall 1-B-4-50-59</v>
      </c>
      <c r="L11" s="1807">
        <v>48</v>
      </c>
      <c r="M11" s="1808">
        <v>50</v>
      </c>
      <c r="N11" s="2594" t="s">
        <v>233</v>
      </c>
      <c r="O11" s="1809">
        <v>59</v>
      </c>
      <c r="P11" s="1847">
        <v>48</v>
      </c>
      <c r="Q11" s="1848">
        <v>50</v>
      </c>
      <c r="R11" s="2578" t="s">
        <v>234</v>
      </c>
      <c r="S11" s="1838">
        <v>59</v>
      </c>
      <c r="T11" s="2594" t="s">
        <v>749</v>
      </c>
      <c r="U11" s="2578" t="s">
        <v>750</v>
      </c>
      <c r="V11" s="2146" t="s">
        <v>237</v>
      </c>
      <c r="W11" s="903" t="s">
        <v>238</v>
      </c>
      <c r="X11" s="2822" t="s">
        <v>435</v>
      </c>
      <c r="Y11" s="2823" t="s">
        <v>436</v>
      </c>
      <c r="Z11" s="2822" t="s">
        <v>49</v>
      </c>
      <c r="AA11" s="2823" t="s">
        <v>50</v>
      </c>
      <c r="AB11" s="2822" t="s">
        <v>51</v>
      </c>
      <c r="AC11" s="2823" t="s">
        <v>52</v>
      </c>
      <c r="AD11" s="2822" t="s">
        <v>30</v>
      </c>
      <c r="AE11" s="2823" t="s">
        <v>35</v>
      </c>
      <c r="AF11" s="2146" t="s">
        <v>31</v>
      </c>
      <c r="AG11" s="903" t="s">
        <v>36</v>
      </c>
      <c r="AH11" s="681"/>
      <c r="AI11" s="676"/>
      <c r="AJ11" s="2915"/>
      <c r="AK11" s="2916"/>
      <c r="AL11" s="2819"/>
      <c r="AM11" s="3240" t="e">
        <f>VLOOKUP(J11&amp;K11,'7층~4층_매핑테이블'!$Y$6:$AF$2020,8,0)</f>
        <v>#N/A</v>
      </c>
      <c r="AN11" s="3229">
        <f t="shared" si="2"/>
        <v>0</v>
      </c>
      <c r="AO11" s="2597"/>
      <c r="AP11" s="2599"/>
      <c r="AR11" s="2351">
        <f t="shared" si="3"/>
        <v>0</v>
      </c>
      <c r="AS11" s="2351">
        <f t="shared" si="4"/>
        <v>0</v>
      </c>
      <c r="AT11" s="123" t="str">
        <f t="shared" si="8"/>
        <v>미사용 랙</v>
      </c>
      <c r="AU11" t="str">
        <f t="shared" si="5"/>
        <v/>
      </c>
      <c r="AV11" t="str">
        <f t="shared" si="6"/>
        <v/>
      </c>
      <c r="BA11" s="123"/>
      <c r="BB11" s="123"/>
      <c r="BC11" s="123"/>
      <c r="BD11" s="2997"/>
      <c r="BE11" s="123"/>
      <c r="BF11" s="2998"/>
      <c r="BG11" s="2999"/>
      <c r="BH11" s="3005"/>
      <c r="BI11" s="3000"/>
      <c r="BJ11" s="3001"/>
      <c r="BK11" s="3010"/>
      <c r="BL11" s="3011"/>
      <c r="BM11" s="3012"/>
    </row>
    <row r="12" spans="1:69" ht="54.75" customHeight="1" x14ac:dyDescent="0.25">
      <c r="A12" s="2824"/>
      <c r="B12" s="2564" t="s">
        <v>740</v>
      </c>
      <c r="C12" s="2141" t="s">
        <v>741</v>
      </c>
      <c r="D12" s="2564" t="s">
        <v>742</v>
      </c>
      <c r="E12" s="2564"/>
      <c r="F12" s="2564"/>
      <c r="G12" s="2564" t="s">
        <v>27</v>
      </c>
      <c r="H12" s="1805" t="s">
        <v>8757</v>
      </c>
      <c r="I12" s="1837" t="s">
        <v>8758</v>
      </c>
      <c r="J12" s="1805" t="str">
        <f t="shared" si="7"/>
        <v>7-DaHall 1-A-4-50-25</v>
      </c>
      <c r="K12" s="1837" t="str">
        <f t="shared" si="1"/>
        <v>7-DaHall 1-B-4-50-25</v>
      </c>
      <c r="L12" s="1807">
        <v>48</v>
      </c>
      <c r="M12" s="1808">
        <v>50</v>
      </c>
      <c r="N12" s="2594" t="s">
        <v>233</v>
      </c>
      <c r="O12" s="1809">
        <v>25</v>
      </c>
      <c r="P12" s="1847">
        <v>48</v>
      </c>
      <c r="Q12" s="1848">
        <v>50</v>
      </c>
      <c r="R12" s="2578" t="s">
        <v>234</v>
      </c>
      <c r="S12" s="1838">
        <v>25</v>
      </c>
      <c r="T12" s="2594" t="s">
        <v>743</v>
      </c>
      <c r="U12" s="2578" t="s">
        <v>744</v>
      </c>
      <c r="V12" s="2146" t="s">
        <v>237</v>
      </c>
      <c r="W12" s="903" t="s">
        <v>238</v>
      </c>
      <c r="X12" s="2822" t="s">
        <v>435</v>
      </c>
      <c r="Y12" s="2823" t="s">
        <v>436</v>
      </c>
      <c r="Z12" s="2822" t="s">
        <v>49</v>
      </c>
      <c r="AA12" s="2823" t="s">
        <v>50</v>
      </c>
      <c r="AB12" s="2822" t="s">
        <v>51</v>
      </c>
      <c r="AC12" s="2823" t="s">
        <v>52</v>
      </c>
      <c r="AD12" s="2822" t="s">
        <v>30</v>
      </c>
      <c r="AE12" s="2823" t="s">
        <v>35</v>
      </c>
      <c r="AF12" s="2146" t="s">
        <v>31</v>
      </c>
      <c r="AG12" s="903" t="s">
        <v>36</v>
      </c>
      <c r="AH12" s="681"/>
      <c r="AI12" s="676"/>
      <c r="AJ12" s="2915"/>
      <c r="AK12" s="2916"/>
      <c r="AL12" s="2819"/>
      <c r="AM12" s="3240" t="e">
        <f>VLOOKUP(J12&amp;K12,'7층~4층_매핑테이블'!$Y$6:$AF$2020,8,0)</f>
        <v>#N/A</v>
      </c>
      <c r="AN12" s="3229">
        <f t="shared" si="2"/>
        <v>0</v>
      </c>
      <c r="AO12" s="959" t="s">
        <v>745</v>
      </c>
      <c r="AP12" s="969"/>
      <c r="AR12" s="2351">
        <f t="shared" si="3"/>
        <v>0</v>
      </c>
      <c r="AS12" s="2351">
        <f t="shared" si="4"/>
        <v>0</v>
      </c>
      <c r="AT12" s="123" t="str">
        <f t="shared" si="8"/>
        <v>미사용 랙</v>
      </c>
      <c r="AU12" t="str">
        <f t="shared" si="5"/>
        <v/>
      </c>
      <c r="AV12" t="str">
        <f t="shared" si="6"/>
        <v/>
      </c>
      <c r="BA12" s="123"/>
      <c r="BB12" s="123"/>
      <c r="BC12" s="123"/>
      <c r="BD12" s="2997"/>
      <c r="BE12" s="123"/>
      <c r="BF12" s="2998"/>
      <c r="BG12" s="2999"/>
      <c r="BH12" s="3005"/>
      <c r="BI12" s="3000"/>
      <c r="BJ12" s="3001"/>
      <c r="BK12" s="3010"/>
      <c r="BL12" s="3011"/>
      <c r="BM12" s="3012"/>
    </row>
    <row r="13" spans="1:69" ht="15" customHeight="1" thickBot="1" x14ac:dyDescent="0.3">
      <c r="A13" s="2806"/>
      <c r="B13" s="2595"/>
      <c r="C13" s="917" t="s">
        <v>618</v>
      </c>
      <c r="D13" s="917"/>
      <c r="E13" s="2595"/>
      <c r="F13" s="2595"/>
      <c r="G13" s="2595"/>
      <c r="H13" s="1896"/>
      <c r="I13" s="1897"/>
      <c r="J13" s="1896"/>
      <c r="K13" s="1897"/>
      <c r="L13" s="1898"/>
      <c r="M13" s="904"/>
      <c r="N13" s="904"/>
      <c r="O13" s="1874"/>
      <c r="P13" s="1899"/>
      <c r="Q13" s="1900"/>
      <c r="R13" s="1164"/>
      <c r="S13" s="1901"/>
      <c r="T13" s="904"/>
      <c r="U13" s="1164"/>
      <c r="V13" s="1166"/>
      <c r="W13" s="1167"/>
      <c r="X13" s="1166"/>
      <c r="Y13" s="1167"/>
      <c r="Z13" s="1166"/>
      <c r="AA13" s="1167"/>
      <c r="AB13" s="1166"/>
      <c r="AC13" s="1167"/>
      <c r="AD13" s="1166"/>
      <c r="AE13" s="1167"/>
      <c r="AF13" s="1166"/>
      <c r="AG13" s="1167"/>
      <c r="AH13" s="945"/>
      <c r="AI13" s="1168"/>
      <c r="AJ13" s="1313"/>
      <c r="AK13" s="2825"/>
      <c r="AL13" s="2826"/>
      <c r="AM13" s="3240">
        <f>VLOOKUP(J13&amp;K13,'7층~4층_매핑테이블'!$Y$6:$AF$2020,8,0)</f>
        <v>0</v>
      </c>
      <c r="AN13" s="3231">
        <f t="shared" si="2"/>
        <v>0</v>
      </c>
      <c r="AO13" s="2598"/>
      <c r="AP13" s="679"/>
      <c r="AR13" s="2351">
        <f t="shared" si="3"/>
        <v>0</v>
      </c>
      <c r="AS13" s="2351">
        <f t="shared" si="4"/>
        <v>0</v>
      </c>
      <c r="AT13" s="123" t="str">
        <f t="shared" si="8"/>
        <v>미사용 랙</v>
      </c>
      <c r="AU13" t="str">
        <f t="shared" si="5"/>
        <v/>
      </c>
      <c r="AV13" t="str">
        <f t="shared" si="6"/>
        <v/>
      </c>
      <c r="BA13" s="123"/>
      <c r="BB13" s="123"/>
      <c r="BC13" s="123"/>
      <c r="BD13" s="2997"/>
      <c r="BE13" s="123"/>
      <c r="BF13" s="2998"/>
      <c r="BG13" s="2999"/>
      <c r="BH13" s="3005"/>
      <c r="BI13" s="3000"/>
      <c r="BJ13" s="3001"/>
      <c r="BK13" s="3010"/>
      <c r="BL13" s="3011"/>
      <c r="BM13" s="3012"/>
    </row>
    <row r="14" spans="1:69" ht="14.25" customHeight="1" x14ac:dyDescent="0.25">
      <c r="A14" s="2824"/>
      <c r="B14" s="2564"/>
      <c r="C14" s="951" t="s">
        <v>617</v>
      </c>
      <c r="D14" s="951"/>
      <c r="E14" s="2592"/>
      <c r="F14" s="2592"/>
      <c r="G14" s="2592"/>
      <c r="H14" s="1839"/>
      <c r="I14" s="1840"/>
      <c r="J14" s="1839"/>
      <c r="K14" s="1840"/>
      <c r="L14" s="1841"/>
      <c r="M14" s="896"/>
      <c r="N14" s="896"/>
      <c r="O14" s="1843"/>
      <c r="P14" s="1844"/>
      <c r="Q14" s="1845"/>
      <c r="R14" s="950"/>
      <c r="S14" s="1846"/>
      <c r="T14" s="896"/>
      <c r="U14" s="950"/>
      <c r="V14" s="953"/>
      <c r="W14" s="1165"/>
      <c r="X14" s="953"/>
      <c r="Y14" s="1165"/>
      <c r="Z14" s="953"/>
      <c r="AA14" s="1165"/>
      <c r="AB14" s="953"/>
      <c r="AC14" s="1165"/>
      <c r="AD14" s="953"/>
      <c r="AE14" s="1165"/>
      <c r="AF14" s="953"/>
      <c r="AG14" s="1165"/>
      <c r="AH14" s="947"/>
      <c r="AI14" s="1160"/>
      <c r="AJ14" s="1310"/>
      <c r="AK14" s="2825"/>
      <c r="AL14" s="2826"/>
      <c r="AM14" s="3240">
        <f>VLOOKUP(J14&amp;K14,'7층~4층_매핑테이블'!$Y$6:$AF$2020,8,0)</f>
        <v>0</v>
      </c>
      <c r="AN14" s="3231">
        <f t="shared" si="2"/>
        <v>0</v>
      </c>
      <c r="AO14" s="1169"/>
      <c r="AP14" s="1170"/>
      <c r="AR14" s="2351">
        <f t="shared" si="3"/>
        <v>0</v>
      </c>
      <c r="AS14" s="2351">
        <f t="shared" si="4"/>
        <v>0</v>
      </c>
      <c r="AT14" s="123" t="str">
        <f t="shared" si="8"/>
        <v>미사용 랙</v>
      </c>
      <c r="AU14" t="str">
        <f t="shared" si="5"/>
        <v/>
      </c>
      <c r="AV14" t="str">
        <f t="shared" si="6"/>
        <v/>
      </c>
      <c r="BA14" s="123"/>
      <c r="BB14" s="123"/>
      <c r="BC14" s="123"/>
      <c r="BD14" s="2997"/>
      <c r="BE14" s="123"/>
      <c r="BF14" s="2998"/>
      <c r="BG14" s="2999"/>
      <c r="BH14" s="3005"/>
      <c r="BI14" s="3000"/>
      <c r="BJ14" s="3001"/>
      <c r="BK14" s="3010"/>
      <c r="BL14" s="3011"/>
      <c r="BM14" s="3012"/>
    </row>
    <row r="15" spans="1:69" ht="14.25" customHeight="1" x14ac:dyDescent="0.25">
      <c r="A15" s="2824"/>
      <c r="B15" s="2564"/>
      <c r="C15" s="951" t="s">
        <v>616</v>
      </c>
      <c r="D15" s="951"/>
      <c r="E15" s="2592"/>
      <c r="F15" s="2592"/>
      <c r="G15" s="2592"/>
      <c r="H15" s="1839"/>
      <c r="I15" s="1840"/>
      <c r="J15" s="1839"/>
      <c r="K15" s="1840"/>
      <c r="L15" s="1841"/>
      <c r="M15" s="896"/>
      <c r="N15" s="896"/>
      <c r="O15" s="1843"/>
      <c r="P15" s="1844"/>
      <c r="Q15" s="1845"/>
      <c r="R15" s="950"/>
      <c r="S15" s="1846"/>
      <c r="T15" s="896"/>
      <c r="U15" s="950"/>
      <c r="V15" s="953"/>
      <c r="W15" s="1165"/>
      <c r="X15" s="953"/>
      <c r="Y15" s="1165"/>
      <c r="Z15" s="953"/>
      <c r="AA15" s="1165"/>
      <c r="AB15" s="953"/>
      <c r="AC15" s="1165"/>
      <c r="AD15" s="953"/>
      <c r="AE15" s="1165"/>
      <c r="AF15" s="953"/>
      <c r="AG15" s="1165"/>
      <c r="AH15" s="947"/>
      <c r="AI15" s="1160"/>
      <c r="AJ15" s="1310"/>
      <c r="AK15" s="2825"/>
      <c r="AL15" s="2826"/>
      <c r="AM15" s="3240">
        <f>VLOOKUP(J15&amp;K15,'7층~4층_매핑테이블'!$Y$6:$AF$2020,8,0)</f>
        <v>0</v>
      </c>
      <c r="AN15" s="3231">
        <f t="shared" si="2"/>
        <v>0</v>
      </c>
      <c r="AO15" s="1169"/>
      <c r="AP15" s="1170"/>
      <c r="AR15" s="2351">
        <f t="shared" si="3"/>
        <v>0</v>
      </c>
      <c r="AS15" s="2351">
        <f t="shared" si="4"/>
        <v>0</v>
      </c>
      <c r="AT15" s="123" t="str">
        <f t="shared" si="8"/>
        <v>미사용 랙</v>
      </c>
      <c r="AU15" t="str">
        <f t="shared" si="5"/>
        <v/>
      </c>
      <c r="AV15" t="str">
        <f t="shared" si="6"/>
        <v/>
      </c>
      <c r="BA15" s="123"/>
      <c r="BB15" s="123"/>
      <c r="BC15" s="123"/>
      <c r="BD15" s="2997"/>
      <c r="BE15" s="123"/>
      <c r="BF15" s="2998"/>
      <c r="BG15" s="2999"/>
      <c r="BH15" s="3005"/>
      <c r="BI15" s="3000"/>
      <c r="BJ15" s="3001"/>
      <c r="BK15" s="3010"/>
      <c r="BL15" s="3011"/>
      <c r="BM15" s="3012"/>
    </row>
    <row r="16" spans="1:69" ht="40.200000000000003" customHeight="1" x14ac:dyDescent="0.25">
      <c r="A16" s="2824"/>
      <c r="B16" s="2564" t="s">
        <v>611</v>
      </c>
      <c r="C16" s="2574" t="s">
        <v>612</v>
      </c>
      <c r="D16" s="2569" t="s">
        <v>613</v>
      </c>
      <c r="E16" s="2569"/>
      <c r="F16" s="2564"/>
      <c r="G16" s="2564" t="s">
        <v>27</v>
      </c>
      <c r="H16" s="1860" t="s">
        <v>8759</v>
      </c>
      <c r="I16" s="1861" t="s">
        <v>8760</v>
      </c>
      <c r="J16" s="1860" t="str">
        <f>"7-DaHall 1-"&amp;N16&amp;"-"&amp;M16&amp;"-"&amp;O16</f>
        <v>7-DaHall 1-B-4-100-31</v>
      </c>
      <c r="K16" s="1861" t="str">
        <f>"7-DaHall 1-"&amp;R16&amp;"-"&amp;Q16&amp;"-"&amp;S16</f>
        <v>7-DaHall 1-A-4-100-31</v>
      </c>
      <c r="L16" s="1862">
        <v>48</v>
      </c>
      <c r="M16" s="1848">
        <v>100</v>
      </c>
      <c r="N16" s="2578" t="s">
        <v>234</v>
      </c>
      <c r="O16" s="1838">
        <v>31</v>
      </c>
      <c r="P16" s="1863">
        <v>48</v>
      </c>
      <c r="Q16" s="1808">
        <v>100</v>
      </c>
      <c r="R16" s="2594" t="s">
        <v>233</v>
      </c>
      <c r="S16" s="1809">
        <v>31</v>
      </c>
      <c r="T16" s="2578" t="s">
        <v>614</v>
      </c>
      <c r="U16" s="2594" t="s">
        <v>615</v>
      </c>
      <c r="V16" s="2827" t="s">
        <v>434</v>
      </c>
      <c r="W16" s="2828" t="s">
        <v>433</v>
      </c>
      <c r="X16" s="903" t="s">
        <v>48</v>
      </c>
      <c r="Y16" s="2146" t="s">
        <v>47</v>
      </c>
      <c r="Z16" s="903" t="s">
        <v>50</v>
      </c>
      <c r="AA16" s="2146" t="s">
        <v>49</v>
      </c>
      <c r="AB16" s="903" t="s">
        <v>52</v>
      </c>
      <c r="AC16" s="2146" t="s">
        <v>51</v>
      </c>
      <c r="AD16" s="903" t="s">
        <v>35</v>
      </c>
      <c r="AE16" s="2146" t="s">
        <v>30</v>
      </c>
      <c r="AF16" s="903" t="s">
        <v>36</v>
      </c>
      <c r="AG16" s="2146" t="s">
        <v>31</v>
      </c>
      <c r="AH16" s="901"/>
      <c r="AI16" s="922"/>
      <c r="AJ16" s="2915"/>
      <c r="AK16" s="2916"/>
      <c r="AL16" s="2819"/>
      <c r="AM16" s="3240" t="e">
        <f>VLOOKUP(J16&amp;K16,'7층~4층_매핑테이블'!$Y$6:$AF$2020,8,0)</f>
        <v>#N/A</v>
      </c>
      <c r="AN16" s="3229">
        <f t="shared" si="2"/>
        <v>0</v>
      </c>
      <c r="AO16" s="2597"/>
      <c r="AP16" s="2599"/>
      <c r="AR16" s="2351">
        <f t="shared" si="3"/>
        <v>0</v>
      </c>
      <c r="AS16" s="2351">
        <f t="shared" si="4"/>
        <v>0</v>
      </c>
      <c r="AT16" s="123" t="str">
        <f t="shared" si="8"/>
        <v>미사용 랙</v>
      </c>
      <c r="AU16" t="str">
        <f t="shared" si="5"/>
        <v/>
      </c>
      <c r="AV16" t="str">
        <f t="shared" si="6"/>
        <v/>
      </c>
      <c r="BA16" s="123"/>
      <c r="BB16" s="123"/>
      <c r="BC16" s="123"/>
      <c r="BD16" s="2997"/>
      <c r="BE16" s="123"/>
      <c r="BF16" s="2998"/>
      <c r="BG16" s="2999"/>
      <c r="BH16" s="3005"/>
      <c r="BI16" s="3000"/>
      <c r="BJ16" s="3001"/>
      <c r="BK16" s="3010"/>
      <c r="BL16" s="3011"/>
      <c r="BM16" s="3012"/>
    </row>
    <row r="17" spans="1:65" ht="40.200000000000003" customHeight="1" x14ac:dyDescent="0.25">
      <c r="A17" s="2824"/>
      <c r="B17" s="2564" t="s">
        <v>606</v>
      </c>
      <c r="C17" s="2141" t="s">
        <v>607</v>
      </c>
      <c r="D17" s="2564" t="s">
        <v>608</v>
      </c>
      <c r="E17" s="2564"/>
      <c r="F17" s="2564"/>
      <c r="G17" s="2564" t="s">
        <v>27</v>
      </c>
      <c r="H17" s="1860" t="s">
        <v>8761</v>
      </c>
      <c r="I17" s="1861" t="s">
        <v>8762</v>
      </c>
      <c r="J17" s="1860" t="str">
        <f>"7-DaHall 1-"&amp;N17&amp;"-"&amp;M17&amp;"-"&amp;O17</f>
        <v>7-DaHall 1-B-4-100-30</v>
      </c>
      <c r="K17" s="1861" t="str">
        <f>"7-DaHall 1-"&amp;R17&amp;"-"&amp;Q17&amp;"-"&amp;S17</f>
        <v>7-DaHall 1-A-4-100-30</v>
      </c>
      <c r="L17" s="1862">
        <v>48</v>
      </c>
      <c r="M17" s="1848">
        <v>100</v>
      </c>
      <c r="N17" s="2578" t="s">
        <v>234</v>
      </c>
      <c r="O17" s="1838">
        <v>30</v>
      </c>
      <c r="P17" s="1863">
        <v>48</v>
      </c>
      <c r="Q17" s="1808">
        <v>100</v>
      </c>
      <c r="R17" s="2594" t="s">
        <v>233</v>
      </c>
      <c r="S17" s="1809">
        <v>30</v>
      </c>
      <c r="T17" s="2578" t="s">
        <v>609</v>
      </c>
      <c r="U17" s="2594" t="s">
        <v>610</v>
      </c>
      <c r="V17" s="2827" t="s">
        <v>434</v>
      </c>
      <c r="W17" s="2828" t="s">
        <v>433</v>
      </c>
      <c r="X17" s="903" t="s">
        <v>48</v>
      </c>
      <c r="Y17" s="2146" t="s">
        <v>47</v>
      </c>
      <c r="Z17" s="903" t="s">
        <v>50</v>
      </c>
      <c r="AA17" s="2146" t="s">
        <v>49</v>
      </c>
      <c r="AB17" s="903" t="s">
        <v>52</v>
      </c>
      <c r="AC17" s="2146" t="s">
        <v>51</v>
      </c>
      <c r="AD17" s="903" t="s">
        <v>35</v>
      </c>
      <c r="AE17" s="2146" t="s">
        <v>30</v>
      </c>
      <c r="AF17" s="903" t="s">
        <v>36</v>
      </c>
      <c r="AG17" s="2146" t="s">
        <v>31</v>
      </c>
      <c r="AH17" s="901"/>
      <c r="AI17" s="922"/>
      <c r="AJ17" s="2915"/>
      <c r="AK17" s="2916"/>
      <c r="AL17" s="2819"/>
      <c r="AM17" s="3240" t="e">
        <f>VLOOKUP(J17&amp;K17,'7층~4층_매핑테이블'!$Y$6:$AF$2020,8,0)</f>
        <v>#N/A</v>
      </c>
      <c r="AN17" s="3229">
        <f t="shared" si="2"/>
        <v>0</v>
      </c>
      <c r="AO17" s="2597"/>
      <c r="AP17" s="2599"/>
      <c r="AR17" s="2351">
        <f t="shared" si="3"/>
        <v>0</v>
      </c>
      <c r="AS17" s="2351">
        <f t="shared" si="4"/>
        <v>0</v>
      </c>
      <c r="AT17" s="123" t="str">
        <f t="shared" si="8"/>
        <v>미사용 랙</v>
      </c>
      <c r="AU17" t="str">
        <f t="shared" si="5"/>
        <v/>
      </c>
      <c r="AV17" t="str">
        <f t="shared" si="6"/>
        <v/>
      </c>
      <c r="BA17" s="123"/>
      <c r="BB17" s="123"/>
      <c r="BC17" s="123"/>
      <c r="BD17" s="2997"/>
      <c r="BE17" s="123"/>
      <c r="BF17" s="2998"/>
      <c r="BG17" s="2999"/>
      <c r="BH17" s="3005"/>
      <c r="BI17" s="3000"/>
      <c r="BJ17" s="3001"/>
      <c r="BK17" s="3010"/>
      <c r="BL17" s="3011"/>
      <c r="BM17" s="3012"/>
    </row>
    <row r="18" spans="1:65" ht="54.75" customHeight="1" x14ac:dyDescent="0.25">
      <c r="A18" s="2824"/>
      <c r="B18" s="3362" t="s">
        <v>595</v>
      </c>
      <c r="C18" s="3373" t="s">
        <v>596</v>
      </c>
      <c r="D18" s="2564" t="s">
        <v>597</v>
      </c>
      <c r="E18" s="2564"/>
      <c r="F18" s="2564"/>
      <c r="G18" s="2564" t="s">
        <v>27</v>
      </c>
      <c r="H18" s="1805" t="s">
        <v>8763</v>
      </c>
      <c r="I18" s="1837" t="s">
        <v>8764</v>
      </c>
      <c r="J18" s="1805" t="str">
        <f t="shared" ref="J18:J19" si="10">"7-DaHall 1-"&amp;N18&amp;"-"&amp;M18&amp;"-"&amp;O18</f>
        <v>7-DaHall 1-A-4-100-29</v>
      </c>
      <c r="K18" s="1837" t="str">
        <f t="shared" ref="K18:K19" si="11">"7-DaHall 1-"&amp;R18&amp;"-"&amp;Q18&amp;"-"&amp;S18</f>
        <v>7-DaHall 1-B-4-100-29</v>
      </c>
      <c r="L18" s="1807">
        <v>48</v>
      </c>
      <c r="M18" s="1808">
        <v>100</v>
      </c>
      <c r="N18" s="2594" t="s">
        <v>233</v>
      </c>
      <c r="O18" s="1809">
        <v>29</v>
      </c>
      <c r="P18" s="1847">
        <v>48</v>
      </c>
      <c r="Q18" s="1848">
        <v>100</v>
      </c>
      <c r="R18" s="2578" t="s">
        <v>234</v>
      </c>
      <c r="S18" s="1838">
        <v>29</v>
      </c>
      <c r="T18" s="2594" t="s">
        <v>598</v>
      </c>
      <c r="U18" s="2578" t="s">
        <v>599</v>
      </c>
      <c r="V18" s="2828" t="s">
        <v>237</v>
      </c>
      <c r="W18" s="2827" t="s">
        <v>238</v>
      </c>
      <c r="X18" s="2146" t="s">
        <v>47</v>
      </c>
      <c r="Y18" s="903" t="s">
        <v>48</v>
      </c>
      <c r="Z18" s="2146" t="s">
        <v>49</v>
      </c>
      <c r="AA18" s="903" t="s">
        <v>50</v>
      </c>
      <c r="AB18" s="2146" t="s">
        <v>51</v>
      </c>
      <c r="AC18" s="903" t="s">
        <v>52</v>
      </c>
      <c r="AD18" s="2146" t="s">
        <v>30</v>
      </c>
      <c r="AE18" s="903" t="s">
        <v>35</v>
      </c>
      <c r="AF18" s="2146" t="s">
        <v>31</v>
      </c>
      <c r="AG18" s="903" t="s">
        <v>36</v>
      </c>
      <c r="AH18" s="681"/>
      <c r="AI18" s="676"/>
      <c r="AJ18" s="3346"/>
      <c r="AK18" s="2916"/>
      <c r="AL18" s="2819"/>
      <c r="AM18" s="3240" t="e">
        <f>VLOOKUP(J18&amp;K18,'7층~4층_매핑테이블'!$Y$6:$AF$2020,8,0)</f>
        <v>#N/A</v>
      </c>
      <c r="AN18" s="3229">
        <f t="shared" si="2"/>
        <v>0</v>
      </c>
      <c r="AO18" s="2597" t="s">
        <v>600</v>
      </c>
      <c r="AP18" s="2599"/>
      <c r="AR18" s="2351">
        <f t="shared" si="3"/>
        <v>0</v>
      </c>
      <c r="AS18" s="2351">
        <f t="shared" si="4"/>
        <v>0</v>
      </c>
      <c r="AT18" s="123" t="str">
        <f t="shared" si="8"/>
        <v>미사용 랙</v>
      </c>
      <c r="AU18" t="str">
        <f t="shared" si="5"/>
        <v/>
      </c>
      <c r="AV18" t="str">
        <f t="shared" si="6"/>
        <v/>
      </c>
      <c r="BA18" s="123"/>
      <c r="BB18" s="123"/>
      <c r="BC18" s="123"/>
      <c r="BD18" s="2997"/>
      <c r="BE18" s="123"/>
      <c r="BF18" s="2998"/>
      <c r="BG18" s="2999"/>
      <c r="BH18" s="3005"/>
      <c r="BI18" s="3000"/>
      <c r="BJ18" s="3001"/>
      <c r="BK18" s="3010"/>
      <c r="BL18" s="3011"/>
      <c r="BM18" s="3012"/>
    </row>
    <row r="19" spans="1:65" ht="54.75" customHeight="1" x14ac:dyDescent="0.25">
      <c r="A19" s="2824"/>
      <c r="B19" s="3363"/>
      <c r="C19" s="3374"/>
      <c r="D19" s="737" t="s">
        <v>601</v>
      </c>
      <c r="E19" s="737"/>
      <c r="F19" s="2564"/>
      <c r="G19" s="2564" t="s">
        <v>27</v>
      </c>
      <c r="H19" s="1805" t="s">
        <v>8765</v>
      </c>
      <c r="I19" s="1837" t="s">
        <v>8766</v>
      </c>
      <c r="J19" s="1805" t="str">
        <f t="shared" si="10"/>
        <v>7-DaHall 1-A-4-35-34</v>
      </c>
      <c r="K19" s="1837" t="str">
        <f t="shared" si="11"/>
        <v>7-DaHall 1-B-4-35-34</v>
      </c>
      <c r="L19" s="1807">
        <v>48</v>
      </c>
      <c r="M19" s="1808">
        <v>35</v>
      </c>
      <c r="N19" s="2594" t="s">
        <v>233</v>
      </c>
      <c r="O19" s="1809">
        <v>34</v>
      </c>
      <c r="P19" s="1847">
        <v>48</v>
      </c>
      <c r="Q19" s="1848">
        <v>35</v>
      </c>
      <c r="R19" s="2578" t="s">
        <v>234</v>
      </c>
      <c r="S19" s="1838">
        <v>34</v>
      </c>
      <c r="T19" s="2594" t="s">
        <v>602</v>
      </c>
      <c r="U19" s="2578" t="s">
        <v>603</v>
      </c>
      <c r="V19" s="2828" t="s">
        <v>237</v>
      </c>
      <c r="W19" s="2827" t="s">
        <v>238</v>
      </c>
      <c r="X19" s="2146" t="s">
        <v>47</v>
      </c>
      <c r="Y19" s="903" t="s">
        <v>48</v>
      </c>
      <c r="Z19" s="2146" t="s">
        <v>49</v>
      </c>
      <c r="AA19" s="903" t="s">
        <v>50</v>
      </c>
      <c r="AB19" s="2146" t="s">
        <v>51</v>
      </c>
      <c r="AC19" s="903" t="s">
        <v>52</v>
      </c>
      <c r="AD19" s="2146" t="s">
        <v>30</v>
      </c>
      <c r="AE19" s="903" t="s">
        <v>35</v>
      </c>
      <c r="AF19" s="2146" t="s">
        <v>31</v>
      </c>
      <c r="AG19" s="903" t="s">
        <v>36</v>
      </c>
      <c r="AH19" s="681"/>
      <c r="AI19" s="676"/>
      <c r="AJ19" s="3347"/>
      <c r="AK19" s="2916"/>
      <c r="AL19" s="2819"/>
      <c r="AM19" s="3240" t="e">
        <f>VLOOKUP(J19&amp;K19,'7층~4층_매핑테이블'!$Y$6:$AF$2020,8,0)</f>
        <v>#N/A</v>
      </c>
      <c r="AN19" s="3229">
        <f t="shared" si="2"/>
        <v>0</v>
      </c>
      <c r="AO19" s="2597" t="s">
        <v>604</v>
      </c>
      <c r="AP19" s="738" t="s">
        <v>605</v>
      </c>
      <c r="AR19" s="2351">
        <f t="shared" si="3"/>
        <v>0</v>
      </c>
      <c r="AS19" s="2351">
        <f t="shared" si="4"/>
        <v>0</v>
      </c>
      <c r="AT19" s="123" t="str">
        <f t="shared" si="8"/>
        <v>미사용 랙</v>
      </c>
      <c r="AU19" t="str">
        <f t="shared" si="5"/>
        <v/>
      </c>
      <c r="AV19" t="str">
        <f t="shared" si="6"/>
        <v/>
      </c>
      <c r="BA19" s="123"/>
      <c r="BB19" s="123"/>
      <c r="BC19" s="123"/>
      <c r="BD19" s="2997"/>
      <c r="BE19" s="123"/>
      <c r="BF19" s="2998"/>
      <c r="BG19" s="2999"/>
      <c r="BH19" s="3005"/>
      <c r="BI19" s="3000"/>
      <c r="BJ19" s="3001"/>
      <c r="BK19" s="3010"/>
      <c r="BL19" s="3011"/>
      <c r="BM19" s="3012"/>
    </row>
    <row r="20" spans="1:65" ht="54.75" customHeight="1" x14ac:dyDescent="0.25">
      <c r="A20" s="2824"/>
      <c r="B20" s="2564" t="s">
        <v>590</v>
      </c>
      <c r="C20" s="2141" t="s">
        <v>591</v>
      </c>
      <c r="D20" s="2564" t="s">
        <v>592</v>
      </c>
      <c r="E20" s="2564"/>
      <c r="F20" s="2564"/>
      <c r="G20" s="2564" t="s">
        <v>27</v>
      </c>
      <c r="H20" s="1805" t="s">
        <v>8767</v>
      </c>
      <c r="I20" s="1837" t="s">
        <v>8768</v>
      </c>
      <c r="J20" s="1805" t="str">
        <f>"7-DaHall 1-"&amp;N20&amp;"-"&amp;M20&amp;"-"&amp;O20</f>
        <v>7-DaHall 1-A-4-100-3</v>
      </c>
      <c r="K20" s="1837" t="str">
        <f>"7-DaHall 1-"&amp;R20&amp;"-"&amp;Q20&amp;"-"&amp;S20</f>
        <v>7-DaHall 1-B-4-100-3</v>
      </c>
      <c r="L20" s="1807">
        <v>48</v>
      </c>
      <c r="M20" s="1808">
        <v>100</v>
      </c>
      <c r="N20" s="2594" t="s">
        <v>233</v>
      </c>
      <c r="O20" s="1809">
        <v>3</v>
      </c>
      <c r="P20" s="1847">
        <v>48</v>
      </c>
      <c r="Q20" s="1848">
        <v>100</v>
      </c>
      <c r="R20" s="2578" t="s">
        <v>234</v>
      </c>
      <c r="S20" s="1838">
        <v>3</v>
      </c>
      <c r="T20" s="2594" t="s">
        <v>593</v>
      </c>
      <c r="U20" s="2578" t="s">
        <v>594</v>
      </c>
      <c r="V20" s="2828" t="s">
        <v>237</v>
      </c>
      <c r="W20" s="2827" t="s">
        <v>238</v>
      </c>
      <c r="X20" s="2146" t="s">
        <v>47</v>
      </c>
      <c r="Y20" s="903" t="s">
        <v>48</v>
      </c>
      <c r="Z20" s="2146" t="s">
        <v>49</v>
      </c>
      <c r="AA20" s="903" t="s">
        <v>50</v>
      </c>
      <c r="AB20" s="2146" t="s">
        <v>51</v>
      </c>
      <c r="AC20" s="903" t="s">
        <v>52</v>
      </c>
      <c r="AD20" s="2146" t="s">
        <v>30</v>
      </c>
      <c r="AE20" s="903" t="s">
        <v>35</v>
      </c>
      <c r="AF20" s="2146" t="s">
        <v>31</v>
      </c>
      <c r="AG20" s="903" t="s">
        <v>36</v>
      </c>
      <c r="AH20" s="681"/>
      <c r="AI20" s="676"/>
      <c r="AJ20" s="2915"/>
      <c r="AK20" s="2916"/>
      <c r="AL20" s="2819"/>
      <c r="AM20" s="3240" t="e">
        <f>VLOOKUP(J20&amp;K20,'7층~4층_매핑테이블'!$Y$6:$AF$2020,8,0)</f>
        <v>#N/A</v>
      </c>
      <c r="AN20" s="3229">
        <f t="shared" si="2"/>
        <v>0</v>
      </c>
      <c r="AO20" s="2597"/>
      <c r="AP20" s="2599"/>
      <c r="AR20" s="2351">
        <f t="shared" si="3"/>
        <v>0</v>
      </c>
      <c r="AS20" s="2351">
        <f t="shared" si="4"/>
        <v>0</v>
      </c>
      <c r="AT20" s="123" t="str">
        <f t="shared" si="8"/>
        <v>미사용 랙</v>
      </c>
      <c r="AU20" t="str">
        <f t="shared" si="5"/>
        <v/>
      </c>
      <c r="AV20" t="str">
        <f t="shared" si="6"/>
        <v/>
      </c>
      <c r="BA20" s="123"/>
      <c r="BB20" s="123"/>
      <c r="BC20" s="123"/>
      <c r="BD20" s="2997"/>
      <c r="BE20" s="123"/>
      <c r="BF20" s="2998"/>
      <c r="BG20" s="2999"/>
      <c r="BH20" s="3005"/>
      <c r="BI20" s="3000"/>
      <c r="BJ20" s="3001"/>
      <c r="BK20" s="3010"/>
      <c r="BL20" s="3011"/>
      <c r="BM20" s="3012"/>
    </row>
    <row r="21" spans="1:65" ht="54.75" customHeight="1" x14ac:dyDescent="0.25">
      <c r="A21" s="2824"/>
      <c r="B21" s="3362" t="s">
        <v>468</v>
      </c>
      <c r="C21" s="3376" t="s">
        <v>469</v>
      </c>
      <c r="D21" s="3378" t="s">
        <v>9249</v>
      </c>
      <c r="E21" s="2878"/>
      <c r="F21" s="2592"/>
      <c r="G21" s="2592" t="s">
        <v>27</v>
      </c>
      <c r="H21" s="1805" t="s">
        <v>8769</v>
      </c>
      <c r="I21" s="1837" t="s">
        <v>8770</v>
      </c>
      <c r="J21" s="1805" t="str">
        <f>"7-DaHall 1-"&amp;N21&amp;"-"&amp;M21&amp;"-"&amp;O21</f>
        <v>7-DaHall 1-A-4-50-41</v>
      </c>
      <c r="K21" s="1837" t="str">
        <f>"7-DaHall 1-"&amp;R21&amp;"-"&amp;Q21&amp;"-"&amp;S21</f>
        <v>7-DaHall 1-B-4-50-41</v>
      </c>
      <c r="L21" s="1807">
        <v>48</v>
      </c>
      <c r="M21" s="1808">
        <v>50</v>
      </c>
      <c r="N21" s="2594" t="s">
        <v>233</v>
      </c>
      <c r="O21" s="1809">
        <v>41</v>
      </c>
      <c r="P21" s="1847">
        <v>48</v>
      </c>
      <c r="Q21" s="1848">
        <v>50</v>
      </c>
      <c r="R21" s="2578" t="s">
        <v>234</v>
      </c>
      <c r="S21" s="1838">
        <v>41</v>
      </c>
      <c r="T21" s="2594" t="s">
        <v>470</v>
      </c>
      <c r="U21" s="2578" t="s">
        <v>471</v>
      </c>
      <c r="V21" s="2594" t="s">
        <v>433</v>
      </c>
      <c r="W21" s="2578" t="s">
        <v>434</v>
      </c>
      <c r="X21" s="2594" t="s">
        <v>435</v>
      </c>
      <c r="Y21" s="2578" t="s">
        <v>436</v>
      </c>
      <c r="Z21" s="2594" t="s">
        <v>49</v>
      </c>
      <c r="AA21" s="2578" t="s">
        <v>50</v>
      </c>
      <c r="AB21" s="2594" t="s">
        <v>51</v>
      </c>
      <c r="AC21" s="2578" t="s">
        <v>52</v>
      </c>
      <c r="AD21" s="2594" t="s">
        <v>30</v>
      </c>
      <c r="AE21" s="2578" t="s">
        <v>35</v>
      </c>
      <c r="AF21" s="2594" t="s">
        <v>31</v>
      </c>
      <c r="AG21" s="2578" t="s">
        <v>36</v>
      </c>
      <c r="AH21" s="675"/>
      <c r="AI21" s="676"/>
      <c r="AJ21" s="2915"/>
      <c r="AK21" s="2916"/>
      <c r="AL21" s="2819"/>
      <c r="AM21" s="3240" t="e">
        <f>VLOOKUP(J21&amp;K21,'7층~4층_매핑테이블'!$Y$6:$AF$2020,8,0)</f>
        <v>#N/A</v>
      </c>
      <c r="AN21" s="3229">
        <f t="shared" si="2"/>
        <v>0</v>
      </c>
      <c r="AO21" s="2588"/>
      <c r="AP21" s="2599" t="s">
        <v>472</v>
      </c>
      <c r="AR21" s="2351">
        <f t="shared" si="3"/>
        <v>0</v>
      </c>
      <c r="AS21" s="2351">
        <f t="shared" si="4"/>
        <v>0</v>
      </c>
      <c r="AT21" s="123" t="str">
        <f t="shared" si="8"/>
        <v>미사용 랙</v>
      </c>
      <c r="AU21" t="str">
        <f t="shared" si="5"/>
        <v/>
      </c>
      <c r="AV21" t="str">
        <f t="shared" si="6"/>
        <v/>
      </c>
      <c r="BA21" s="123"/>
      <c r="BB21" s="123"/>
      <c r="BC21" s="123"/>
      <c r="BD21" s="2997"/>
      <c r="BE21" s="123"/>
      <c r="BF21" s="2998"/>
      <c r="BG21" s="2999"/>
      <c r="BH21" s="3005"/>
      <c r="BI21" s="3000"/>
      <c r="BJ21" s="3001"/>
      <c r="BK21" s="3010"/>
      <c r="BL21" s="3011"/>
      <c r="BM21" s="3012"/>
    </row>
    <row r="22" spans="1:65" ht="63" thickBot="1" x14ac:dyDescent="0.3">
      <c r="A22" s="2806"/>
      <c r="B22" s="3375"/>
      <c r="C22" s="3377"/>
      <c r="D22" s="3379"/>
      <c r="E22" s="2879"/>
      <c r="F22" s="734" t="s">
        <v>27</v>
      </c>
      <c r="G22" s="734"/>
      <c r="H22" s="1868"/>
      <c r="I22" s="1869"/>
      <c r="J22" s="1868"/>
      <c r="K22" s="1869"/>
      <c r="L22" s="1870"/>
      <c r="M22" s="943"/>
      <c r="N22" s="943"/>
      <c r="O22" s="1871"/>
      <c r="P22" s="1872"/>
      <c r="Q22" s="1873"/>
      <c r="R22" s="904"/>
      <c r="S22" s="1874"/>
      <c r="T22" s="943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5"/>
      <c r="AI22" s="946"/>
      <c r="AJ22" s="1311"/>
      <c r="AK22" s="2829"/>
      <c r="AL22" s="2817"/>
      <c r="AM22" s="3240"/>
      <c r="AN22" s="3231">
        <f t="shared" si="2"/>
        <v>0</v>
      </c>
      <c r="AO22" s="2811"/>
      <c r="AP22" s="691" t="s">
        <v>474</v>
      </c>
      <c r="AR22" s="2351">
        <f t="shared" si="3"/>
        <v>0</v>
      </c>
      <c r="AS22" s="2351">
        <f t="shared" si="4"/>
        <v>0</v>
      </c>
      <c r="AT22" s="123" t="str">
        <f>IF(SIGN(AS22)&gt;=0,IF(AN22=0,"무부하 랙","적정함"),"사용초과")</f>
        <v>무부하 랙</v>
      </c>
      <c r="AU22" t="str">
        <f t="shared" si="5"/>
        <v/>
      </c>
      <c r="AV22" t="str">
        <f t="shared" si="6"/>
        <v/>
      </c>
      <c r="BA22" s="123"/>
      <c r="BB22" s="123"/>
      <c r="BC22" s="123"/>
      <c r="BD22" s="2997"/>
      <c r="BE22" s="123"/>
      <c r="BF22" s="2998"/>
      <c r="BG22" s="2999"/>
      <c r="BH22" s="3005"/>
      <c r="BI22" s="3000"/>
      <c r="BJ22" s="3001"/>
      <c r="BK22" s="3010"/>
      <c r="BL22" s="3011"/>
      <c r="BM22" s="3012"/>
    </row>
    <row r="23" spans="1:65" ht="46.8" x14ac:dyDescent="0.25">
      <c r="A23" s="2824"/>
      <c r="B23" s="2564" t="s">
        <v>464</v>
      </c>
      <c r="C23" s="1155" t="s">
        <v>465</v>
      </c>
      <c r="D23" s="2564" t="s">
        <v>9249</v>
      </c>
      <c r="E23" s="2959">
        <v>1.6</v>
      </c>
      <c r="F23" s="2566" t="s">
        <v>27</v>
      </c>
      <c r="G23" s="2566"/>
      <c r="H23" s="1866" t="s">
        <v>8771</v>
      </c>
      <c r="I23" s="1864" t="s">
        <v>8772</v>
      </c>
      <c r="J23" s="1825" t="str">
        <f>"7-DaHall 1-"&amp;R23&amp;"-"&amp;Q23&amp;"-"&amp;S23</f>
        <v>7-DaHall 1-PDU-01-30-5</v>
      </c>
      <c r="K23" s="1833" t="str">
        <f>"7-DaHall 1-"&amp;N23&amp;"-"&amp;M23&amp;"-"&amp;O23</f>
        <v>7-DaHall 1-PDU-02-30-3</v>
      </c>
      <c r="L23" s="1867">
        <v>220</v>
      </c>
      <c r="M23" s="1835">
        <v>30</v>
      </c>
      <c r="N23" s="687" t="s">
        <v>8750</v>
      </c>
      <c r="O23" s="1836">
        <v>3</v>
      </c>
      <c r="P23" s="1865">
        <v>220</v>
      </c>
      <c r="Q23" s="1828">
        <v>30</v>
      </c>
      <c r="R23" s="703" t="s">
        <v>8749</v>
      </c>
      <c r="S23" s="1829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78" t="s">
        <v>165</v>
      </c>
      <c r="AC23" s="2594" t="s">
        <v>164</v>
      </c>
      <c r="AD23" s="2578" t="s">
        <v>111</v>
      </c>
      <c r="AE23" s="2594" t="s">
        <v>110</v>
      </c>
      <c r="AF23" s="2578" t="s">
        <v>36</v>
      </c>
      <c r="AG23" s="2594" t="s">
        <v>31</v>
      </c>
      <c r="AH23" s="922">
        <f>SUM('7층_부하량(월간_AVG)'!D65:F65)</f>
        <v>0</v>
      </c>
      <c r="AI23" s="901">
        <f>SUM('7층_부하량(월간_AVG)'!D32:F32)</f>
        <v>0</v>
      </c>
      <c r="AJ23" s="1298">
        <f>AI23+AH23</f>
        <v>0</v>
      </c>
      <c r="AK23" s="2816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817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3240">
        <f>VLOOKUP(J23&amp;K23,'7층~4층_매핑테이블'!$Y$6:$AF$2020,8,0)</f>
        <v>1.9870000000000001</v>
      </c>
      <c r="AN23" s="3230" t="e">
        <f t="shared" si="2"/>
        <v>#N/A</v>
      </c>
      <c r="AO23" s="2597" t="s">
        <v>121</v>
      </c>
      <c r="AP23" s="2599"/>
      <c r="AR23" s="2351" t="e">
        <f t="shared" si="3"/>
        <v>#N/A</v>
      </c>
      <c r="AS23" s="2351" t="e">
        <f t="shared" si="4"/>
        <v>#N/A</v>
      </c>
      <c r="AT23" s="123" t="e">
        <f>IF(SIGN(AS23)&gt;=0,IF(AN23=0,"무부하 랙","적정함"),"사용초과")</f>
        <v>#N/A</v>
      </c>
      <c r="AU23" t="e">
        <f t="shared" si="5"/>
        <v>#N/A</v>
      </c>
      <c r="AV23" t="e">
        <f t="shared" si="6"/>
        <v>#N/A</v>
      </c>
      <c r="BA23" s="123"/>
      <c r="BB23" s="123"/>
      <c r="BC23" s="123"/>
      <c r="BD23" s="2997"/>
      <c r="BE23" s="123"/>
      <c r="BF23" s="2998"/>
      <c r="BG23" s="2999"/>
      <c r="BH23" s="3005"/>
      <c r="BI23" s="3000"/>
      <c r="BJ23" s="3001"/>
      <c r="BK23" s="3010"/>
      <c r="BL23" s="3011"/>
      <c r="BM23" s="3012"/>
    </row>
    <row r="24" spans="1:65" ht="62.4" x14ac:dyDescent="0.25">
      <c r="A24" s="2824"/>
      <c r="B24" s="2564" t="s">
        <v>454</v>
      </c>
      <c r="C24" s="1155" t="s">
        <v>455</v>
      </c>
      <c r="D24" s="2564" t="s">
        <v>9249</v>
      </c>
      <c r="E24" s="2960">
        <v>1.6</v>
      </c>
      <c r="F24" s="2564" t="s">
        <v>27</v>
      </c>
      <c r="G24" s="2564"/>
      <c r="H24" s="1825" t="s">
        <v>8773</v>
      </c>
      <c r="I24" s="1833" t="s">
        <v>8774</v>
      </c>
      <c r="J24" s="1825" t="str">
        <f>"7-DaHall 1-"&amp;N24&amp;"-"&amp;M24&amp;"-"&amp;O24</f>
        <v>7-DaHall 1-RPP-01-30-40</v>
      </c>
      <c r="K24" s="1833" t="str">
        <f>"7-DaHall 1-"&amp;R24&amp;"-"&amp;Q24&amp;"-"&amp;S24</f>
        <v>7-DaHall 1-RPP-02-30-38</v>
      </c>
      <c r="L24" s="1827">
        <v>220</v>
      </c>
      <c r="M24" s="1828">
        <v>30</v>
      </c>
      <c r="N24" s="703" t="s">
        <v>8775</v>
      </c>
      <c r="O24" s="1829">
        <v>40</v>
      </c>
      <c r="P24" s="1834">
        <v>220</v>
      </c>
      <c r="Q24" s="1835">
        <v>30</v>
      </c>
      <c r="R24" s="687" t="s">
        <v>8776</v>
      </c>
      <c r="S24" s="1836">
        <v>38</v>
      </c>
      <c r="T24" s="703" t="s">
        <v>456</v>
      </c>
      <c r="U24" s="687" t="s">
        <v>457</v>
      </c>
      <c r="V24" s="2594" t="s">
        <v>458</v>
      </c>
      <c r="W24" s="2578" t="s">
        <v>459</v>
      </c>
      <c r="X24" s="2594" t="s">
        <v>450</v>
      </c>
      <c r="Y24" s="2578" t="s">
        <v>460</v>
      </c>
      <c r="Z24" s="2594" t="s">
        <v>451</v>
      </c>
      <c r="AA24" s="2578" t="s">
        <v>461</v>
      </c>
      <c r="AB24" s="2594" t="s">
        <v>452</v>
      </c>
      <c r="AC24" s="2578" t="s">
        <v>462</v>
      </c>
      <c r="AD24" s="2594" t="s">
        <v>30</v>
      </c>
      <c r="AE24" s="2578" t="s">
        <v>35</v>
      </c>
      <c r="AF24" s="2594" t="s">
        <v>31</v>
      </c>
      <c r="AG24" s="2578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298">
        <f>AH24+AI24</f>
        <v>0</v>
      </c>
      <c r="AK24" s="2816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817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3240">
        <f>VLOOKUP(J24&amp;K24,'7층~4층_매핑테이블'!$Y$6:$AF$2020,8,0)</f>
        <v>2.1520000000000001</v>
      </c>
      <c r="AN24" s="3230" t="e">
        <f t="shared" si="2"/>
        <v>#N/A</v>
      </c>
      <c r="AO24" s="2597" t="s">
        <v>463</v>
      </c>
      <c r="AP24" s="689"/>
      <c r="AR24" s="2351" t="e">
        <f t="shared" si="3"/>
        <v>#N/A</v>
      </c>
      <c r="AS24" s="2351" t="e">
        <f t="shared" si="4"/>
        <v>#N/A</v>
      </c>
      <c r="AT24" s="123" t="e">
        <f>IF(SIGN(AS24)&gt;=0,IF(AN24=0,"무부하 랙","적정함"),"사용초과")</f>
        <v>#N/A</v>
      </c>
      <c r="AU24" t="e">
        <f t="shared" si="5"/>
        <v>#N/A</v>
      </c>
      <c r="AV24" t="e">
        <f t="shared" si="6"/>
        <v>#N/A</v>
      </c>
      <c r="BA24" s="123"/>
      <c r="BB24" s="123"/>
      <c r="BC24" s="123"/>
      <c r="BD24" s="2997"/>
      <c r="BE24" s="123"/>
      <c r="BF24" s="2998"/>
      <c r="BG24" s="2999"/>
      <c r="BH24" s="3005"/>
      <c r="BI24" s="3000"/>
      <c r="BJ24" s="3001"/>
      <c r="BK24" s="3010"/>
      <c r="BL24" s="3011"/>
      <c r="BM24" s="3012"/>
    </row>
    <row r="25" spans="1:65" ht="40.5" customHeight="1" x14ac:dyDescent="0.25">
      <c r="A25" s="2824"/>
      <c r="B25" s="2564" t="s">
        <v>444</v>
      </c>
      <c r="C25" s="1155" t="s">
        <v>445</v>
      </c>
      <c r="D25" s="2564" t="s">
        <v>9249</v>
      </c>
      <c r="E25" s="2960">
        <v>1.6</v>
      </c>
      <c r="F25" s="2564" t="s">
        <v>27</v>
      </c>
      <c r="G25" s="2564"/>
      <c r="H25" s="1825" t="s">
        <v>8777</v>
      </c>
      <c r="I25" s="1864" t="s">
        <v>8778</v>
      </c>
      <c r="J25" s="1825" t="str">
        <f>"7-DaHall 1-"&amp;N25&amp;"-"&amp;M25&amp;"-"&amp;O25</f>
        <v>7-DaHall 1-RPP-01-20-25</v>
      </c>
      <c r="K25" s="1864" t="str">
        <f>"7-DaHall 1-"&amp;R25&amp;"-"&amp;Q25&amp;"-"&amp;S25</f>
        <v>7-DaHall 1-RPP-01-30-20</v>
      </c>
      <c r="L25" s="1827">
        <v>220</v>
      </c>
      <c r="M25" s="1828">
        <v>20</v>
      </c>
      <c r="N25" s="703" t="s">
        <v>8775</v>
      </c>
      <c r="O25" s="1829">
        <v>25</v>
      </c>
      <c r="P25" s="1865">
        <v>220</v>
      </c>
      <c r="Q25" s="1828">
        <v>30</v>
      </c>
      <c r="R25" s="703" t="s">
        <v>8775</v>
      </c>
      <c r="S25" s="1829">
        <v>20</v>
      </c>
      <c r="T25" s="703" t="s">
        <v>446</v>
      </c>
      <c r="U25" s="703" t="s">
        <v>447</v>
      </c>
      <c r="V25" s="2594" t="s">
        <v>448</v>
      </c>
      <c r="W25" s="2594" t="s">
        <v>449</v>
      </c>
      <c r="X25" s="3340" t="s">
        <v>450</v>
      </c>
      <c r="Y25" s="3341"/>
      <c r="Z25" s="3340" t="s">
        <v>451</v>
      </c>
      <c r="AA25" s="3341"/>
      <c r="AB25" s="3340" t="s">
        <v>452</v>
      </c>
      <c r="AC25" s="3341"/>
      <c r="AD25" s="3340" t="s">
        <v>30</v>
      </c>
      <c r="AE25" s="3341"/>
      <c r="AF25" s="3340" t="s">
        <v>31</v>
      </c>
      <c r="AG25" s="3341"/>
      <c r="AH25" s="681">
        <f>SUM('7층_부하량(월간_AVG)'!D18:F18)</f>
        <v>0</v>
      </c>
      <c r="AI25" s="922">
        <f>SUM('7층_부하량(월간_AVG)'!N15:P15)</f>
        <v>0</v>
      </c>
      <c r="AJ25" s="1298">
        <f>AH25+AI25</f>
        <v>0</v>
      </c>
      <c r="AK25" s="2816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817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3240">
        <f>VLOOKUP(J25&amp;K25,'7층~4층_매핑테이블'!$Y$6:$AF$2020,8,0)</f>
        <v>0.66200000000000003</v>
      </c>
      <c r="AN25" s="3230" t="e">
        <f t="shared" si="2"/>
        <v>#N/A</v>
      </c>
      <c r="AO25" s="2597" t="s">
        <v>121</v>
      </c>
      <c r="AP25" s="689" t="s">
        <v>453</v>
      </c>
      <c r="AR25" s="2351" t="e">
        <f t="shared" si="3"/>
        <v>#N/A</v>
      </c>
      <c r="AS25" s="2351" t="e">
        <f t="shared" si="4"/>
        <v>#N/A</v>
      </c>
      <c r="AT25" s="123" t="e">
        <f>IF(SIGN(AS25)&gt;=0,IF(AN25=0,"무부하 랙","적정함"),"사용초과")</f>
        <v>#N/A</v>
      </c>
      <c r="AU25" t="e">
        <f t="shared" si="5"/>
        <v>#N/A</v>
      </c>
      <c r="AV25" t="e">
        <f t="shared" si="6"/>
        <v>#N/A</v>
      </c>
      <c r="BA25" s="123"/>
      <c r="BB25" s="123"/>
      <c r="BC25" s="123"/>
      <c r="BD25" s="2997"/>
      <c r="BE25" s="123"/>
      <c r="BF25" s="2998"/>
      <c r="BG25" s="2999"/>
      <c r="BH25" s="3005"/>
      <c r="BI25" s="3000"/>
      <c r="BJ25" s="3001"/>
      <c r="BK25" s="3010"/>
      <c r="BL25" s="3011"/>
      <c r="BM25" s="3012"/>
    </row>
    <row r="26" spans="1:65" ht="54" customHeight="1" x14ac:dyDescent="0.25">
      <c r="A26" s="2824"/>
      <c r="B26" s="2564" t="s">
        <v>439</v>
      </c>
      <c r="C26" s="2141" t="s">
        <v>440</v>
      </c>
      <c r="D26" s="2564" t="s">
        <v>441</v>
      </c>
      <c r="E26" s="2564"/>
      <c r="F26" s="2564"/>
      <c r="G26" s="2564" t="s">
        <v>27</v>
      </c>
      <c r="H26" s="1860" t="s">
        <v>8779</v>
      </c>
      <c r="I26" s="1861" t="s">
        <v>8780</v>
      </c>
      <c r="J26" s="1860" t="str">
        <f>"7-DaHall 1-"&amp;N26&amp;"-"&amp;M26&amp;"-"&amp;O26</f>
        <v>7-DaHall 1-B-4-35-46</v>
      </c>
      <c r="K26" s="1861" t="str">
        <f>"7-DaHall 1-"&amp;R26&amp;"-"&amp;Q26&amp;"-"&amp;S26</f>
        <v>7-DaHall 1-A-4-35-42</v>
      </c>
      <c r="L26" s="1862">
        <v>48</v>
      </c>
      <c r="M26" s="1848">
        <v>35</v>
      </c>
      <c r="N26" s="2578" t="s">
        <v>234</v>
      </c>
      <c r="O26" s="1838">
        <v>46</v>
      </c>
      <c r="P26" s="1863">
        <v>48</v>
      </c>
      <c r="Q26" s="1808">
        <v>35</v>
      </c>
      <c r="R26" s="2594" t="s">
        <v>233</v>
      </c>
      <c r="S26" s="1809">
        <v>42</v>
      </c>
      <c r="T26" s="2578" t="s">
        <v>442</v>
      </c>
      <c r="U26" s="2594" t="s">
        <v>443</v>
      </c>
      <c r="V26" s="2578" t="s">
        <v>434</v>
      </c>
      <c r="W26" s="2594" t="s">
        <v>433</v>
      </c>
      <c r="X26" s="2578" t="s">
        <v>436</v>
      </c>
      <c r="Y26" s="2594" t="s">
        <v>435</v>
      </c>
      <c r="Z26" s="2578" t="s">
        <v>50</v>
      </c>
      <c r="AA26" s="2594" t="s">
        <v>49</v>
      </c>
      <c r="AB26" s="2578" t="s">
        <v>52</v>
      </c>
      <c r="AC26" s="2594" t="s">
        <v>51</v>
      </c>
      <c r="AD26" s="2578" t="s">
        <v>35</v>
      </c>
      <c r="AE26" s="2594" t="s">
        <v>30</v>
      </c>
      <c r="AF26" s="2578" t="s">
        <v>36</v>
      </c>
      <c r="AG26" s="2594" t="s">
        <v>31</v>
      </c>
      <c r="AH26" s="901"/>
      <c r="AI26" s="900"/>
      <c r="AJ26" s="2915"/>
      <c r="AK26" s="2916"/>
      <c r="AL26" s="2819"/>
      <c r="AM26" s="3240" t="e">
        <f>VLOOKUP(J26&amp;K26,'7층~4층_매핑테이블'!$Y$6:$AF$2020,8,0)</f>
        <v>#N/A</v>
      </c>
      <c r="AN26" s="3229">
        <f t="shared" si="2"/>
        <v>0</v>
      </c>
      <c r="AO26" s="2597"/>
      <c r="AP26" s="2599"/>
      <c r="AR26" s="2351">
        <f t="shared" si="3"/>
        <v>0</v>
      </c>
      <c r="AS26" s="2351">
        <f t="shared" si="4"/>
        <v>0</v>
      </c>
      <c r="AT26" s="123" t="str">
        <f t="shared" si="8"/>
        <v>미사용 랙</v>
      </c>
      <c r="AU26" t="str">
        <f t="shared" si="5"/>
        <v/>
      </c>
      <c r="AV26" t="str">
        <f t="shared" si="6"/>
        <v/>
      </c>
      <c r="BA26" s="123"/>
      <c r="BB26" s="123"/>
      <c r="BC26" s="123"/>
      <c r="BD26" s="2997"/>
      <c r="BE26" s="123"/>
      <c r="BF26" s="2998"/>
      <c r="BG26" s="2999"/>
      <c r="BH26" s="3005"/>
      <c r="BI26" s="3000"/>
      <c r="BJ26" s="3001"/>
      <c r="BK26" s="3010"/>
      <c r="BL26" s="3011"/>
      <c r="BM26" s="3012"/>
    </row>
    <row r="27" spans="1:65" ht="54" customHeight="1" x14ac:dyDescent="0.25">
      <c r="A27" s="2824"/>
      <c r="B27" s="3362" t="s">
        <v>429</v>
      </c>
      <c r="C27" s="3364" t="s">
        <v>430</v>
      </c>
      <c r="D27" s="3362" t="s">
        <v>9249</v>
      </c>
      <c r="E27" s="2569"/>
      <c r="F27" s="2564"/>
      <c r="G27" s="2564" t="s">
        <v>27</v>
      </c>
      <c r="H27" s="1805" t="s">
        <v>8781</v>
      </c>
      <c r="I27" s="1837" t="s">
        <v>8782</v>
      </c>
      <c r="J27" s="1805" t="str">
        <f>"7-DaHall 1-"&amp;N27&amp;"-"&amp;M27&amp;"-"&amp;O27</f>
        <v>7-DaHall 1-A-4-35-43</v>
      </c>
      <c r="K27" s="1837" t="str">
        <f>"7-DaHall 1-"&amp;R27&amp;"-"&amp;Q27&amp;"-"&amp;S27</f>
        <v>7-DaHall 1-B-4-50-47</v>
      </c>
      <c r="L27" s="1807">
        <v>48</v>
      </c>
      <c r="M27" s="1808">
        <v>35</v>
      </c>
      <c r="N27" s="2594" t="s">
        <v>233</v>
      </c>
      <c r="O27" s="1809">
        <v>43</v>
      </c>
      <c r="P27" s="1847">
        <v>48</v>
      </c>
      <c r="Q27" s="1848">
        <v>50</v>
      </c>
      <c r="R27" s="2578" t="s">
        <v>234</v>
      </c>
      <c r="S27" s="1838">
        <v>47</v>
      </c>
      <c r="T27" s="2594" t="s">
        <v>431</v>
      </c>
      <c r="U27" s="2578" t="s">
        <v>432</v>
      </c>
      <c r="V27" s="2594" t="s">
        <v>433</v>
      </c>
      <c r="W27" s="2578" t="s">
        <v>434</v>
      </c>
      <c r="X27" s="2594" t="s">
        <v>435</v>
      </c>
      <c r="Y27" s="2578" t="s">
        <v>436</v>
      </c>
      <c r="Z27" s="2594" t="s">
        <v>49</v>
      </c>
      <c r="AA27" s="2578" t="s">
        <v>50</v>
      </c>
      <c r="AB27" s="2594" t="s">
        <v>51</v>
      </c>
      <c r="AC27" s="2578" t="s">
        <v>52</v>
      </c>
      <c r="AD27" s="2594" t="s">
        <v>30</v>
      </c>
      <c r="AE27" s="2578" t="s">
        <v>35</v>
      </c>
      <c r="AF27" s="2594" t="s">
        <v>31</v>
      </c>
      <c r="AG27" s="903" t="s">
        <v>36</v>
      </c>
      <c r="AH27" s="675"/>
      <c r="AI27" s="676"/>
      <c r="AJ27" s="2915"/>
      <c r="AK27" s="2916"/>
      <c r="AL27" s="2819"/>
      <c r="AM27" s="3240" t="e">
        <f>VLOOKUP(J27&amp;K27,'7층~4층_매핑테이블'!$Y$6:$AF$2020,8,0)</f>
        <v>#N/A</v>
      </c>
      <c r="AN27" s="3229">
        <f t="shared" si="2"/>
        <v>0</v>
      </c>
      <c r="AO27" s="2597"/>
      <c r="AP27" s="2599"/>
      <c r="AR27" s="2351">
        <f t="shared" si="3"/>
        <v>0</v>
      </c>
      <c r="AS27" s="2351">
        <f t="shared" si="4"/>
        <v>0</v>
      </c>
      <c r="AT27" s="123" t="str">
        <f t="shared" si="8"/>
        <v>미사용 랙</v>
      </c>
      <c r="AU27" t="str">
        <f t="shared" si="5"/>
        <v/>
      </c>
      <c r="AV27" t="str">
        <f t="shared" si="6"/>
        <v/>
      </c>
      <c r="BA27" s="123"/>
      <c r="BB27" s="123"/>
      <c r="BC27" s="123"/>
      <c r="BD27" s="2997"/>
      <c r="BE27" s="123"/>
      <c r="BF27" s="2998"/>
      <c r="BG27" s="2999"/>
      <c r="BH27" s="3005"/>
      <c r="BI27" s="3000"/>
      <c r="BJ27" s="3001"/>
      <c r="BK27" s="3010"/>
      <c r="BL27" s="3011"/>
      <c r="BM27" s="3012"/>
    </row>
    <row r="28" spans="1:65" ht="62.4" x14ac:dyDescent="0.25">
      <c r="A28" s="2824"/>
      <c r="B28" s="3363"/>
      <c r="C28" s="3365"/>
      <c r="D28" s="3363"/>
      <c r="E28" s="2960">
        <v>1.6</v>
      </c>
      <c r="F28" s="2564" t="s">
        <v>27</v>
      </c>
      <c r="G28" s="2564"/>
      <c r="H28" s="1857"/>
      <c r="I28" s="1840"/>
      <c r="J28" s="1857"/>
      <c r="K28" s="1840"/>
      <c r="L28" s="1858"/>
      <c r="M28" s="938"/>
      <c r="N28" s="938"/>
      <c r="O28" s="1859"/>
      <c r="P28" s="1844"/>
      <c r="Q28" s="1845"/>
      <c r="R28" s="950"/>
      <c r="S28" s="1846"/>
      <c r="T28" s="938" t="s">
        <v>437</v>
      </c>
      <c r="U28" s="950"/>
      <c r="V28" s="951"/>
      <c r="W28" s="951"/>
      <c r="X28" s="951"/>
      <c r="Y28" s="951"/>
      <c r="Z28" s="951"/>
      <c r="AA28" s="951"/>
      <c r="AB28" s="951"/>
      <c r="AC28" s="951"/>
      <c r="AD28" s="951"/>
      <c r="AE28" s="951"/>
      <c r="AF28" s="950"/>
      <c r="AG28" s="950"/>
      <c r="AH28" s="952"/>
      <c r="AI28" s="948"/>
      <c r="AJ28" s="1309"/>
      <c r="AK28" s="2829"/>
      <c r="AL28" s="2817"/>
      <c r="AM28" s="3240"/>
      <c r="AN28" s="3231">
        <f t="shared" si="2"/>
        <v>0</v>
      </c>
      <c r="AO28" s="2597"/>
      <c r="AP28" s="688" t="s">
        <v>438</v>
      </c>
      <c r="AR28" s="2351">
        <f t="shared" si="3"/>
        <v>0</v>
      </c>
      <c r="AS28" s="2351">
        <f t="shared" si="4"/>
        <v>1.6</v>
      </c>
      <c r="AT28" s="123" t="str">
        <f>IF(SIGN(AS28)&gt;=0,IF(AN28=0,"무부하 랙","적정함"),"사용초과")</f>
        <v>무부하 랙</v>
      </c>
      <c r="AU28" t="str">
        <f t="shared" si="5"/>
        <v/>
      </c>
      <c r="AV28" t="str">
        <f t="shared" si="6"/>
        <v/>
      </c>
      <c r="BA28" s="123"/>
      <c r="BB28" s="123"/>
      <c r="BC28" s="123"/>
      <c r="BD28" s="2997"/>
      <c r="BE28" s="123"/>
      <c r="BF28" s="2998"/>
      <c r="BG28" s="2999"/>
      <c r="BH28" s="3005"/>
      <c r="BI28" s="3000"/>
      <c r="BJ28" s="3001"/>
      <c r="BK28" s="3010"/>
      <c r="BL28" s="3011"/>
      <c r="BM28" s="3012"/>
    </row>
    <row r="29" spans="1:65" ht="54" customHeight="1" x14ac:dyDescent="0.25">
      <c r="A29" s="2824"/>
      <c r="B29" s="3362" t="s">
        <v>424</v>
      </c>
      <c r="C29" s="3364" t="s">
        <v>425</v>
      </c>
      <c r="D29" s="3362" t="s">
        <v>9249</v>
      </c>
      <c r="E29" s="2569"/>
      <c r="F29" s="2564"/>
      <c r="G29" s="2564" t="s">
        <v>27</v>
      </c>
      <c r="H29" s="1805" t="s">
        <v>8783</v>
      </c>
      <c r="I29" s="1837" t="s">
        <v>8784</v>
      </c>
      <c r="J29" s="1805" t="str">
        <f>"7-DaHall 1-"&amp;N29&amp;"-"&amp;M29&amp;"-"&amp;O29</f>
        <v>7-DaHall 1-A-4-35-44</v>
      </c>
      <c r="K29" s="1837" t="str">
        <f>"7-DaHall 1-"&amp;R29&amp;"-"&amp;Q29&amp;"-"&amp;S29</f>
        <v>7-DaHall 1-B-4-35-48</v>
      </c>
      <c r="L29" s="1807">
        <v>48</v>
      </c>
      <c r="M29" s="1808">
        <v>35</v>
      </c>
      <c r="N29" s="2594" t="s">
        <v>233</v>
      </c>
      <c r="O29" s="1809">
        <v>44</v>
      </c>
      <c r="P29" s="1847">
        <v>48</v>
      </c>
      <c r="Q29" s="1848">
        <v>35</v>
      </c>
      <c r="R29" s="2578" t="s">
        <v>234</v>
      </c>
      <c r="S29" s="1838">
        <v>48</v>
      </c>
      <c r="T29" s="2594" t="s">
        <v>426</v>
      </c>
      <c r="U29" s="2578" t="s">
        <v>427</v>
      </c>
      <c r="V29" s="2828" t="s">
        <v>237</v>
      </c>
      <c r="W29" s="2827" t="s">
        <v>238</v>
      </c>
      <c r="X29" s="2146" t="s">
        <v>47</v>
      </c>
      <c r="Y29" s="903" t="s">
        <v>48</v>
      </c>
      <c r="Z29" s="2146" t="s">
        <v>49</v>
      </c>
      <c r="AA29" s="903" t="s">
        <v>50</v>
      </c>
      <c r="AB29" s="2146" t="s">
        <v>51</v>
      </c>
      <c r="AC29" s="903" t="s">
        <v>52</v>
      </c>
      <c r="AD29" s="2146" t="s">
        <v>30</v>
      </c>
      <c r="AE29" s="903" t="s">
        <v>35</v>
      </c>
      <c r="AF29" s="2146" t="s">
        <v>31</v>
      </c>
      <c r="AG29" s="903" t="s">
        <v>36</v>
      </c>
      <c r="AH29" s="675"/>
      <c r="AI29" s="676"/>
      <c r="AJ29" s="2915"/>
      <c r="AK29" s="2916"/>
      <c r="AL29" s="2819"/>
      <c r="AM29" s="3240" t="e">
        <f>VLOOKUP(J29&amp;K29,'7층~4층_매핑테이블'!$Y$6:$AF$2020,8,0)</f>
        <v>#N/A</v>
      </c>
      <c r="AN29" s="3229">
        <f t="shared" si="2"/>
        <v>0</v>
      </c>
      <c r="AO29" s="2597"/>
      <c r="AP29" s="2599"/>
      <c r="AR29" s="2351">
        <f t="shared" si="3"/>
        <v>0</v>
      </c>
      <c r="AS29" s="2351">
        <f t="shared" si="4"/>
        <v>0</v>
      </c>
      <c r="AT29" s="123" t="str">
        <f t="shared" si="8"/>
        <v>미사용 랙</v>
      </c>
      <c r="AU29" t="str">
        <f t="shared" si="5"/>
        <v/>
      </c>
      <c r="AV29" t="str">
        <f t="shared" si="6"/>
        <v/>
      </c>
      <c r="BA29" s="123"/>
      <c r="BB29" s="123"/>
      <c r="BC29" s="123"/>
      <c r="BD29" s="2997"/>
      <c r="BE29" s="123"/>
      <c r="BF29" s="2998"/>
      <c r="BG29" s="2999"/>
      <c r="BH29" s="3005"/>
      <c r="BI29" s="3000"/>
      <c r="BJ29" s="3001"/>
      <c r="BK29" s="3010"/>
      <c r="BL29" s="3011"/>
      <c r="BM29" s="3012"/>
    </row>
    <row r="30" spans="1:65" ht="46.8" x14ac:dyDescent="0.25">
      <c r="A30" s="2824"/>
      <c r="B30" s="3363"/>
      <c r="C30" s="3365"/>
      <c r="D30" s="3363"/>
      <c r="E30" s="2960">
        <v>1.6</v>
      </c>
      <c r="F30" s="2566" t="s">
        <v>27</v>
      </c>
      <c r="G30" s="2566"/>
      <c r="H30" s="1853"/>
      <c r="I30" s="1833" t="s">
        <v>8785</v>
      </c>
      <c r="J30" s="1853"/>
      <c r="K30" s="1833" t="str">
        <f>"7-DaHall 1-"&amp;R30&amp;"-"&amp;Q30&amp;"-"&amp;S30</f>
        <v>7-DaHall 1-PDU-02-30-8</v>
      </c>
      <c r="L30" s="1854"/>
      <c r="M30" s="1855"/>
      <c r="N30" s="733"/>
      <c r="O30" s="1856"/>
      <c r="P30" s="1834">
        <v>220</v>
      </c>
      <c r="Q30" s="1835">
        <v>30</v>
      </c>
      <c r="R30" s="687" t="s">
        <v>8750</v>
      </c>
      <c r="S30" s="1836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78" t="s">
        <v>165</v>
      </c>
      <c r="AD30" s="733"/>
      <c r="AE30" s="2578" t="s">
        <v>111</v>
      </c>
      <c r="AF30" s="733"/>
      <c r="AG30" s="903" t="s">
        <v>36</v>
      </c>
      <c r="AH30" s="681"/>
      <c r="AI30" s="682">
        <f>SUM('7층_부하량(월간_AVG)'!N34:P34)</f>
        <v>0</v>
      </c>
      <c r="AJ30" s="1298">
        <f>AH30+AI30</f>
        <v>0</v>
      </c>
      <c r="AK30" s="2816"/>
      <c r="AL30" s="2817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3240">
        <f>VLOOKUP(J30&amp;K30,'7층~4층_매핑테이블'!$Y$6:$AF$2020,8,0)</f>
        <v>0</v>
      </c>
      <c r="AN30" s="3230" t="e">
        <f t="shared" si="2"/>
        <v>#N/A</v>
      </c>
      <c r="AO30" s="2597"/>
      <c r="AP30" s="2599"/>
      <c r="AR30" s="2351" t="e">
        <f t="shared" si="3"/>
        <v>#N/A</v>
      </c>
      <c r="AS30" s="2351" t="e">
        <f t="shared" si="4"/>
        <v>#N/A</v>
      </c>
      <c r="AT30" s="123" t="e">
        <f>IF(SIGN(AS30)&gt;=0,IF(AN30=0,"무부하 랙","적정함"),"사용초과")</f>
        <v>#N/A</v>
      </c>
      <c r="AU30" t="e">
        <f t="shared" si="5"/>
        <v>#N/A</v>
      </c>
      <c r="AV30" t="e">
        <f t="shared" si="6"/>
        <v>#N/A</v>
      </c>
      <c r="BA30" s="123"/>
      <c r="BB30" s="123"/>
      <c r="BC30" s="123"/>
      <c r="BD30" s="2997"/>
      <c r="BE30" s="123"/>
      <c r="BF30" s="2998"/>
      <c r="BG30" s="2999"/>
      <c r="BH30" s="3005"/>
      <c r="BI30" s="3000"/>
      <c r="BJ30" s="3001"/>
      <c r="BK30" s="3010"/>
      <c r="BL30" s="3011"/>
      <c r="BM30" s="3012"/>
    </row>
    <row r="31" spans="1:65" ht="54" customHeight="1" x14ac:dyDescent="0.25">
      <c r="A31" s="2824"/>
      <c r="B31" s="2564" t="s">
        <v>419</v>
      </c>
      <c r="C31" s="2141" t="s">
        <v>420</v>
      </c>
      <c r="D31" s="2564" t="s">
        <v>421</v>
      </c>
      <c r="E31" s="2564"/>
      <c r="F31" s="2564"/>
      <c r="G31" s="2564" t="s">
        <v>27</v>
      </c>
      <c r="H31" s="1805" t="s">
        <v>8786</v>
      </c>
      <c r="I31" s="1837" t="s">
        <v>8787</v>
      </c>
      <c r="J31" s="1805" t="str">
        <f>"7-DaHall 1-"&amp;N31&amp;"-"&amp;M31&amp;"-"&amp;O31</f>
        <v>7-DaHall 1-A-4-35-50</v>
      </c>
      <c r="K31" s="1837" t="str">
        <f>"7-DaHall 1-"&amp;R31&amp;"-"&amp;Q31&amp;"-"&amp;S31</f>
        <v>7-DaHall 1-B-4-35-50</v>
      </c>
      <c r="L31" s="1807">
        <v>48</v>
      </c>
      <c r="M31" s="1808">
        <v>35</v>
      </c>
      <c r="N31" s="2594" t="s">
        <v>233</v>
      </c>
      <c r="O31" s="1809">
        <v>50</v>
      </c>
      <c r="P31" s="1847">
        <v>48</v>
      </c>
      <c r="Q31" s="1848">
        <v>35</v>
      </c>
      <c r="R31" s="2578" t="s">
        <v>234</v>
      </c>
      <c r="S31" s="1838">
        <v>50</v>
      </c>
      <c r="T31" s="2594" t="s">
        <v>422</v>
      </c>
      <c r="U31" s="2578" t="s">
        <v>423</v>
      </c>
      <c r="V31" s="2828" t="s">
        <v>237</v>
      </c>
      <c r="W31" s="2827" t="s">
        <v>238</v>
      </c>
      <c r="X31" s="2146" t="s">
        <v>47</v>
      </c>
      <c r="Y31" s="903" t="s">
        <v>48</v>
      </c>
      <c r="Z31" s="2146" t="s">
        <v>49</v>
      </c>
      <c r="AA31" s="903" t="s">
        <v>50</v>
      </c>
      <c r="AB31" s="2146" t="s">
        <v>51</v>
      </c>
      <c r="AC31" s="903" t="s">
        <v>52</v>
      </c>
      <c r="AD31" s="2146" t="s">
        <v>30</v>
      </c>
      <c r="AE31" s="903" t="s">
        <v>35</v>
      </c>
      <c r="AF31" s="2146" t="s">
        <v>31</v>
      </c>
      <c r="AG31" s="903" t="s">
        <v>36</v>
      </c>
      <c r="AH31" s="675"/>
      <c r="AI31" s="676"/>
      <c r="AJ31" s="2915"/>
      <c r="AK31" s="2916"/>
      <c r="AL31" s="2819"/>
      <c r="AM31" s="3240" t="e">
        <f>VLOOKUP(J31&amp;K31,'7층~4층_매핑테이블'!$Y$6:$AF$2020,8,0)</f>
        <v>#N/A</v>
      </c>
      <c r="AN31" s="3229">
        <f t="shared" si="2"/>
        <v>0</v>
      </c>
      <c r="AO31" s="2597"/>
      <c r="AP31" s="2599"/>
      <c r="AR31" s="2351">
        <f t="shared" si="3"/>
        <v>0</v>
      </c>
      <c r="AS31" s="2351">
        <f t="shared" si="4"/>
        <v>0</v>
      </c>
      <c r="AT31" s="123" t="str">
        <f t="shared" si="8"/>
        <v>미사용 랙</v>
      </c>
      <c r="AU31" t="str">
        <f t="shared" si="5"/>
        <v/>
      </c>
      <c r="AV31" t="str">
        <f t="shared" si="6"/>
        <v/>
      </c>
      <c r="BA31" s="123"/>
      <c r="BB31" s="123"/>
      <c r="BC31" s="123"/>
      <c r="BD31" s="2997"/>
      <c r="BE31" s="123"/>
      <c r="BF31" s="2998"/>
      <c r="BG31" s="2999"/>
      <c r="BH31" s="3005"/>
      <c r="BI31" s="3000"/>
      <c r="BJ31" s="3001"/>
      <c r="BK31" s="3010"/>
      <c r="BL31" s="3011"/>
      <c r="BM31" s="3012"/>
    </row>
    <row r="32" spans="1:65" ht="54" customHeight="1" x14ac:dyDescent="0.25">
      <c r="A32" s="2824"/>
      <c r="B32" s="2564" t="s">
        <v>414</v>
      </c>
      <c r="C32" s="2141" t="s">
        <v>415</v>
      </c>
      <c r="D32" s="2564" t="s">
        <v>416</v>
      </c>
      <c r="E32" s="2564"/>
      <c r="F32" s="2564"/>
      <c r="G32" s="2564" t="s">
        <v>27</v>
      </c>
      <c r="H32" s="1805" t="s">
        <v>8788</v>
      </c>
      <c r="I32" s="1837" t="s">
        <v>8789</v>
      </c>
      <c r="J32" s="1805" t="str">
        <f t="shared" ref="J32:J58" si="12">"7-DaHall 1-"&amp;N32&amp;"-"&amp;M32&amp;"-"&amp;O32</f>
        <v>7-DaHall 1-A-4-50-46</v>
      </c>
      <c r="K32" s="1837" t="str">
        <f t="shared" ref="K32:K58" si="13">"7-DaHall 1-"&amp;R32&amp;"-"&amp;Q32&amp;"-"&amp;S32</f>
        <v>7-DaHall 1-B-4-50-49</v>
      </c>
      <c r="L32" s="1807">
        <v>48</v>
      </c>
      <c r="M32" s="1808">
        <v>50</v>
      </c>
      <c r="N32" s="2594" t="s">
        <v>233</v>
      </c>
      <c r="O32" s="1809">
        <v>46</v>
      </c>
      <c r="P32" s="1847">
        <v>48</v>
      </c>
      <c r="Q32" s="1848">
        <v>50</v>
      </c>
      <c r="R32" s="2578" t="s">
        <v>234</v>
      </c>
      <c r="S32" s="1838">
        <v>49</v>
      </c>
      <c r="T32" s="2594" t="s">
        <v>417</v>
      </c>
      <c r="U32" s="2578" t="s">
        <v>418</v>
      </c>
      <c r="V32" s="2828" t="s">
        <v>237</v>
      </c>
      <c r="W32" s="2827" t="s">
        <v>238</v>
      </c>
      <c r="X32" s="2146" t="s">
        <v>47</v>
      </c>
      <c r="Y32" s="903" t="s">
        <v>48</v>
      </c>
      <c r="Z32" s="2146" t="s">
        <v>49</v>
      </c>
      <c r="AA32" s="903" t="s">
        <v>50</v>
      </c>
      <c r="AB32" s="2146" t="s">
        <v>51</v>
      </c>
      <c r="AC32" s="903" t="s">
        <v>52</v>
      </c>
      <c r="AD32" s="2146" t="s">
        <v>30</v>
      </c>
      <c r="AE32" s="903" t="s">
        <v>35</v>
      </c>
      <c r="AF32" s="2146" t="s">
        <v>31</v>
      </c>
      <c r="AG32" s="903" t="s">
        <v>36</v>
      </c>
      <c r="AH32" s="675"/>
      <c r="AI32" s="676"/>
      <c r="AJ32" s="2915"/>
      <c r="AK32" s="2916"/>
      <c r="AL32" s="2819"/>
      <c r="AM32" s="3240" t="e">
        <f>VLOOKUP(J32&amp;K32,'7층~4층_매핑테이블'!$Y$6:$AF$2020,8,0)</f>
        <v>#N/A</v>
      </c>
      <c r="AN32" s="3229">
        <f t="shared" si="2"/>
        <v>0</v>
      </c>
      <c r="AO32" s="2597"/>
      <c r="AP32" s="2599"/>
      <c r="AR32" s="2351">
        <f t="shared" si="3"/>
        <v>0</v>
      </c>
      <c r="AS32" s="2351">
        <f t="shared" si="4"/>
        <v>0</v>
      </c>
      <c r="AT32" s="123" t="str">
        <f t="shared" si="8"/>
        <v>미사용 랙</v>
      </c>
      <c r="AU32" t="str">
        <f t="shared" si="5"/>
        <v/>
      </c>
      <c r="AV32" t="str">
        <f t="shared" si="6"/>
        <v/>
      </c>
      <c r="BA32" s="123"/>
      <c r="BB32" s="123"/>
      <c r="BC32" s="123"/>
      <c r="BD32" s="2997"/>
      <c r="BE32" s="123"/>
      <c r="BF32" s="2998"/>
      <c r="BG32" s="2999"/>
      <c r="BH32" s="3005"/>
      <c r="BI32" s="3000"/>
      <c r="BJ32" s="3001"/>
      <c r="BK32" s="3010"/>
      <c r="BL32" s="3011"/>
      <c r="BM32" s="3012"/>
    </row>
    <row r="33" spans="1:65" ht="27" customHeight="1" x14ac:dyDescent="0.25">
      <c r="A33" s="2824"/>
      <c r="B33" s="2564" t="s">
        <v>409</v>
      </c>
      <c r="C33" s="2141" t="s">
        <v>410</v>
      </c>
      <c r="D33" s="2564" t="s">
        <v>411</v>
      </c>
      <c r="E33" s="2564"/>
      <c r="F33" s="2564"/>
      <c r="G33" s="2564" t="s">
        <v>27</v>
      </c>
      <c r="H33" s="1805" t="s">
        <v>8790</v>
      </c>
      <c r="I33" s="1837" t="s">
        <v>8791</v>
      </c>
      <c r="J33" s="1805" t="str">
        <f t="shared" si="12"/>
        <v>7-DaHall 1-A-4-35-54</v>
      </c>
      <c r="K33" s="1837" t="str">
        <f t="shared" si="13"/>
        <v>7-DaHall 1-B-4-35-54</v>
      </c>
      <c r="L33" s="1807">
        <v>48</v>
      </c>
      <c r="M33" s="1808">
        <v>35</v>
      </c>
      <c r="N33" s="2594" t="s">
        <v>233</v>
      </c>
      <c r="O33" s="1809">
        <v>54</v>
      </c>
      <c r="P33" s="1847">
        <v>48</v>
      </c>
      <c r="Q33" s="1848">
        <v>35</v>
      </c>
      <c r="R33" s="2578" t="s">
        <v>234</v>
      </c>
      <c r="S33" s="1838">
        <v>54</v>
      </c>
      <c r="T33" s="2594" t="s">
        <v>412</v>
      </c>
      <c r="U33" s="2578" t="s">
        <v>413</v>
      </c>
      <c r="V33" s="2828" t="s">
        <v>237</v>
      </c>
      <c r="W33" s="2827" t="s">
        <v>238</v>
      </c>
      <c r="X33" s="2146" t="s">
        <v>47</v>
      </c>
      <c r="Y33" s="903" t="s">
        <v>48</v>
      </c>
      <c r="Z33" s="2146" t="s">
        <v>49</v>
      </c>
      <c r="AA33" s="903" t="s">
        <v>50</v>
      </c>
      <c r="AB33" s="2146" t="s">
        <v>51</v>
      </c>
      <c r="AC33" s="903" t="s">
        <v>52</v>
      </c>
      <c r="AD33" s="2146" t="s">
        <v>30</v>
      </c>
      <c r="AE33" s="903" t="s">
        <v>35</v>
      </c>
      <c r="AF33" s="2146" t="s">
        <v>31</v>
      </c>
      <c r="AG33" s="903" t="s">
        <v>36</v>
      </c>
      <c r="AH33" s="675"/>
      <c r="AI33" s="676"/>
      <c r="AJ33" s="2915"/>
      <c r="AK33" s="2916"/>
      <c r="AL33" s="2819"/>
      <c r="AM33" s="3240" t="e">
        <f>VLOOKUP(J33&amp;K33,'7층~4층_매핑테이블'!$Y$6:$AF$2020,8,0)</f>
        <v>#N/A</v>
      </c>
      <c r="AN33" s="3229">
        <f t="shared" si="2"/>
        <v>0</v>
      </c>
      <c r="AO33" s="2597"/>
      <c r="AP33" s="2599"/>
      <c r="AR33" s="2351">
        <f t="shared" si="3"/>
        <v>0</v>
      </c>
      <c r="AS33" s="2351">
        <f t="shared" si="4"/>
        <v>0</v>
      </c>
      <c r="AT33" s="123" t="str">
        <f t="shared" si="8"/>
        <v>미사용 랙</v>
      </c>
      <c r="AU33" t="str">
        <f t="shared" si="5"/>
        <v/>
      </c>
      <c r="AV33" t="str">
        <f t="shared" si="6"/>
        <v/>
      </c>
      <c r="BA33" s="123"/>
      <c r="BB33" s="123"/>
      <c r="BC33" s="123"/>
      <c r="BD33" s="2997"/>
      <c r="BE33" s="123"/>
      <c r="BF33" s="2998"/>
      <c r="BG33" s="2999"/>
      <c r="BH33" s="3005"/>
      <c r="BI33" s="3000"/>
      <c r="BJ33" s="3001"/>
      <c r="BK33" s="3010"/>
      <c r="BL33" s="3011"/>
      <c r="BM33" s="3012"/>
    </row>
    <row r="34" spans="1:65" ht="33" customHeight="1" thickBot="1" x14ac:dyDescent="0.3">
      <c r="A34" s="2806"/>
      <c r="B34" s="2595" t="s">
        <v>279</v>
      </c>
      <c r="C34" s="2142" t="s">
        <v>280</v>
      </c>
      <c r="D34" s="2595" t="s">
        <v>281</v>
      </c>
      <c r="E34" s="2595"/>
      <c r="F34" s="2595"/>
      <c r="G34" s="2595" t="s">
        <v>27</v>
      </c>
      <c r="H34" s="1813" t="s">
        <v>8792</v>
      </c>
      <c r="I34" s="1849" t="s">
        <v>8793</v>
      </c>
      <c r="J34" s="1813" t="str">
        <f t="shared" si="12"/>
        <v>7-DaHall 1-A-4-50-26</v>
      </c>
      <c r="K34" s="1849" t="str">
        <f t="shared" si="13"/>
        <v>7-DaHall 1-B-4-50-26</v>
      </c>
      <c r="L34" s="1807">
        <v>48</v>
      </c>
      <c r="M34" s="1808">
        <v>50</v>
      </c>
      <c r="N34" s="890" t="s">
        <v>233</v>
      </c>
      <c r="O34" s="1817">
        <v>26</v>
      </c>
      <c r="P34" s="1847">
        <v>48</v>
      </c>
      <c r="Q34" s="1848">
        <v>50</v>
      </c>
      <c r="R34" s="892" t="s">
        <v>234</v>
      </c>
      <c r="S34" s="1850">
        <v>26</v>
      </c>
      <c r="T34" s="890" t="s">
        <v>282</v>
      </c>
      <c r="U34" s="892" t="s">
        <v>283</v>
      </c>
      <c r="V34" s="2828" t="s">
        <v>237</v>
      </c>
      <c r="W34" s="2827" t="s">
        <v>238</v>
      </c>
      <c r="X34" s="2146" t="s">
        <v>47</v>
      </c>
      <c r="Y34" s="903" t="s">
        <v>48</v>
      </c>
      <c r="Z34" s="2146" t="s">
        <v>49</v>
      </c>
      <c r="AA34" s="903" t="s">
        <v>50</v>
      </c>
      <c r="AB34" s="2146" t="s">
        <v>51</v>
      </c>
      <c r="AC34" s="903" t="s">
        <v>52</v>
      </c>
      <c r="AD34" s="2146" t="s">
        <v>30</v>
      </c>
      <c r="AE34" s="903" t="s">
        <v>35</v>
      </c>
      <c r="AF34" s="2146" t="s">
        <v>31</v>
      </c>
      <c r="AG34" s="903" t="s">
        <v>36</v>
      </c>
      <c r="AH34" s="677"/>
      <c r="AI34" s="678"/>
      <c r="AJ34" s="1307"/>
      <c r="AK34" s="2916"/>
      <c r="AL34" s="2819"/>
      <c r="AM34" s="3240" t="e">
        <f>VLOOKUP(J34&amp;K34,'7층~4층_매핑테이블'!$Y$6:$AF$2020,8,0)</f>
        <v>#N/A</v>
      </c>
      <c r="AN34" s="3229">
        <f t="shared" si="2"/>
        <v>0</v>
      </c>
      <c r="AO34" s="2598"/>
      <c r="AP34" s="679"/>
      <c r="AR34" s="2351">
        <f t="shared" si="3"/>
        <v>0</v>
      </c>
      <c r="AS34" s="2351">
        <f t="shared" si="4"/>
        <v>0</v>
      </c>
      <c r="AT34" s="123" t="str">
        <f t="shared" si="8"/>
        <v>미사용 랙</v>
      </c>
      <c r="AU34" t="str">
        <f t="shared" si="5"/>
        <v/>
      </c>
      <c r="AV34" t="str">
        <f t="shared" si="6"/>
        <v/>
      </c>
      <c r="BA34" s="123"/>
      <c r="BB34" s="123"/>
      <c r="BC34" s="123"/>
      <c r="BD34" s="2997"/>
      <c r="BE34" s="123"/>
      <c r="BF34" s="2998"/>
      <c r="BG34" s="2999"/>
      <c r="BH34" s="3005"/>
      <c r="BI34" s="3000"/>
      <c r="BJ34" s="3001"/>
      <c r="BK34" s="3010"/>
      <c r="BL34" s="3011"/>
      <c r="BM34" s="3012"/>
    </row>
    <row r="35" spans="1:65" ht="33.75" customHeight="1" x14ac:dyDescent="0.25">
      <c r="A35" s="2824"/>
      <c r="B35" s="2564" t="s">
        <v>274</v>
      </c>
      <c r="C35" s="2141" t="s">
        <v>275</v>
      </c>
      <c r="D35" s="2564" t="s">
        <v>276</v>
      </c>
      <c r="E35" s="2564"/>
      <c r="F35" s="2564"/>
      <c r="G35" s="2564" t="s">
        <v>27</v>
      </c>
      <c r="H35" s="1805" t="s">
        <v>8794</v>
      </c>
      <c r="I35" s="1837" t="s">
        <v>8795</v>
      </c>
      <c r="J35" s="1805" t="str">
        <f t="shared" si="12"/>
        <v>7-DaHall 1-A-4-50-28</v>
      </c>
      <c r="K35" s="1837" t="str">
        <f t="shared" si="13"/>
        <v>7-DaHall 1-B-4-50-28</v>
      </c>
      <c r="L35" s="1807">
        <v>48</v>
      </c>
      <c r="M35" s="1808">
        <v>50</v>
      </c>
      <c r="N35" s="2594" t="s">
        <v>233</v>
      </c>
      <c r="O35" s="1809">
        <v>28</v>
      </c>
      <c r="P35" s="1847">
        <v>48</v>
      </c>
      <c r="Q35" s="1848">
        <v>50</v>
      </c>
      <c r="R35" s="2578" t="s">
        <v>234</v>
      </c>
      <c r="S35" s="1838">
        <v>28</v>
      </c>
      <c r="T35" s="2594" t="s">
        <v>277</v>
      </c>
      <c r="U35" s="2578" t="s">
        <v>278</v>
      </c>
      <c r="V35" s="2828" t="s">
        <v>237</v>
      </c>
      <c r="W35" s="2827" t="s">
        <v>238</v>
      </c>
      <c r="X35" s="2146" t="s">
        <v>47</v>
      </c>
      <c r="Y35" s="903" t="s">
        <v>48</v>
      </c>
      <c r="Z35" s="2146" t="s">
        <v>49</v>
      </c>
      <c r="AA35" s="903" t="s">
        <v>50</v>
      </c>
      <c r="AB35" s="2146" t="s">
        <v>51</v>
      </c>
      <c r="AC35" s="903" t="s">
        <v>52</v>
      </c>
      <c r="AD35" s="2146" t="s">
        <v>30</v>
      </c>
      <c r="AE35" s="903" t="s">
        <v>35</v>
      </c>
      <c r="AF35" s="2146" t="s">
        <v>31</v>
      </c>
      <c r="AG35" s="903" t="s">
        <v>36</v>
      </c>
      <c r="AH35" s="675"/>
      <c r="AI35" s="676"/>
      <c r="AJ35" s="2915"/>
      <c r="AK35" s="2916"/>
      <c r="AL35" s="2819"/>
      <c r="AM35" s="3240" t="e">
        <f>VLOOKUP(J35&amp;K35,'7층~4층_매핑테이블'!$Y$6:$AF$2020,8,0)</f>
        <v>#N/A</v>
      </c>
      <c r="AN35" s="3229">
        <f t="shared" si="2"/>
        <v>0</v>
      </c>
      <c r="AO35" s="2597"/>
      <c r="AP35" s="2599"/>
      <c r="AR35" s="2351">
        <f t="shared" si="3"/>
        <v>0</v>
      </c>
      <c r="AS35" s="2351">
        <f t="shared" si="4"/>
        <v>0</v>
      </c>
      <c r="AT35" s="123" t="str">
        <f t="shared" si="8"/>
        <v>미사용 랙</v>
      </c>
      <c r="AU35" t="str">
        <f t="shared" si="5"/>
        <v/>
      </c>
      <c r="AV35" t="str">
        <f t="shared" si="6"/>
        <v/>
      </c>
      <c r="BA35" s="123"/>
      <c r="BB35" s="123"/>
      <c r="BC35" s="123"/>
      <c r="BD35" s="2997"/>
      <c r="BE35" s="123"/>
      <c r="BF35" s="2998"/>
      <c r="BG35" s="2999"/>
      <c r="BH35" s="3005"/>
      <c r="BI35" s="3000"/>
      <c r="BJ35" s="3001"/>
      <c r="BK35" s="3010"/>
      <c r="BL35" s="3011"/>
      <c r="BM35" s="3012"/>
    </row>
    <row r="36" spans="1:65" ht="46.8" x14ac:dyDescent="0.25">
      <c r="A36" s="2824"/>
      <c r="B36" s="2564" t="s">
        <v>270</v>
      </c>
      <c r="C36" s="1155" t="s">
        <v>271</v>
      </c>
      <c r="D36" s="2564" t="s">
        <v>9249</v>
      </c>
      <c r="E36" s="2960">
        <v>1.6</v>
      </c>
      <c r="F36" s="2564" t="s">
        <v>27</v>
      </c>
      <c r="G36" s="2564"/>
      <c r="H36" s="1825" t="s">
        <v>8796</v>
      </c>
      <c r="I36" s="1833" t="s">
        <v>8797</v>
      </c>
      <c r="J36" s="1825" t="str">
        <f t="shared" si="12"/>
        <v>7-DaHall 1-PDU-01-30-9</v>
      </c>
      <c r="K36" s="1833" t="str">
        <f t="shared" si="13"/>
        <v>7-DaHall 1-PDU-02-30-9</v>
      </c>
      <c r="L36" s="1827">
        <v>220</v>
      </c>
      <c r="M36" s="1828">
        <v>30</v>
      </c>
      <c r="N36" s="703" t="s">
        <v>8749</v>
      </c>
      <c r="O36" s="1829">
        <v>9</v>
      </c>
      <c r="P36" s="1834">
        <v>220</v>
      </c>
      <c r="Q36" s="1835">
        <v>30</v>
      </c>
      <c r="R36" s="687" t="s">
        <v>8750</v>
      </c>
      <c r="S36" s="1836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46" t="s">
        <v>164</v>
      </c>
      <c r="AC36" s="903" t="s">
        <v>165</v>
      </c>
      <c r="AD36" s="2146" t="s">
        <v>110</v>
      </c>
      <c r="AE36" s="903" t="s">
        <v>111</v>
      </c>
      <c r="AF36" s="2146" t="s">
        <v>31</v>
      </c>
      <c r="AG36" s="903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298">
        <f t="shared" ref="AJ36:AJ37" si="14">AH36+AI36</f>
        <v>0</v>
      </c>
      <c r="AK36" s="2816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817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3240">
        <f>VLOOKUP(J36&amp;K36,'7층~4층_매핑테이블'!$Y$6:$AF$2020,8,0)</f>
        <v>2.931</v>
      </c>
      <c r="AN36" s="3230" t="e">
        <f t="shared" si="2"/>
        <v>#N/A</v>
      </c>
      <c r="AO36" s="2597" t="s">
        <v>121</v>
      </c>
      <c r="AP36" s="2599"/>
      <c r="AR36" s="2351" t="e">
        <f t="shared" si="3"/>
        <v>#N/A</v>
      </c>
      <c r="AS36" s="2351" t="e">
        <f t="shared" si="4"/>
        <v>#N/A</v>
      </c>
      <c r="AT36" s="123" t="e">
        <f>IF(SIGN(AS36)&gt;=0,IF(AN36=0,"무부하 랙","적정함"),"사용초과")</f>
        <v>#N/A</v>
      </c>
      <c r="AU36" t="e">
        <f t="shared" si="5"/>
        <v>#N/A</v>
      </c>
      <c r="AV36" t="e">
        <f t="shared" si="6"/>
        <v>#N/A</v>
      </c>
      <c r="BA36" s="123"/>
      <c r="BB36" s="123"/>
      <c r="BC36" s="123"/>
      <c r="BD36" s="2997"/>
      <c r="BE36" s="123"/>
      <c r="BF36" s="2998"/>
      <c r="BG36" s="2999"/>
      <c r="BH36" s="3005"/>
      <c r="BI36" s="3000"/>
      <c r="BJ36" s="3001"/>
      <c r="BK36" s="3010"/>
      <c r="BL36" s="3011"/>
      <c r="BM36" s="3012"/>
    </row>
    <row r="37" spans="1:65" ht="27" customHeight="1" x14ac:dyDescent="0.25">
      <c r="A37" s="2824"/>
      <c r="B37" s="2564" t="s">
        <v>266</v>
      </c>
      <c r="C37" s="1155" t="s">
        <v>267</v>
      </c>
      <c r="D37" s="2564" t="s">
        <v>9249</v>
      </c>
      <c r="E37" s="2960">
        <v>1.6</v>
      </c>
      <c r="F37" s="2564" t="s">
        <v>27</v>
      </c>
      <c r="G37" s="2564"/>
      <c r="H37" s="1825" t="s">
        <v>8798</v>
      </c>
      <c r="I37" s="1833" t="s">
        <v>8799</v>
      </c>
      <c r="J37" s="1825" t="str">
        <f t="shared" si="12"/>
        <v>7-DaHall 1-PDU-01-30-7</v>
      </c>
      <c r="K37" s="1833" t="str">
        <f t="shared" si="13"/>
        <v>7-DaHall 1-PDU-02-30-7</v>
      </c>
      <c r="L37" s="1827">
        <v>220</v>
      </c>
      <c r="M37" s="1828">
        <v>30</v>
      </c>
      <c r="N37" s="703" t="s">
        <v>8749</v>
      </c>
      <c r="O37" s="1829">
        <v>7</v>
      </c>
      <c r="P37" s="1834">
        <v>220</v>
      </c>
      <c r="Q37" s="1835">
        <v>30</v>
      </c>
      <c r="R37" s="687" t="s">
        <v>8750</v>
      </c>
      <c r="S37" s="1836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46" t="s">
        <v>164</v>
      </c>
      <c r="AC37" s="903" t="s">
        <v>165</v>
      </c>
      <c r="AD37" s="2146" t="s">
        <v>110</v>
      </c>
      <c r="AE37" s="903" t="s">
        <v>111</v>
      </c>
      <c r="AF37" s="2146" t="s">
        <v>31</v>
      </c>
      <c r="AG37" s="903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298">
        <f t="shared" si="14"/>
        <v>0</v>
      </c>
      <c r="AK37" s="2816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817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3240">
        <f>VLOOKUP(J37&amp;K37,'7층~4층_매핑테이블'!$Y$6:$AF$2020,8,0)</f>
        <v>2.694</v>
      </c>
      <c r="AN37" s="3230" t="e">
        <f t="shared" si="2"/>
        <v>#N/A</v>
      </c>
      <c r="AO37" s="2597" t="s">
        <v>121</v>
      </c>
      <c r="AP37" s="2599"/>
      <c r="AR37" s="2351" t="e">
        <f t="shared" si="3"/>
        <v>#N/A</v>
      </c>
      <c r="AS37" s="2351" t="e">
        <f t="shared" si="4"/>
        <v>#N/A</v>
      </c>
      <c r="AT37" s="123" t="e">
        <f>IF(SIGN(AS37)&gt;=0,IF(AN37=0,"무부하 랙","적정함"),"사용초과")</f>
        <v>#N/A</v>
      </c>
      <c r="AU37" t="e">
        <f t="shared" si="5"/>
        <v>#N/A</v>
      </c>
      <c r="AV37" t="e">
        <f t="shared" si="6"/>
        <v>#N/A</v>
      </c>
      <c r="BA37" s="123"/>
      <c r="BB37" s="123"/>
      <c r="BC37" s="123"/>
      <c r="BD37" s="2997"/>
      <c r="BE37" s="123"/>
      <c r="BF37" s="2998"/>
      <c r="BG37" s="2999"/>
      <c r="BH37" s="3005"/>
      <c r="BI37" s="3000"/>
      <c r="BJ37" s="3001"/>
      <c r="BK37" s="3010"/>
      <c r="BL37" s="3011"/>
      <c r="BM37" s="3012"/>
    </row>
    <row r="38" spans="1:65" ht="54" customHeight="1" x14ac:dyDescent="0.25">
      <c r="A38" s="2824"/>
      <c r="B38" s="3362" t="s">
        <v>259</v>
      </c>
      <c r="C38" s="3373" t="s">
        <v>260</v>
      </c>
      <c r="D38" s="3362" t="s">
        <v>261</v>
      </c>
      <c r="E38" s="2569"/>
      <c r="F38" s="2564"/>
      <c r="G38" s="2564" t="s">
        <v>27</v>
      </c>
      <c r="H38" s="1805" t="s">
        <v>8800</v>
      </c>
      <c r="I38" s="1837" t="s">
        <v>8801</v>
      </c>
      <c r="J38" s="1805" t="str">
        <f t="shared" si="12"/>
        <v>7-DaHall 1-A-4-50-27</v>
      </c>
      <c r="K38" s="1837" t="str">
        <f t="shared" si="13"/>
        <v>7-DaHall 1-B-4-50-57</v>
      </c>
      <c r="L38" s="1807">
        <v>48</v>
      </c>
      <c r="M38" s="1808">
        <v>50</v>
      </c>
      <c r="N38" s="2594" t="s">
        <v>233</v>
      </c>
      <c r="O38" s="1809">
        <v>27</v>
      </c>
      <c r="P38" s="1847">
        <v>48</v>
      </c>
      <c r="Q38" s="1848">
        <v>50</v>
      </c>
      <c r="R38" s="2578" t="s">
        <v>234</v>
      </c>
      <c r="S38" s="1838">
        <v>57</v>
      </c>
      <c r="T38" s="2594" t="s">
        <v>262</v>
      </c>
      <c r="U38" s="2578" t="s">
        <v>263</v>
      </c>
      <c r="V38" s="2828" t="s">
        <v>237</v>
      </c>
      <c r="W38" s="2827" t="s">
        <v>238</v>
      </c>
      <c r="X38" s="2146" t="s">
        <v>47</v>
      </c>
      <c r="Y38" s="903" t="s">
        <v>48</v>
      </c>
      <c r="Z38" s="2146" t="s">
        <v>49</v>
      </c>
      <c r="AA38" s="903" t="s">
        <v>50</v>
      </c>
      <c r="AB38" s="2146" t="s">
        <v>51</v>
      </c>
      <c r="AC38" s="903" t="s">
        <v>52</v>
      </c>
      <c r="AD38" s="2146" t="s">
        <v>30</v>
      </c>
      <c r="AE38" s="903" t="s">
        <v>35</v>
      </c>
      <c r="AF38" s="2146" t="s">
        <v>31</v>
      </c>
      <c r="AG38" s="903" t="s">
        <v>36</v>
      </c>
      <c r="AH38" s="685"/>
      <c r="AI38" s="686"/>
      <c r="AJ38" s="2915"/>
      <c r="AK38" s="2916"/>
      <c r="AL38" s="2819"/>
      <c r="AM38" s="3240" t="e">
        <f>VLOOKUP(J38&amp;K38,'7층~4층_매핑테이블'!$Y$6:$AF$2020,8,0)</f>
        <v>#N/A</v>
      </c>
      <c r="AN38" s="3229">
        <f t="shared" si="2"/>
        <v>0</v>
      </c>
      <c r="AO38" s="2597"/>
      <c r="AP38" s="2830" t="s">
        <v>197</v>
      </c>
      <c r="AR38" s="2351">
        <f t="shared" si="3"/>
        <v>0</v>
      </c>
      <c r="AS38" s="2351">
        <f t="shared" si="4"/>
        <v>0</v>
      </c>
      <c r="AT38" s="123" t="str">
        <f t="shared" si="8"/>
        <v>미사용 랙</v>
      </c>
      <c r="AU38" t="str">
        <f t="shared" si="5"/>
        <v/>
      </c>
      <c r="AV38" t="str">
        <f t="shared" si="6"/>
        <v/>
      </c>
      <c r="BA38" s="123"/>
      <c r="BB38" s="123"/>
      <c r="BC38" s="123"/>
      <c r="BD38" s="2997"/>
      <c r="BE38" s="123"/>
      <c r="BF38" s="2998"/>
      <c r="BG38" s="2999"/>
      <c r="BH38" s="3005"/>
      <c r="BI38" s="3000"/>
      <c r="BJ38" s="3001"/>
      <c r="BK38" s="3010"/>
      <c r="BL38" s="3011"/>
      <c r="BM38" s="3012"/>
    </row>
    <row r="39" spans="1:65" ht="54" customHeight="1" x14ac:dyDescent="0.25">
      <c r="A39" s="2824"/>
      <c r="B39" s="3363"/>
      <c r="C39" s="3374"/>
      <c r="D39" s="3363"/>
      <c r="E39" s="2570"/>
      <c r="F39" s="2564"/>
      <c r="G39" s="2564" t="s">
        <v>27</v>
      </c>
      <c r="H39" s="1805" t="s">
        <v>8802</v>
      </c>
      <c r="I39" s="1837" t="s">
        <v>8803</v>
      </c>
      <c r="J39" s="1805" t="str">
        <f t="shared" si="12"/>
        <v>7-DaHall 1-A-4-50-33</v>
      </c>
      <c r="K39" s="1837" t="str">
        <f t="shared" si="13"/>
        <v>7-DaHall 1-B-4-50-33</v>
      </c>
      <c r="L39" s="1807">
        <v>48</v>
      </c>
      <c r="M39" s="1808">
        <v>50</v>
      </c>
      <c r="N39" s="2594" t="s">
        <v>233</v>
      </c>
      <c r="O39" s="1809">
        <v>33</v>
      </c>
      <c r="P39" s="1847">
        <v>48</v>
      </c>
      <c r="Q39" s="1848">
        <v>50</v>
      </c>
      <c r="R39" s="2578" t="s">
        <v>234</v>
      </c>
      <c r="S39" s="1838">
        <v>33</v>
      </c>
      <c r="T39" s="2594" t="s">
        <v>264</v>
      </c>
      <c r="U39" s="2578" t="s">
        <v>265</v>
      </c>
      <c r="V39" s="2828" t="s">
        <v>237</v>
      </c>
      <c r="W39" s="2827" t="s">
        <v>238</v>
      </c>
      <c r="X39" s="2146" t="s">
        <v>47</v>
      </c>
      <c r="Y39" s="903" t="s">
        <v>48</v>
      </c>
      <c r="Z39" s="2146" t="s">
        <v>49</v>
      </c>
      <c r="AA39" s="903" t="s">
        <v>50</v>
      </c>
      <c r="AB39" s="2146" t="s">
        <v>51</v>
      </c>
      <c r="AC39" s="903" t="s">
        <v>52</v>
      </c>
      <c r="AD39" s="2146" t="s">
        <v>30</v>
      </c>
      <c r="AE39" s="903" t="s">
        <v>35</v>
      </c>
      <c r="AF39" s="2146" t="s">
        <v>31</v>
      </c>
      <c r="AG39" s="903" t="s">
        <v>36</v>
      </c>
      <c r="AH39" s="685"/>
      <c r="AI39" s="686"/>
      <c r="AJ39" s="2915"/>
      <c r="AK39" s="2916"/>
      <c r="AL39" s="2819"/>
      <c r="AM39" s="3240" t="e">
        <f>VLOOKUP(J39&amp;K39,'7층~4층_매핑테이블'!$Y$6:$AF$2020,8,0)</f>
        <v>#N/A</v>
      </c>
      <c r="AN39" s="3229">
        <f t="shared" si="2"/>
        <v>0</v>
      </c>
      <c r="AO39" s="2597"/>
      <c r="AP39" s="2831"/>
      <c r="AR39" s="2351">
        <f t="shared" si="3"/>
        <v>0</v>
      </c>
      <c r="AS39" s="2351">
        <f t="shared" si="4"/>
        <v>0</v>
      </c>
      <c r="AT39" s="123" t="str">
        <f t="shared" si="8"/>
        <v>미사용 랙</v>
      </c>
      <c r="AU39" t="str">
        <f t="shared" si="5"/>
        <v/>
      </c>
      <c r="AV39" t="str">
        <f t="shared" si="6"/>
        <v/>
      </c>
      <c r="BA39" s="123"/>
      <c r="BB39" s="123"/>
      <c r="BC39" s="123"/>
      <c r="BD39" s="2997"/>
      <c r="BE39" s="123"/>
      <c r="BF39" s="2998"/>
      <c r="BG39" s="2999"/>
      <c r="BH39" s="3005"/>
      <c r="BI39" s="3000"/>
      <c r="BJ39" s="3001"/>
      <c r="BK39" s="3010"/>
      <c r="BL39" s="3011"/>
      <c r="BM39" s="3012"/>
    </row>
    <row r="40" spans="1:65" ht="54" customHeight="1" x14ac:dyDescent="0.25">
      <c r="A40" s="2824"/>
      <c r="B40" s="3362" t="s">
        <v>249</v>
      </c>
      <c r="C40" s="3373" t="s">
        <v>250</v>
      </c>
      <c r="D40" s="3362" t="s">
        <v>251</v>
      </c>
      <c r="E40" s="2569"/>
      <c r="F40" s="2564"/>
      <c r="G40" s="2564" t="s">
        <v>27</v>
      </c>
      <c r="H40" s="1805" t="s">
        <v>8804</v>
      </c>
      <c r="I40" s="1837" t="s">
        <v>8805</v>
      </c>
      <c r="J40" s="1805" t="str">
        <f t="shared" si="12"/>
        <v>7-DaHall 1-A-4-50-10</v>
      </c>
      <c r="K40" s="1837" t="str">
        <f t="shared" si="13"/>
        <v>7-DaHall 1-B-4-50-43</v>
      </c>
      <c r="L40" s="1807">
        <v>48</v>
      </c>
      <c r="M40" s="1808">
        <v>50</v>
      </c>
      <c r="N40" s="2594" t="s">
        <v>233</v>
      </c>
      <c r="O40" s="1809">
        <v>10</v>
      </c>
      <c r="P40" s="1847">
        <v>48</v>
      </c>
      <c r="Q40" s="1848">
        <v>50</v>
      </c>
      <c r="R40" s="2578" t="s">
        <v>234</v>
      </c>
      <c r="S40" s="1838">
        <v>43</v>
      </c>
      <c r="T40" s="2594" t="s">
        <v>252</v>
      </c>
      <c r="U40" s="2578" t="s">
        <v>253</v>
      </c>
      <c r="V40" s="2828" t="s">
        <v>237</v>
      </c>
      <c r="W40" s="2827" t="s">
        <v>238</v>
      </c>
      <c r="X40" s="2146" t="s">
        <v>47</v>
      </c>
      <c r="Y40" s="903" t="s">
        <v>48</v>
      </c>
      <c r="Z40" s="2146" t="s">
        <v>49</v>
      </c>
      <c r="AA40" s="903" t="s">
        <v>50</v>
      </c>
      <c r="AB40" s="2146" t="s">
        <v>51</v>
      </c>
      <c r="AC40" s="903" t="s">
        <v>52</v>
      </c>
      <c r="AD40" s="2146" t="s">
        <v>30</v>
      </c>
      <c r="AE40" s="903" t="s">
        <v>35</v>
      </c>
      <c r="AF40" s="2146" t="s">
        <v>31</v>
      </c>
      <c r="AG40" s="903" t="s">
        <v>36</v>
      </c>
      <c r="AH40" s="685"/>
      <c r="AI40" s="686"/>
      <c r="AJ40" s="2915"/>
      <c r="AK40" s="2916"/>
      <c r="AL40" s="2819"/>
      <c r="AM40" s="3240" t="e">
        <f>VLOOKUP(J40&amp;K40,'7층~4층_매핑테이블'!$Y$6:$AF$2020,8,0)</f>
        <v>#N/A</v>
      </c>
      <c r="AN40" s="3229">
        <f t="shared" si="2"/>
        <v>0</v>
      </c>
      <c r="AO40" s="2597"/>
      <c r="AP40" s="2830" t="s">
        <v>254</v>
      </c>
      <c r="AR40" s="2351">
        <f t="shared" si="3"/>
        <v>0</v>
      </c>
      <c r="AS40" s="2351">
        <f t="shared" si="4"/>
        <v>0</v>
      </c>
      <c r="AT40" s="123" t="str">
        <f t="shared" si="8"/>
        <v>미사용 랙</v>
      </c>
      <c r="AU40" t="str">
        <f t="shared" si="5"/>
        <v/>
      </c>
      <c r="AV40" t="str">
        <f t="shared" si="6"/>
        <v/>
      </c>
      <c r="BA40" s="123"/>
      <c r="BB40" s="123"/>
      <c r="BC40" s="123"/>
      <c r="BD40" s="2997"/>
      <c r="BE40" s="123"/>
      <c r="BF40" s="2998"/>
      <c r="BG40" s="2999"/>
      <c r="BH40" s="3005"/>
      <c r="BI40" s="3000"/>
      <c r="BJ40" s="3001"/>
      <c r="BK40" s="3010"/>
      <c r="BL40" s="3011"/>
      <c r="BM40" s="3012"/>
    </row>
    <row r="41" spans="1:65" ht="54" customHeight="1" x14ac:dyDescent="0.25">
      <c r="A41" s="2824"/>
      <c r="B41" s="3386"/>
      <c r="C41" s="3391"/>
      <c r="D41" s="3386"/>
      <c r="E41" s="2573"/>
      <c r="F41" s="2564"/>
      <c r="G41" s="2564" t="s">
        <v>27</v>
      </c>
      <c r="H41" s="1805" t="s">
        <v>8806</v>
      </c>
      <c r="I41" s="1837" t="s">
        <v>8807</v>
      </c>
      <c r="J41" s="1805" t="str">
        <f t="shared" si="12"/>
        <v>7-DaHall 1-A-4-50-11</v>
      </c>
      <c r="K41" s="1837" t="str">
        <f t="shared" si="13"/>
        <v>7-DaHall 1-B-4-50-44</v>
      </c>
      <c r="L41" s="1807">
        <v>48</v>
      </c>
      <c r="M41" s="1808">
        <v>50</v>
      </c>
      <c r="N41" s="2594" t="s">
        <v>233</v>
      </c>
      <c r="O41" s="1809">
        <v>11</v>
      </c>
      <c r="P41" s="1847">
        <v>48</v>
      </c>
      <c r="Q41" s="1848">
        <v>50</v>
      </c>
      <c r="R41" s="2578" t="s">
        <v>234</v>
      </c>
      <c r="S41" s="1838">
        <v>44</v>
      </c>
      <c r="T41" s="2594" t="s">
        <v>255</v>
      </c>
      <c r="U41" s="2578" t="s">
        <v>256</v>
      </c>
      <c r="V41" s="2828" t="s">
        <v>237</v>
      </c>
      <c r="W41" s="2827" t="s">
        <v>238</v>
      </c>
      <c r="X41" s="2146" t="s">
        <v>47</v>
      </c>
      <c r="Y41" s="903" t="s">
        <v>48</v>
      </c>
      <c r="Z41" s="2146" t="s">
        <v>49</v>
      </c>
      <c r="AA41" s="903" t="s">
        <v>50</v>
      </c>
      <c r="AB41" s="2146" t="s">
        <v>51</v>
      </c>
      <c r="AC41" s="903" t="s">
        <v>52</v>
      </c>
      <c r="AD41" s="2146" t="s">
        <v>30</v>
      </c>
      <c r="AE41" s="903" t="s">
        <v>35</v>
      </c>
      <c r="AF41" s="2146" t="s">
        <v>31</v>
      </c>
      <c r="AG41" s="903" t="s">
        <v>36</v>
      </c>
      <c r="AH41" s="685"/>
      <c r="AI41" s="686"/>
      <c r="AJ41" s="2915"/>
      <c r="AK41" s="2916"/>
      <c r="AL41" s="2819"/>
      <c r="AM41" s="3240" t="e">
        <f>VLOOKUP(J41&amp;K41,'7층~4층_매핑테이블'!$Y$6:$AF$2020,8,0)</f>
        <v>#N/A</v>
      </c>
      <c r="AN41" s="3229">
        <f t="shared" si="2"/>
        <v>0</v>
      </c>
      <c r="AO41" s="2597"/>
      <c r="AP41" s="2832"/>
      <c r="AR41" s="2351">
        <f t="shared" si="3"/>
        <v>0</v>
      </c>
      <c r="AS41" s="2351">
        <f t="shared" si="4"/>
        <v>0</v>
      </c>
      <c r="AT41" s="123" t="str">
        <f t="shared" si="8"/>
        <v>미사용 랙</v>
      </c>
      <c r="AU41" t="str">
        <f t="shared" si="5"/>
        <v/>
      </c>
      <c r="AV41" t="str">
        <f t="shared" si="6"/>
        <v/>
      </c>
      <c r="BA41" s="123"/>
      <c r="BB41" s="123"/>
      <c r="BC41" s="123"/>
      <c r="BD41" s="2997"/>
      <c r="BE41" s="123"/>
      <c r="BF41" s="2998"/>
      <c r="BG41" s="2999"/>
      <c r="BH41" s="3005"/>
      <c r="BI41" s="3000"/>
      <c r="BJ41" s="3001"/>
      <c r="BK41" s="3010"/>
      <c r="BL41" s="3011"/>
      <c r="BM41" s="3012"/>
    </row>
    <row r="42" spans="1:65" ht="54" customHeight="1" x14ac:dyDescent="0.25">
      <c r="A42" s="2824"/>
      <c r="B42" s="3363"/>
      <c r="C42" s="3374"/>
      <c r="D42" s="3363"/>
      <c r="E42" s="2570"/>
      <c r="F42" s="2564"/>
      <c r="G42" s="2564" t="s">
        <v>27</v>
      </c>
      <c r="H42" s="1805" t="s">
        <v>8808</v>
      </c>
      <c r="I42" s="1837" t="s">
        <v>8809</v>
      </c>
      <c r="J42" s="1805" t="str">
        <f t="shared" si="12"/>
        <v>7-DaHall 1-A-4-50-18</v>
      </c>
      <c r="K42" s="1837" t="str">
        <f t="shared" si="13"/>
        <v>7-DaHall 1-B-4-50-45</v>
      </c>
      <c r="L42" s="1807">
        <v>48</v>
      </c>
      <c r="M42" s="1808">
        <v>50</v>
      </c>
      <c r="N42" s="2594" t="s">
        <v>233</v>
      </c>
      <c r="O42" s="1809">
        <v>18</v>
      </c>
      <c r="P42" s="1847">
        <v>48</v>
      </c>
      <c r="Q42" s="1848">
        <v>50</v>
      </c>
      <c r="R42" s="2578" t="s">
        <v>234</v>
      </c>
      <c r="S42" s="1838">
        <v>45</v>
      </c>
      <c r="T42" s="2594" t="s">
        <v>257</v>
      </c>
      <c r="U42" s="2578" t="s">
        <v>258</v>
      </c>
      <c r="V42" s="2828" t="s">
        <v>237</v>
      </c>
      <c r="W42" s="2827" t="s">
        <v>238</v>
      </c>
      <c r="X42" s="2146" t="s">
        <v>47</v>
      </c>
      <c r="Y42" s="903" t="s">
        <v>48</v>
      </c>
      <c r="Z42" s="2146" t="s">
        <v>49</v>
      </c>
      <c r="AA42" s="903" t="s">
        <v>50</v>
      </c>
      <c r="AB42" s="2146" t="s">
        <v>51</v>
      </c>
      <c r="AC42" s="903" t="s">
        <v>52</v>
      </c>
      <c r="AD42" s="2146" t="s">
        <v>30</v>
      </c>
      <c r="AE42" s="903" t="s">
        <v>35</v>
      </c>
      <c r="AF42" s="2146" t="s">
        <v>31</v>
      </c>
      <c r="AG42" s="903" t="s">
        <v>36</v>
      </c>
      <c r="AH42" s="685"/>
      <c r="AI42" s="686"/>
      <c r="AJ42" s="2915"/>
      <c r="AK42" s="2916"/>
      <c r="AL42" s="2819"/>
      <c r="AM42" s="3240" t="e">
        <f>VLOOKUP(J42&amp;K42,'7층~4층_매핑테이블'!$Y$6:$AF$2020,8,0)</f>
        <v>#N/A</v>
      </c>
      <c r="AN42" s="3229">
        <f t="shared" si="2"/>
        <v>0</v>
      </c>
      <c r="AO42" s="2597"/>
      <c r="AP42" s="2831"/>
      <c r="AR42" s="2351">
        <f t="shared" si="3"/>
        <v>0</v>
      </c>
      <c r="AS42" s="2351">
        <f t="shared" si="4"/>
        <v>0</v>
      </c>
      <c r="AT42" s="123" t="str">
        <f t="shared" si="8"/>
        <v>미사용 랙</v>
      </c>
      <c r="AU42" t="str">
        <f t="shared" si="5"/>
        <v/>
      </c>
      <c r="AV42" t="str">
        <f t="shared" si="6"/>
        <v/>
      </c>
      <c r="BA42" s="123"/>
      <c r="BB42" s="123"/>
      <c r="BC42" s="123"/>
      <c r="BD42" s="2997"/>
      <c r="BE42" s="123"/>
      <c r="BF42" s="2998"/>
      <c r="BG42" s="2999"/>
      <c r="BH42" s="3005"/>
      <c r="BI42" s="3000"/>
      <c r="BJ42" s="3001"/>
      <c r="BK42" s="3010"/>
      <c r="BL42" s="3011"/>
      <c r="BM42" s="3012"/>
    </row>
    <row r="43" spans="1:65" ht="54" customHeight="1" x14ac:dyDescent="0.25">
      <c r="A43" s="2824"/>
      <c r="B43" s="2564" t="s">
        <v>244</v>
      </c>
      <c r="C43" s="2141" t="s">
        <v>245</v>
      </c>
      <c r="D43" s="2564" t="s">
        <v>246</v>
      </c>
      <c r="E43" s="2564"/>
      <c r="F43" s="2564"/>
      <c r="G43" s="2564" t="s">
        <v>27</v>
      </c>
      <c r="H43" s="1805" t="s">
        <v>8810</v>
      </c>
      <c r="I43" s="1837" t="s">
        <v>8811</v>
      </c>
      <c r="J43" s="1805" t="str">
        <f t="shared" si="12"/>
        <v>7-DaHall 1-A-4-50-45</v>
      </c>
      <c r="K43" s="1837" t="str">
        <f t="shared" si="13"/>
        <v>7-DaHall 1-B-4-50-51</v>
      </c>
      <c r="L43" s="1807">
        <v>48</v>
      </c>
      <c r="M43" s="1808">
        <v>50</v>
      </c>
      <c r="N43" s="2594" t="s">
        <v>233</v>
      </c>
      <c r="O43" s="1809">
        <v>45</v>
      </c>
      <c r="P43" s="1847">
        <v>48</v>
      </c>
      <c r="Q43" s="1848">
        <v>50</v>
      </c>
      <c r="R43" s="2578" t="s">
        <v>234</v>
      </c>
      <c r="S43" s="1838">
        <v>51</v>
      </c>
      <c r="T43" s="2594" t="s">
        <v>247</v>
      </c>
      <c r="U43" s="2578" t="s">
        <v>248</v>
      </c>
      <c r="V43" s="2828" t="s">
        <v>237</v>
      </c>
      <c r="W43" s="2827" t="s">
        <v>238</v>
      </c>
      <c r="X43" s="2146" t="s">
        <v>47</v>
      </c>
      <c r="Y43" s="903" t="s">
        <v>48</v>
      </c>
      <c r="Z43" s="2146" t="s">
        <v>49</v>
      </c>
      <c r="AA43" s="903" t="s">
        <v>50</v>
      </c>
      <c r="AB43" s="2146" t="s">
        <v>51</v>
      </c>
      <c r="AC43" s="903" t="s">
        <v>52</v>
      </c>
      <c r="AD43" s="2146" t="s">
        <v>30</v>
      </c>
      <c r="AE43" s="903" t="s">
        <v>35</v>
      </c>
      <c r="AF43" s="2146" t="s">
        <v>31</v>
      </c>
      <c r="AG43" s="903" t="s">
        <v>36</v>
      </c>
      <c r="AH43" s="675"/>
      <c r="AI43" s="676"/>
      <c r="AJ43" s="2915"/>
      <c r="AK43" s="2916"/>
      <c r="AL43" s="2819"/>
      <c r="AM43" s="3240" t="e">
        <f>VLOOKUP(J43&amp;K43,'7층~4층_매핑테이블'!$Y$6:$AF$2020,8,0)</f>
        <v>#N/A</v>
      </c>
      <c r="AN43" s="3229">
        <f t="shared" si="2"/>
        <v>0</v>
      </c>
      <c r="AO43" s="2597"/>
      <c r="AP43" s="2599"/>
      <c r="AR43" s="2351">
        <f t="shared" si="3"/>
        <v>0</v>
      </c>
      <c r="AS43" s="2351">
        <f t="shared" si="4"/>
        <v>0</v>
      </c>
      <c r="AT43" s="123" t="str">
        <f t="shared" si="8"/>
        <v>미사용 랙</v>
      </c>
      <c r="AU43" t="str">
        <f t="shared" si="5"/>
        <v/>
      </c>
      <c r="AV43" t="str">
        <f t="shared" si="6"/>
        <v/>
      </c>
      <c r="BA43" s="123"/>
      <c r="BB43" s="123"/>
      <c r="BC43" s="123"/>
      <c r="BD43" s="2997"/>
      <c r="BE43" s="123"/>
      <c r="BF43" s="2998"/>
      <c r="BG43" s="2999"/>
      <c r="BH43" s="3005"/>
      <c r="BI43" s="3000"/>
      <c r="BJ43" s="3001"/>
      <c r="BK43" s="3010"/>
      <c r="BL43" s="3011"/>
      <c r="BM43" s="3012"/>
    </row>
    <row r="44" spans="1:65" ht="54" customHeight="1" x14ac:dyDescent="0.25">
      <c r="A44" s="2824"/>
      <c r="B44" s="2564" t="s">
        <v>239</v>
      </c>
      <c r="C44" s="2141" t="s">
        <v>240</v>
      </c>
      <c r="D44" s="2564" t="s">
        <v>241</v>
      </c>
      <c r="E44" s="2564"/>
      <c r="F44" s="2564"/>
      <c r="G44" s="2564" t="s">
        <v>27</v>
      </c>
      <c r="H44" s="1805" t="s">
        <v>8812</v>
      </c>
      <c r="I44" s="1837" t="s">
        <v>8813</v>
      </c>
      <c r="J44" s="1805" t="str">
        <f t="shared" si="12"/>
        <v>7-DaHall 1-A-4-35-52</v>
      </c>
      <c r="K44" s="1837" t="str">
        <f t="shared" si="13"/>
        <v>7-DaHall 1-B-4-35-52</v>
      </c>
      <c r="L44" s="1807">
        <v>48</v>
      </c>
      <c r="M44" s="1808">
        <v>35</v>
      </c>
      <c r="N44" s="2594" t="s">
        <v>233</v>
      </c>
      <c r="O44" s="1809">
        <v>52</v>
      </c>
      <c r="P44" s="1847">
        <v>48</v>
      </c>
      <c r="Q44" s="1848">
        <v>35</v>
      </c>
      <c r="R44" s="2578" t="s">
        <v>234</v>
      </c>
      <c r="S44" s="1838">
        <v>52</v>
      </c>
      <c r="T44" s="2594" t="s">
        <v>242</v>
      </c>
      <c r="U44" s="2578" t="s">
        <v>243</v>
      </c>
      <c r="V44" s="2828" t="s">
        <v>237</v>
      </c>
      <c r="W44" s="2827" t="s">
        <v>238</v>
      </c>
      <c r="X44" s="2146" t="s">
        <v>47</v>
      </c>
      <c r="Y44" s="903" t="s">
        <v>48</v>
      </c>
      <c r="Z44" s="2146" t="s">
        <v>49</v>
      </c>
      <c r="AA44" s="903" t="s">
        <v>50</v>
      </c>
      <c r="AB44" s="2146" t="s">
        <v>51</v>
      </c>
      <c r="AC44" s="903" t="s">
        <v>52</v>
      </c>
      <c r="AD44" s="2146" t="s">
        <v>30</v>
      </c>
      <c r="AE44" s="903" t="s">
        <v>35</v>
      </c>
      <c r="AF44" s="2146" t="s">
        <v>31</v>
      </c>
      <c r="AG44" s="903" t="s">
        <v>36</v>
      </c>
      <c r="AH44" s="675"/>
      <c r="AI44" s="676"/>
      <c r="AJ44" s="2915"/>
      <c r="AK44" s="2916"/>
      <c r="AL44" s="2819"/>
      <c r="AM44" s="3240" t="e">
        <f>VLOOKUP(J44&amp;K44,'7층~4층_매핑테이블'!$Y$6:$AF$2020,8,0)</f>
        <v>#N/A</v>
      </c>
      <c r="AN44" s="3229">
        <f t="shared" si="2"/>
        <v>0</v>
      </c>
      <c r="AO44" s="2597"/>
      <c r="AP44" s="2599"/>
      <c r="AR44" s="2351">
        <f t="shared" si="3"/>
        <v>0</v>
      </c>
      <c r="AS44" s="2351">
        <f t="shared" si="4"/>
        <v>0</v>
      </c>
      <c r="AT44" s="123" t="str">
        <f t="shared" si="8"/>
        <v>미사용 랙</v>
      </c>
      <c r="AU44" t="str">
        <f t="shared" si="5"/>
        <v/>
      </c>
      <c r="AV44" t="str">
        <f t="shared" si="6"/>
        <v/>
      </c>
      <c r="BA44" s="123"/>
      <c r="BB44" s="123"/>
      <c r="BC44" s="123"/>
      <c r="BD44" s="2997"/>
      <c r="BE44" s="123"/>
      <c r="BF44" s="2998"/>
      <c r="BG44" s="2999"/>
      <c r="BH44" s="3005"/>
      <c r="BI44" s="3000"/>
      <c r="BJ44" s="3001"/>
      <c r="BK44" s="3010"/>
      <c r="BL44" s="3011"/>
      <c r="BM44" s="3012"/>
    </row>
    <row r="45" spans="1:65" ht="54" customHeight="1" x14ac:dyDescent="0.25">
      <c r="A45" s="2824"/>
      <c r="B45" s="2564" t="s">
        <v>230</v>
      </c>
      <c r="C45" s="2141" t="s">
        <v>231</v>
      </c>
      <c r="D45" s="2564" t="s">
        <v>232</v>
      </c>
      <c r="E45" s="2564"/>
      <c r="F45" s="2564"/>
      <c r="G45" s="2564" t="s">
        <v>27</v>
      </c>
      <c r="H45" s="1805" t="s">
        <v>8814</v>
      </c>
      <c r="I45" s="1837" t="s">
        <v>8815</v>
      </c>
      <c r="J45" s="1805" t="str">
        <f t="shared" si="12"/>
        <v>7-DaHall 1-A-4-35-53</v>
      </c>
      <c r="K45" s="1837" t="str">
        <f t="shared" si="13"/>
        <v>7-DaHall 1-B-4-35-53</v>
      </c>
      <c r="L45" s="1807">
        <v>48</v>
      </c>
      <c r="M45" s="1808">
        <v>35</v>
      </c>
      <c r="N45" s="2594" t="s">
        <v>233</v>
      </c>
      <c r="O45" s="1809">
        <v>53</v>
      </c>
      <c r="P45" s="1847">
        <v>48</v>
      </c>
      <c r="Q45" s="1848">
        <v>35</v>
      </c>
      <c r="R45" s="2578" t="s">
        <v>234</v>
      </c>
      <c r="S45" s="1838">
        <v>53</v>
      </c>
      <c r="T45" s="2594" t="s">
        <v>235</v>
      </c>
      <c r="U45" s="2578" t="s">
        <v>236</v>
      </c>
      <c r="V45" s="2828" t="s">
        <v>237</v>
      </c>
      <c r="W45" s="2827" t="s">
        <v>238</v>
      </c>
      <c r="X45" s="2146" t="s">
        <v>47</v>
      </c>
      <c r="Y45" s="903" t="s">
        <v>48</v>
      </c>
      <c r="Z45" s="2146" t="s">
        <v>49</v>
      </c>
      <c r="AA45" s="903" t="s">
        <v>50</v>
      </c>
      <c r="AB45" s="2146" t="s">
        <v>51</v>
      </c>
      <c r="AC45" s="903" t="s">
        <v>52</v>
      </c>
      <c r="AD45" s="2146" t="s">
        <v>30</v>
      </c>
      <c r="AE45" s="903" t="s">
        <v>35</v>
      </c>
      <c r="AF45" s="2146" t="s">
        <v>31</v>
      </c>
      <c r="AG45" s="903" t="s">
        <v>36</v>
      </c>
      <c r="AH45" s="675"/>
      <c r="AI45" s="676"/>
      <c r="AJ45" s="2915"/>
      <c r="AK45" s="2916"/>
      <c r="AL45" s="2819"/>
      <c r="AM45" s="3240" t="e">
        <f>VLOOKUP(J45&amp;K45,'7층~4층_매핑테이블'!$Y$6:$AF$2020,8,0)</f>
        <v>#N/A</v>
      </c>
      <c r="AN45" s="3229">
        <f t="shared" si="2"/>
        <v>0</v>
      </c>
      <c r="AO45" s="2597"/>
      <c r="AP45" s="2599"/>
      <c r="AR45" s="2351">
        <f t="shared" si="3"/>
        <v>0</v>
      </c>
      <c r="AS45" s="2351">
        <f t="shared" si="4"/>
        <v>0</v>
      </c>
      <c r="AT45" s="123" t="str">
        <f t="shared" si="8"/>
        <v>미사용 랙</v>
      </c>
      <c r="AU45" t="str">
        <f t="shared" si="5"/>
        <v/>
      </c>
      <c r="AV45" t="str">
        <f t="shared" si="6"/>
        <v/>
      </c>
      <c r="BA45" s="123"/>
      <c r="BB45" s="123"/>
      <c r="BC45" s="123"/>
      <c r="BD45" s="2997"/>
      <c r="BE45" s="123"/>
      <c r="BF45" s="2998"/>
      <c r="BG45" s="2999"/>
      <c r="BH45" s="3005"/>
      <c r="BI45" s="3000"/>
      <c r="BJ45" s="3001"/>
      <c r="BK45" s="3002"/>
      <c r="BL45" s="3003"/>
      <c r="BM45" s="3004"/>
    </row>
    <row r="46" spans="1:65" ht="54" customHeight="1" x14ac:dyDescent="0.25">
      <c r="A46" s="2824"/>
      <c r="B46" s="2564" t="s">
        <v>9302</v>
      </c>
      <c r="C46" s="2564"/>
      <c r="D46" s="3041" t="s">
        <v>9299</v>
      </c>
      <c r="E46" s="2564"/>
      <c r="F46" s="2564"/>
      <c r="G46" s="2564"/>
      <c r="H46" s="1825"/>
      <c r="I46" s="1833"/>
      <c r="J46" s="1825"/>
      <c r="K46" s="1833"/>
      <c r="L46" s="1827"/>
      <c r="M46" s="3043"/>
      <c r="N46" s="703"/>
      <c r="O46" s="1829"/>
      <c r="P46" s="1834"/>
      <c r="Q46" s="3044"/>
      <c r="R46" s="687"/>
      <c r="S46" s="1836"/>
      <c r="T46" s="703"/>
      <c r="U46" s="687"/>
      <c r="V46" s="3045"/>
      <c r="W46" s="3046"/>
      <c r="X46" s="3047"/>
      <c r="Y46" s="3048"/>
      <c r="Z46" s="3047"/>
      <c r="AA46" s="3048"/>
      <c r="AB46" s="3047"/>
      <c r="AC46" s="3048"/>
      <c r="AD46" s="3047"/>
      <c r="AE46" s="3048"/>
      <c r="AF46" s="3049"/>
      <c r="AG46" s="3050"/>
      <c r="AH46" s="3051"/>
      <c r="AI46" s="2112"/>
      <c r="AJ46" s="3052"/>
      <c r="AK46" s="3053"/>
      <c r="AL46" s="2826"/>
      <c r="AM46" s="3240"/>
      <c r="AN46" s="3231"/>
      <c r="AO46" s="2597"/>
      <c r="AP46" s="2599"/>
      <c r="AR46" s="2351"/>
      <c r="AS46" s="2351"/>
      <c r="AT46" s="123"/>
      <c r="AU46" t="str">
        <f t="shared" si="5"/>
        <v/>
      </c>
      <c r="AV46" t="str">
        <f t="shared" si="6"/>
        <v/>
      </c>
      <c r="BA46" s="123"/>
      <c r="BB46" s="123"/>
      <c r="BC46" s="123"/>
      <c r="BD46" s="2997"/>
      <c r="BE46" s="123"/>
      <c r="BF46" s="2998"/>
      <c r="BG46" s="2999"/>
      <c r="BH46" s="3005"/>
      <c r="BI46" s="3000"/>
      <c r="BJ46" s="3001"/>
      <c r="BK46" s="3002"/>
      <c r="BL46" s="3003"/>
      <c r="BM46" s="3004"/>
    </row>
    <row r="47" spans="1:65" ht="54" customHeight="1" x14ac:dyDescent="0.25">
      <c r="A47" s="2824"/>
      <c r="B47" s="2564" t="s">
        <v>9303</v>
      </c>
      <c r="C47" s="2564"/>
      <c r="D47" s="3041" t="s">
        <v>9299</v>
      </c>
      <c r="E47" s="2564"/>
      <c r="F47" s="2564"/>
      <c r="G47" s="2564"/>
      <c r="H47" s="1825"/>
      <c r="I47" s="1833"/>
      <c r="J47" s="1825"/>
      <c r="K47" s="1833"/>
      <c r="L47" s="1827"/>
      <c r="M47" s="3043"/>
      <c r="N47" s="703"/>
      <c r="O47" s="1829"/>
      <c r="P47" s="1834"/>
      <c r="Q47" s="3044"/>
      <c r="R47" s="687"/>
      <c r="S47" s="1836"/>
      <c r="T47" s="703"/>
      <c r="U47" s="687"/>
      <c r="V47" s="3045"/>
      <c r="W47" s="3046"/>
      <c r="X47" s="3047"/>
      <c r="Y47" s="3048"/>
      <c r="Z47" s="3047"/>
      <c r="AA47" s="3048"/>
      <c r="AB47" s="3047"/>
      <c r="AC47" s="3048"/>
      <c r="AD47" s="3047"/>
      <c r="AE47" s="3048"/>
      <c r="AF47" s="3049"/>
      <c r="AG47" s="3050"/>
      <c r="AH47" s="3051"/>
      <c r="AI47" s="2112"/>
      <c r="AJ47" s="3052"/>
      <c r="AK47" s="3053"/>
      <c r="AL47" s="2826"/>
      <c r="AM47" s="3240"/>
      <c r="AN47" s="3231"/>
      <c r="AO47" s="2597"/>
      <c r="AP47" s="2599"/>
      <c r="AR47" s="2351"/>
      <c r="AS47" s="2351"/>
      <c r="AT47" s="123"/>
      <c r="AU47" t="str">
        <f t="shared" si="5"/>
        <v/>
      </c>
      <c r="AV47" t="str">
        <f t="shared" si="6"/>
        <v/>
      </c>
      <c r="BA47" s="123"/>
      <c r="BB47" s="123"/>
      <c r="BC47" s="123"/>
      <c r="BD47" s="2997"/>
      <c r="BE47" s="123"/>
      <c r="BF47" s="2998"/>
      <c r="BG47" s="2999"/>
      <c r="BH47" s="3005"/>
      <c r="BI47" s="3000"/>
      <c r="BJ47" s="3001"/>
      <c r="BK47" s="3002"/>
      <c r="BL47" s="3003"/>
      <c r="BM47" s="3004"/>
    </row>
    <row r="48" spans="1:65" ht="54" customHeight="1" x14ac:dyDescent="0.25">
      <c r="A48" s="2824"/>
      <c r="B48" s="2564" t="s">
        <v>735</v>
      </c>
      <c r="C48" s="2141" t="s">
        <v>736</v>
      </c>
      <c r="D48" s="2570" t="s">
        <v>737</v>
      </c>
      <c r="E48" s="2564"/>
      <c r="F48" s="2564"/>
      <c r="G48" s="2564" t="s">
        <v>27</v>
      </c>
      <c r="H48" s="1805" t="s">
        <v>8816</v>
      </c>
      <c r="I48" s="1837" t="s">
        <v>8817</v>
      </c>
      <c r="J48" s="1805" t="str">
        <f t="shared" si="12"/>
        <v>7-DaHall 1-A-3-50-47</v>
      </c>
      <c r="K48" s="1837" t="str">
        <f t="shared" si="13"/>
        <v>7-DaHall 1-B-3-50-47</v>
      </c>
      <c r="L48" s="1807">
        <v>48</v>
      </c>
      <c r="M48" s="1808">
        <v>50</v>
      </c>
      <c r="N48" s="2594" t="s">
        <v>181</v>
      </c>
      <c r="O48" s="1809">
        <v>47</v>
      </c>
      <c r="P48" s="1847">
        <v>48</v>
      </c>
      <c r="Q48" s="1848">
        <v>50</v>
      </c>
      <c r="R48" s="2578" t="s">
        <v>182</v>
      </c>
      <c r="S48" s="1838">
        <v>47</v>
      </c>
      <c r="T48" s="2594" t="s">
        <v>738</v>
      </c>
      <c r="U48" s="2578" t="s">
        <v>739</v>
      </c>
      <c r="V48" s="2822" t="s">
        <v>185</v>
      </c>
      <c r="W48" s="2823" t="s">
        <v>186</v>
      </c>
      <c r="X48" s="2822" t="s">
        <v>435</v>
      </c>
      <c r="Y48" s="2823" t="s">
        <v>436</v>
      </c>
      <c r="Z48" s="2822" t="s">
        <v>49</v>
      </c>
      <c r="AA48" s="2823" t="s">
        <v>50</v>
      </c>
      <c r="AB48" s="2822" t="s">
        <v>51</v>
      </c>
      <c r="AC48" s="2823" t="s">
        <v>52</v>
      </c>
      <c r="AD48" s="2822" t="s">
        <v>30</v>
      </c>
      <c r="AE48" s="2823" t="s">
        <v>35</v>
      </c>
      <c r="AF48" s="2146" t="s">
        <v>31</v>
      </c>
      <c r="AG48" s="903" t="s">
        <v>36</v>
      </c>
      <c r="AH48" s="681"/>
      <c r="AI48" s="676"/>
      <c r="AJ48" s="2915"/>
      <c r="AK48" s="2916"/>
      <c r="AL48" s="2819"/>
      <c r="AM48" s="3240" t="e">
        <f>VLOOKUP(J48&amp;K48,'7층~4층_매핑테이블'!$Y$6:$AF$2020,8,0)</f>
        <v>#N/A</v>
      </c>
      <c r="AN48" s="3229">
        <f t="shared" si="2"/>
        <v>0</v>
      </c>
      <c r="AO48" s="2597"/>
      <c r="AP48" s="2599"/>
      <c r="AR48" s="2351">
        <f t="shared" si="3"/>
        <v>0</v>
      </c>
      <c r="AS48" s="2351">
        <f t="shared" si="4"/>
        <v>0</v>
      </c>
      <c r="AT48" s="123" t="str">
        <f t="shared" si="8"/>
        <v>미사용 랙</v>
      </c>
      <c r="AU48" t="str">
        <f t="shared" si="5"/>
        <v/>
      </c>
      <c r="AV48" t="str">
        <f t="shared" si="6"/>
        <v/>
      </c>
      <c r="BA48" s="123"/>
      <c r="BB48" s="123"/>
      <c r="BC48" s="123"/>
      <c r="BD48" s="2997"/>
      <c r="BE48" s="123"/>
      <c r="BF48" s="2998"/>
      <c r="BG48" s="2999"/>
      <c r="BH48" s="3005"/>
      <c r="BI48" s="3000"/>
      <c r="BJ48" s="3001"/>
      <c r="BK48" s="3002"/>
      <c r="BL48" s="3003"/>
      <c r="BM48" s="3004"/>
    </row>
    <row r="49" spans="1:65" ht="54" customHeight="1" x14ac:dyDescent="0.25">
      <c r="A49" s="2824"/>
      <c r="B49" s="2564" t="s">
        <v>730</v>
      </c>
      <c r="C49" s="2141" t="s">
        <v>731</v>
      </c>
      <c r="D49" s="2564" t="s">
        <v>732</v>
      </c>
      <c r="E49" s="2564"/>
      <c r="F49" s="2564"/>
      <c r="G49" s="2564" t="s">
        <v>27</v>
      </c>
      <c r="H49" s="1805" t="s">
        <v>8818</v>
      </c>
      <c r="I49" s="1837" t="s">
        <v>8819</v>
      </c>
      <c r="J49" s="1805" t="str">
        <f t="shared" si="12"/>
        <v>7-DaHall 1-A-3-50-46</v>
      </c>
      <c r="K49" s="1837" t="str">
        <f t="shared" si="13"/>
        <v>7-DaHall 1-B-3-50-46</v>
      </c>
      <c r="L49" s="1807">
        <v>48</v>
      </c>
      <c r="M49" s="1808">
        <v>50</v>
      </c>
      <c r="N49" s="2594" t="s">
        <v>181</v>
      </c>
      <c r="O49" s="1809">
        <v>46</v>
      </c>
      <c r="P49" s="1847">
        <v>48</v>
      </c>
      <c r="Q49" s="1848">
        <v>50</v>
      </c>
      <c r="R49" s="2578" t="s">
        <v>182</v>
      </c>
      <c r="S49" s="1838">
        <v>46</v>
      </c>
      <c r="T49" s="2594" t="s">
        <v>733</v>
      </c>
      <c r="U49" s="2578" t="s">
        <v>734</v>
      </c>
      <c r="V49" s="2822" t="s">
        <v>185</v>
      </c>
      <c r="W49" s="2823" t="s">
        <v>186</v>
      </c>
      <c r="X49" s="2822" t="s">
        <v>435</v>
      </c>
      <c r="Y49" s="2823" t="s">
        <v>436</v>
      </c>
      <c r="Z49" s="2822" t="s">
        <v>49</v>
      </c>
      <c r="AA49" s="2823" t="s">
        <v>50</v>
      </c>
      <c r="AB49" s="2822" t="s">
        <v>51</v>
      </c>
      <c r="AC49" s="2823" t="s">
        <v>52</v>
      </c>
      <c r="AD49" s="2822" t="s">
        <v>30</v>
      </c>
      <c r="AE49" s="2823" t="s">
        <v>35</v>
      </c>
      <c r="AF49" s="2146" t="s">
        <v>31</v>
      </c>
      <c r="AG49" s="903" t="s">
        <v>36</v>
      </c>
      <c r="AH49" s="681"/>
      <c r="AI49" s="676"/>
      <c r="AJ49" s="2915"/>
      <c r="AK49" s="2916"/>
      <c r="AL49" s="2819"/>
      <c r="AM49" s="3240" t="e">
        <f>VLOOKUP(J49&amp;K49,'7층~4층_매핑테이블'!$Y$6:$AF$2020,8,0)</f>
        <v>#N/A</v>
      </c>
      <c r="AN49" s="3229">
        <f t="shared" si="2"/>
        <v>0</v>
      </c>
      <c r="AO49" s="2597"/>
      <c r="AP49" s="2599"/>
      <c r="AR49" s="2351">
        <f t="shared" si="3"/>
        <v>0</v>
      </c>
      <c r="AS49" s="2351">
        <f t="shared" si="4"/>
        <v>0</v>
      </c>
      <c r="AT49" s="123" t="str">
        <f t="shared" si="8"/>
        <v>미사용 랙</v>
      </c>
      <c r="AU49" t="str">
        <f t="shared" si="5"/>
        <v/>
      </c>
      <c r="AV49" t="str">
        <f t="shared" si="6"/>
        <v/>
      </c>
      <c r="BA49" s="123"/>
      <c r="BB49" s="123"/>
      <c r="BC49" s="123"/>
      <c r="BD49" s="2997"/>
      <c r="BE49" s="123"/>
      <c r="BF49" s="2998"/>
      <c r="BG49" s="2999"/>
      <c r="BH49" s="3005"/>
      <c r="BI49" s="3000"/>
      <c r="BJ49" s="3001"/>
      <c r="BK49" s="3002"/>
      <c r="BL49" s="3003"/>
      <c r="BM49" s="3004"/>
    </row>
    <row r="50" spans="1:65" ht="32.1" customHeight="1" x14ac:dyDescent="0.25">
      <c r="A50" s="2824"/>
      <c r="B50" s="2564" t="s">
        <v>725</v>
      </c>
      <c r="C50" s="2141" t="s">
        <v>726</v>
      </c>
      <c r="D50" s="2564" t="s">
        <v>727</v>
      </c>
      <c r="E50" s="2564"/>
      <c r="F50" s="2564"/>
      <c r="G50" s="2564" t="s">
        <v>27</v>
      </c>
      <c r="H50" s="1805" t="s">
        <v>8820</v>
      </c>
      <c r="I50" s="1837" t="s">
        <v>8821</v>
      </c>
      <c r="J50" s="1805" t="str">
        <f t="shared" si="12"/>
        <v>7-DaHall 1-A-3-50-44</v>
      </c>
      <c r="K50" s="1837" t="str">
        <f t="shared" si="13"/>
        <v>7-DaHall 1-B-3-50-44</v>
      </c>
      <c r="L50" s="1807">
        <v>48</v>
      </c>
      <c r="M50" s="1808">
        <v>50</v>
      </c>
      <c r="N50" s="2594" t="s">
        <v>181</v>
      </c>
      <c r="O50" s="1809">
        <v>44</v>
      </c>
      <c r="P50" s="1847">
        <v>48</v>
      </c>
      <c r="Q50" s="1848">
        <v>50</v>
      </c>
      <c r="R50" s="2578" t="s">
        <v>182</v>
      </c>
      <c r="S50" s="1838">
        <v>44</v>
      </c>
      <c r="T50" s="2594" t="s">
        <v>728</v>
      </c>
      <c r="U50" s="2578" t="s">
        <v>729</v>
      </c>
      <c r="V50" s="2822" t="s">
        <v>185</v>
      </c>
      <c r="W50" s="2823" t="s">
        <v>186</v>
      </c>
      <c r="X50" s="2822" t="s">
        <v>435</v>
      </c>
      <c r="Y50" s="2823" t="s">
        <v>436</v>
      </c>
      <c r="Z50" s="2822" t="s">
        <v>49</v>
      </c>
      <c r="AA50" s="2823" t="s">
        <v>50</v>
      </c>
      <c r="AB50" s="2822" t="s">
        <v>51</v>
      </c>
      <c r="AC50" s="2823" t="s">
        <v>52</v>
      </c>
      <c r="AD50" s="2822" t="s">
        <v>30</v>
      </c>
      <c r="AE50" s="2823" t="s">
        <v>35</v>
      </c>
      <c r="AF50" s="2146" t="s">
        <v>31</v>
      </c>
      <c r="AG50" s="903" t="s">
        <v>36</v>
      </c>
      <c r="AH50" s="681"/>
      <c r="AI50" s="676"/>
      <c r="AJ50" s="2915"/>
      <c r="AK50" s="2916"/>
      <c r="AL50" s="2819"/>
      <c r="AM50" s="3240" t="e">
        <f>VLOOKUP(J50&amp;K50,'7층~4층_매핑테이블'!$Y$6:$AF$2020,8,0)</f>
        <v>#N/A</v>
      </c>
      <c r="AN50" s="3229">
        <f t="shared" si="2"/>
        <v>0</v>
      </c>
      <c r="AO50" s="2597"/>
      <c r="AP50" s="2599"/>
      <c r="AR50" s="2351">
        <f t="shared" si="3"/>
        <v>0</v>
      </c>
      <c r="AS50" s="2351">
        <f t="shared" si="4"/>
        <v>0</v>
      </c>
      <c r="AT50" s="123" t="str">
        <f t="shared" si="8"/>
        <v>미사용 랙</v>
      </c>
      <c r="AU50" t="str">
        <f t="shared" si="5"/>
        <v/>
      </c>
      <c r="AV50" t="str">
        <f t="shared" si="6"/>
        <v/>
      </c>
      <c r="BA50" s="123"/>
      <c r="BB50" s="123"/>
      <c r="BC50" s="123"/>
      <c r="BD50" s="2997"/>
      <c r="BE50" s="123"/>
      <c r="BF50" s="2998"/>
      <c r="BG50" s="2999"/>
      <c r="BH50" s="3005"/>
      <c r="BI50" s="3000"/>
      <c r="BJ50" s="3001"/>
      <c r="BK50" s="3002"/>
      <c r="BL50" s="3003"/>
      <c r="BM50" s="3004"/>
    </row>
    <row r="51" spans="1:65" ht="46.8" x14ac:dyDescent="0.25">
      <c r="A51" s="2824"/>
      <c r="B51" s="2143" t="s">
        <v>1961</v>
      </c>
      <c r="C51" s="2143"/>
      <c r="D51" s="2955" t="s">
        <v>9250</v>
      </c>
      <c r="E51" s="2960">
        <v>2.2000000000000002</v>
      </c>
      <c r="F51" s="2564" t="s">
        <v>27</v>
      </c>
      <c r="G51" s="2564"/>
      <c r="H51" s="1825" t="s">
        <v>8822</v>
      </c>
      <c r="I51" s="1833" t="s">
        <v>8823</v>
      </c>
      <c r="J51" s="1825" t="str">
        <f t="shared" si="12"/>
        <v>7-DaHall 1-PDU-01-30-48</v>
      </c>
      <c r="K51" s="1833" t="str">
        <f t="shared" si="13"/>
        <v>7-DaHall 1-PDU-02-30-48</v>
      </c>
      <c r="L51" s="1827">
        <v>220</v>
      </c>
      <c r="M51" s="1828">
        <v>30</v>
      </c>
      <c r="N51" s="703" t="s">
        <v>8749</v>
      </c>
      <c r="O51" s="1829">
        <v>48</v>
      </c>
      <c r="P51" s="1834">
        <v>220</v>
      </c>
      <c r="Q51" s="1835">
        <v>30</v>
      </c>
      <c r="R51" s="687" t="s">
        <v>8750</v>
      </c>
      <c r="S51" s="1836">
        <v>48</v>
      </c>
      <c r="T51" s="703" t="s">
        <v>8824</v>
      </c>
      <c r="U51" s="2833" t="s">
        <v>8825</v>
      </c>
      <c r="V51" s="2834"/>
      <c r="W51" s="2835"/>
      <c r="X51" s="2834"/>
      <c r="Y51" s="2835"/>
      <c r="Z51" s="2834"/>
      <c r="AA51" s="2835"/>
      <c r="AB51" s="2558" t="s">
        <v>8826</v>
      </c>
      <c r="AC51" s="2560" t="s">
        <v>165</v>
      </c>
      <c r="AD51" s="2558" t="s">
        <v>110</v>
      </c>
      <c r="AE51" s="2560" t="s">
        <v>111</v>
      </c>
      <c r="AF51" s="2146" t="s">
        <v>31</v>
      </c>
      <c r="AG51" s="903" t="s">
        <v>36</v>
      </c>
      <c r="AH51" s="681">
        <f>SUM('7층_부하량(월간_AVG)'!N86:P86)</f>
        <v>0</v>
      </c>
      <c r="AI51" s="676">
        <f>SUM('7층_부하량(월간_AVG)'!N54:P54)</f>
        <v>0</v>
      </c>
      <c r="AJ51" s="1298">
        <f t="shared" ref="AJ51" si="15">AH51+AI51</f>
        <v>0</v>
      </c>
      <c r="AK51" s="2816" t="e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51" s="2817" t="e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51" s="3240">
        <f>VLOOKUP(J51&amp;K51,'7층~4층_매핑테이블'!$Y$6:$AF$2020,8,0)</f>
        <v>1.4830000000000001</v>
      </c>
      <c r="AN51" s="3230" t="e">
        <f t="shared" si="2"/>
        <v>#N/A</v>
      </c>
      <c r="AO51" s="2597" t="s">
        <v>8827</v>
      </c>
      <c r="AP51" s="2836" t="s">
        <v>8828</v>
      </c>
      <c r="AR51" s="2351" t="e">
        <f t="shared" si="3"/>
        <v>#N/A</v>
      </c>
      <c r="AS51" s="2351" t="e">
        <f t="shared" si="4"/>
        <v>#N/A</v>
      </c>
      <c r="AT51" s="123" t="e">
        <f>IF(SIGN(AS51)&gt;=0,IF(AN51=0,"무부하 랙","적정함"),"사용초과")</f>
        <v>#N/A</v>
      </c>
      <c r="AU51" t="e">
        <f t="shared" si="5"/>
        <v>#N/A</v>
      </c>
      <c r="AV51" t="e">
        <f t="shared" si="6"/>
        <v>#N/A</v>
      </c>
      <c r="BA51" s="123"/>
      <c r="BB51" s="123"/>
      <c r="BC51" s="123"/>
      <c r="BD51" s="2997"/>
      <c r="BE51" s="123"/>
      <c r="BF51" s="2998"/>
      <c r="BG51" s="2999"/>
      <c r="BH51" s="3005"/>
      <c r="BI51" s="3000"/>
      <c r="BJ51" s="3001"/>
      <c r="BK51" s="3002"/>
      <c r="BL51" s="3003"/>
      <c r="BM51" s="3004"/>
    </row>
    <row r="52" spans="1:65" ht="54" customHeight="1" x14ac:dyDescent="0.25">
      <c r="A52" s="2824"/>
      <c r="B52" s="2564" t="s">
        <v>720</v>
      </c>
      <c r="C52" s="2141" t="s">
        <v>721</v>
      </c>
      <c r="D52" s="2564" t="s">
        <v>722</v>
      </c>
      <c r="E52" s="2564"/>
      <c r="F52" s="2564"/>
      <c r="G52" s="2564" t="s">
        <v>27</v>
      </c>
      <c r="H52" s="1805" t="s">
        <v>8829</v>
      </c>
      <c r="I52" s="1837" t="s">
        <v>8830</v>
      </c>
      <c r="J52" s="1805" t="str">
        <f t="shared" si="12"/>
        <v>7-DaHall 1-A-3-50-41</v>
      </c>
      <c r="K52" s="1837" t="str">
        <f t="shared" si="13"/>
        <v>7-DaHall 1-B-3-50-41</v>
      </c>
      <c r="L52" s="1807">
        <v>48</v>
      </c>
      <c r="M52" s="1808">
        <v>50</v>
      </c>
      <c r="N52" s="2594" t="s">
        <v>181</v>
      </c>
      <c r="O52" s="1809">
        <v>41</v>
      </c>
      <c r="P52" s="1847">
        <v>48</v>
      </c>
      <c r="Q52" s="1848">
        <v>50</v>
      </c>
      <c r="R52" s="2578" t="s">
        <v>182</v>
      </c>
      <c r="S52" s="1838">
        <v>41</v>
      </c>
      <c r="T52" s="2594" t="s">
        <v>723</v>
      </c>
      <c r="U52" s="2578" t="s">
        <v>724</v>
      </c>
      <c r="V52" s="2146" t="s">
        <v>185</v>
      </c>
      <c r="W52" s="903" t="s">
        <v>186</v>
      </c>
      <c r="X52" s="2146" t="s">
        <v>435</v>
      </c>
      <c r="Y52" s="903" t="s">
        <v>436</v>
      </c>
      <c r="Z52" s="2146" t="s">
        <v>49</v>
      </c>
      <c r="AA52" s="903" t="s">
        <v>50</v>
      </c>
      <c r="AB52" s="2146" t="s">
        <v>51</v>
      </c>
      <c r="AC52" s="903" t="s">
        <v>52</v>
      </c>
      <c r="AD52" s="2146" t="s">
        <v>30</v>
      </c>
      <c r="AE52" s="903" t="s">
        <v>35</v>
      </c>
      <c r="AF52" s="2146" t="s">
        <v>31</v>
      </c>
      <c r="AG52" s="903" t="s">
        <v>36</v>
      </c>
      <c r="AH52" s="681"/>
      <c r="AI52" s="676"/>
      <c r="AJ52" s="2915"/>
      <c r="AK52" s="2916"/>
      <c r="AL52" s="2819"/>
      <c r="AM52" s="3240" t="e">
        <f>VLOOKUP(J52&amp;K52,'7층~4층_매핑테이블'!$Y$6:$AF$2020,8,0)</f>
        <v>#N/A</v>
      </c>
      <c r="AN52" s="3229">
        <f t="shared" si="2"/>
        <v>0</v>
      </c>
      <c r="AO52" s="2597"/>
      <c r="AP52" s="2599"/>
      <c r="AR52" s="2351">
        <f t="shared" si="3"/>
        <v>0</v>
      </c>
      <c r="AS52" s="2351">
        <f t="shared" si="4"/>
        <v>0</v>
      </c>
      <c r="AT52" s="123" t="str">
        <f t="shared" si="8"/>
        <v>미사용 랙</v>
      </c>
      <c r="AU52" t="str">
        <f t="shared" si="5"/>
        <v/>
      </c>
      <c r="AV52" t="str">
        <f t="shared" si="6"/>
        <v/>
      </c>
      <c r="BA52" s="123"/>
      <c r="BB52" s="123"/>
      <c r="BC52" s="123"/>
      <c r="BD52" s="2997"/>
      <c r="BE52" s="123"/>
      <c r="BF52" s="2998"/>
      <c r="BG52" s="2999"/>
      <c r="BH52" s="3005"/>
      <c r="BI52" s="3000"/>
      <c r="BJ52" s="3001"/>
      <c r="BK52" s="3002"/>
      <c r="BL52" s="3003"/>
      <c r="BM52" s="3004"/>
    </row>
    <row r="53" spans="1:65" ht="54" customHeight="1" x14ac:dyDescent="0.25">
      <c r="A53" s="2824"/>
      <c r="B53" s="2564" t="s">
        <v>715</v>
      </c>
      <c r="C53" s="2141" t="s">
        <v>716</v>
      </c>
      <c r="D53" s="2564" t="s">
        <v>717</v>
      </c>
      <c r="E53" s="2564"/>
      <c r="F53" s="2564"/>
      <c r="G53" s="2564" t="s">
        <v>27</v>
      </c>
      <c r="H53" s="1805" t="s">
        <v>8831</v>
      </c>
      <c r="I53" s="1837" t="s">
        <v>8832</v>
      </c>
      <c r="J53" s="1805" t="str">
        <f t="shared" si="12"/>
        <v>7-DaHall 1-A-3-50-10</v>
      </c>
      <c r="K53" s="1837" t="str">
        <f t="shared" si="13"/>
        <v>7-DaHall 1-B-3-50-10</v>
      </c>
      <c r="L53" s="1807">
        <v>48</v>
      </c>
      <c r="M53" s="1808">
        <v>50</v>
      </c>
      <c r="N53" s="2594" t="s">
        <v>181</v>
      </c>
      <c r="O53" s="1809">
        <v>10</v>
      </c>
      <c r="P53" s="1847">
        <v>48</v>
      </c>
      <c r="Q53" s="1848">
        <v>50</v>
      </c>
      <c r="R53" s="2578" t="s">
        <v>182</v>
      </c>
      <c r="S53" s="1838">
        <v>10</v>
      </c>
      <c r="T53" s="2594" t="s">
        <v>718</v>
      </c>
      <c r="U53" s="2578" t="s">
        <v>719</v>
      </c>
      <c r="V53" s="2146" t="s">
        <v>185</v>
      </c>
      <c r="W53" s="903" t="s">
        <v>186</v>
      </c>
      <c r="X53" s="2146" t="s">
        <v>435</v>
      </c>
      <c r="Y53" s="903" t="s">
        <v>436</v>
      </c>
      <c r="Z53" s="2146" t="s">
        <v>49</v>
      </c>
      <c r="AA53" s="903" t="s">
        <v>50</v>
      </c>
      <c r="AB53" s="2146" t="s">
        <v>51</v>
      </c>
      <c r="AC53" s="903" t="s">
        <v>52</v>
      </c>
      <c r="AD53" s="2146" t="s">
        <v>30</v>
      </c>
      <c r="AE53" s="903" t="s">
        <v>35</v>
      </c>
      <c r="AF53" s="2146" t="s">
        <v>31</v>
      </c>
      <c r="AG53" s="903" t="s">
        <v>36</v>
      </c>
      <c r="AH53" s="681"/>
      <c r="AI53" s="676"/>
      <c r="AJ53" s="2915"/>
      <c r="AK53" s="2916"/>
      <c r="AL53" s="2819"/>
      <c r="AM53" s="3240" t="e">
        <f>VLOOKUP(J53&amp;K53,'7층~4층_매핑테이블'!$Y$6:$AF$2020,8,0)</f>
        <v>#N/A</v>
      </c>
      <c r="AN53" s="3229">
        <f t="shared" si="2"/>
        <v>0</v>
      </c>
      <c r="AO53" s="2597"/>
      <c r="AP53" s="2599"/>
      <c r="AR53" s="2351">
        <f t="shared" si="3"/>
        <v>0</v>
      </c>
      <c r="AS53" s="2351">
        <f t="shared" si="4"/>
        <v>0</v>
      </c>
      <c r="AT53" s="123" t="str">
        <f t="shared" si="8"/>
        <v>미사용 랙</v>
      </c>
      <c r="AU53" t="str">
        <f t="shared" si="5"/>
        <v/>
      </c>
      <c r="AV53" t="str">
        <f t="shared" si="6"/>
        <v/>
      </c>
      <c r="BA53" s="123"/>
      <c r="BB53" s="123"/>
      <c r="BC53" s="123"/>
      <c r="BD53" s="2997"/>
      <c r="BE53" s="123"/>
      <c r="BF53" s="2998"/>
      <c r="BG53" s="2999"/>
      <c r="BH53" s="3005"/>
      <c r="BI53" s="3000"/>
      <c r="BJ53" s="3001"/>
      <c r="BK53" s="3002"/>
      <c r="BL53" s="3003"/>
      <c r="BM53" s="3004"/>
    </row>
    <row r="54" spans="1:65" ht="54" customHeight="1" x14ac:dyDescent="0.25">
      <c r="A54" s="2824"/>
      <c r="B54" s="2564" t="s">
        <v>710</v>
      </c>
      <c r="C54" s="2141" t="s">
        <v>711</v>
      </c>
      <c r="D54" s="2564" t="s">
        <v>712</v>
      </c>
      <c r="E54" s="2564"/>
      <c r="F54" s="2564"/>
      <c r="G54" s="2564" t="s">
        <v>27</v>
      </c>
      <c r="H54" s="1805" t="s">
        <v>8833</v>
      </c>
      <c r="I54" s="1837" t="s">
        <v>8834</v>
      </c>
      <c r="J54" s="1805" t="str">
        <f t="shared" si="12"/>
        <v>7-DaHall 1-A-3-50-7</v>
      </c>
      <c r="K54" s="1837" t="str">
        <f t="shared" si="13"/>
        <v>7-DaHall 1-B-3-50-7</v>
      </c>
      <c r="L54" s="1807">
        <v>48</v>
      </c>
      <c r="M54" s="1808">
        <v>50</v>
      </c>
      <c r="N54" s="2594" t="s">
        <v>181</v>
      </c>
      <c r="O54" s="1809">
        <v>7</v>
      </c>
      <c r="P54" s="1847">
        <v>48</v>
      </c>
      <c r="Q54" s="1848">
        <v>50</v>
      </c>
      <c r="R54" s="2578" t="s">
        <v>182</v>
      </c>
      <c r="S54" s="1838">
        <v>7</v>
      </c>
      <c r="T54" s="2594" t="s">
        <v>713</v>
      </c>
      <c r="U54" s="2578" t="s">
        <v>714</v>
      </c>
      <c r="V54" s="2146" t="s">
        <v>185</v>
      </c>
      <c r="W54" s="903" t="s">
        <v>186</v>
      </c>
      <c r="X54" s="2146" t="s">
        <v>435</v>
      </c>
      <c r="Y54" s="903" t="s">
        <v>436</v>
      </c>
      <c r="Z54" s="2146" t="s">
        <v>49</v>
      </c>
      <c r="AA54" s="903" t="s">
        <v>50</v>
      </c>
      <c r="AB54" s="2146" t="s">
        <v>51</v>
      </c>
      <c r="AC54" s="903" t="s">
        <v>52</v>
      </c>
      <c r="AD54" s="2146" t="s">
        <v>30</v>
      </c>
      <c r="AE54" s="903" t="s">
        <v>35</v>
      </c>
      <c r="AF54" s="2146" t="s">
        <v>31</v>
      </c>
      <c r="AG54" s="903" t="s">
        <v>36</v>
      </c>
      <c r="AH54" s="681"/>
      <c r="AI54" s="676"/>
      <c r="AJ54" s="2915"/>
      <c r="AK54" s="2916"/>
      <c r="AL54" s="2819"/>
      <c r="AM54" s="3240" t="e">
        <f>VLOOKUP(J54&amp;K54,'7층~4층_매핑테이블'!$Y$6:$AF$2020,8,0)</f>
        <v>#N/A</v>
      </c>
      <c r="AN54" s="3229">
        <f t="shared" si="2"/>
        <v>0</v>
      </c>
      <c r="AO54" s="2597"/>
      <c r="AP54" s="2599"/>
      <c r="AR54" s="2351">
        <f t="shared" si="3"/>
        <v>0</v>
      </c>
      <c r="AS54" s="2351">
        <f t="shared" si="4"/>
        <v>0</v>
      </c>
      <c r="AT54" s="123" t="str">
        <f t="shared" si="8"/>
        <v>미사용 랙</v>
      </c>
      <c r="AU54" t="str">
        <f t="shared" si="5"/>
        <v/>
      </c>
      <c r="AV54" t="str">
        <f t="shared" si="6"/>
        <v/>
      </c>
      <c r="BA54" s="123"/>
      <c r="BB54" s="123"/>
      <c r="BC54" s="123"/>
      <c r="BD54" s="2997"/>
      <c r="BE54" s="123"/>
      <c r="BF54" s="2998"/>
      <c r="BG54" s="2999"/>
      <c r="BH54" s="3005"/>
      <c r="BI54" s="3000"/>
      <c r="BJ54" s="3001"/>
      <c r="BK54" s="3002"/>
      <c r="BL54" s="3003"/>
      <c r="BM54" s="3004"/>
    </row>
    <row r="55" spans="1:65" ht="54" customHeight="1" x14ac:dyDescent="0.25">
      <c r="A55" s="2824"/>
      <c r="B55" s="2564" t="s">
        <v>705</v>
      </c>
      <c r="C55" s="2141" t="s">
        <v>706</v>
      </c>
      <c r="D55" s="2564" t="s">
        <v>707</v>
      </c>
      <c r="E55" s="2564"/>
      <c r="F55" s="2564"/>
      <c r="G55" s="2564" t="s">
        <v>27</v>
      </c>
      <c r="H55" s="1805" t="s">
        <v>8835</v>
      </c>
      <c r="I55" s="1837" t="s">
        <v>8836</v>
      </c>
      <c r="J55" s="1805" t="str">
        <f t="shared" si="12"/>
        <v>7-DaHall 1-A-3-50-6</v>
      </c>
      <c r="K55" s="1837" t="str">
        <f t="shared" si="13"/>
        <v>7-DaHall 1-B-3-50-6</v>
      </c>
      <c r="L55" s="1807">
        <v>48</v>
      </c>
      <c r="M55" s="1808">
        <v>50</v>
      </c>
      <c r="N55" s="2594" t="s">
        <v>181</v>
      </c>
      <c r="O55" s="1809">
        <v>6</v>
      </c>
      <c r="P55" s="1847">
        <v>48</v>
      </c>
      <c r="Q55" s="1848">
        <v>50</v>
      </c>
      <c r="R55" s="2578" t="s">
        <v>182</v>
      </c>
      <c r="S55" s="1838">
        <v>6</v>
      </c>
      <c r="T55" s="2594" t="s">
        <v>708</v>
      </c>
      <c r="U55" s="2578" t="s">
        <v>709</v>
      </c>
      <c r="V55" s="2146" t="s">
        <v>185</v>
      </c>
      <c r="W55" s="903" t="s">
        <v>186</v>
      </c>
      <c r="X55" s="2146" t="s">
        <v>435</v>
      </c>
      <c r="Y55" s="903" t="s">
        <v>436</v>
      </c>
      <c r="Z55" s="2146" t="s">
        <v>49</v>
      </c>
      <c r="AA55" s="903" t="s">
        <v>50</v>
      </c>
      <c r="AB55" s="2146" t="s">
        <v>51</v>
      </c>
      <c r="AC55" s="903" t="s">
        <v>52</v>
      </c>
      <c r="AD55" s="2146" t="s">
        <v>30</v>
      </c>
      <c r="AE55" s="903" t="s">
        <v>35</v>
      </c>
      <c r="AF55" s="2146" t="s">
        <v>31</v>
      </c>
      <c r="AG55" s="903" t="s">
        <v>36</v>
      </c>
      <c r="AH55" s="681"/>
      <c r="AI55" s="676"/>
      <c r="AJ55" s="2915"/>
      <c r="AK55" s="2916"/>
      <c r="AL55" s="2819"/>
      <c r="AM55" s="3240" t="e">
        <f>VLOOKUP(J55&amp;K55,'7층~4층_매핑테이블'!$Y$6:$AF$2020,8,0)</f>
        <v>#N/A</v>
      </c>
      <c r="AN55" s="3229">
        <f t="shared" si="2"/>
        <v>0</v>
      </c>
      <c r="AO55" s="2597"/>
      <c r="AP55" s="2599"/>
      <c r="AR55" s="2351">
        <f t="shared" si="3"/>
        <v>0</v>
      </c>
      <c r="AS55" s="2351">
        <f t="shared" si="4"/>
        <v>0</v>
      </c>
      <c r="AT55" s="123" t="str">
        <f t="shared" si="8"/>
        <v>미사용 랙</v>
      </c>
      <c r="AU55" t="str">
        <f t="shared" si="5"/>
        <v/>
      </c>
      <c r="AV55" t="str">
        <f t="shared" si="6"/>
        <v/>
      </c>
      <c r="BA55" s="123"/>
      <c r="BB55" s="123"/>
      <c r="BC55" s="123"/>
      <c r="BD55" s="2997"/>
      <c r="BE55" s="123"/>
      <c r="BF55" s="2998"/>
      <c r="BG55" s="2999"/>
      <c r="BH55" s="3005"/>
      <c r="BI55" s="3000"/>
      <c r="BJ55" s="3001"/>
      <c r="BK55" s="3002"/>
      <c r="BL55" s="3003"/>
      <c r="BM55" s="3004"/>
    </row>
    <row r="56" spans="1:65" ht="54" customHeight="1" x14ac:dyDescent="0.25">
      <c r="A56" s="2824"/>
      <c r="B56" s="2564" t="s">
        <v>700</v>
      </c>
      <c r="C56" s="2141" t="s">
        <v>701</v>
      </c>
      <c r="D56" s="2564" t="s">
        <v>702</v>
      </c>
      <c r="E56" s="2564"/>
      <c r="F56" s="2564"/>
      <c r="G56" s="2564" t="s">
        <v>27</v>
      </c>
      <c r="H56" s="1805" t="s">
        <v>8837</v>
      </c>
      <c r="I56" s="1837" t="s">
        <v>8838</v>
      </c>
      <c r="J56" s="1805" t="str">
        <f t="shared" si="12"/>
        <v>7-DaHall 1-A-3-50-5</v>
      </c>
      <c r="K56" s="1837" t="str">
        <f t="shared" si="13"/>
        <v>7-DaHall 1-B-3-50-5</v>
      </c>
      <c r="L56" s="1807">
        <v>48</v>
      </c>
      <c r="M56" s="1808">
        <v>50</v>
      </c>
      <c r="N56" s="2594" t="s">
        <v>181</v>
      </c>
      <c r="O56" s="1809">
        <v>5</v>
      </c>
      <c r="P56" s="1847">
        <v>48</v>
      </c>
      <c r="Q56" s="1848">
        <v>50</v>
      </c>
      <c r="R56" s="2578" t="s">
        <v>182</v>
      </c>
      <c r="S56" s="1838">
        <v>5</v>
      </c>
      <c r="T56" s="2594" t="s">
        <v>703</v>
      </c>
      <c r="U56" s="2578" t="s">
        <v>704</v>
      </c>
      <c r="V56" s="2146" t="s">
        <v>185</v>
      </c>
      <c r="W56" s="903" t="s">
        <v>186</v>
      </c>
      <c r="X56" s="2146" t="s">
        <v>435</v>
      </c>
      <c r="Y56" s="903" t="s">
        <v>436</v>
      </c>
      <c r="Z56" s="2146" t="s">
        <v>49</v>
      </c>
      <c r="AA56" s="903" t="s">
        <v>50</v>
      </c>
      <c r="AB56" s="2146" t="s">
        <v>51</v>
      </c>
      <c r="AC56" s="903" t="s">
        <v>52</v>
      </c>
      <c r="AD56" s="2146" t="s">
        <v>30</v>
      </c>
      <c r="AE56" s="903" t="s">
        <v>35</v>
      </c>
      <c r="AF56" s="2146" t="s">
        <v>31</v>
      </c>
      <c r="AG56" s="903" t="s">
        <v>36</v>
      </c>
      <c r="AH56" s="681"/>
      <c r="AI56" s="676"/>
      <c r="AJ56" s="2915"/>
      <c r="AK56" s="2916"/>
      <c r="AL56" s="2819"/>
      <c r="AM56" s="3240" t="e">
        <f>VLOOKUP(J56&amp;K56,'7층~4층_매핑테이블'!$Y$6:$AF$2020,8,0)</f>
        <v>#N/A</v>
      </c>
      <c r="AN56" s="3229">
        <f t="shared" si="2"/>
        <v>0</v>
      </c>
      <c r="AO56" s="2597"/>
      <c r="AP56" s="2599"/>
      <c r="AR56" s="2351">
        <f t="shared" si="3"/>
        <v>0</v>
      </c>
      <c r="AS56" s="2351">
        <f t="shared" si="4"/>
        <v>0</v>
      </c>
      <c r="AT56" s="123" t="str">
        <f t="shared" si="8"/>
        <v>미사용 랙</v>
      </c>
      <c r="AU56" t="str">
        <f t="shared" si="5"/>
        <v/>
      </c>
      <c r="AV56" t="str">
        <f t="shared" si="6"/>
        <v/>
      </c>
      <c r="BA56" s="123"/>
      <c r="BB56" s="123"/>
      <c r="BC56" s="123"/>
      <c r="BD56" s="2997"/>
      <c r="BE56" s="123"/>
      <c r="BF56" s="2998"/>
      <c r="BG56" s="2999"/>
      <c r="BH56" s="3005"/>
      <c r="BI56" s="3000"/>
      <c r="BJ56" s="3001"/>
      <c r="BK56" s="3002"/>
      <c r="BL56" s="3003"/>
      <c r="BM56" s="3004"/>
    </row>
    <row r="57" spans="1:65" ht="27" customHeight="1" x14ac:dyDescent="0.25">
      <c r="A57" s="2824"/>
      <c r="B57" s="2564" t="s">
        <v>697</v>
      </c>
      <c r="C57" s="2564"/>
      <c r="D57" s="2564"/>
      <c r="E57" s="2564"/>
      <c r="F57" s="2564"/>
      <c r="G57" s="2564" t="s">
        <v>27</v>
      </c>
      <c r="H57" s="1805" t="s">
        <v>8839</v>
      </c>
      <c r="I57" s="1837" t="s">
        <v>8840</v>
      </c>
      <c r="J57" s="1805" t="str">
        <f t="shared" si="12"/>
        <v>7-DaHall 1-A-2-50-48</v>
      </c>
      <c r="K57" s="1837" t="str">
        <f t="shared" si="13"/>
        <v>7-DaHall 1-B-2-50-48</v>
      </c>
      <c r="L57" s="1807">
        <v>48</v>
      </c>
      <c r="M57" s="1808">
        <v>50</v>
      </c>
      <c r="N57" s="2594" t="s">
        <v>41</v>
      </c>
      <c r="O57" s="1809">
        <v>48</v>
      </c>
      <c r="P57" s="1847">
        <v>48</v>
      </c>
      <c r="Q57" s="1848">
        <v>50</v>
      </c>
      <c r="R57" s="2578" t="s">
        <v>42</v>
      </c>
      <c r="S57" s="1838">
        <v>48</v>
      </c>
      <c r="T57" s="2594" t="s">
        <v>698</v>
      </c>
      <c r="U57" s="2578" t="s">
        <v>699</v>
      </c>
      <c r="V57" s="2558" t="s">
        <v>45</v>
      </c>
      <c r="W57" s="2560" t="s">
        <v>46</v>
      </c>
      <c r="X57" s="2146" t="s">
        <v>435</v>
      </c>
      <c r="Y57" s="903" t="s">
        <v>436</v>
      </c>
      <c r="Z57" s="2146" t="s">
        <v>49</v>
      </c>
      <c r="AA57" s="903" t="s">
        <v>50</v>
      </c>
      <c r="AB57" s="2146" t="s">
        <v>51</v>
      </c>
      <c r="AC57" s="903" t="s">
        <v>52</v>
      </c>
      <c r="AD57" s="2146" t="s">
        <v>30</v>
      </c>
      <c r="AE57" s="903" t="s">
        <v>35</v>
      </c>
      <c r="AF57" s="2146" t="s">
        <v>31</v>
      </c>
      <c r="AG57" s="903" t="s">
        <v>36</v>
      </c>
      <c r="AH57" s="681"/>
      <c r="AI57" s="676"/>
      <c r="AJ57" s="2915"/>
      <c r="AK57" s="2916"/>
      <c r="AL57" s="2819"/>
      <c r="AM57" s="3240" t="e">
        <f>VLOOKUP(J57&amp;K57,'7층~4층_매핑테이블'!$Y$6:$AF$2020,8,0)</f>
        <v>#N/A</v>
      </c>
      <c r="AN57" s="3229">
        <f t="shared" si="2"/>
        <v>0</v>
      </c>
      <c r="AO57" s="2597" t="s">
        <v>531</v>
      </c>
      <c r="AP57" s="2599"/>
      <c r="AR57" s="2351">
        <f t="shared" si="3"/>
        <v>0</v>
      </c>
      <c r="AS57" s="2351">
        <f t="shared" si="4"/>
        <v>0</v>
      </c>
      <c r="AT57" s="123" t="str">
        <f t="shared" si="8"/>
        <v>미사용 랙</v>
      </c>
      <c r="AU57" t="str">
        <f t="shared" si="5"/>
        <v/>
      </c>
      <c r="AV57" t="str">
        <f t="shared" si="6"/>
        <v/>
      </c>
      <c r="BA57" s="123"/>
      <c r="BB57" s="123"/>
      <c r="BC57" s="123"/>
      <c r="BD57" s="2997"/>
      <c r="BE57" s="123"/>
      <c r="BF57" s="2998"/>
      <c r="BG57" s="2999"/>
      <c r="BH57" s="3005"/>
      <c r="BI57" s="3000"/>
      <c r="BJ57" s="3001"/>
      <c r="BK57" s="3002"/>
      <c r="BL57" s="3003"/>
      <c r="BM57" s="3004"/>
    </row>
    <row r="58" spans="1:65" ht="54" customHeight="1" x14ac:dyDescent="0.25">
      <c r="A58" s="2824"/>
      <c r="B58" s="3362" t="s">
        <v>689</v>
      </c>
      <c r="C58" s="3378"/>
      <c r="D58" s="3378" t="s">
        <v>9249</v>
      </c>
      <c r="E58" s="2878"/>
      <c r="F58" s="2564"/>
      <c r="G58" s="2564" t="s">
        <v>27</v>
      </c>
      <c r="H58" s="1805" t="s">
        <v>8841</v>
      </c>
      <c r="I58" s="1837" t="s">
        <v>8842</v>
      </c>
      <c r="J58" s="1805" t="str">
        <f t="shared" si="12"/>
        <v>7-DaHall 1-A-2-35-47</v>
      </c>
      <c r="K58" s="1837" t="str">
        <f t="shared" si="13"/>
        <v>7-DaHall 1-B-2-35-47</v>
      </c>
      <c r="L58" s="1807">
        <v>48</v>
      </c>
      <c r="M58" s="1808">
        <v>35</v>
      </c>
      <c r="N58" s="2594" t="s">
        <v>41</v>
      </c>
      <c r="O58" s="1809">
        <v>47</v>
      </c>
      <c r="P58" s="1847">
        <v>48</v>
      </c>
      <c r="Q58" s="1848">
        <v>35</v>
      </c>
      <c r="R58" s="2578" t="s">
        <v>42</v>
      </c>
      <c r="S58" s="1838">
        <v>47</v>
      </c>
      <c r="T58" s="2594" t="s">
        <v>690</v>
      </c>
      <c r="U58" s="2578" t="s">
        <v>691</v>
      </c>
      <c r="V58" s="2558" t="s">
        <v>45</v>
      </c>
      <c r="W58" s="2560" t="s">
        <v>46</v>
      </c>
      <c r="X58" s="2558" t="s">
        <v>435</v>
      </c>
      <c r="Y58" s="2560" t="s">
        <v>436</v>
      </c>
      <c r="Z58" s="2558" t="s">
        <v>49</v>
      </c>
      <c r="AA58" s="2560" t="s">
        <v>50</v>
      </c>
      <c r="AB58" s="2558" t="s">
        <v>51</v>
      </c>
      <c r="AC58" s="2560" t="s">
        <v>52</v>
      </c>
      <c r="AD58" s="2558" t="s">
        <v>30</v>
      </c>
      <c r="AE58" s="2560" t="s">
        <v>35</v>
      </c>
      <c r="AF58" s="2594" t="s">
        <v>31</v>
      </c>
      <c r="AG58" s="2578" t="s">
        <v>36</v>
      </c>
      <c r="AH58" s="694"/>
      <c r="AI58" s="676"/>
      <c r="AJ58" s="2915"/>
      <c r="AK58" s="2916"/>
      <c r="AL58" s="2819"/>
      <c r="AM58" s="3240" t="e">
        <f>VLOOKUP(J58&amp;K58,'7층~4층_매핑테이블'!$Y$6:$AF$2020,8,0)</f>
        <v>#N/A</v>
      </c>
      <c r="AN58" s="3229">
        <f t="shared" si="2"/>
        <v>0</v>
      </c>
      <c r="AO58" s="2588" t="s">
        <v>692</v>
      </c>
      <c r="AP58" s="2585" t="s">
        <v>693</v>
      </c>
      <c r="AR58" s="2351">
        <f t="shared" si="3"/>
        <v>0</v>
      </c>
      <c r="AS58" s="2351">
        <f t="shared" si="4"/>
        <v>0</v>
      </c>
      <c r="AT58" s="123" t="str">
        <f t="shared" si="8"/>
        <v>미사용 랙</v>
      </c>
      <c r="AU58" t="str">
        <f t="shared" si="5"/>
        <v/>
      </c>
      <c r="AV58" t="str">
        <f t="shared" si="6"/>
        <v/>
      </c>
      <c r="BA58" s="123"/>
      <c r="BB58" s="123"/>
      <c r="BC58" s="123"/>
      <c r="BD58" s="2997"/>
      <c r="BE58" s="123"/>
      <c r="BF58" s="2998"/>
      <c r="BG58" s="2999"/>
      <c r="BH58" s="3005"/>
      <c r="BI58" s="3000"/>
      <c r="BJ58" s="3001"/>
      <c r="BK58" s="3002"/>
      <c r="BL58" s="3003"/>
      <c r="BM58" s="3004"/>
    </row>
    <row r="59" spans="1:65" ht="62.4" x14ac:dyDescent="0.25">
      <c r="A59" s="2824"/>
      <c r="B59" s="3386"/>
      <c r="C59" s="3388"/>
      <c r="D59" s="3388"/>
      <c r="E59" s="2877"/>
      <c r="F59" s="2564" t="s">
        <v>27</v>
      </c>
      <c r="G59" s="2564"/>
      <c r="H59" s="1857"/>
      <c r="I59" s="1851"/>
      <c r="J59" s="1857"/>
      <c r="K59" s="1851"/>
      <c r="L59" s="1858"/>
      <c r="M59" s="938"/>
      <c r="N59" s="938"/>
      <c r="O59" s="1859"/>
      <c r="P59" s="1852"/>
      <c r="Q59" s="1842"/>
      <c r="R59" s="896"/>
      <c r="S59" s="1843"/>
      <c r="T59" s="938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7"/>
      <c r="AI59" s="949"/>
      <c r="AJ59" s="1309"/>
      <c r="AK59" s="2829"/>
      <c r="AL59" s="2817"/>
      <c r="AM59" s="3240">
        <f>VLOOKUP(J59&amp;K59,'7층~4층_매핑테이블'!$Y$6:$AF$2020,8,0)</f>
        <v>0</v>
      </c>
      <c r="AN59" s="3231">
        <f t="shared" si="2"/>
        <v>0</v>
      </c>
      <c r="AO59" s="2837"/>
      <c r="AP59" s="2832"/>
      <c r="AR59" s="2351">
        <f t="shared" si="3"/>
        <v>0</v>
      </c>
      <c r="AS59" s="2351">
        <f t="shared" si="4"/>
        <v>0</v>
      </c>
      <c r="AT59" s="123" t="str">
        <f>IF(SIGN(AS59)&gt;=0,IF(AN59=0,"무부하 랙","적정함"),"사용초과")</f>
        <v>무부하 랙</v>
      </c>
      <c r="AU59" t="str">
        <f t="shared" si="5"/>
        <v/>
      </c>
      <c r="AV59" t="str">
        <f t="shared" si="6"/>
        <v/>
      </c>
      <c r="BA59" s="123"/>
      <c r="BB59" s="123"/>
      <c r="BC59" s="123"/>
      <c r="BD59" s="2997"/>
      <c r="BE59" s="123"/>
      <c r="BF59" s="2998"/>
      <c r="BG59" s="2999"/>
      <c r="BH59" s="3005"/>
      <c r="BI59" s="3000"/>
      <c r="BJ59" s="3001"/>
      <c r="BK59" s="3002"/>
      <c r="BL59" s="3003"/>
      <c r="BM59" s="3004"/>
    </row>
    <row r="60" spans="1:65" ht="54" customHeight="1" x14ac:dyDescent="0.25">
      <c r="A60" s="2824"/>
      <c r="B60" s="3363"/>
      <c r="C60" s="3388"/>
      <c r="D60" s="3388"/>
      <c r="E60" s="2877"/>
      <c r="F60" s="2564"/>
      <c r="G60" s="2564" t="s">
        <v>27</v>
      </c>
      <c r="H60" s="1805" t="s">
        <v>8843</v>
      </c>
      <c r="I60" s="1837" t="s">
        <v>8844</v>
      </c>
      <c r="J60" s="1805" t="str">
        <f>"7-DaHall 1-"&amp;N60&amp;"-"&amp;M60&amp;"-"&amp;O60</f>
        <v>7-DaHall 1-A-2-35-53</v>
      </c>
      <c r="K60" s="1837" t="str">
        <f>"7-DaHall 1-"&amp;R60&amp;"-"&amp;Q60&amp;"-"&amp;S60</f>
        <v>7-DaHall 1-B-2-35-53</v>
      </c>
      <c r="L60" s="1807">
        <v>48</v>
      </c>
      <c r="M60" s="1808">
        <v>35</v>
      </c>
      <c r="N60" s="2594" t="s">
        <v>41</v>
      </c>
      <c r="O60" s="1809">
        <v>53</v>
      </c>
      <c r="P60" s="1847">
        <v>48</v>
      </c>
      <c r="Q60" s="1848">
        <v>35</v>
      </c>
      <c r="R60" s="2578" t="s">
        <v>42</v>
      </c>
      <c r="S60" s="1838">
        <v>53</v>
      </c>
      <c r="T60" s="2594" t="s">
        <v>695</v>
      </c>
      <c r="U60" s="2578" t="s">
        <v>696</v>
      </c>
      <c r="V60" s="2558" t="s">
        <v>45</v>
      </c>
      <c r="W60" s="2560" t="s">
        <v>46</v>
      </c>
      <c r="X60" s="2558" t="s">
        <v>435</v>
      </c>
      <c r="Y60" s="2560" t="s">
        <v>436</v>
      </c>
      <c r="Z60" s="2558" t="s">
        <v>49</v>
      </c>
      <c r="AA60" s="2560" t="s">
        <v>50</v>
      </c>
      <c r="AB60" s="2558" t="s">
        <v>51</v>
      </c>
      <c r="AC60" s="2560" t="s">
        <v>52</v>
      </c>
      <c r="AD60" s="2558" t="s">
        <v>30</v>
      </c>
      <c r="AE60" s="2560" t="s">
        <v>35</v>
      </c>
      <c r="AF60" s="2594" t="s">
        <v>31</v>
      </c>
      <c r="AG60" s="2578" t="s">
        <v>36</v>
      </c>
      <c r="AH60" s="694"/>
      <c r="AI60" s="686"/>
      <c r="AJ60" s="2915"/>
      <c r="AK60" s="2916"/>
      <c r="AL60" s="2819"/>
      <c r="AM60" s="3240" t="e">
        <f>VLOOKUP(J60&amp;K60,'7층~4층_매핑테이블'!$Y$6:$AF$2020,8,0)</f>
        <v>#N/A</v>
      </c>
      <c r="AN60" s="3229">
        <f t="shared" si="2"/>
        <v>0</v>
      </c>
      <c r="AO60" s="2591"/>
      <c r="AP60" s="2587"/>
      <c r="AR60" s="2351">
        <f t="shared" si="3"/>
        <v>0</v>
      </c>
      <c r="AS60" s="2351">
        <f t="shared" si="4"/>
        <v>0</v>
      </c>
      <c r="AT60" s="123" t="str">
        <f t="shared" si="8"/>
        <v>미사용 랙</v>
      </c>
      <c r="AU60" t="str">
        <f t="shared" si="5"/>
        <v/>
      </c>
      <c r="AV60" t="str">
        <f t="shared" si="6"/>
        <v/>
      </c>
      <c r="BA60" s="123"/>
      <c r="BB60" s="123"/>
      <c r="BC60" s="123"/>
      <c r="BD60" s="2997"/>
      <c r="BE60" s="123"/>
      <c r="BF60" s="2998"/>
      <c r="BG60" s="2999"/>
      <c r="BH60" s="3005"/>
      <c r="BI60" s="3000"/>
      <c r="BJ60" s="3001"/>
      <c r="BK60" s="3002"/>
      <c r="BL60" s="3003"/>
      <c r="BM60" s="3004"/>
    </row>
    <row r="61" spans="1:65" ht="54" customHeight="1" x14ac:dyDescent="0.25">
      <c r="A61" s="2824"/>
      <c r="B61" s="3362" t="s">
        <v>685</v>
      </c>
      <c r="C61" s="3362"/>
      <c r="D61" s="3362" t="s">
        <v>9249</v>
      </c>
      <c r="E61" s="2569"/>
      <c r="F61" s="2564"/>
      <c r="G61" s="2564" t="s">
        <v>27</v>
      </c>
      <c r="H61" s="1805" t="s">
        <v>8845</v>
      </c>
      <c r="I61" s="1837" t="s">
        <v>8846</v>
      </c>
      <c r="J61" s="1805" t="str">
        <f>"7-DaHall 1-"&amp;N61&amp;"-"&amp;M61&amp;"-"&amp;O61</f>
        <v>7-DaHall 1-A-2-16-44</v>
      </c>
      <c r="K61" s="1837" t="str">
        <f>"7-DaHall 1-"&amp;R61&amp;"-"&amp;Q61&amp;"-"&amp;S61</f>
        <v>7-DaHall 1-B-2-16-46</v>
      </c>
      <c r="L61" s="1807">
        <v>48</v>
      </c>
      <c r="M61" s="1808">
        <v>16</v>
      </c>
      <c r="N61" s="2594" t="s">
        <v>41</v>
      </c>
      <c r="O61" s="1809">
        <v>44</v>
      </c>
      <c r="P61" s="1847">
        <v>48</v>
      </c>
      <c r="Q61" s="1848">
        <v>16</v>
      </c>
      <c r="R61" s="2578" t="s">
        <v>42</v>
      </c>
      <c r="S61" s="1838">
        <v>46</v>
      </c>
      <c r="T61" s="2594" t="s">
        <v>686</v>
      </c>
      <c r="U61" s="2578" t="s">
        <v>687</v>
      </c>
      <c r="V61" s="2558" t="s">
        <v>45</v>
      </c>
      <c r="W61" s="2560" t="s">
        <v>46</v>
      </c>
      <c r="X61" s="2558" t="s">
        <v>435</v>
      </c>
      <c r="Y61" s="2560" t="s">
        <v>436</v>
      </c>
      <c r="Z61" s="2558" t="s">
        <v>49</v>
      </c>
      <c r="AA61" s="2560" t="s">
        <v>50</v>
      </c>
      <c r="AB61" s="2146" t="s">
        <v>51</v>
      </c>
      <c r="AC61" s="2560" t="s">
        <v>52</v>
      </c>
      <c r="AD61" s="2146" t="s">
        <v>30</v>
      </c>
      <c r="AE61" s="2560" t="s">
        <v>35</v>
      </c>
      <c r="AF61" s="2146" t="s">
        <v>31</v>
      </c>
      <c r="AG61" s="2578" t="s">
        <v>36</v>
      </c>
      <c r="AH61" s="681"/>
      <c r="AI61" s="676"/>
      <c r="AJ61" s="2915"/>
      <c r="AK61" s="2916"/>
      <c r="AL61" s="2819"/>
      <c r="AM61" s="3240" t="e">
        <f>VLOOKUP(J61&amp;K61,'7층~4층_매핑테이블'!$Y$6:$AF$2020,8,0)</f>
        <v>#N/A</v>
      </c>
      <c r="AN61" s="3229">
        <f t="shared" si="2"/>
        <v>0</v>
      </c>
      <c r="AO61" s="2588" t="s">
        <v>531</v>
      </c>
      <c r="AP61" s="2599"/>
      <c r="AR61" s="2351">
        <f t="shared" si="3"/>
        <v>0</v>
      </c>
      <c r="AS61" s="2351">
        <f t="shared" si="4"/>
        <v>0</v>
      </c>
      <c r="AT61" s="123" t="str">
        <f t="shared" si="8"/>
        <v>미사용 랙</v>
      </c>
      <c r="AU61" t="str">
        <f t="shared" si="5"/>
        <v/>
      </c>
      <c r="AV61" t="str">
        <f t="shared" si="6"/>
        <v/>
      </c>
      <c r="BA61" s="123"/>
      <c r="BB61" s="123"/>
      <c r="BC61" s="123"/>
      <c r="BD61" s="2997"/>
      <c r="BE61" s="123"/>
      <c r="BF61" s="2998"/>
      <c r="BG61" s="2999"/>
      <c r="BH61" s="3005"/>
      <c r="BI61" s="3000"/>
      <c r="BJ61" s="3001"/>
      <c r="BK61" s="3002"/>
      <c r="BL61" s="3003"/>
      <c r="BM61" s="3004"/>
    </row>
    <row r="62" spans="1:65" ht="62.4" x14ac:dyDescent="0.25">
      <c r="A62" s="2824"/>
      <c r="B62" s="3363"/>
      <c r="C62" s="3363"/>
      <c r="D62" s="3363"/>
      <c r="E62" s="2570"/>
      <c r="F62" s="2564" t="s">
        <v>27</v>
      </c>
      <c r="G62" s="2564"/>
      <c r="H62" s="1857"/>
      <c r="I62" s="1851"/>
      <c r="J62" s="1857"/>
      <c r="K62" s="1851"/>
      <c r="L62" s="1858"/>
      <c r="M62" s="938"/>
      <c r="N62" s="938"/>
      <c r="O62" s="1859"/>
      <c r="P62" s="1852"/>
      <c r="Q62" s="1842"/>
      <c r="R62" s="896"/>
      <c r="S62" s="1843"/>
      <c r="T62" s="938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7"/>
      <c r="AI62" s="949"/>
      <c r="AJ62" s="1309"/>
      <c r="AK62" s="2829"/>
      <c r="AL62" s="2817"/>
      <c r="AM62" s="3240">
        <f>VLOOKUP(J62&amp;K62,'7층~4층_매핑테이블'!$Y$6:$AF$2020,8,0)</f>
        <v>0</v>
      </c>
      <c r="AN62" s="3231">
        <f t="shared" si="2"/>
        <v>0</v>
      </c>
      <c r="AO62" s="2838"/>
      <c r="AP62" s="2585"/>
      <c r="AR62" s="2351">
        <f t="shared" si="3"/>
        <v>0</v>
      </c>
      <c r="AS62" s="2351">
        <f t="shared" si="4"/>
        <v>0</v>
      </c>
      <c r="AT62" s="123" t="str">
        <f>IF(SIGN(AS62)&gt;=0,IF(AN62=0,"무부하 랙","적정함"),"사용초과")</f>
        <v>무부하 랙</v>
      </c>
      <c r="AU62" t="str">
        <f t="shared" si="5"/>
        <v/>
      </c>
      <c r="AV62" t="str">
        <f t="shared" si="6"/>
        <v/>
      </c>
      <c r="BA62" s="123"/>
      <c r="BB62" s="123"/>
      <c r="BC62" s="123"/>
      <c r="BD62" s="2997"/>
      <c r="BE62" s="123"/>
      <c r="BF62" s="2998"/>
      <c r="BG62" s="2999"/>
      <c r="BH62" s="3005"/>
      <c r="BI62" s="3000"/>
      <c r="BJ62" s="3001"/>
      <c r="BK62" s="3002"/>
      <c r="BL62" s="3003"/>
      <c r="BM62" s="3004"/>
    </row>
    <row r="63" spans="1:65" ht="25.2" customHeight="1" x14ac:dyDescent="0.25">
      <c r="A63" s="2824"/>
      <c r="B63" s="3362" t="s">
        <v>680</v>
      </c>
      <c r="C63" s="3362"/>
      <c r="D63" s="3392" t="s">
        <v>9249</v>
      </c>
      <c r="E63" s="2880"/>
      <c r="F63" s="2564"/>
      <c r="G63" s="2564" t="s">
        <v>27</v>
      </c>
      <c r="H63" s="1805" t="s">
        <v>8847</v>
      </c>
      <c r="I63" s="1837" t="s">
        <v>8848</v>
      </c>
      <c r="J63" s="1805" t="str">
        <f>"7-DaHall 1-"&amp;N63&amp;"-"&amp;M63&amp;"-"&amp;O63</f>
        <v>7-DaHall 1-A-2-35-58</v>
      </c>
      <c r="K63" s="1837" t="str">
        <f>"7-DaHall 1-"&amp;R63&amp;"-"&amp;Q63&amp;"-"&amp;S63</f>
        <v>7-DaHall 1-B-2-35-58</v>
      </c>
      <c r="L63" s="1807">
        <v>48</v>
      </c>
      <c r="M63" s="1808">
        <v>35</v>
      </c>
      <c r="N63" s="2594" t="s">
        <v>41</v>
      </c>
      <c r="O63" s="1809">
        <v>58</v>
      </c>
      <c r="P63" s="1847">
        <v>48</v>
      </c>
      <c r="Q63" s="1848">
        <v>35</v>
      </c>
      <c r="R63" s="2578" t="s">
        <v>42</v>
      </c>
      <c r="S63" s="1838">
        <v>58</v>
      </c>
      <c r="T63" s="2594" t="s">
        <v>681</v>
      </c>
      <c r="U63" s="2578" t="s">
        <v>682</v>
      </c>
      <c r="V63" s="2146" t="s">
        <v>45</v>
      </c>
      <c r="W63" s="903" t="s">
        <v>46</v>
      </c>
      <c r="X63" s="2146" t="s">
        <v>435</v>
      </c>
      <c r="Y63" s="903" t="s">
        <v>436</v>
      </c>
      <c r="Z63" s="2146" t="s">
        <v>49</v>
      </c>
      <c r="AA63" s="903" t="s">
        <v>50</v>
      </c>
      <c r="AB63" s="2146" t="s">
        <v>51</v>
      </c>
      <c r="AC63" s="903" t="s">
        <v>52</v>
      </c>
      <c r="AD63" s="2146" t="s">
        <v>30</v>
      </c>
      <c r="AE63" s="903" t="s">
        <v>35</v>
      </c>
      <c r="AF63" s="2146" t="s">
        <v>31</v>
      </c>
      <c r="AG63" s="903" t="s">
        <v>36</v>
      </c>
      <c r="AH63" s="681"/>
      <c r="AI63" s="676"/>
      <c r="AJ63" s="2915"/>
      <c r="AK63" s="2916"/>
      <c r="AL63" s="2819"/>
      <c r="AM63" s="3240" t="e">
        <f>VLOOKUP(J63&amp;K63,'7층~4층_매핑테이블'!$Y$6:$AF$2020,8,0)</f>
        <v>#N/A</v>
      </c>
      <c r="AN63" s="3229">
        <f t="shared" si="2"/>
        <v>0</v>
      </c>
      <c r="AO63" s="2588" t="s">
        <v>321</v>
      </c>
      <c r="AP63" s="2599"/>
      <c r="AR63" s="2351">
        <f t="shared" si="3"/>
        <v>0</v>
      </c>
      <c r="AS63" s="2351">
        <f t="shared" si="4"/>
        <v>0</v>
      </c>
      <c r="AT63" s="123" t="str">
        <f t="shared" si="8"/>
        <v>미사용 랙</v>
      </c>
      <c r="AU63" t="str">
        <f t="shared" si="5"/>
        <v/>
      </c>
      <c r="AV63" t="str">
        <f t="shared" si="6"/>
        <v/>
      </c>
      <c r="BA63" s="123"/>
      <c r="BB63" s="123"/>
      <c r="BC63" s="123"/>
      <c r="BD63" s="2997"/>
      <c r="BE63" s="123"/>
      <c r="BF63" s="2998"/>
      <c r="BG63" s="2999"/>
      <c r="BH63" s="3005"/>
      <c r="BI63" s="3000"/>
      <c r="BJ63" s="3001"/>
      <c r="BK63" s="3002"/>
      <c r="BL63" s="3003"/>
      <c r="BM63" s="3004"/>
    </row>
    <row r="64" spans="1:65" ht="62.4" x14ac:dyDescent="0.25">
      <c r="A64" s="2824"/>
      <c r="B64" s="3363"/>
      <c r="C64" s="3363"/>
      <c r="D64" s="3363"/>
      <c r="E64" s="2960">
        <v>2.2000000000000002</v>
      </c>
      <c r="F64" s="2564" t="s">
        <v>27</v>
      </c>
      <c r="G64" s="2564"/>
      <c r="H64" s="1825" t="s">
        <v>8849</v>
      </c>
      <c r="I64" s="1851"/>
      <c r="J64" s="1825" t="str">
        <f>"7-DaHall 1-"&amp;N64&amp;"-"&amp;M64&amp;"-"&amp;O64</f>
        <v>7-DaHall 1-RPP-01-20-7</v>
      </c>
      <c r="K64" s="1851"/>
      <c r="L64" s="1827">
        <v>220</v>
      </c>
      <c r="M64" s="1828">
        <v>20</v>
      </c>
      <c r="N64" s="703" t="s">
        <v>8775</v>
      </c>
      <c r="O64" s="1829">
        <v>7</v>
      </c>
      <c r="P64" s="1852"/>
      <c r="Q64" s="1842"/>
      <c r="R64" s="896"/>
      <c r="S64" s="1843"/>
      <c r="T64" s="703" t="s">
        <v>683</v>
      </c>
      <c r="U64" s="896"/>
      <c r="V64" s="2594" t="s">
        <v>684</v>
      </c>
      <c r="W64" s="897"/>
      <c r="X64" s="2594" t="s">
        <v>450</v>
      </c>
      <c r="Y64" s="897"/>
      <c r="Z64" s="2594" t="s">
        <v>451</v>
      </c>
      <c r="AA64" s="897"/>
      <c r="AB64" s="2146" t="s">
        <v>51</v>
      </c>
      <c r="AC64" s="897"/>
      <c r="AD64" s="2146" t="s">
        <v>30</v>
      </c>
      <c r="AE64" s="897"/>
      <c r="AF64" s="2146" t="s">
        <v>31</v>
      </c>
      <c r="AG64" s="896"/>
      <c r="AH64" s="681">
        <f>SUM('7층_부하량(월간_AVG)'!D9:F9)</f>
        <v>0</v>
      </c>
      <c r="AI64" s="921"/>
      <c r="AJ64" s="1298">
        <f>AH64+AI64</f>
        <v>0</v>
      </c>
      <c r="AK64" s="2816" t="e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4" s="2817"/>
      <c r="AM64" s="3240">
        <f>VLOOKUP(J64&amp;K64,'7층~4층_매핑테이블'!$Y$6:$AF$2020,8,0)</f>
        <v>0</v>
      </c>
      <c r="AN64" s="3230" t="e">
        <f t="shared" si="2"/>
        <v>#N/A</v>
      </c>
      <c r="AO64" s="2838"/>
      <c r="AP64" s="2599"/>
      <c r="AR64" s="2351" t="e">
        <f t="shared" si="3"/>
        <v>#N/A</v>
      </c>
      <c r="AS64" s="2351" t="e">
        <f t="shared" si="4"/>
        <v>#N/A</v>
      </c>
      <c r="AT64" s="123" t="e">
        <f>IF(SIGN(AS64)&gt;=0,IF(AN64=0,"무부하 랙","적정함"),"사용초과")</f>
        <v>#N/A</v>
      </c>
      <c r="AU64" t="e">
        <f t="shared" si="5"/>
        <v>#N/A</v>
      </c>
      <c r="AV64" t="e">
        <f t="shared" si="6"/>
        <v>#N/A</v>
      </c>
      <c r="BA64" s="123"/>
      <c r="BB64" s="123"/>
      <c r="BC64" s="123"/>
      <c r="BD64" s="2997"/>
      <c r="BE64" s="123"/>
      <c r="BF64" s="2998"/>
      <c r="BG64" s="2999"/>
      <c r="BH64" s="3005"/>
      <c r="BI64" s="3000"/>
      <c r="BJ64" s="3001"/>
      <c r="BK64" s="3002"/>
      <c r="BL64" s="3003"/>
      <c r="BM64" s="3004"/>
    </row>
    <row r="65" spans="1:65" ht="25.2" customHeight="1" x14ac:dyDescent="0.25">
      <c r="A65" s="2824"/>
      <c r="B65" s="2564" t="s">
        <v>675</v>
      </c>
      <c r="C65" s="2141" t="s">
        <v>676</v>
      </c>
      <c r="D65" s="2564" t="s">
        <v>677</v>
      </c>
      <c r="E65" s="2564"/>
      <c r="F65" s="2564"/>
      <c r="G65" s="2564" t="s">
        <v>27</v>
      </c>
      <c r="H65" s="1805" t="s">
        <v>8850</v>
      </c>
      <c r="I65" s="1837" t="s">
        <v>8851</v>
      </c>
      <c r="J65" s="1805" t="str">
        <f>"7-DaHall 1-"&amp;N65&amp;"-"&amp;M65&amp;"-"&amp;O65</f>
        <v>7-DaHall 1-A-2-50-23</v>
      </c>
      <c r="K65" s="1837" t="str">
        <f>"7-DaHall 1-"&amp;R65&amp;"-"&amp;Q65&amp;"-"&amp;S65</f>
        <v>7-DaHall 1-B-2-50-23</v>
      </c>
      <c r="L65" s="1807">
        <v>48</v>
      </c>
      <c r="M65" s="1808">
        <v>50</v>
      </c>
      <c r="N65" s="2594" t="s">
        <v>41</v>
      </c>
      <c r="O65" s="1809">
        <v>23</v>
      </c>
      <c r="P65" s="1847">
        <v>48</v>
      </c>
      <c r="Q65" s="1848">
        <v>50</v>
      </c>
      <c r="R65" s="2578" t="s">
        <v>42</v>
      </c>
      <c r="S65" s="1838">
        <v>23</v>
      </c>
      <c r="T65" s="2594" t="s">
        <v>678</v>
      </c>
      <c r="U65" s="2578" t="s">
        <v>679</v>
      </c>
      <c r="V65" s="2146" t="s">
        <v>45</v>
      </c>
      <c r="W65" s="903" t="s">
        <v>46</v>
      </c>
      <c r="X65" s="2146" t="s">
        <v>435</v>
      </c>
      <c r="Y65" s="903" t="s">
        <v>436</v>
      </c>
      <c r="Z65" s="2146" t="s">
        <v>49</v>
      </c>
      <c r="AA65" s="903" t="s">
        <v>50</v>
      </c>
      <c r="AB65" s="2146" t="s">
        <v>51</v>
      </c>
      <c r="AC65" s="903" t="s">
        <v>52</v>
      </c>
      <c r="AD65" s="2146" t="s">
        <v>30</v>
      </c>
      <c r="AE65" s="903" t="s">
        <v>35</v>
      </c>
      <c r="AF65" s="2146" t="s">
        <v>31</v>
      </c>
      <c r="AG65" s="903" t="s">
        <v>36</v>
      </c>
      <c r="AH65" s="681"/>
      <c r="AI65" s="676"/>
      <c r="AJ65" s="2915"/>
      <c r="AK65" s="2916"/>
      <c r="AL65" s="2819"/>
      <c r="AM65" s="3240" t="e">
        <f>VLOOKUP(J65&amp;K65,'7층~4층_매핑테이블'!$Y$6:$AF$2020,8,0)</f>
        <v>#N/A</v>
      </c>
      <c r="AN65" s="3229">
        <f t="shared" si="2"/>
        <v>0</v>
      </c>
      <c r="AO65" s="2597" t="s">
        <v>315</v>
      </c>
      <c r="AP65" s="2599"/>
      <c r="AR65" s="2351">
        <f t="shared" si="3"/>
        <v>0</v>
      </c>
      <c r="AS65" s="2351">
        <f t="shared" si="4"/>
        <v>0</v>
      </c>
      <c r="AT65" s="123" t="str">
        <f t="shared" si="8"/>
        <v>미사용 랙</v>
      </c>
      <c r="AU65" t="str">
        <f t="shared" si="5"/>
        <v/>
      </c>
      <c r="AV65" t="str">
        <f t="shared" si="6"/>
        <v/>
      </c>
      <c r="BA65" s="123"/>
      <c r="BB65" s="123"/>
      <c r="BC65" s="123"/>
      <c r="BD65" s="2997"/>
      <c r="BE65" s="123"/>
      <c r="BF65" s="2998"/>
      <c r="BG65" s="2999"/>
      <c r="BH65" s="3005"/>
      <c r="BI65" s="3000"/>
      <c r="BJ65" s="3001"/>
      <c r="BK65" s="3002"/>
      <c r="BL65" s="3003"/>
      <c r="BM65" s="3004"/>
    </row>
    <row r="66" spans="1:65" ht="25.2" customHeight="1" x14ac:dyDescent="0.25">
      <c r="A66" s="2824"/>
      <c r="B66" s="2564" t="s">
        <v>670</v>
      </c>
      <c r="C66" s="2141" t="s">
        <v>671</v>
      </c>
      <c r="D66" s="2564" t="s">
        <v>672</v>
      </c>
      <c r="E66" s="2564"/>
      <c r="F66" s="2564"/>
      <c r="G66" s="2564" t="s">
        <v>27</v>
      </c>
      <c r="H66" s="1805" t="s">
        <v>8852</v>
      </c>
      <c r="I66" s="1837" t="s">
        <v>8853</v>
      </c>
      <c r="J66" s="1805" t="str">
        <f>"7-DaHall 1-"&amp;N66&amp;"-"&amp;M66&amp;"-"&amp;O66</f>
        <v>7-DaHall 1-A-2-50-7</v>
      </c>
      <c r="K66" s="1837" t="str">
        <f>"7-DaHall 1-"&amp;R66&amp;"-"&amp;Q66&amp;"-"&amp;S66</f>
        <v>7-DaHall 1-B-2-50-7</v>
      </c>
      <c r="L66" s="1807">
        <v>48</v>
      </c>
      <c r="M66" s="1808">
        <v>50</v>
      </c>
      <c r="N66" s="2594" t="s">
        <v>41</v>
      </c>
      <c r="O66" s="1809">
        <v>7</v>
      </c>
      <c r="P66" s="1847">
        <v>48</v>
      </c>
      <c r="Q66" s="1848">
        <v>50</v>
      </c>
      <c r="R66" s="2578" t="s">
        <v>42</v>
      </c>
      <c r="S66" s="1838">
        <v>7</v>
      </c>
      <c r="T66" s="2594" t="s">
        <v>673</v>
      </c>
      <c r="U66" s="2578" t="s">
        <v>674</v>
      </c>
      <c r="V66" s="2146" t="s">
        <v>45</v>
      </c>
      <c r="W66" s="903" t="s">
        <v>46</v>
      </c>
      <c r="X66" s="2146" t="s">
        <v>435</v>
      </c>
      <c r="Y66" s="903" t="s">
        <v>436</v>
      </c>
      <c r="Z66" s="2146" t="s">
        <v>49</v>
      </c>
      <c r="AA66" s="903" t="s">
        <v>50</v>
      </c>
      <c r="AB66" s="2146" t="s">
        <v>51</v>
      </c>
      <c r="AC66" s="903" t="s">
        <v>52</v>
      </c>
      <c r="AD66" s="2146" t="s">
        <v>30</v>
      </c>
      <c r="AE66" s="903" t="s">
        <v>35</v>
      </c>
      <c r="AF66" s="2146" t="s">
        <v>31</v>
      </c>
      <c r="AG66" s="903" t="s">
        <v>36</v>
      </c>
      <c r="AH66" s="681"/>
      <c r="AI66" s="676"/>
      <c r="AJ66" s="2915"/>
      <c r="AK66" s="2916"/>
      <c r="AL66" s="2819"/>
      <c r="AM66" s="3240" t="e">
        <f>VLOOKUP(J66&amp;K66,'7층~4층_매핑테이블'!$Y$6:$AF$2020,8,0)</f>
        <v>#N/A</v>
      </c>
      <c r="AN66" s="3229">
        <f t="shared" si="2"/>
        <v>0</v>
      </c>
      <c r="AO66" s="2597" t="s">
        <v>321</v>
      </c>
      <c r="AP66" s="2599"/>
      <c r="AR66" s="2351">
        <f t="shared" si="3"/>
        <v>0</v>
      </c>
      <c r="AS66" s="2351">
        <f t="shared" si="4"/>
        <v>0</v>
      </c>
      <c r="AT66" s="123" t="str">
        <f t="shared" si="8"/>
        <v>미사용 랙</v>
      </c>
      <c r="AU66" t="str">
        <f t="shared" si="5"/>
        <v/>
      </c>
      <c r="AV66" t="str">
        <f t="shared" si="6"/>
        <v/>
      </c>
      <c r="BA66" s="123"/>
      <c r="BB66" s="123"/>
      <c r="BC66" s="123"/>
      <c r="BD66" s="2997"/>
      <c r="BE66" s="123"/>
      <c r="BF66" s="2998"/>
      <c r="BG66" s="2999"/>
      <c r="BH66" s="3005"/>
      <c r="BI66" s="3000"/>
      <c r="BJ66" s="3001"/>
      <c r="BK66" s="3002"/>
      <c r="BL66" s="3003"/>
      <c r="BM66" s="3004"/>
    </row>
    <row r="67" spans="1:65" ht="93.6" x14ac:dyDescent="0.25">
      <c r="A67" s="2824"/>
      <c r="B67" s="2564" t="s">
        <v>667</v>
      </c>
      <c r="C67" s="2141" t="s">
        <v>668</v>
      </c>
      <c r="D67" s="958" t="s">
        <v>9251</v>
      </c>
      <c r="E67" s="2960">
        <v>2.2000000000000002</v>
      </c>
      <c r="F67" s="2564" t="s">
        <v>27</v>
      </c>
      <c r="G67" s="2564"/>
      <c r="H67" s="1839"/>
      <c r="I67" s="1915"/>
      <c r="J67" s="1839"/>
      <c r="K67" s="1915"/>
      <c r="L67" s="1841"/>
      <c r="M67" s="896"/>
      <c r="N67" s="896"/>
      <c r="O67" s="1843"/>
      <c r="P67" s="1916"/>
      <c r="Q67" s="1917"/>
      <c r="R67" s="942"/>
      <c r="S67" s="1918"/>
      <c r="T67" s="896"/>
      <c r="U67" s="942" t="s">
        <v>669</v>
      </c>
      <c r="V67" s="733"/>
      <c r="W67" s="939"/>
      <c r="X67" s="733"/>
      <c r="Y67" s="939"/>
      <c r="Z67" s="733"/>
      <c r="AA67" s="939"/>
      <c r="AB67" s="733"/>
      <c r="AC67" s="939"/>
      <c r="AD67" s="733"/>
      <c r="AE67" s="939"/>
      <c r="AF67" s="733"/>
      <c r="AG67" s="938"/>
      <c r="AH67" s="681"/>
      <c r="AI67" s="682"/>
      <c r="AJ67" s="1298">
        <f>AH67+AI67</f>
        <v>0</v>
      </c>
      <c r="AK67" s="2816"/>
      <c r="AL67" s="2817"/>
      <c r="AM67" s="3240"/>
      <c r="AN67" s="3230">
        <f t="shared" si="2"/>
        <v>0</v>
      </c>
      <c r="AO67" s="2597" t="s">
        <v>524</v>
      </c>
      <c r="AP67" s="2599"/>
      <c r="AR67" s="2351">
        <f t="shared" si="3"/>
        <v>0</v>
      </c>
      <c r="AS67" s="2351">
        <f t="shared" si="4"/>
        <v>2.2000000000000002</v>
      </c>
      <c r="AT67" s="123" t="str">
        <f>IF(SIGN(AS67)&gt;=0,IF(AN67=0,"무부하 랙","적정함"),"사용초과")</f>
        <v>무부하 랙</v>
      </c>
      <c r="AU67" t="str">
        <f t="shared" si="5"/>
        <v/>
      </c>
      <c r="AV67" t="str">
        <f t="shared" si="6"/>
        <v/>
      </c>
      <c r="BA67" s="123"/>
      <c r="BB67" s="123"/>
      <c r="BC67" s="123"/>
      <c r="BD67" s="2997"/>
      <c r="BE67" s="123"/>
      <c r="BF67" s="2998"/>
      <c r="BG67" s="2999"/>
      <c r="BH67" s="3005"/>
      <c r="BI67" s="3000"/>
      <c r="BJ67" s="3001"/>
      <c r="BK67" s="3002"/>
      <c r="BL67" s="3003"/>
      <c r="BM67" s="3004"/>
    </row>
    <row r="68" spans="1:65" ht="27" customHeight="1" x14ac:dyDescent="0.25">
      <c r="A68" s="2824"/>
      <c r="B68" s="3362" t="s">
        <v>659</v>
      </c>
      <c r="C68" s="3373" t="s">
        <v>660</v>
      </c>
      <c r="D68" s="3362" t="s">
        <v>661</v>
      </c>
      <c r="E68" s="2569"/>
      <c r="F68" s="2564"/>
      <c r="G68" s="2564" t="s">
        <v>27</v>
      </c>
      <c r="H68" s="1805" t="s">
        <v>8854</v>
      </c>
      <c r="I68" s="1837" t="s">
        <v>8855</v>
      </c>
      <c r="J68" s="1805" t="str">
        <f>"7-DaHall 1-"&amp;N68&amp;"-"&amp;M68&amp;"-"&amp;O68</f>
        <v>7-DaHall 1-A-2-35-62</v>
      </c>
      <c r="K68" s="1837" t="str">
        <f>"7-DaHall 1-"&amp;R68&amp;"-"&amp;Q68&amp;"-"&amp;S68</f>
        <v>7-DaHall 1-B-2-35-62</v>
      </c>
      <c r="L68" s="1807">
        <v>48</v>
      </c>
      <c r="M68" s="1808">
        <v>35</v>
      </c>
      <c r="N68" s="2594" t="s">
        <v>41</v>
      </c>
      <c r="O68" s="1809">
        <v>62</v>
      </c>
      <c r="P68" s="1847">
        <v>48</v>
      </c>
      <c r="Q68" s="1848">
        <v>35</v>
      </c>
      <c r="R68" s="2578" t="s">
        <v>42</v>
      </c>
      <c r="S68" s="1838">
        <v>62</v>
      </c>
      <c r="T68" s="2594" t="s">
        <v>662</v>
      </c>
      <c r="U68" s="2578" t="s">
        <v>663</v>
      </c>
      <c r="V68" s="2146" t="s">
        <v>45</v>
      </c>
      <c r="W68" s="903" t="s">
        <v>46</v>
      </c>
      <c r="X68" s="2146" t="s">
        <v>435</v>
      </c>
      <c r="Y68" s="903" t="s">
        <v>436</v>
      </c>
      <c r="Z68" s="2146" t="s">
        <v>49</v>
      </c>
      <c r="AA68" s="903" t="s">
        <v>50</v>
      </c>
      <c r="AB68" s="2146" t="s">
        <v>51</v>
      </c>
      <c r="AC68" s="903" t="s">
        <v>52</v>
      </c>
      <c r="AD68" s="2146" t="s">
        <v>30</v>
      </c>
      <c r="AE68" s="903" t="s">
        <v>35</v>
      </c>
      <c r="AF68" s="2146" t="s">
        <v>31</v>
      </c>
      <c r="AG68" s="903" t="s">
        <v>36</v>
      </c>
      <c r="AH68" s="694"/>
      <c r="AI68" s="686"/>
      <c r="AJ68" s="3346"/>
      <c r="AK68" s="2916"/>
      <c r="AL68" s="2819"/>
      <c r="AM68" s="3240" t="e">
        <f>VLOOKUP(J68&amp;K68,'7층~4층_매핑테이블'!$Y$6:$AF$2020,8,0)</f>
        <v>#N/A</v>
      </c>
      <c r="AN68" s="3229">
        <f t="shared" si="2"/>
        <v>0</v>
      </c>
      <c r="AO68" s="2839" t="s">
        <v>315</v>
      </c>
      <c r="AP68" s="2830" t="s">
        <v>664</v>
      </c>
      <c r="AR68" s="2351">
        <f t="shared" si="3"/>
        <v>0</v>
      </c>
      <c r="AS68" s="2351">
        <f t="shared" si="4"/>
        <v>0</v>
      </c>
      <c r="AT68" s="123" t="str">
        <f t="shared" si="8"/>
        <v>미사용 랙</v>
      </c>
      <c r="AU68" t="str">
        <f t="shared" si="5"/>
        <v/>
      </c>
      <c r="AV68" t="str">
        <f t="shared" si="6"/>
        <v/>
      </c>
      <c r="BA68" s="123"/>
      <c r="BB68" s="123"/>
      <c r="BC68" s="123"/>
      <c r="BD68" s="2997"/>
      <c r="BE68" s="123"/>
      <c r="BF68" s="2998"/>
      <c r="BG68" s="2999"/>
      <c r="BH68" s="3005"/>
      <c r="BI68" s="3000"/>
      <c r="BJ68" s="3001"/>
      <c r="BK68" s="3002"/>
      <c r="BL68" s="3003"/>
      <c r="BM68" s="3004"/>
    </row>
    <row r="69" spans="1:65" ht="54" customHeight="1" x14ac:dyDescent="0.25">
      <c r="A69" s="2824"/>
      <c r="B69" s="3363"/>
      <c r="C69" s="3374"/>
      <c r="D69" s="3363"/>
      <c r="E69" s="2570"/>
      <c r="F69" s="2564"/>
      <c r="G69" s="2564" t="s">
        <v>27</v>
      </c>
      <c r="H69" s="1805" t="s">
        <v>8856</v>
      </c>
      <c r="I69" s="1837" t="s">
        <v>8857</v>
      </c>
      <c r="J69" s="1805" t="str">
        <f>"7-DaHall 1-"&amp;N69&amp;"-"&amp;M69&amp;"-"&amp;O69</f>
        <v>7-DaHall 1-A-2-35-63</v>
      </c>
      <c r="K69" s="1837" t="str">
        <f>"7-DaHall 1-"&amp;R69&amp;"-"&amp;Q69&amp;"-"&amp;S69</f>
        <v>7-DaHall 1-B-2-35-63</v>
      </c>
      <c r="L69" s="1807">
        <v>48</v>
      </c>
      <c r="M69" s="1808">
        <v>35</v>
      </c>
      <c r="N69" s="2594" t="s">
        <v>41</v>
      </c>
      <c r="O69" s="1809">
        <v>63</v>
      </c>
      <c r="P69" s="1847">
        <v>48</v>
      </c>
      <c r="Q69" s="1848">
        <v>35</v>
      </c>
      <c r="R69" s="2578" t="s">
        <v>42</v>
      </c>
      <c r="S69" s="1838">
        <v>63</v>
      </c>
      <c r="T69" s="2594" t="s">
        <v>665</v>
      </c>
      <c r="U69" s="2578" t="s">
        <v>666</v>
      </c>
      <c r="V69" s="2146" t="s">
        <v>45</v>
      </c>
      <c r="W69" s="903" t="s">
        <v>46</v>
      </c>
      <c r="X69" s="2146" t="s">
        <v>435</v>
      </c>
      <c r="Y69" s="903" t="s">
        <v>436</v>
      </c>
      <c r="Z69" s="2146" t="s">
        <v>49</v>
      </c>
      <c r="AA69" s="903" t="s">
        <v>50</v>
      </c>
      <c r="AB69" s="2146" t="s">
        <v>51</v>
      </c>
      <c r="AC69" s="903" t="s">
        <v>52</v>
      </c>
      <c r="AD69" s="2146" t="s">
        <v>30</v>
      </c>
      <c r="AE69" s="903" t="s">
        <v>35</v>
      </c>
      <c r="AF69" s="2146" t="s">
        <v>31</v>
      </c>
      <c r="AG69" s="903" t="s">
        <v>36</v>
      </c>
      <c r="AH69" s="694"/>
      <c r="AI69" s="686"/>
      <c r="AJ69" s="3347"/>
      <c r="AK69" s="2916"/>
      <c r="AL69" s="2819"/>
      <c r="AM69" s="3240" t="e">
        <f>VLOOKUP(J69&amp;K69,'7층~4층_매핑테이블'!$Y$6:$AF$2020,8,0)</f>
        <v>#N/A</v>
      </c>
      <c r="AN69" s="3229">
        <f t="shared" si="2"/>
        <v>0</v>
      </c>
      <c r="AO69" s="2838"/>
      <c r="AP69" s="2831"/>
      <c r="AR69" s="2351">
        <f t="shared" si="3"/>
        <v>0</v>
      </c>
      <c r="AS69" s="2351">
        <f t="shared" si="4"/>
        <v>0</v>
      </c>
      <c r="AT69" s="123" t="str">
        <f t="shared" si="8"/>
        <v>미사용 랙</v>
      </c>
      <c r="AU69" t="str">
        <f t="shared" si="5"/>
        <v/>
      </c>
      <c r="AV69" t="str">
        <f t="shared" si="6"/>
        <v/>
      </c>
      <c r="BA69" s="123"/>
      <c r="BB69" s="123"/>
      <c r="BC69" s="123"/>
      <c r="BD69" s="2997"/>
      <c r="BE69" s="123"/>
      <c r="BF69" s="2998"/>
      <c r="BG69" s="2999"/>
      <c r="BH69" s="3005"/>
      <c r="BI69" s="3000"/>
      <c r="BJ69" s="3001"/>
      <c r="BK69" s="3002"/>
      <c r="BL69" s="3003"/>
      <c r="BM69" s="3004"/>
    </row>
    <row r="70" spans="1:65" ht="54" customHeight="1" x14ac:dyDescent="0.25">
      <c r="A70" s="2824"/>
      <c r="B70" s="3362" t="s">
        <v>583</v>
      </c>
      <c r="C70" s="3373" t="s">
        <v>584</v>
      </c>
      <c r="D70" s="3362" t="s">
        <v>585</v>
      </c>
      <c r="E70" s="2569"/>
      <c r="F70" s="2564"/>
      <c r="G70" s="2564" t="s">
        <v>27</v>
      </c>
      <c r="H70" s="1805" t="s">
        <v>8858</v>
      </c>
      <c r="I70" s="1837" t="s">
        <v>8859</v>
      </c>
      <c r="J70" s="1805" t="str">
        <f t="shared" ref="J70:J80" si="16">"7-DaHall 1-"&amp;N70&amp;"-"&amp;M70&amp;"-"&amp;O70</f>
        <v>7-DaHall 1-A-3-50-57</v>
      </c>
      <c r="K70" s="1837" t="str">
        <f t="shared" ref="K70:K80" si="17">"7-DaHall 1-"&amp;R70&amp;"-"&amp;Q70&amp;"-"&amp;S70</f>
        <v>7-DaHall 1-B-3-50-57</v>
      </c>
      <c r="L70" s="1807">
        <v>48</v>
      </c>
      <c r="M70" s="1808">
        <v>50</v>
      </c>
      <c r="N70" s="2594" t="s">
        <v>181</v>
      </c>
      <c r="O70" s="1809">
        <v>57</v>
      </c>
      <c r="P70" s="1847">
        <v>48</v>
      </c>
      <c r="Q70" s="1848">
        <v>50</v>
      </c>
      <c r="R70" s="2578" t="s">
        <v>182</v>
      </c>
      <c r="S70" s="1838">
        <v>57</v>
      </c>
      <c r="T70" s="2594" t="s">
        <v>586</v>
      </c>
      <c r="U70" s="2578" t="s">
        <v>587</v>
      </c>
      <c r="V70" s="2146" t="s">
        <v>185</v>
      </c>
      <c r="W70" s="903" t="s">
        <v>186</v>
      </c>
      <c r="X70" s="2146" t="s">
        <v>47</v>
      </c>
      <c r="Y70" s="903" t="s">
        <v>48</v>
      </c>
      <c r="Z70" s="2146" t="s">
        <v>49</v>
      </c>
      <c r="AA70" s="903" t="s">
        <v>50</v>
      </c>
      <c r="AB70" s="2146" t="s">
        <v>51</v>
      </c>
      <c r="AC70" s="903" t="s">
        <v>52</v>
      </c>
      <c r="AD70" s="2146" t="s">
        <v>30</v>
      </c>
      <c r="AE70" s="903" t="s">
        <v>35</v>
      </c>
      <c r="AF70" s="2146" t="s">
        <v>31</v>
      </c>
      <c r="AG70" s="903" t="s">
        <v>36</v>
      </c>
      <c r="AH70" s="694"/>
      <c r="AI70" s="686"/>
      <c r="AJ70" s="2915"/>
      <c r="AK70" s="2916"/>
      <c r="AL70" s="2819"/>
      <c r="AM70" s="3240" t="e">
        <f>VLOOKUP(J70&amp;K70,'7층~4층_매핑테이블'!$Y$6:$AF$2020,8,0)</f>
        <v>#N/A</v>
      </c>
      <c r="AN70" s="3229">
        <f t="shared" si="2"/>
        <v>0</v>
      </c>
      <c r="AO70" s="2597"/>
      <c r="AP70" s="2830" t="s">
        <v>571</v>
      </c>
      <c r="AR70" s="2351">
        <f t="shared" si="3"/>
        <v>0</v>
      </c>
      <c r="AS70" s="2351">
        <f t="shared" si="4"/>
        <v>0</v>
      </c>
      <c r="AT70" s="123" t="str">
        <f t="shared" si="8"/>
        <v>미사용 랙</v>
      </c>
      <c r="AU70" t="str">
        <f t="shared" ref="AU70:AU133" si="18">IF(AT70="사용초과",D70,"")</f>
        <v/>
      </c>
      <c r="AV70" t="str">
        <f t="shared" ref="AV70:AV133" si="19">IF(AU70="","",B70)</f>
        <v/>
      </c>
      <c r="BA70" s="123"/>
      <c r="BB70" s="123"/>
      <c r="BC70" s="123"/>
      <c r="BD70" s="2997"/>
      <c r="BE70" s="123"/>
      <c r="BF70" s="2998"/>
      <c r="BG70" s="2999"/>
      <c r="BH70" s="3005"/>
      <c r="BI70" s="3000"/>
      <c r="BJ70" s="3001"/>
      <c r="BK70" s="3002"/>
      <c r="BL70" s="3003"/>
      <c r="BM70" s="3004"/>
    </row>
    <row r="71" spans="1:65" ht="54" customHeight="1" x14ac:dyDescent="0.25">
      <c r="A71" s="2824"/>
      <c r="B71" s="3363"/>
      <c r="C71" s="3374"/>
      <c r="D71" s="3363"/>
      <c r="E71" s="2570"/>
      <c r="F71" s="2564"/>
      <c r="G71" s="2564" t="s">
        <v>27</v>
      </c>
      <c r="H71" s="1805" t="s">
        <v>8860</v>
      </c>
      <c r="I71" s="1837" t="s">
        <v>8861</v>
      </c>
      <c r="J71" s="1805" t="str">
        <f t="shared" si="16"/>
        <v>7-DaHall 1-A-3-50-58</v>
      </c>
      <c r="K71" s="1837" t="str">
        <f t="shared" si="17"/>
        <v>7-DaHall 1-B-3-50-58</v>
      </c>
      <c r="L71" s="1807">
        <v>48</v>
      </c>
      <c r="M71" s="1808">
        <v>50</v>
      </c>
      <c r="N71" s="2594" t="s">
        <v>181</v>
      </c>
      <c r="O71" s="1809">
        <v>58</v>
      </c>
      <c r="P71" s="1847">
        <v>48</v>
      </c>
      <c r="Q71" s="1848">
        <v>50</v>
      </c>
      <c r="R71" s="2578" t="s">
        <v>182</v>
      </c>
      <c r="S71" s="1838">
        <v>58</v>
      </c>
      <c r="T71" s="2594" t="s">
        <v>588</v>
      </c>
      <c r="U71" s="2578" t="s">
        <v>589</v>
      </c>
      <c r="V71" s="2146" t="s">
        <v>185</v>
      </c>
      <c r="W71" s="903" t="s">
        <v>186</v>
      </c>
      <c r="X71" s="2146" t="s">
        <v>47</v>
      </c>
      <c r="Y71" s="903" t="s">
        <v>48</v>
      </c>
      <c r="Z71" s="2146" t="s">
        <v>49</v>
      </c>
      <c r="AA71" s="903" t="s">
        <v>50</v>
      </c>
      <c r="AB71" s="2146" t="s">
        <v>51</v>
      </c>
      <c r="AC71" s="903" t="s">
        <v>52</v>
      </c>
      <c r="AD71" s="2146" t="s">
        <v>30</v>
      </c>
      <c r="AE71" s="903" t="s">
        <v>35</v>
      </c>
      <c r="AF71" s="2146" t="s">
        <v>31</v>
      </c>
      <c r="AG71" s="903" t="s">
        <v>36</v>
      </c>
      <c r="AH71" s="694"/>
      <c r="AI71" s="686"/>
      <c r="AJ71" s="2915"/>
      <c r="AK71" s="2916"/>
      <c r="AL71" s="2819"/>
      <c r="AM71" s="3240" t="e">
        <f>VLOOKUP(J71&amp;K71,'7층~4층_매핑테이블'!$Y$6:$AF$2020,8,0)</f>
        <v>#N/A</v>
      </c>
      <c r="AN71" s="3229">
        <f t="shared" si="2"/>
        <v>0</v>
      </c>
      <c r="AO71" s="2597"/>
      <c r="AP71" s="2831"/>
      <c r="AR71" s="2351">
        <f t="shared" si="3"/>
        <v>0</v>
      </c>
      <c r="AS71" s="2351">
        <f t="shared" si="4"/>
        <v>0</v>
      </c>
      <c r="AT71" s="123" t="str">
        <f t="shared" si="8"/>
        <v>미사용 랙</v>
      </c>
      <c r="AU71" t="str">
        <f t="shared" si="18"/>
        <v/>
      </c>
      <c r="AV71" t="str">
        <f t="shared" si="19"/>
        <v/>
      </c>
      <c r="BA71" s="123"/>
      <c r="BB71" s="123"/>
      <c r="BC71" s="123"/>
      <c r="BD71" s="2997"/>
      <c r="BE71" s="123"/>
      <c r="BF71" s="2998"/>
      <c r="BG71" s="2999"/>
      <c r="BH71" s="3005"/>
      <c r="BI71" s="3000"/>
      <c r="BJ71" s="3001"/>
      <c r="BK71" s="3002"/>
      <c r="BL71" s="3003"/>
      <c r="BM71" s="3004"/>
    </row>
    <row r="72" spans="1:65" ht="54" customHeight="1" x14ac:dyDescent="0.25">
      <c r="A72" s="2824"/>
      <c r="B72" s="3362" t="s">
        <v>574</v>
      </c>
      <c r="C72" s="3373" t="s">
        <v>575</v>
      </c>
      <c r="D72" s="3362" t="s">
        <v>576</v>
      </c>
      <c r="E72" s="2569"/>
      <c r="F72" s="2564"/>
      <c r="G72" s="2564" t="s">
        <v>27</v>
      </c>
      <c r="H72" s="1805" t="s">
        <v>8862</v>
      </c>
      <c r="I72" s="1837" t="s">
        <v>8863</v>
      </c>
      <c r="J72" s="1805" t="str">
        <f t="shared" si="16"/>
        <v>7-DaHall 1-A-3-100-1</v>
      </c>
      <c r="K72" s="1837" t="str">
        <f t="shared" si="17"/>
        <v>7-DaHall 1-B-3-100-1</v>
      </c>
      <c r="L72" s="1807">
        <v>48</v>
      </c>
      <c r="M72" s="1808">
        <v>100</v>
      </c>
      <c r="N72" s="2594" t="s">
        <v>181</v>
      </c>
      <c r="O72" s="1809">
        <v>1</v>
      </c>
      <c r="P72" s="1847">
        <v>48</v>
      </c>
      <c r="Q72" s="1848">
        <v>100</v>
      </c>
      <c r="R72" s="2578" t="s">
        <v>182</v>
      </c>
      <c r="S72" s="1838">
        <v>1</v>
      </c>
      <c r="T72" s="2594" t="s">
        <v>577</v>
      </c>
      <c r="U72" s="2578" t="s">
        <v>578</v>
      </c>
      <c r="V72" s="2146" t="s">
        <v>185</v>
      </c>
      <c r="W72" s="903" t="s">
        <v>186</v>
      </c>
      <c r="X72" s="2146" t="s">
        <v>47</v>
      </c>
      <c r="Y72" s="903" t="s">
        <v>48</v>
      </c>
      <c r="Z72" s="2146" t="s">
        <v>49</v>
      </c>
      <c r="AA72" s="903" t="s">
        <v>50</v>
      </c>
      <c r="AB72" s="2146" t="s">
        <v>51</v>
      </c>
      <c r="AC72" s="903" t="s">
        <v>52</v>
      </c>
      <c r="AD72" s="2146" t="s">
        <v>30</v>
      </c>
      <c r="AE72" s="903" t="s">
        <v>35</v>
      </c>
      <c r="AF72" s="2146" t="s">
        <v>31</v>
      </c>
      <c r="AG72" s="903" t="s">
        <v>36</v>
      </c>
      <c r="AH72" s="694"/>
      <c r="AI72" s="686"/>
      <c r="AJ72" s="2915"/>
      <c r="AK72" s="2916"/>
      <c r="AL72" s="2819"/>
      <c r="AM72" s="3240" t="e">
        <f>VLOOKUP(J72&amp;K72,'7층~4층_매핑테이블'!$Y$6:$AF$2020,8,0)</f>
        <v>#N/A</v>
      </c>
      <c r="AN72" s="3229">
        <f t="shared" ref="AN72:AN135" si="20">SUBTOTAL(9,AK72:AL72)</f>
        <v>0</v>
      </c>
      <c r="AO72" s="2597"/>
      <c r="AP72" s="2830" t="s">
        <v>254</v>
      </c>
      <c r="AR72" s="2351">
        <f t="shared" ref="AR72:AR135" si="21">AN72/(24*31)</f>
        <v>0</v>
      </c>
      <c r="AS72" s="2351">
        <f t="shared" ref="AS72:AS135" si="22">E72-AR72</f>
        <v>0</v>
      </c>
      <c r="AT72" s="123" t="str">
        <f t="shared" ref="AT72:AT135" si="23">IF(SIGN(AS72)&gt;=0,IF(AN72=0,"미사용 랙","적정함"),"사용초과")</f>
        <v>미사용 랙</v>
      </c>
      <c r="AU72" t="str">
        <f t="shared" si="18"/>
        <v/>
      </c>
      <c r="AV72" t="str">
        <f t="shared" si="19"/>
        <v/>
      </c>
      <c r="BA72" s="123"/>
      <c r="BB72" s="123"/>
      <c r="BC72" s="123"/>
      <c r="BD72" s="2997"/>
      <c r="BE72" s="123"/>
      <c r="BF72" s="2998"/>
      <c r="BG72" s="2999"/>
      <c r="BH72" s="3005"/>
      <c r="BI72" s="3000"/>
      <c r="BJ72" s="3001"/>
      <c r="BK72" s="3002"/>
      <c r="BL72" s="3003"/>
      <c r="BM72" s="3004"/>
    </row>
    <row r="73" spans="1:65" ht="54" customHeight="1" x14ac:dyDescent="0.25">
      <c r="A73" s="2824"/>
      <c r="B73" s="3386"/>
      <c r="C73" s="3391"/>
      <c r="D73" s="3386"/>
      <c r="E73" s="2573"/>
      <c r="F73" s="2564"/>
      <c r="G73" s="2564" t="s">
        <v>27</v>
      </c>
      <c r="H73" s="1805" t="s">
        <v>8864</v>
      </c>
      <c r="I73" s="1837" t="s">
        <v>8865</v>
      </c>
      <c r="J73" s="1805" t="str">
        <f t="shared" si="16"/>
        <v>7-DaHall 1-A-3-100-2</v>
      </c>
      <c r="K73" s="1837" t="str">
        <f t="shared" si="17"/>
        <v>7-DaHall 1-B-3-100-2</v>
      </c>
      <c r="L73" s="1807">
        <v>48</v>
      </c>
      <c r="M73" s="1808">
        <v>100</v>
      </c>
      <c r="N73" s="2594" t="s">
        <v>181</v>
      </c>
      <c r="O73" s="1809">
        <v>2</v>
      </c>
      <c r="P73" s="1847">
        <v>48</v>
      </c>
      <c r="Q73" s="1848">
        <v>100</v>
      </c>
      <c r="R73" s="2578" t="s">
        <v>182</v>
      </c>
      <c r="S73" s="1838">
        <v>2</v>
      </c>
      <c r="T73" s="2594" t="s">
        <v>579</v>
      </c>
      <c r="U73" s="2578" t="s">
        <v>580</v>
      </c>
      <c r="V73" s="2146" t="s">
        <v>185</v>
      </c>
      <c r="W73" s="903" t="s">
        <v>186</v>
      </c>
      <c r="X73" s="2146" t="s">
        <v>47</v>
      </c>
      <c r="Y73" s="903" t="s">
        <v>48</v>
      </c>
      <c r="Z73" s="2146" t="s">
        <v>49</v>
      </c>
      <c r="AA73" s="903" t="s">
        <v>50</v>
      </c>
      <c r="AB73" s="2146" t="s">
        <v>51</v>
      </c>
      <c r="AC73" s="903" t="s">
        <v>52</v>
      </c>
      <c r="AD73" s="2146" t="s">
        <v>30</v>
      </c>
      <c r="AE73" s="903" t="s">
        <v>35</v>
      </c>
      <c r="AF73" s="2146" t="s">
        <v>31</v>
      </c>
      <c r="AG73" s="903" t="s">
        <v>36</v>
      </c>
      <c r="AH73" s="694"/>
      <c r="AI73" s="686"/>
      <c r="AJ73" s="2915"/>
      <c r="AK73" s="2916"/>
      <c r="AL73" s="2819"/>
      <c r="AM73" s="3240" t="e">
        <f>VLOOKUP(J73&amp;K73,'7층~4층_매핑테이블'!$Y$6:$AF$2020,8,0)</f>
        <v>#N/A</v>
      </c>
      <c r="AN73" s="3229">
        <f t="shared" si="20"/>
        <v>0</v>
      </c>
      <c r="AO73" s="2597"/>
      <c r="AP73" s="2832"/>
      <c r="AR73" s="2351">
        <f t="shared" si="21"/>
        <v>0</v>
      </c>
      <c r="AS73" s="2351">
        <f t="shared" si="22"/>
        <v>0</v>
      </c>
      <c r="AT73" s="123" t="str">
        <f t="shared" si="23"/>
        <v>미사용 랙</v>
      </c>
      <c r="AU73" t="str">
        <f t="shared" si="18"/>
        <v/>
      </c>
      <c r="AV73" t="str">
        <f t="shared" si="19"/>
        <v/>
      </c>
      <c r="BA73" s="123"/>
      <c r="BB73" s="123"/>
      <c r="BC73" s="123"/>
      <c r="BD73" s="2997"/>
      <c r="BE73" s="123"/>
      <c r="BF73" s="2998"/>
      <c r="BG73" s="2999"/>
      <c r="BH73" s="3005"/>
      <c r="BI73" s="3000"/>
      <c r="BJ73" s="3001"/>
      <c r="BK73" s="3002"/>
      <c r="BL73" s="3003"/>
      <c r="BM73" s="3004"/>
    </row>
    <row r="74" spans="1:65" ht="54" customHeight="1" x14ac:dyDescent="0.25">
      <c r="A74" s="2824"/>
      <c r="B74" s="3363"/>
      <c r="C74" s="3374"/>
      <c r="D74" s="3363"/>
      <c r="E74" s="2570"/>
      <c r="F74" s="2564"/>
      <c r="G74" s="2564" t="s">
        <v>27</v>
      </c>
      <c r="H74" s="1805" t="s">
        <v>8866</v>
      </c>
      <c r="I74" s="1837" t="s">
        <v>8867</v>
      </c>
      <c r="J74" s="1805" t="str">
        <f t="shared" si="16"/>
        <v>7-DaHall 1-A-3-50-3</v>
      </c>
      <c r="K74" s="1837" t="str">
        <f t="shared" si="17"/>
        <v>7-DaHall 1-B-3-50-3</v>
      </c>
      <c r="L74" s="1807">
        <v>48</v>
      </c>
      <c r="M74" s="1808">
        <v>50</v>
      </c>
      <c r="N74" s="2594" t="s">
        <v>181</v>
      </c>
      <c r="O74" s="1809">
        <v>3</v>
      </c>
      <c r="P74" s="1847">
        <v>48</v>
      </c>
      <c r="Q74" s="1848">
        <v>50</v>
      </c>
      <c r="R74" s="2578" t="s">
        <v>182</v>
      </c>
      <c r="S74" s="1838">
        <v>3</v>
      </c>
      <c r="T74" s="2594" t="s">
        <v>581</v>
      </c>
      <c r="U74" s="2578" t="s">
        <v>582</v>
      </c>
      <c r="V74" s="2146" t="s">
        <v>185</v>
      </c>
      <c r="W74" s="903" t="s">
        <v>186</v>
      </c>
      <c r="X74" s="2146" t="s">
        <v>47</v>
      </c>
      <c r="Y74" s="903" t="s">
        <v>48</v>
      </c>
      <c r="Z74" s="2146" t="s">
        <v>49</v>
      </c>
      <c r="AA74" s="903" t="s">
        <v>50</v>
      </c>
      <c r="AB74" s="2146" t="s">
        <v>51</v>
      </c>
      <c r="AC74" s="903" t="s">
        <v>52</v>
      </c>
      <c r="AD74" s="2146" t="s">
        <v>30</v>
      </c>
      <c r="AE74" s="903" t="s">
        <v>35</v>
      </c>
      <c r="AF74" s="2146" t="s">
        <v>31</v>
      </c>
      <c r="AG74" s="903" t="s">
        <v>36</v>
      </c>
      <c r="AH74" s="694"/>
      <c r="AI74" s="686"/>
      <c r="AJ74" s="2915"/>
      <c r="AK74" s="2916"/>
      <c r="AL74" s="2819"/>
      <c r="AM74" s="3240" t="e">
        <f>VLOOKUP(J74&amp;K74,'7층~4층_매핑테이블'!$Y$6:$AF$2020,8,0)</f>
        <v>#N/A</v>
      </c>
      <c r="AN74" s="3229">
        <f t="shared" si="20"/>
        <v>0</v>
      </c>
      <c r="AO74" s="2597"/>
      <c r="AP74" s="2831"/>
      <c r="AR74" s="2351">
        <f t="shared" si="21"/>
        <v>0</v>
      </c>
      <c r="AS74" s="2351">
        <f t="shared" si="22"/>
        <v>0</v>
      </c>
      <c r="AT74" s="123" t="str">
        <f t="shared" si="23"/>
        <v>미사용 랙</v>
      </c>
      <c r="AU74" t="str">
        <f t="shared" si="18"/>
        <v/>
      </c>
      <c r="AV74" t="str">
        <f t="shared" si="19"/>
        <v/>
      </c>
      <c r="BA74" s="123"/>
      <c r="BB74" s="123"/>
      <c r="BC74" s="123"/>
      <c r="BD74" s="2997"/>
      <c r="BE74" s="123"/>
      <c r="BF74" s="2998"/>
      <c r="BG74" s="2999"/>
      <c r="BH74" s="3005"/>
      <c r="BI74" s="3000"/>
      <c r="BJ74" s="3001"/>
      <c r="BK74" s="3002"/>
      <c r="BL74" s="3003"/>
      <c r="BM74" s="3004"/>
    </row>
    <row r="75" spans="1:65" ht="54" customHeight="1" x14ac:dyDescent="0.25">
      <c r="A75" s="2824"/>
      <c r="B75" s="3362" t="s">
        <v>566</v>
      </c>
      <c r="C75" s="3373" t="s">
        <v>567</v>
      </c>
      <c r="D75" s="3362" t="s">
        <v>568</v>
      </c>
      <c r="E75" s="2569"/>
      <c r="F75" s="2564"/>
      <c r="G75" s="2564" t="s">
        <v>27</v>
      </c>
      <c r="H75" s="1805" t="s">
        <v>8868</v>
      </c>
      <c r="I75" s="1837" t="s">
        <v>8869</v>
      </c>
      <c r="J75" s="1805" t="str">
        <f t="shared" si="16"/>
        <v>7-DaHall 1-A-3-50-42</v>
      </c>
      <c r="K75" s="1837" t="str">
        <f t="shared" si="17"/>
        <v>7-DaHall 1-B-3-50-42</v>
      </c>
      <c r="L75" s="1807">
        <v>48</v>
      </c>
      <c r="M75" s="1808">
        <v>50</v>
      </c>
      <c r="N75" s="2594" t="s">
        <v>181</v>
      </c>
      <c r="O75" s="1809">
        <v>42</v>
      </c>
      <c r="P75" s="1847">
        <v>48</v>
      </c>
      <c r="Q75" s="1848">
        <v>50</v>
      </c>
      <c r="R75" s="2578" t="s">
        <v>182</v>
      </c>
      <c r="S75" s="1838">
        <v>42</v>
      </c>
      <c r="T75" s="2594" t="s">
        <v>569</v>
      </c>
      <c r="U75" s="2578" t="s">
        <v>570</v>
      </c>
      <c r="V75" s="2146" t="s">
        <v>185</v>
      </c>
      <c r="W75" s="903" t="s">
        <v>186</v>
      </c>
      <c r="X75" s="2146" t="s">
        <v>47</v>
      </c>
      <c r="Y75" s="903" t="s">
        <v>48</v>
      </c>
      <c r="Z75" s="2146" t="s">
        <v>49</v>
      </c>
      <c r="AA75" s="903" t="s">
        <v>50</v>
      </c>
      <c r="AB75" s="2146" t="s">
        <v>51</v>
      </c>
      <c r="AC75" s="903" t="s">
        <v>52</v>
      </c>
      <c r="AD75" s="2146" t="s">
        <v>30</v>
      </c>
      <c r="AE75" s="903" t="s">
        <v>35</v>
      </c>
      <c r="AF75" s="2146" t="s">
        <v>31</v>
      </c>
      <c r="AG75" s="903" t="s">
        <v>36</v>
      </c>
      <c r="AH75" s="694"/>
      <c r="AI75" s="686"/>
      <c r="AJ75" s="2915"/>
      <c r="AK75" s="2916"/>
      <c r="AL75" s="2819"/>
      <c r="AM75" s="3240" t="e">
        <f>VLOOKUP(J75&amp;K75,'7층~4층_매핑테이블'!$Y$6:$AF$2020,8,0)</f>
        <v>#N/A</v>
      </c>
      <c r="AN75" s="3229">
        <f t="shared" si="20"/>
        <v>0</v>
      </c>
      <c r="AO75" s="2597"/>
      <c r="AP75" s="2830" t="s">
        <v>571</v>
      </c>
      <c r="AR75" s="2351">
        <f t="shared" si="21"/>
        <v>0</v>
      </c>
      <c r="AS75" s="2351">
        <f t="shared" si="22"/>
        <v>0</v>
      </c>
      <c r="AT75" s="123" t="str">
        <f t="shared" si="23"/>
        <v>미사용 랙</v>
      </c>
      <c r="AU75" t="str">
        <f t="shared" si="18"/>
        <v/>
      </c>
      <c r="AV75" t="str">
        <f t="shared" si="19"/>
        <v/>
      </c>
      <c r="BA75" s="123"/>
      <c r="BB75" s="123"/>
      <c r="BC75" s="123"/>
      <c r="BD75" s="2997"/>
      <c r="BE75" s="123"/>
      <c r="BF75" s="2998"/>
      <c r="BG75" s="2999"/>
      <c r="BH75" s="3005"/>
      <c r="BI75" s="3000"/>
      <c r="BJ75" s="3001"/>
      <c r="BK75" s="3002"/>
      <c r="BL75" s="3003"/>
      <c r="BM75" s="3004"/>
    </row>
    <row r="76" spans="1:65" ht="54" customHeight="1" x14ac:dyDescent="0.25">
      <c r="A76" s="2824"/>
      <c r="B76" s="3363"/>
      <c r="C76" s="3374"/>
      <c r="D76" s="3363"/>
      <c r="E76" s="2570"/>
      <c r="F76" s="2564"/>
      <c r="G76" s="2564" t="s">
        <v>27</v>
      </c>
      <c r="H76" s="1805" t="s">
        <v>8870</v>
      </c>
      <c r="I76" s="1837" t="s">
        <v>8871</v>
      </c>
      <c r="J76" s="1805" t="str">
        <f t="shared" si="16"/>
        <v>7-DaHall 1-A-3-50-43</v>
      </c>
      <c r="K76" s="1837" t="str">
        <f t="shared" si="17"/>
        <v>7-DaHall 1-B-3-50-43</v>
      </c>
      <c r="L76" s="1807">
        <v>48</v>
      </c>
      <c r="M76" s="1808">
        <v>50</v>
      </c>
      <c r="N76" s="2594" t="s">
        <v>181</v>
      </c>
      <c r="O76" s="1809">
        <v>43</v>
      </c>
      <c r="P76" s="1847">
        <v>48</v>
      </c>
      <c r="Q76" s="1848">
        <v>50</v>
      </c>
      <c r="R76" s="2578" t="s">
        <v>182</v>
      </c>
      <c r="S76" s="1838">
        <v>43</v>
      </c>
      <c r="T76" s="2594" t="s">
        <v>572</v>
      </c>
      <c r="U76" s="2578" t="s">
        <v>573</v>
      </c>
      <c r="V76" s="2146" t="s">
        <v>185</v>
      </c>
      <c r="W76" s="903" t="s">
        <v>186</v>
      </c>
      <c r="X76" s="2146" t="s">
        <v>47</v>
      </c>
      <c r="Y76" s="903" t="s">
        <v>48</v>
      </c>
      <c r="Z76" s="2146" t="s">
        <v>49</v>
      </c>
      <c r="AA76" s="903" t="s">
        <v>50</v>
      </c>
      <c r="AB76" s="2146" t="s">
        <v>51</v>
      </c>
      <c r="AC76" s="903" t="s">
        <v>52</v>
      </c>
      <c r="AD76" s="2146" t="s">
        <v>30</v>
      </c>
      <c r="AE76" s="903" t="s">
        <v>35</v>
      </c>
      <c r="AF76" s="2146" t="s">
        <v>31</v>
      </c>
      <c r="AG76" s="903" t="s">
        <v>36</v>
      </c>
      <c r="AH76" s="694"/>
      <c r="AI76" s="686"/>
      <c r="AJ76" s="2915"/>
      <c r="AK76" s="2916"/>
      <c r="AL76" s="2819"/>
      <c r="AM76" s="3240" t="e">
        <f>VLOOKUP(J76&amp;K76,'7층~4층_매핑테이블'!$Y$6:$AF$2020,8,0)</f>
        <v>#N/A</v>
      </c>
      <c r="AN76" s="3229">
        <f t="shared" si="20"/>
        <v>0</v>
      </c>
      <c r="AO76" s="2597"/>
      <c r="AP76" s="2831"/>
      <c r="AR76" s="2351">
        <f t="shared" si="21"/>
        <v>0</v>
      </c>
      <c r="AS76" s="2351">
        <f t="shared" si="22"/>
        <v>0</v>
      </c>
      <c r="AT76" s="123" t="str">
        <f t="shared" si="23"/>
        <v>미사용 랙</v>
      </c>
      <c r="AU76" t="str">
        <f t="shared" si="18"/>
        <v/>
      </c>
      <c r="AV76" t="str">
        <f t="shared" si="19"/>
        <v/>
      </c>
      <c r="BA76" s="123"/>
      <c r="BB76" s="123"/>
      <c r="BC76" s="123"/>
      <c r="BD76" s="2997"/>
      <c r="BE76" s="123"/>
      <c r="BF76" s="2998"/>
      <c r="BG76" s="2999"/>
      <c r="BH76" s="3005"/>
      <c r="BI76" s="3000"/>
      <c r="BJ76" s="3001"/>
      <c r="BK76" s="3002"/>
      <c r="BL76" s="3003"/>
      <c r="BM76" s="3004"/>
    </row>
    <row r="77" spans="1:65" ht="54" customHeight="1" x14ac:dyDescent="0.25">
      <c r="A77" s="2824"/>
      <c r="B77" s="2564" t="s">
        <v>561</v>
      </c>
      <c r="C77" s="2141" t="s">
        <v>562</v>
      </c>
      <c r="D77" s="2564" t="s">
        <v>563</v>
      </c>
      <c r="E77" s="2564"/>
      <c r="F77" s="2564"/>
      <c r="G77" s="2564" t="s">
        <v>27</v>
      </c>
      <c r="H77" s="1805" t="s">
        <v>8872</v>
      </c>
      <c r="I77" s="1837" t="s">
        <v>8873</v>
      </c>
      <c r="J77" s="1805" t="str">
        <f t="shared" si="16"/>
        <v>7-DaHall 1-A-3-50-27</v>
      </c>
      <c r="K77" s="1837" t="str">
        <f t="shared" si="17"/>
        <v>7-DaHall 1-B-3-50-27</v>
      </c>
      <c r="L77" s="1807">
        <v>48</v>
      </c>
      <c r="M77" s="1808">
        <v>50</v>
      </c>
      <c r="N77" s="2594" t="s">
        <v>181</v>
      </c>
      <c r="O77" s="1809">
        <v>27</v>
      </c>
      <c r="P77" s="1847">
        <v>48</v>
      </c>
      <c r="Q77" s="1848">
        <v>50</v>
      </c>
      <c r="R77" s="2578" t="s">
        <v>182</v>
      </c>
      <c r="S77" s="1838">
        <v>27</v>
      </c>
      <c r="T77" s="2594" t="s">
        <v>564</v>
      </c>
      <c r="U77" s="2578" t="s">
        <v>565</v>
      </c>
      <c r="V77" s="2146" t="s">
        <v>185</v>
      </c>
      <c r="W77" s="903" t="s">
        <v>186</v>
      </c>
      <c r="X77" s="2146" t="s">
        <v>47</v>
      </c>
      <c r="Y77" s="903" t="s">
        <v>48</v>
      </c>
      <c r="Z77" s="2146" t="s">
        <v>49</v>
      </c>
      <c r="AA77" s="903" t="s">
        <v>50</v>
      </c>
      <c r="AB77" s="2146" t="s">
        <v>51</v>
      </c>
      <c r="AC77" s="903" t="s">
        <v>52</v>
      </c>
      <c r="AD77" s="2146" t="s">
        <v>30</v>
      </c>
      <c r="AE77" s="903" t="s">
        <v>35</v>
      </c>
      <c r="AF77" s="2146" t="s">
        <v>31</v>
      </c>
      <c r="AG77" s="903" t="s">
        <v>36</v>
      </c>
      <c r="AH77" s="681"/>
      <c r="AI77" s="676"/>
      <c r="AJ77" s="2915"/>
      <c r="AK77" s="2916"/>
      <c r="AL77" s="2819"/>
      <c r="AM77" s="3240" t="e">
        <f>VLOOKUP(J77&amp;K77,'7층~4층_매핑테이블'!$Y$6:$AF$2020,8,0)</f>
        <v>#N/A</v>
      </c>
      <c r="AN77" s="3229">
        <f t="shared" si="20"/>
        <v>0</v>
      </c>
      <c r="AO77" s="2597"/>
      <c r="AP77" s="2599"/>
      <c r="AR77" s="2351">
        <f t="shared" si="21"/>
        <v>0</v>
      </c>
      <c r="AS77" s="2351">
        <f t="shared" si="22"/>
        <v>0</v>
      </c>
      <c r="AT77" s="123" t="str">
        <f t="shared" si="23"/>
        <v>미사용 랙</v>
      </c>
      <c r="AU77" t="str">
        <f t="shared" si="18"/>
        <v/>
      </c>
      <c r="AV77" t="str">
        <f t="shared" si="19"/>
        <v/>
      </c>
      <c r="BA77" s="123"/>
      <c r="BB77" s="123"/>
      <c r="BC77" s="123"/>
      <c r="BD77" s="2997"/>
      <c r="BE77" s="123"/>
      <c r="BF77" s="2998"/>
      <c r="BG77" s="2999"/>
      <c r="BH77" s="3005"/>
      <c r="BI77" s="3000"/>
      <c r="BJ77" s="3001"/>
      <c r="BK77" s="3002"/>
      <c r="BL77" s="3003"/>
      <c r="BM77" s="3004"/>
    </row>
    <row r="78" spans="1:65" ht="54" customHeight="1" x14ac:dyDescent="0.25">
      <c r="A78" s="2824"/>
      <c r="B78" s="2564" t="s">
        <v>556</v>
      </c>
      <c r="C78" s="2141" t="s">
        <v>557</v>
      </c>
      <c r="D78" s="2564" t="s">
        <v>558</v>
      </c>
      <c r="E78" s="2564"/>
      <c r="F78" s="2564"/>
      <c r="G78" s="2564" t="s">
        <v>27</v>
      </c>
      <c r="H78" s="1805" t="s">
        <v>8874</v>
      </c>
      <c r="I78" s="1837" t="s">
        <v>8875</v>
      </c>
      <c r="J78" s="1805" t="str">
        <f t="shared" si="16"/>
        <v>7-DaHall 1-A-3-50-26</v>
      </c>
      <c r="K78" s="1837" t="str">
        <f t="shared" si="17"/>
        <v>7-DaHall 1-B-3-50-26</v>
      </c>
      <c r="L78" s="1807">
        <v>48</v>
      </c>
      <c r="M78" s="1808">
        <v>50</v>
      </c>
      <c r="N78" s="2594" t="s">
        <v>181</v>
      </c>
      <c r="O78" s="1809">
        <v>26</v>
      </c>
      <c r="P78" s="1847">
        <v>48</v>
      </c>
      <c r="Q78" s="1848">
        <v>50</v>
      </c>
      <c r="R78" s="2578" t="s">
        <v>182</v>
      </c>
      <c r="S78" s="1838">
        <v>26</v>
      </c>
      <c r="T78" s="2594" t="s">
        <v>559</v>
      </c>
      <c r="U78" s="2578" t="s">
        <v>560</v>
      </c>
      <c r="V78" s="2146" t="s">
        <v>185</v>
      </c>
      <c r="W78" s="903" t="s">
        <v>186</v>
      </c>
      <c r="X78" s="2146" t="s">
        <v>47</v>
      </c>
      <c r="Y78" s="903" t="s">
        <v>48</v>
      </c>
      <c r="Z78" s="2146" t="s">
        <v>49</v>
      </c>
      <c r="AA78" s="903" t="s">
        <v>50</v>
      </c>
      <c r="AB78" s="2146" t="s">
        <v>51</v>
      </c>
      <c r="AC78" s="903" t="s">
        <v>52</v>
      </c>
      <c r="AD78" s="2146" t="s">
        <v>30</v>
      </c>
      <c r="AE78" s="903" t="s">
        <v>35</v>
      </c>
      <c r="AF78" s="2146" t="s">
        <v>31</v>
      </c>
      <c r="AG78" s="903" t="s">
        <v>36</v>
      </c>
      <c r="AH78" s="681"/>
      <c r="AI78" s="676"/>
      <c r="AJ78" s="2915"/>
      <c r="AK78" s="2916"/>
      <c r="AL78" s="2819"/>
      <c r="AM78" s="3240" t="e">
        <f>VLOOKUP(J78&amp;K78,'7층~4층_매핑테이블'!$Y$6:$AF$2020,8,0)</f>
        <v>#N/A</v>
      </c>
      <c r="AN78" s="3229">
        <f t="shared" si="20"/>
        <v>0</v>
      </c>
      <c r="AO78" s="2597"/>
      <c r="AP78" s="2599"/>
      <c r="AR78" s="2351">
        <f t="shared" si="21"/>
        <v>0</v>
      </c>
      <c r="AS78" s="2351">
        <f t="shared" si="22"/>
        <v>0</v>
      </c>
      <c r="AT78" s="123" t="str">
        <f t="shared" si="23"/>
        <v>미사용 랙</v>
      </c>
      <c r="AU78" t="str">
        <f t="shared" si="18"/>
        <v/>
      </c>
      <c r="AV78" t="str">
        <f t="shared" si="19"/>
        <v/>
      </c>
      <c r="BA78" s="123"/>
      <c r="BB78" s="123"/>
      <c r="BC78" s="123"/>
      <c r="BD78" s="2997"/>
      <c r="BE78" s="123"/>
      <c r="BF78" s="2998"/>
      <c r="BG78" s="2999"/>
      <c r="BH78" s="3005"/>
      <c r="BI78" s="3000"/>
      <c r="BJ78" s="3001"/>
      <c r="BK78" s="3002"/>
      <c r="BL78" s="3003"/>
      <c r="BM78" s="3004"/>
    </row>
    <row r="79" spans="1:65" ht="27" customHeight="1" x14ac:dyDescent="0.25">
      <c r="A79" s="2824"/>
      <c r="B79" s="2564" t="s">
        <v>551</v>
      </c>
      <c r="C79" s="2141" t="s">
        <v>552</v>
      </c>
      <c r="D79" s="2564" t="s">
        <v>553</v>
      </c>
      <c r="E79" s="2564"/>
      <c r="F79" s="2564"/>
      <c r="G79" s="2564" t="s">
        <v>27</v>
      </c>
      <c r="H79" s="1805" t="s">
        <v>8876</v>
      </c>
      <c r="I79" s="1837" t="s">
        <v>8877</v>
      </c>
      <c r="J79" s="1805" t="str">
        <f t="shared" si="16"/>
        <v>7-DaHall 1-A-3-35-53</v>
      </c>
      <c r="K79" s="1837" t="str">
        <f t="shared" si="17"/>
        <v>7-DaHall 1-B-3-35-52</v>
      </c>
      <c r="L79" s="1807">
        <v>48</v>
      </c>
      <c r="M79" s="1808">
        <v>35</v>
      </c>
      <c r="N79" s="2594" t="s">
        <v>181</v>
      </c>
      <c r="O79" s="1809">
        <v>53</v>
      </c>
      <c r="P79" s="1847">
        <v>48</v>
      </c>
      <c r="Q79" s="1848">
        <v>35</v>
      </c>
      <c r="R79" s="2578" t="s">
        <v>182</v>
      </c>
      <c r="S79" s="1838">
        <v>52</v>
      </c>
      <c r="T79" s="2594" t="s">
        <v>554</v>
      </c>
      <c r="U79" s="2578" t="s">
        <v>555</v>
      </c>
      <c r="V79" s="2146" t="s">
        <v>185</v>
      </c>
      <c r="W79" s="903" t="s">
        <v>186</v>
      </c>
      <c r="X79" s="2146" t="s">
        <v>47</v>
      </c>
      <c r="Y79" s="903" t="s">
        <v>48</v>
      </c>
      <c r="Z79" s="2146" t="s">
        <v>49</v>
      </c>
      <c r="AA79" s="903" t="s">
        <v>50</v>
      </c>
      <c r="AB79" s="2146" t="s">
        <v>51</v>
      </c>
      <c r="AC79" s="903" t="s">
        <v>52</v>
      </c>
      <c r="AD79" s="2146" t="s">
        <v>30</v>
      </c>
      <c r="AE79" s="903" t="s">
        <v>35</v>
      </c>
      <c r="AF79" s="2146" t="s">
        <v>31</v>
      </c>
      <c r="AG79" s="903" t="s">
        <v>36</v>
      </c>
      <c r="AH79" s="681"/>
      <c r="AI79" s="676"/>
      <c r="AJ79" s="2915"/>
      <c r="AK79" s="2916"/>
      <c r="AL79" s="2819"/>
      <c r="AM79" s="3240" t="e">
        <f>VLOOKUP(J79&amp;K79,'7층~4층_매핑테이블'!$Y$6:$AF$2020,8,0)</f>
        <v>#N/A</v>
      </c>
      <c r="AN79" s="3229">
        <f t="shared" si="20"/>
        <v>0</v>
      </c>
      <c r="AO79" s="2597"/>
      <c r="AP79" s="2599"/>
      <c r="AR79" s="2351">
        <f t="shared" si="21"/>
        <v>0</v>
      </c>
      <c r="AS79" s="2351">
        <f t="shared" si="22"/>
        <v>0</v>
      </c>
      <c r="AT79" s="123" t="str">
        <f t="shared" si="23"/>
        <v>미사용 랙</v>
      </c>
      <c r="AU79" t="str">
        <f t="shared" si="18"/>
        <v/>
      </c>
      <c r="AV79" t="str">
        <f t="shared" si="19"/>
        <v/>
      </c>
      <c r="BA79" s="123"/>
      <c r="BB79" s="123"/>
      <c r="BC79" s="123"/>
      <c r="BD79" s="2997"/>
      <c r="BE79" s="123"/>
      <c r="BF79" s="2998"/>
      <c r="BG79" s="2999"/>
      <c r="BH79" s="3005"/>
      <c r="BI79" s="3000"/>
      <c r="BJ79" s="3001"/>
      <c r="BK79" s="3002"/>
      <c r="BL79" s="3003"/>
      <c r="BM79" s="3004"/>
    </row>
    <row r="80" spans="1:65" ht="40.200000000000003" customHeight="1" x14ac:dyDescent="0.25">
      <c r="A80" s="2824"/>
      <c r="B80" s="3362" t="s">
        <v>545</v>
      </c>
      <c r="C80" s="3393" t="s">
        <v>546</v>
      </c>
      <c r="D80" s="3395" t="s">
        <v>9249</v>
      </c>
      <c r="E80" s="2881"/>
      <c r="F80" s="2592"/>
      <c r="G80" s="2592" t="s">
        <v>27</v>
      </c>
      <c r="H80" s="1805" t="s">
        <v>8878</v>
      </c>
      <c r="I80" s="1837" t="s">
        <v>8879</v>
      </c>
      <c r="J80" s="1805" t="str">
        <f t="shared" si="16"/>
        <v>7-DaHall 1-A-2-35-52</v>
      </c>
      <c r="K80" s="1837" t="str">
        <f t="shared" si="17"/>
        <v>7-DaHall 1-B-2-35-52</v>
      </c>
      <c r="L80" s="1807">
        <v>48</v>
      </c>
      <c r="M80" s="1808">
        <v>35</v>
      </c>
      <c r="N80" s="2594" t="s">
        <v>41</v>
      </c>
      <c r="O80" s="1809">
        <v>52</v>
      </c>
      <c r="P80" s="1847">
        <v>48</v>
      </c>
      <c r="Q80" s="1848">
        <v>35</v>
      </c>
      <c r="R80" s="2578" t="s">
        <v>42</v>
      </c>
      <c r="S80" s="1838">
        <v>52</v>
      </c>
      <c r="T80" s="2594" t="s">
        <v>547</v>
      </c>
      <c r="U80" s="2578" t="s">
        <v>548</v>
      </c>
      <c r="V80" s="2146" t="s">
        <v>45</v>
      </c>
      <c r="W80" s="903" t="s">
        <v>46</v>
      </c>
      <c r="X80" s="2146" t="s">
        <v>435</v>
      </c>
      <c r="Y80" s="903" t="s">
        <v>436</v>
      </c>
      <c r="Z80" s="2146" t="s">
        <v>49</v>
      </c>
      <c r="AA80" s="903" t="s">
        <v>50</v>
      </c>
      <c r="AB80" s="2146" t="s">
        <v>51</v>
      </c>
      <c r="AC80" s="903" t="s">
        <v>52</v>
      </c>
      <c r="AD80" s="2146" t="s">
        <v>30</v>
      </c>
      <c r="AE80" s="903" t="s">
        <v>35</v>
      </c>
      <c r="AF80" s="2146" t="s">
        <v>31</v>
      </c>
      <c r="AG80" s="903" t="s">
        <v>36</v>
      </c>
      <c r="AH80" s="681"/>
      <c r="AI80" s="676"/>
      <c r="AJ80" s="2915"/>
      <c r="AK80" s="2916"/>
      <c r="AL80" s="2819"/>
      <c r="AM80" s="3240" t="e">
        <f>VLOOKUP(J80&amp;K80,'7층~4층_매핑테이블'!$Y$6:$AF$2020,8,0)</f>
        <v>#N/A</v>
      </c>
      <c r="AN80" s="3229">
        <f t="shared" si="20"/>
        <v>0</v>
      </c>
      <c r="AO80" s="2588" t="s">
        <v>321</v>
      </c>
      <c r="AP80" s="2599"/>
      <c r="AR80" s="2351">
        <f t="shared" si="21"/>
        <v>0</v>
      </c>
      <c r="AS80" s="2351">
        <f t="shared" si="22"/>
        <v>0</v>
      </c>
      <c r="AT80" s="123" t="str">
        <f t="shared" si="23"/>
        <v>미사용 랙</v>
      </c>
      <c r="AU80" t="str">
        <f t="shared" si="18"/>
        <v/>
      </c>
      <c r="AV80" t="str">
        <f t="shared" si="19"/>
        <v/>
      </c>
      <c r="BA80" s="123"/>
      <c r="BB80" s="123"/>
      <c r="BC80" s="123"/>
      <c r="BD80" s="2997"/>
      <c r="BE80" s="123"/>
      <c r="BF80" s="2998"/>
      <c r="BG80" s="2999"/>
      <c r="BH80" s="3005"/>
      <c r="BI80" s="3000"/>
      <c r="BJ80" s="3001"/>
      <c r="BK80" s="3002"/>
      <c r="BL80" s="3003"/>
      <c r="BM80" s="3004"/>
    </row>
    <row r="81" spans="1:65" ht="28.5" customHeight="1" x14ac:dyDescent="0.25">
      <c r="A81" s="2824"/>
      <c r="B81" s="3363"/>
      <c r="C81" s="3394"/>
      <c r="D81" s="3396"/>
      <c r="E81" s="2882"/>
      <c r="F81" s="2592" t="s">
        <v>27</v>
      </c>
      <c r="G81" s="2592"/>
      <c r="H81" s="3397"/>
      <c r="I81" s="3398"/>
      <c r="J81" s="3399"/>
      <c r="K81" s="3400"/>
      <c r="L81" s="1891"/>
      <c r="M81" s="1892"/>
      <c r="N81" s="1892"/>
      <c r="O81" s="1893"/>
      <c r="P81" s="1894"/>
      <c r="Q81" s="1895"/>
      <c r="R81" s="1892"/>
      <c r="S81" s="1893"/>
      <c r="T81" s="3401" t="s">
        <v>549</v>
      </c>
      <c r="U81" s="3402"/>
      <c r="V81" s="939"/>
      <c r="W81" s="939"/>
      <c r="X81" s="939"/>
      <c r="Y81" s="939"/>
      <c r="Z81" s="939"/>
      <c r="AA81" s="939"/>
      <c r="AB81" s="939"/>
      <c r="AC81" s="939"/>
      <c r="AD81" s="939"/>
      <c r="AE81" s="939"/>
      <c r="AF81" s="938"/>
      <c r="AG81" s="938"/>
      <c r="AH81" s="681"/>
      <c r="AI81" s="682"/>
      <c r="AJ81" s="1298">
        <f t="shared" ref="AJ81" si="24">AH81+AI81</f>
        <v>0</v>
      </c>
      <c r="AK81" s="2816"/>
      <c r="AL81" s="2817"/>
      <c r="AM81" s="3240"/>
      <c r="AN81" s="3230">
        <f t="shared" si="20"/>
        <v>0</v>
      </c>
      <c r="AO81" s="2838"/>
      <c r="AP81" s="689" t="s">
        <v>550</v>
      </c>
      <c r="AR81" s="2351">
        <f t="shared" si="21"/>
        <v>0</v>
      </c>
      <c r="AS81" s="2351">
        <f t="shared" si="22"/>
        <v>0</v>
      </c>
      <c r="AT81" s="123" t="str">
        <f>IF(SIGN(AS81)&gt;=0,IF(AN81=0,"무부하 랙","적정함"),"사용초과")</f>
        <v>무부하 랙</v>
      </c>
      <c r="AU81" t="str">
        <f t="shared" si="18"/>
        <v/>
      </c>
      <c r="AV81" t="str">
        <f t="shared" si="19"/>
        <v/>
      </c>
      <c r="BA81" s="123"/>
      <c r="BB81" s="123"/>
      <c r="BC81" s="123"/>
      <c r="BD81" s="2997"/>
      <c r="BE81" s="123"/>
      <c r="BF81" s="2998"/>
      <c r="BG81" s="2999"/>
      <c r="BH81" s="3005"/>
      <c r="BI81" s="3000"/>
      <c r="BJ81" s="3001"/>
      <c r="BK81" s="3002"/>
      <c r="BL81" s="3003"/>
      <c r="BM81" s="3004"/>
    </row>
    <row r="82" spans="1:65" ht="40.200000000000003" customHeight="1" x14ac:dyDescent="0.25">
      <c r="A82" s="2824"/>
      <c r="B82" s="2564" t="s">
        <v>540</v>
      </c>
      <c r="C82" s="2141" t="s">
        <v>541</v>
      </c>
      <c r="D82" s="2564" t="s">
        <v>542</v>
      </c>
      <c r="E82" s="2564"/>
      <c r="F82" s="2564"/>
      <c r="G82" s="2564" t="s">
        <v>27</v>
      </c>
      <c r="H82" s="1805" t="s">
        <v>8880</v>
      </c>
      <c r="I82" s="1837" t="s">
        <v>8881</v>
      </c>
      <c r="J82" s="1805" t="str">
        <f>"7-DaHall 1-"&amp;N82&amp;"-"&amp;M82&amp;"-"&amp;O82</f>
        <v>7-DaHall 1-A-2-35-49</v>
      </c>
      <c r="K82" s="1837" t="str">
        <f>"7-DaHall 1-"&amp;R82&amp;"-"&amp;Q82&amp;"-"&amp;S82</f>
        <v>7-DaHall 1-B-2-35-49</v>
      </c>
      <c r="L82" s="1807">
        <v>48</v>
      </c>
      <c r="M82" s="1808">
        <v>35</v>
      </c>
      <c r="N82" s="2594" t="s">
        <v>41</v>
      </c>
      <c r="O82" s="1809">
        <v>49</v>
      </c>
      <c r="P82" s="1847">
        <v>48</v>
      </c>
      <c r="Q82" s="1848">
        <v>35</v>
      </c>
      <c r="R82" s="2578" t="s">
        <v>42</v>
      </c>
      <c r="S82" s="1838">
        <v>49</v>
      </c>
      <c r="T82" s="2594" t="s">
        <v>543</v>
      </c>
      <c r="U82" s="2578" t="s">
        <v>544</v>
      </c>
      <c r="V82" s="2146" t="s">
        <v>45</v>
      </c>
      <c r="W82" s="903" t="s">
        <v>46</v>
      </c>
      <c r="X82" s="2146" t="s">
        <v>435</v>
      </c>
      <c r="Y82" s="903" t="s">
        <v>436</v>
      </c>
      <c r="Z82" s="2146" t="s">
        <v>49</v>
      </c>
      <c r="AA82" s="903" t="s">
        <v>50</v>
      </c>
      <c r="AB82" s="2146" t="s">
        <v>51</v>
      </c>
      <c r="AC82" s="903" t="s">
        <v>52</v>
      </c>
      <c r="AD82" s="2146" t="s">
        <v>30</v>
      </c>
      <c r="AE82" s="903" t="s">
        <v>35</v>
      </c>
      <c r="AF82" s="2146" t="s">
        <v>31</v>
      </c>
      <c r="AG82" s="903" t="s">
        <v>36</v>
      </c>
      <c r="AH82" s="681"/>
      <c r="AI82" s="676"/>
      <c r="AJ82" s="2915"/>
      <c r="AK82" s="2916"/>
      <c r="AL82" s="2819"/>
      <c r="AM82" s="3240" t="e">
        <f>VLOOKUP(J82&amp;K82,'7층~4층_매핑테이블'!$Y$6:$AF$2020,8,0)</f>
        <v>#N/A</v>
      </c>
      <c r="AN82" s="3229">
        <f t="shared" si="20"/>
        <v>0</v>
      </c>
      <c r="AO82" s="2597" t="s">
        <v>321</v>
      </c>
      <c r="AP82" s="2599"/>
      <c r="AR82" s="2351">
        <f t="shared" si="21"/>
        <v>0</v>
      </c>
      <c r="AS82" s="2351">
        <f t="shared" si="22"/>
        <v>0</v>
      </c>
      <c r="AT82" s="123" t="str">
        <f t="shared" si="23"/>
        <v>미사용 랙</v>
      </c>
      <c r="AU82" t="str">
        <f t="shared" si="18"/>
        <v/>
      </c>
      <c r="AV82" t="str">
        <f t="shared" si="19"/>
        <v/>
      </c>
      <c r="BA82" s="123"/>
      <c r="BB82" s="123"/>
      <c r="BC82" s="123"/>
      <c r="BD82" s="2997"/>
      <c r="BE82" s="123"/>
      <c r="BF82" s="2998"/>
      <c r="BG82" s="2999"/>
      <c r="BH82" s="3005"/>
      <c r="BI82" s="3000"/>
      <c r="BJ82" s="3001"/>
      <c r="BK82" s="3002"/>
      <c r="BL82" s="3003"/>
      <c r="BM82" s="3004"/>
    </row>
    <row r="83" spans="1:65" ht="13.5" customHeight="1" x14ac:dyDescent="0.25">
      <c r="A83" s="2824"/>
      <c r="B83" s="2564" t="s">
        <v>537</v>
      </c>
      <c r="C83" s="1153" t="s">
        <v>538</v>
      </c>
      <c r="D83" s="2564" t="s">
        <v>539</v>
      </c>
      <c r="E83" s="2564"/>
      <c r="F83" s="2564" t="s">
        <v>535</v>
      </c>
      <c r="G83" s="2564" t="s">
        <v>535</v>
      </c>
      <c r="H83" s="1885"/>
      <c r="I83" s="1886"/>
      <c r="J83" s="1885"/>
      <c r="K83" s="1886"/>
      <c r="L83" s="1887"/>
      <c r="M83" s="911"/>
      <c r="N83" s="911"/>
      <c r="O83" s="1888"/>
      <c r="P83" s="1889"/>
      <c r="Q83" s="1890"/>
      <c r="R83" s="911"/>
      <c r="S83" s="1888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6"/>
      <c r="AI83" s="957"/>
      <c r="AJ83" s="1312"/>
      <c r="AK83" s="2825"/>
      <c r="AL83" s="2826"/>
      <c r="AM83" s="3240"/>
      <c r="AN83" s="3231">
        <f t="shared" si="20"/>
        <v>0</v>
      </c>
      <c r="AO83" s="2597" t="s">
        <v>536</v>
      </c>
      <c r="AP83" s="2599"/>
      <c r="AR83" s="2351">
        <f t="shared" si="21"/>
        <v>0</v>
      </c>
      <c r="AS83" s="2351">
        <f t="shared" si="22"/>
        <v>0</v>
      </c>
      <c r="AT83" s="123" t="str">
        <f t="shared" si="23"/>
        <v>미사용 랙</v>
      </c>
      <c r="AU83" t="str">
        <f t="shared" si="18"/>
        <v/>
      </c>
      <c r="AV83" t="str">
        <f t="shared" si="19"/>
        <v/>
      </c>
      <c r="BA83" s="123"/>
      <c r="BB83" s="123"/>
      <c r="BC83" s="123"/>
      <c r="BD83" s="2997"/>
      <c r="BE83" s="123"/>
      <c r="BF83" s="2998"/>
      <c r="BG83" s="2999"/>
      <c r="BH83" s="3005"/>
      <c r="BI83" s="3000"/>
      <c r="BJ83" s="3001"/>
      <c r="BK83" s="3002"/>
      <c r="BL83" s="3003"/>
      <c r="BM83" s="3004"/>
    </row>
    <row r="84" spans="1:65" ht="13.5" customHeight="1" x14ac:dyDescent="0.25">
      <c r="A84" s="2824"/>
      <c r="B84" s="2564" t="s">
        <v>532</v>
      </c>
      <c r="C84" s="1153" t="s">
        <v>533</v>
      </c>
      <c r="D84" s="2564" t="s">
        <v>534</v>
      </c>
      <c r="E84" s="2564"/>
      <c r="F84" s="2564" t="s">
        <v>535</v>
      </c>
      <c r="G84" s="2564" t="s">
        <v>535</v>
      </c>
      <c r="H84" s="1885"/>
      <c r="I84" s="1886"/>
      <c r="J84" s="1885"/>
      <c r="K84" s="1886"/>
      <c r="L84" s="1887"/>
      <c r="M84" s="911"/>
      <c r="N84" s="911"/>
      <c r="O84" s="1888"/>
      <c r="P84" s="1889"/>
      <c r="Q84" s="1890"/>
      <c r="R84" s="911"/>
      <c r="S84" s="1888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6"/>
      <c r="AI84" s="957"/>
      <c r="AJ84" s="1312"/>
      <c r="AK84" s="2825"/>
      <c r="AL84" s="2826"/>
      <c r="AM84" s="3240"/>
      <c r="AN84" s="3231">
        <f t="shared" si="20"/>
        <v>0</v>
      </c>
      <c r="AO84" s="2597" t="s">
        <v>536</v>
      </c>
      <c r="AP84" s="2599"/>
      <c r="AR84" s="2351">
        <f t="shared" si="21"/>
        <v>0</v>
      </c>
      <c r="AS84" s="2351">
        <f t="shared" si="22"/>
        <v>0</v>
      </c>
      <c r="AT84" s="123" t="str">
        <f t="shared" si="23"/>
        <v>미사용 랙</v>
      </c>
      <c r="AU84" t="str">
        <f t="shared" si="18"/>
        <v/>
      </c>
      <c r="AV84" t="str">
        <f t="shared" si="19"/>
        <v/>
      </c>
      <c r="BA84" s="123"/>
      <c r="BB84" s="123"/>
      <c r="BC84" s="123"/>
      <c r="BD84" s="2997"/>
      <c r="BE84" s="123"/>
      <c r="BF84" s="2998"/>
      <c r="BG84" s="2999"/>
      <c r="BH84" s="3005"/>
      <c r="BI84" s="3000"/>
      <c r="BJ84" s="3001"/>
      <c r="BK84" s="3002"/>
      <c r="BL84" s="3003"/>
      <c r="BM84" s="3004"/>
    </row>
    <row r="85" spans="1:65" ht="54" customHeight="1" x14ac:dyDescent="0.25">
      <c r="A85" s="2824"/>
      <c r="B85" s="2564" t="s">
        <v>526</v>
      </c>
      <c r="C85" s="2141" t="s">
        <v>527</v>
      </c>
      <c r="D85" s="2564" t="s">
        <v>528</v>
      </c>
      <c r="E85" s="2564"/>
      <c r="F85" s="2564"/>
      <c r="G85" s="2564" t="s">
        <v>27</v>
      </c>
      <c r="H85" s="1805" t="s">
        <v>8882</v>
      </c>
      <c r="I85" s="1837" t="s">
        <v>8883</v>
      </c>
      <c r="J85" s="1805" t="str">
        <f>"7-DaHall 1-"&amp;N85&amp;"-"&amp;M85&amp;"-"&amp;O85</f>
        <v>7-DaHall 1-A-2-35-10</v>
      </c>
      <c r="K85" s="1837" t="str">
        <f>"7-DaHall 1-"&amp;R85&amp;"-"&amp;Q85&amp;"-"&amp;S85</f>
        <v>7-DaHall 1-B-2-35-10</v>
      </c>
      <c r="L85" s="1807">
        <v>48</v>
      </c>
      <c r="M85" s="1808">
        <v>35</v>
      </c>
      <c r="N85" s="2594" t="s">
        <v>41</v>
      </c>
      <c r="O85" s="1809">
        <v>10</v>
      </c>
      <c r="P85" s="1847">
        <v>48</v>
      </c>
      <c r="Q85" s="1848">
        <v>35</v>
      </c>
      <c r="R85" s="2578" t="s">
        <v>42</v>
      </c>
      <c r="S85" s="1838">
        <v>10</v>
      </c>
      <c r="T85" s="2594" t="s">
        <v>529</v>
      </c>
      <c r="U85" s="2578" t="s">
        <v>530</v>
      </c>
      <c r="V85" s="2594" t="s">
        <v>45</v>
      </c>
      <c r="W85" s="2578" t="s">
        <v>46</v>
      </c>
      <c r="X85" s="2594" t="s">
        <v>435</v>
      </c>
      <c r="Y85" s="2578" t="s">
        <v>436</v>
      </c>
      <c r="Z85" s="2594" t="s">
        <v>49</v>
      </c>
      <c r="AA85" s="2578" t="s">
        <v>50</v>
      </c>
      <c r="AB85" s="2594" t="s">
        <v>51</v>
      </c>
      <c r="AC85" s="2578" t="s">
        <v>52</v>
      </c>
      <c r="AD85" s="2594" t="s">
        <v>30</v>
      </c>
      <c r="AE85" s="2578" t="s">
        <v>35</v>
      </c>
      <c r="AF85" s="2594" t="s">
        <v>31</v>
      </c>
      <c r="AG85" s="2578" t="s">
        <v>36</v>
      </c>
      <c r="AH85" s="681"/>
      <c r="AI85" s="676"/>
      <c r="AJ85" s="2915"/>
      <c r="AK85" s="2916"/>
      <c r="AL85" s="2819"/>
      <c r="AM85" s="3240" t="e">
        <f>VLOOKUP(J85&amp;K85,'7층~4층_매핑테이블'!$Y$6:$AF$2020,8,0)</f>
        <v>#N/A</v>
      </c>
      <c r="AN85" s="3229">
        <f t="shared" si="20"/>
        <v>0</v>
      </c>
      <c r="AO85" s="2597" t="s">
        <v>531</v>
      </c>
      <c r="AP85" s="2599"/>
      <c r="AR85" s="2351">
        <f t="shared" si="21"/>
        <v>0</v>
      </c>
      <c r="AS85" s="2351">
        <f t="shared" si="22"/>
        <v>0</v>
      </c>
      <c r="AT85" s="123" t="str">
        <f t="shared" si="23"/>
        <v>미사용 랙</v>
      </c>
      <c r="AU85" t="str">
        <f t="shared" si="18"/>
        <v/>
      </c>
      <c r="AV85" t="str">
        <f t="shared" si="19"/>
        <v/>
      </c>
      <c r="BA85" s="123"/>
      <c r="BB85" s="123"/>
      <c r="BC85" s="123"/>
      <c r="BD85" s="2997"/>
      <c r="BE85" s="123"/>
      <c r="BF85" s="2998"/>
      <c r="BG85" s="2999"/>
      <c r="BH85" s="3005"/>
      <c r="BI85" s="3000"/>
      <c r="BJ85" s="3001"/>
      <c r="BK85" s="3002"/>
      <c r="BL85" s="3003"/>
      <c r="BM85" s="3004"/>
    </row>
    <row r="86" spans="1:65" ht="62.4" x14ac:dyDescent="0.25">
      <c r="A86" s="2824"/>
      <c r="B86" s="2564" t="s">
        <v>521</v>
      </c>
      <c r="C86" s="1155" t="s">
        <v>522</v>
      </c>
      <c r="D86" s="2564" t="s">
        <v>9249</v>
      </c>
      <c r="E86" s="2564"/>
      <c r="F86" s="2564" t="s">
        <v>27</v>
      </c>
      <c r="G86" s="2564"/>
      <c r="H86" s="1857"/>
      <c r="I86" s="1851"/>
      <c r="J86" s="1857"/>
      <c r="K86" s="1851"/>
      <c r="L86" s="1858"/>
      <c r="M86" s="938"/>
      <c r="N86" s="938"/>
      <c r="O86" s="1859"/>
      <c r="P86" s="1852"/>
      <c r="Q86" s="1842"/>
      <c r="R86" s="896"/>
      <c r="S86" s="1843"/>
      <c r="T86" s="938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7"/>
      <c r="AI86" s="948"/>
      <c r="AJ86" s="1309"/>
      <c r="AK86" s="2816"/>
      <c r="AL86" s="2817"/>
      <c r="AM86" s="3240">
        <f>VLOOKUP(J86&amp;K86,'7층~4층_매핑테이블'!$Y$6:$AF$2020,8,0)</f>
        <v>0</v>
      </c>
      <c r="AN86" s="3230">
        <f t="shared" si="20"/>
        <v>0</v>
      </c>
      <c r="AO86" s="2597" t="s">
        <v>524</v>
      </c>
      <c r="AP86" s="688" t="s">
        <v>525</v>
      </c>
      <c r="AR86" s="2351">
        <f t="shared" si="21"/>
        <v>0</v>
      </c>
      <c r="AS86" s="2351">
        <f t="shared" si="22"/>
        <v>0</v>
      </c>
      <c r="AT86" s="123" t="str">
        <f>IF(SIGN(AS86)&gt;=0,IF(AN86=0,"무부하 랙","적정함"),"사용초과")</f>
        <v>무부하 랙</v>
      </c>
      <c r="AU86" t="str">
        <f t="shared" si="18"/>
        <v/>
      </c>
      <c r="AV86" t="str">
        <f t="shared" si="19"/>
        <v/>
      </c>
      <c r="BA86" s="123"/>
      <c r="BB86" s="123"/>
      <c r="BC86" s="123"/>
      <c r="BD86" s="2997"/>
      <c r="BE86" s="123"/>
      <c r="BF86" s="2998"/>
      <c r="BG86" s="2999"/>
      <c r="BH86" s="3005"/>
      <c r="BI86" s="3000"/>
      <c r="BJ86" s="3001"/>
      <c r="BK86" s="3002"/>
      <c r="BL86" s="3003"/>
      <c r="BM86" s="3004"/>
    </row>
    <row r="87" spans="1:65" ht="54" customHeight="1" x14ac:dyDescent="0.25">
      <c r="A87" s="2824"/>
      <c r="B87" s="2564" t="s">
        <v>405</v>
      </c>
      <c r="C87" s="2141" t="s">
        <v>406</v>
      </c>
      <c r="D87" s="2564" t="s">
        <v>401</v>
      </c>
      <c r="E87" s="2564"/>
      <c r="F87" s="2564"/>
      <c r="G87" s="2564" t="s">
        <v>27</v>
      </c>
      <c r="H87" s="1805" t="s">
        <v>8884</v>
      </c>
      <c r="I87" s="1837" t="s">
        <v>8885</v>
      </c>
      <c r="J87" s="1805" t="str">
        <f t="shared" ref="J87:J93" si="25">"7-DaHall 1-"&amp;N87&amp;"-"&amp;M87&amp;"-"&amp;O87</f>
        <v>7-DaHall 1-A-3-100-60</v>
      </c>
      <c r="K87" s="1837" t="str">
        <f t="shared" ref="K87:K93" si="26">"7-DaHall 1-"&amp;R87&amp;"-"&amp;Q87&amp;"-"&amp;S87</f>
        <v>7-DaHall 1-B-3-100-60</v>
      </c>
      <c r="L87" s="1807">
        <v>48</v>
      </c>
      <c r="M87" s="1808">
        <v>100</v>
      </c>
      <c r="N87" s="2594" t="s">
        <v>181</v>
      </c>
      <c r="O87" s="1809">
        <v>60</v>
      </c>
      <c r="P87" s="1847">
        <v>48</v>
      </c>
      <c r="Q87" s="1848">
        <v>100</v>
      </c>
      <c r="R87" s="2578" t="s">
        <v>182</v>
      </c>
      <c r="S87" s="1838">
        <v>60</v>
      </c>
      <c r="T87" s="2594" t="s">
        <v>407</v>
      </c>
      <c r="U87" s="2578" t="s">
        <v>408</v>
      </c>
      <c r="V87" s="2828" t="s">
        <v>185</v>
      </c>
      <c r="W87" s="2827" t="s">
        <v>186</v>
      </c>
      <c r="X87" s="2146" t="s">
        <v>47</v>
      </c>
      <c r="Y87" s="903" t="s">
        <v>48</v>
      </c>
      <c r="Z87" s="2146" t="s">
        <v>49</v>
      </c>
      <c r="AA87" s="903" t="s">
        <v>50</v>
      </c>
      <c r="AB87" s="2146" t="s">
        <v>51</v>
      </c>
      <c r="AC87" s="903" t="s">
        <v>52</v>
      </c>
      <c r="AD87" s="2146" t="s">
        <v>30</v>
      </c>
      <c r="AE87" s="903" t="s">
        <v>35</v>
      </c>
      <c r="AF87" s="2146" t="s">
        <v>31</v>
      </c>
      <c r="AG87" s="903" t="s">
        <v>36</v>
      </c>
      <c r="AH87" s="675"/>
      <c r="AI87" s="676"/>
      <c r="AJ87" s="2915"/>
      <c r="AK87" s="2916"/>
      <c r="AL87" s="2819"/>
      <c r="AM87" s="3240" t="e">
        <f>VLOOKUP(J87&amp;K87,'7층~4층_매핑테이블'!$Y$6:$AF$2020,8,0)</f>
        <v>#N/A</v>
      </c>
      <c r="AN87" s="3229">
        <f t="shared" si="20"/>
        <v>0</v>
      </c>
      <c r="AO87" s="2593"/>
      <c r="AP87" s="2840" t="s">
        <v>8886</v>
      </c>
      <c r="AR87" s="2351">
        <f t="shared" si="21"/>
        <v>0</v>
      </c>
      <c r="AS87" s="2351">
        <f t="shared" si="22"/>
        <v>0</v>
      </c>
      <c r="AT87" s="123" t="str">
        <f t="shared" si="23"/>
        <v>미사용 랙</v>
      </c>
      <c r="AU87" t="str">
        <f t="shared" si="18"/>
        <v/>
      </c>
      <c r="AV87" t="str">
        <f t="shared" si="19"/>
        <v/>
      </c>
      <c r="BA87" s="123"/>
      <c r="BB87" s="123"/>
      <c r="BC87" s="123"/>
      <c r="BD87" s="2997"/>
      <c r="BE87" s="123"/>
      <c r="BF87" s="2998"/>
      <c r="BG87" s="2999"/>
      <c r="BH87" s="3005"/>
      <c r="BI87" s="3000"/>
      <c r="BJ87" s="3001"/>
      <c r="BK87" s="3002"/>
      <c r="BL87" s="3003"/>
      <c r="BM87" s="3004"/>
    </row>
    <row r="88" spans="1:65" ht="54" customHeight="1" x14ac:dyDescent="0.25">
      <c r="A88" s="2824"/>
      <c r="B88" s="2564" t="s">
        <v>399</v>
      </c>
      <c r="C88" s="2141" t="s">
        <v>400</v>
      </c>
      <c r="D88" s="2564" t="s">
        <v>401</v>
      </c>
      <c r="E88" s="2564"/>
      <c r="F88" s="2564"/>
      <c r="G88" s="2564" t="s">
        <v>27</v>
      </c>
      <c r="H88" s="1805" t="s">
        <v>8887</v>
      </c>
      <c r="I88" s="1837" t="s">
        <v>8888</v>
      </c>
      <c r="J88" s="1805" t="str">
        <f t="shared" si="25"/>
        <v>7-DaHall 1-A-3-100-28</v>
      </c>
      <c r="K88" s="1837" t="str">
        <f t="shared" si="26"/>
        <v>7-DaHall 1-B-3-100-28</v>
      </c>
      <c r="L88" s="1807">
        <v>48</v>
      </c>
      <c r="M88" s="1808">
        <v>100</v>
      </c>
      <c r="N88" s="2594" t="s">
        <v>181</v>
      </c>
      <c r="O88" s="1809">
        <v>28</v>
      </c>
      <c r="P88" s="1847">
        <v>48</v>
      </c>
      <c r="Q88" s="1848">
        <v>100</v>
      </c>
      <c r="R88" s="2578" t="s">
        <v>182</v>
      </c>
      <c r="S88" s="1838">
        <v>28</v>
      </c>
      <c r="T88" s="2594" t="s">
        <v>402</v>
      </c>
      <c r="U88" s="2578" t="s">
        <v>403</v>
      </c>
      <c r="V88" s="2828" t="s">
        <v>185</v>
      </c>
      <c r="W88" s="2827" t="s">
        <v>186</v>
      </c>
      <c r="X88" s="2146" t="s">
        <v>47</v>
      </c>
      <c r="Y88" s="903" t="s">
        <v>48</v>
      </c>
      <c r="Z88" s="2146" t="s">
        <v>49</v>
      </c>
      <c r="AA88" s="903" t="s">
        <v>50</v>
      </c>
      <c r="AB88" s="2146" t="s">
        <v>51</v>
      </c>
      <c r="AC88" s="903" t="s">
        <v>52</v>
      </c>
      <c r="AD88" s="2146" t="s">
        <v>30</v>
      </c>
      <c r="AE88" s="903" t="s">
        <v>35</v>
      </c>
      <c r="AF88" s="2146" t="s">
        <v>31</v>
      </c>
      <c r="AG88" s="903" t="s">
        <v>36</v>
      </c>
      <c r="AH88" s="675"/>
      <c r="AI88" s="676"/>
      <c r="AJ88" s="2915"/>
      <c r="AK88" s="2916"/>
      <c r="AL88" s="2819"/>
      <c r="AM88" s="3240" t="e">
        <f>VLOOKUP(J88&amp;K88,'7층~4층_매핑테이블'!$Y$6:$AF$2020,8,0)</f>
        <v>#N/A</v>
      </c>
      <c r="AN88" s="3229">
        <f t="shared" si="20"/>
        <v>0</v>
      </c>
      <c r="AO88" s="2597"/>
      <c r="AP88" s="2841" t="s">
        <v>404</v>
      </c>
      <c r="AR88" s="2351">
        <f t="shared" si="21"/>
        <v>0</v>
      </c>
      <c r="AS88" s="2351">
        <f t="shared" si="22"/>
        <v>0</v>
      </c>
      <c r="AT88" s="123" t="str">
        <f t="shared" si="23"/>
        <v>미사용 랙</v>
      </c>
      <c r="AU88" t="str">
        <f t="shared" si="18"/>
        <v/>
      </c>
      <c r="AV88" t="str">
        <f t="shared" si="19"/>
        <v/>
      </c>
      <c r="BA88" s="123"/>
      <c r="BB88" s="123"/>
      <c r="BC88" s="123"/>
      <c r="BD88" s="2997"/>
      <c r="BE88" s="123"/>
      <c r="BF88" s="2998"/>
      <c r="BG88" s="2999"/>
      <c r="BH88" s="3005"/>
      <c r="BI88" s="3000"/>
      <c r="BJ88" s="3001"/>
      <c r="BK88" s="3002"/>
      <c r="BL88" s="3003"/>
      <c r="BM88" s="3004"/>
    </row>
    <row r="89" spans="1:65" ht="54" customHeight="1" x14ac:dyDescent="0.25">
      <c r="A89" s="2824"/>
      <c r="B89" s="2564" t="s">
        <v>394</v>
      </c>
      <c r="C89" s="2141" t="s">
        <v>395</v>
      </c>
      <c r="D89" s="2564" t="s">
        <v>396</v>
      </c>
      <c r="E89" s="2564"/>
      <c r="F89" s="2564"/>
      <c r="G89" s="2564" t="s">
        <v>27</v>
      </c>
      <c r="H89" s="1805" t="s">
        <v>8889</v>
      </c>
      <c r="I89" s="1837" t="s">
        <v>8890</v>
      </c>
      <c r="J89" s="1805" t="str">
        <f t="shared" si="25"/>
        <v>7-DaHall 1-A-3-50-15</v>
      </c>
      <c r="K89" s="1837" t="str">
        <f t="shared" si="26"/>
        <v>7-DaHall 1-B-3-50-15</v>
      </c>
      <c r="L89" s="1807">
        <v>48</v>
      </c>
      <c r="M89" s="1808">
        <v>50</v>
      </c>
      <c r="N89" s="2594" t="s">
        <v>181</v>
      </c>
      <c r="O89" s="1809">
        <v>15</v>
      </c>
      <c r="P89" s="1847">
        <v>48</v>
      </c>
      <c r="Q89" s="1848">
        <v>50</v>
      </c>
      <c r="R89" s="2578" t="s">
        <v>182</v>
      </c>
      <c r="S89" s="1838">
        <v>15</v>
      </c>
      <c r="T89" s="2594" t="s">
        <v>397</v>
      </c>
      <c r="U89" s="2578" t="s">
        <v>398</v>
      </c>
      <c r="V89" s="2828" t="s">
        <v>185</v>
      </c>
      <c r="W89" s="2827" t="s">
        <v>186</v>
      </c>
      <c r="X89" s="2146" t="s">
        <v>47</v>
      </c>
      <c r="Y89" s="903" t="s">
        <v>48</v>
      </c>
      <c r="Z89" s="2146" t="s">
        <v>49</v>
      </c>
      <c r="AA89" s="903" t="s">
        <v>50</v>
      </c>
      <c r="AB89" s="2146" t="s">
        <v>51</v>
      </c>
      <c r="AC89" s="903" t="s">
        <v>52</v>
      </c>
      <c r="AD89" s="2146" t="s">
        <v>30</v>
      </c>
      <c r="AE89" s="903" t="s">
        <v>35</v>
      </c>
      <c r="AF89" s="2146" t="s">
        <v>31</v>
      </c>
      <c r="AG89" s="903" t="s">
        <v>36</v>
      </c>
      <c r="AH89" s="675"/>
      <c r="AI89" s="676"/>
      <c r="AJ89" s="2915"/>
      <c r="AK89" s="2916"/>
      <c r="AL89" s="2819"/>
      <c r="AM89" s="3240" t="e">
        <f>VLOOKUP(J89&amp;K89,'7층~4층_매핑테이블'!$Y$6:$AF$2020,8,0)</f>
        <v>#N/A</v>
      </c>
      <c r="AN89" s="3229">
        <f t="shared" si="20"/>
        <v>0</v>
      </c>
      <c r="AO89" s="2597"/>
      <c r="AP89" s="2599"/>
      <c r="AR89" s="2351">
        <f t="shared" si="21"/>
        <v>0</v>
      </c>
      <c r="AS89" s="2351">
        <f t="shared" si="22"/>
        <v>0</v>
      </c>
      <c r="AT89" s="123" t="str">
        <f t="shared" si="23"/>
        <v>미사용 랙</v>
      </c>
      <c r="AU89" t="str">
        <f t="shared" si="18"/>
        <v/>
      </c>
      <c r="AV89" t="str">
        <f t="shared" si="19"/>
        <v/>
      </c>
      <c r="BA89" s="123"/>
      <c r="BB89" s="123"/>
      <c r="BC89" s="123"/>
      <c r="BD89" s="2997"/>
      <c r="BE89" s="123"/>
      <c r="BF89" s="2998"/>
      <c r="BG89" s="2999"/>
      <c r="BH89" s="3005"/>
      <c r="BI89" s="3000"/>
      <c r="BJ89" s="3001"/>
      <c r="BK89" s="3002"/>
      <c r="BL89" s="3003"/>
      <c r="BM89" s="3004"/>
    </row>
    <row r="90" spans="1:65" ht="54" customHeight="1" x14ac:dyDescent="0.25">
      <c r="A90" s="2824"/>
      <c r="B90" s="2564" t="s">
        <v>389</v>
      </c>
      <c r="C90" s="2141" t="s">
        <v>390</v>
      </c>
      <c r="D90" s="2564" t="s">
        <v>391</v>
      </c>
      <c r="E90" s="2564"/>
      <c r="F90" s="2564"/>
      <c r="G90" s="2564" t="s">
        <v>27</v>
      </c>
      <c r="H90" s="1805" t="s">
        <v>8891</v>
      </c>
      <c r="I90" s="1837" t="s">
        <v>8892</v>
      </c>
      <c r="J90" s="1805" t="str">
        <f t="shared" si="25"/>
        <v>7-DaHall 1-A-3-50-16</v>
      </c>
      <c r="K90" s="1837" t="str">
        <f t="shared" si="26"/>
        <v>7-DaHall 1-B-3-50-16</v>
      </c>
      <c r="L90" s="1807">
        <v>48</v>
      </c>
      <c r="M90" s="1808">
        <v>50</v>
      </c>
      <c r="N90" s="2594" t="s">
        <v>181</v>
      </c>
      <c r="O90" s="1809">
        <v>16</v>
      </c>
      <c r="P90" s="1847">
        <v>48</v>
      </c>
      <c r="Q90" s="1848">
        <v>50</v>
      </c>
      <c r="R90" s="2578" t="s">
        <v>182</v>
      </c>
      <c r="S90" s="1838">
        <v>16</v>
      </c>
      <c r="T90" s="2594" t="s">
        <v>392</v>
      </c>
      <c r="U90" s="2578" t="s">
        <v>393</v>
      </c>
      <c r="V90" s="2828" t="s">
        <v>185</v>
      </c>
      <c r="W90" s="2827" t="s">
        <v>186</v>
      </c>
      <c r="X90" s="2146" t="s">
        <v>47</v>
      </c>
      <c r="Y90" s="903" t="s">
        <v>48</v>
      </c>
      <c r="Z90" s="2146" t="s">
        <v>49</v>
      </c>
      <c r="AA90" s="903" t="s">
        <v>50</v>
      </c>
      <c r="AB90" s="2146" t="s">
        <v>51</v>
      </c>
      <c r="AC90" s="903" t="s">
        <v>52</v>
      </c>
      <c r="AD90" s="2146" t="s">
        <v>30</v>
      </c>
      <c r="AE90" s="903" t="s">
        <v>35</v>
      </c>
      <c r="AF90" s="2146" t="s">
        <v>31</v>
      </c>
      <c r="AG90" s="903" t="s">
        <v>36</v>
      </c>
      <c r="AH90" s="675"/>
      <c r="AI90" s="676"/>
      <c r="AJ90" s="2915"/>
      <c r="AK90" s="2916"/>
      <c r="AL90" s="2819"/>
      <c r="AM90" s="3240" t="e">
        <f>VLOOKUP(J90&amp;K90,'7층~4층_매핑테이블'!$Y$6:$AF$2020,8,0)</f>
        <v>#N/A</v>
      </c>
      <c r="AN90" s="3229">
        <f t="shared" si="20"/>
        <v>0</v>
      </c>
      <c r="AO90" s="2597"/>
      <c r="AP90" s="2599"/>
      <c r="AR90" s="2351">
        <f t="shared" si="21"/>
        <v>0</v>
      </c>
      <c r="AS90" s="2351">
        <f t="shared" si="22"/>
        <v>0</v>
      </c>
      <c r="AT90" s="123" t="str">
        <f t="shared" si="23"/>
        <v>미사용 랙</v>
      </c>
      <c r="AU90" t="str">
        <f t="shared" si="18"/>
        <v/>
      </c>
      <c r="AV90" t="str">
        <f t="shared" si="19"/>
        <v/>
      </c>
      <c r="BA90" s="123"/>
      <c r="BB90" s="123"/>
      <c r="BC90" s="123"/>
      <c r="BD90" s="2997"/>
      <c r="BE90" s="123"/>
      <c r="BF90" s="2998"/>
      <c r="BG90" s="2999"/>
      <c r="BH90" s="3005"/>
      <c r="BI90" s="3000"/>
      <c r="BJ90" s="3001"/>
      <c r="BK90" s="3002"/>
      <c r="BL90" s="3003"/>
      <c r="BM90" s="3004"/>
    </row>
    <row r="91" spans="1:65" ht="54" customHeight="1" x14ac:dyDescent="0.25">
      <c r="A91" s="2824"/>
      <c r="B91" s="2564" t="s">
        <v>384</v>
      </c>
      <c r="C91" s="2141" t="s">
        <v>385</v>
      </c>
      <c r="D91" s="2564" t="s">
        <v>386</v>
      </c>
      <c r="E91" s="2564"/>
      <c r="F91" s="2564"/>
      <c r="G91" s="2564" t="s">
        <v>27</v>
      </c>
      <c r="H91" s="1805" t="s">
        <v>8893</v>
      </c>
      <c r="I91" s="1837" t="s">
        <v>8894</v>
      </c>
      <c r="J91" s="1805" t="str">
        <f t="shared" si="25"/>
        <v>7-DaHall 1-A-3-50-17</v>
      </c>
      <c r="K91" s="1837" t="str">
        <f t="shared" si="26"/>
        <v>7-DaHall 1-B-3-50-17</v>
      </c>
      <c r="L91" s="1807">
        <v>48</v>
      </c>
      <c r="M91" s="1808">
        <v>50</v>
      </c>
      <c r="N91" s="2594" t="s">
        <v>181</v>
      </c>
      <c r="O91" s="1809">
        <v>17</v>
      </c>
      <c r="P91" s="1847">
        <v>48</v>
      </c>
      <c r="Q91" s="1848">
        <v>50</v>
      </c>
      <c r="R91" s="2578" t="s">
        <v>182</v>
      </c>
      <c r="S91" s="1838">
        <v>17</v>
      </c>
      <c r="T91" s="2594" t="s">
        <v>387</v>
      </c>
      <c r="U91" s="2578" t="s">
        <v>388</v>
      </c>
      <c r="V91" s="2828" t="s">
        <v>185</v>
      </c>
      <c r="W91" s="2827" t="s">
        <v>186</v>
      </c>
      <c r="X91" s="2146" t="s">
        <v>47</v>
      </c>
      <c r="Y91" s="903" t="s">
        <v>48</v>
      </c>
      <c r="Z91" s="2146" t="s">
        <v>49</v>
      </c>
      <c r="AA91" s="903" t="s">
        <v>50</v>
      </c>
      <c r="AB91" s="2146" t="s">
        <v>51</v>
      </c>
      <c r="AC91" s="903" t="s">
        <v>52</v>
      </c>
      <c r="AD91" s="2146" t="s">
        <v>30</v>
      </c>
      <c r="AE91" s="903" t="s">
        <v>35</v>
      </c>
      <c r="AF91" s="2146" t="s">
        <v>31</v>
      </c>
      <c r="AG91" s="903" t="s">
        <v>36</v>
      </c>
      <c r="AH91" s="675"/>
      <c r="AI91" s="676"/>
      <c r="AJ91" s="2915"/>
      <c r="AK91" s="2916"/>
      <c r="AL91" s="2819"/>
      <c r="AM91" s="3240" t="e">
        <f>VLOOKUP(J91&amp;K91,'7층~4층_매핑테이블'!$Y$6:$AF$2020,8,0)</f>
        <v>#N/A</v>
      </c>
      <c r="AN91" s="3229">
        <f t="shared" si="20"/>
        <v>0</v>
      </c>
      <c r="AO91" s="2597"/>
      <c r="AP91" s="2599"/>
      <c r="AR91" s="2351">
        <f t="shared" si="21"/>
        <v>0</v>
      </c>
      <c r="AS91" s="2351">
        <f t="shared" si="22"/>
        <v>0</v>
      </c>
      <c r="AT91" s="123" t="str">
        <f t="shared" si="23"/>
        <v>미사용 랙</v>
      </c>
      <c r="AU91" t="str">
        <f t="shared" si="18"/>
        <v/>
      </c>
      <c r="AV91" t="str">
        <f t="shared" si="19"/>
        <v/>
      </c>
      <c r="BA91" s="123"/>
      <c r="BB91" s="123"/>
      <c r="BC91" s="123"/>
      <c r="BD91" s="2997"/>
      <c r="BE91" s="123"/>
      <c r="BF91" s="2998"/>
      <c r="BG91" s="2999"/>
      <c r="BH91" s="3005"/>
      <c r="BI91" s="3000"/>
      <c r="BJ91" s="3001"/>
      <c r="BK91" s="3002"/>
      <c r="BL91" s="3003"/>
      <c r="BM91" s="3004"/>
    </row>
    <row r="92" spans="1:65" ht="54" customHeight="1" x14ac:dyDescent="0.25">
      <c r="A92" s="2824"/>
      <c r="B92" s="2564" t="s">
        <v>379</v>
      </c>
      <c r="C92" s="2141" t="s">
        <v>380</v>
      </c>
      <c r="D92" s="2564" t="s">
        <v>381</v>
      </c>
      <c r="E92" s="2564"/>
      <c r="F92" s="2564"/>
      <c r="G92" s="2564" t="s">
        <v>27</v>
      </c>
      <c r="H92" s="1805" t="s">
        <v>8895</v>
      </c>
      <c r="I92" s="1837" t="s">
        <v>8896</v>
      </c>
      <c r="J92" s="1805" t="str">
        <f t="shared" si="25"/>
        <v>7-DaHall 1-A-3-35-23</v>
      </c>
      <c r="K92" s="1837" t="str">
        <f t="shared" si="26"/>
        <v>7-DaHall 1-B-3-35-24</v>
      </c>
      <c r="L92" s="1807">
        <v>48</v>
      </c>
      <c r="M92" s="1808">
        <v>35</v>
      </c>
      <c r="N92" s="2594" t="s">
        <v>181</v>
      </c>
      <c r="O92" s="1809">
        <v>23</v>
      </c>
      <c r="P92" s="1847">
        <v>48</v>
      </c>
      <c r="Q92" s="1848">
        <v>35</v>
      </c>
      <c r="R92" s="2578" t="s">
        <v>182</v>
      </c>
      <c r="S92" s="1838">
        <v>24</v>
      </c>
      <c r="T92" s="2594" t="s">
        <v>382</v>
      </c>
      <c r="U92" s="2578" t="s">
        <v>383</v>
      </c>
      <c r="V92" s="2828" t="s">
        <v>185</v>
      </c>
      <c r="W92" s="2827" t="s">
        <v>186</v>
      </c>
      <c r="X92" s="2146" t="s">
        <v>47</v>
      </c>
      <c r="Y92" s="903" t="s">
        <v>48</v>
      </c>
      <c r="Z92" s="2146" t="s">
        <v>49</v>
      </c>
      <c r="AA92" s="903" t="s">
        <v>50</v>
      </c>
      <c r="AB92" s="2146" t="s">
        <v>51</v>
      </c>
      <c r="AC92" s="903" t="s">
        <v>52</v>
      </c>
      <c r="AD92" s="2146" t="s">
        <v>30</v>
      </c>
      <c r="AE92" s="903" t="s">
        <v>35</v>
      </c>
      <c r="AF92" s="2146" t="s">
        <v>31</v>
      </c>
      <c r="AG92" s="903" t="s">
        <v>36</v>
      </c>
      <c r="AH92" s="675"/>
      <c r="AI92" s="676"/>
      <c r="AJ92" s="2915"/>
      <c r="AK92" s="2916"/>
      <c r="AL92" s="2819"/>
      <c r="AM92" s="3240" t="e">
        <f>VLOOKUP(J92&amp;K92,'7층~4층_매핑테이블'!$Y$6:$AF$2020,8,0)</f>
        <v>#N/A</v>
      </c>
      <c r="AN92" s="3229">
        <f t="shared" si="20"/>
        <v>0</v>
      </c>
      <c r="AO92" s="2597"/>
      <c r="AP92" s="2599"/>
      <c r="AR92" s="2351">
        <f t="shared" si="21"/>
        <v>0</v>
      </c>
      <c r="AS92" s="2351">
        <f t="shared" si="22"/>
        <v>0</v>
      </c>
      <c r="AT92" s="123" t="str">
        <f t="shared" si="23"/>
        <v>미사용 랙</v>
      </c>
      <c r="AU92" t="str">
        <f t="shared" si="18"/>
        <v/>
      </c>
      <c r="AV92" t="str">
        <f t="shared" si="19"/>
        <v/>
      </c>
      <c r="BA92" s="123"/>
      <c r="BB92" s="123"/>
      <c r="BC92" s="123"/>
      <c r="BD92" s="2997"/>
      <c r="BE92" s="123"/>
      <c r="BF92" s="2998"/>
      <c r="BG92" s="2999"/>
      <c r="BH92" s="3005"/>
      <c r="BI92" s="3000"/>
      <c r="BJ92" s="3001"/>
      <c r="BK92" s="3002"/>
      <c r="BL92" s="3003"/>
      <c r="BM92" s="3004"/>
    </row>
    <row r="93" spans="1:65" ht="27" customHeight="1" x14ac:dyDescent="0.25">
      <c r="A93" s="2824"/>
      <c r="B93" s="2564" t="s">
        <v>373</v>
      </c>
      <c r="C93" s="2141" t="s">
        <v>374</v>
      </c>
      <c r="D93" s="2564" t="s">
        <v>375</v>
      </c>
      <c r="E93" s="2564"/>
      <c r="F93" s="2564"/>
      <c r="G93" s="2564" t="s">
        <v>27</v>
      </c>
      <c r="H93" s="1805" t="s">
        <v>8897</v>
      </c>
      <c r="I93" s="1837" t="s">
        <v>8898</v>
      </c>
      <c r="J93" s="1805" t="str">
        <f t="shared" si="25"/>
        <v>7-DaHall 1-A-3-100-59</v>
      </c>
      <c r="K93" s="1837" t="str">
        <f t="shared" si="26"/>
        <v>7-DaHall 1-B-3-100-59</v>
      </c>
      <c r="L93" s="1807">
        <v>48</v>
      </c>
      <c r="M93" s="1808">
        <v>100</v>
      </c>
      <c r="N93" s="2594" t="s">
        <v>181</v>
      </c>
      <c r="O93" s="1809">
        <v>59</v>
      </c>
      <c r="P93" s="1847">
        <v>48</v>
      </c>
      <c r="Q93" s="1848">
        <v>100</v>
      </c>
      <c r="R93" s="2578" t="s">
        <v>182</v>
      </c>
      <c r="S93" s="1838">
        <v>59</v>
      </c>
      <c r="T93" s="2594" t="s">
        <v>376</v>
      </c>
      <c r="U93" s="2578" t="s">
        <v>377</v>
      </c>
      <c r="V93" s="2828" t="s">
        <v>185</v>
      </c>
      <c r="W93" s="2827" t="s">
        <v>186</v>
      </c>
      <c r="X93" s="2146" t="s">
        <v>47</v>
      </c>
      <c r="Y93" s="903" t="s">
        <v>48</v>
      </c>
      <c r="Z93" s="2146" t="s">
        <v>49</v>
      </c>
      <c r="AA93" s="903" t="s">
        <v>50</v>
      </c>
      <c r="AB93" s="2146" t="s">
        <v>51</v>
      </c>
      <c r="AC93" s="903" t="s">
        <v>52</v>
      </c>
      <c r="AD93" s="2146" t="s">
        <v>30</v>
      </c>
      <c r="AE93" s="903" t="s">
        <v>35</v>
      </c>
      <c r="AF93" s="2146" t="s">
        <v>31</v>
      </c>
      <c r="AG93" s="903" t="s">
        <v>36</v>
      </c>
      <c r="AH93" s="675"/>
      <c r="AI93" s="676"/>
      <c r="AJ93" s="2915"/>
      <c r="AK93" s="2916"/>
      <c r="AL93" s="2819"/>
      <c r="AM93" s="3240" t="e">
        <f>VLOOKUP(J93&amp;K93,'7층~4층_매핑테이블'!$Y$6:$AF$2020,8,0)</f>
        <v>#N/A</v>
      </c>
      <c r="AN93" s="3229">
        <f t="shared" si="20"/>
        <v>0</v>
      </c>
      <c r="AO93" s="2597"/>
      <c r="AP93" s="2599" t="s">
        <v>378</v>
      </c>
      <c r="AR93" s="2351">
        <f t="shared" si="21"/>
        <v>0</v>
      </c>
      <c r="AS93" s="2351">
        <f t="shared" si="22"/>
        <v>0</v>
      </c>
      <c r="AT93" s="123" t="str">
        <f t="shared" si="23"/>
        <v>미사용 랙</v>
      </c>
      <c r="AU93" t="str">
        <f t="shared" si="18"/>
        <v/>
      </c>
      <c r="AV93" t="str">
        <f t="shared" si="19"/>
        <v/>
      </c>
      <c r="BA93" s="123"/>
      <c r="BB93" s="123"/>
      <c r="BC93" s="123"/>
      <c r="BD93" s="2997"/>
      <c r="BE93" s="123"/>
      <c r="BF93" s="2998"/>
      <c r="BG93" s="2999"/>
      <c r="BH93" s="3005"/>
      <c r="BI93" s="3000"/>
      <c r="BJ93" s="3001"/>
      <c r="BK93" s="3002"/>
      <c r="BL93" s="3003"/>
      <c r="BM93" s="3004"/>
    </row>
    <row r="94" spans="1:65" ht="27" customHeight="1" x14ac:dyDescent="0.25">
      <c r="A94" s="2824"/>
      <c r="B94" s="2564" t="s">
        <v>371</v>
      </c>
      <c r="C94" s="2564" t="s">
        <v>372</v>
      </c>
      <c r="D94" s="2564"/>
      <c r="E94" s="2564"/>
      <c r="F94" s="2564"/>
      <c r="G94" s="2564"/>
      <c r="H94" s="1825"/>
      <c r="I94" s="1864"/>
      <c r="J94" s="1825"/>
      <c r="K94" s="1864"/>
      <c r="L94" s="1827"/>
      <c r="M94" s="1828"/>
      <c r="N94" s="703"/>
      <c r="O94" s="1829"/>
      <c r="P94" s="1865"/>
      <c r="Q94" s="1828"/>
      <c r="R94" s="703"/>
      <c r="S94" s="1829"/>
      <c r="T94" s="703"/>
      <c r="U94" s="703"/>
      <c r="V94" s="2147"/>
      <c r="W94" s="2147"/>
      <c r="X94" s="2147"/>
      <c r="Y94" s="2147"/>
      <c r="Z94" s="2147"/>
      <c r="AA94" s="2147"/>
      <c r="AB94" s="2558"/>
      <c r="AC94" s="2147"/>
      <c r="AD94" s="2558"/>
      <c r="AE94" s="2147"/>
      <c r="AF94" s="2146" t="s">
        <v>31</v>
      </c>
      <c r="AG94" s="2147"/>
      <c r="AH94" s="681"/>
      <c r="AI94" s="682"/>
      <c r="AJ94" s="1298"/>
      <c r="AK94" s="2842"/>
      <c r="AL94" s="2843"/>
      <c r="AM94" s="3240"/>
      <c r="AN94" s="3230">
        <f t="shared" si="20"/>
        <v>0</v>
      </c>
      <c r="AO94" s="2597"/>
      <c r="AP94" s="2599"/>
      <c r="AR94" s="2351">
        <f t="shared" si="21"/>
        <v>0</v>
      </c>
      <c r="AS94" s="2351">
        <f t="shared" si="22"/>
        <v>0</v>
      </c>
      <c r="AT94" s="123" t="str">
        <f t="shared" si="23"/>
        <v>미사용 랙</v>
      </c>
      <c r="AU94" t="str">
        <f t="shared" si="18"/>
        <v/>
      </c>
      <c r="AV94" t="str">
        <f t="shared" si="19"/>
        <v/>
      </c>
      <c r="BA94" s="123"/>
      <c r="BB94" s="123"/>
      <c r="BC94" s="123"/>
      <c r="BD94" s="2997"/>
      <c r="BE94" s="123"/>
      <c r="BF94" s="2998"/>
      <c r="BG94" s="2999"/>
      <c r="BH94" s="3005"/>
      <c r="BI94" s="3000"/>
      <c r="BJ94" s="3001"/>
      <c r="BK94" s="3002"/>
      <c r="BL94" s="3003"/>
      <c r="BM94" s="3004"/>
    </row>
    <row r="95" spans="1:65" ht="27" customHeight="1" x14ac:dyDescent="0.25">
      <c r="A95" s="2824"/>
      <c r="B95" s="2564" t="s">
        <v>369</v>
      </c>
      <c r="C95" s="2141" t="s">
        <v>370</v>
      </c>
      <c r="D95" s="2564"/>
      <c r="E95" s="2564"/>
      <c r="F95" s="2564"/>
      <c r="G95" s="2564" t="s">
        <v>27</v>
      </c>
      <c r="H95" s="1825"/>
      <c r="I95" s="1864"/>
      <c r="J95" s="1825"/>
      <c r="K95" s="1864"/>
      <c r="L95" s="1827"/>
      <c r="M95" s="1828"/>
      <c r="N95" s="703"/>
      <c r="O95" s="1829"/>
      <c r="P95" s="1865"/>
      <c r="Q95" s="1828"/>
      <c r="R95" s="703"/>
      <c r="S95" s="1829"/>
      <c r="T95" s="703"/>
      <c r="U95" s="703"/>
      <c r="V95" s="2147"/>
      <c r="W95" s="2147"/>
      <c r="X95" s="2147"/>
      <c r="Y95" s="2147"/>
      <c r="Z95" s="2147"/>
      <c r="AA95" s="2147"/>
      <c r="AB95" s="2558"/>
      <c r="AC95" s="2147"/>
      <c r="AD95" s="2558"/>
      <c r="AE95" s="2147"/>
      <c r="AF95" s="2146" t="s">
        <v>31</v>
      </c>
      <c r="AG95" s="2147"/>
      <c r="AH95" s="681"/>
      <c r="AI95" s="682"/>
      <c r="AJ95" s="1298"/>
      <c r="AK95" s="2842"/>
      <c r="AL95" s="2843"/>
      <c r="AM95" s="3240"/>
      <c r="AN95" s="3230">
        <f t="shared" si="20"/>
        <v>0</v>
      </c>
      <c r="AO95" s="2597"/>
      <c r="AP95" s="2599"/>
      <c r="AR95" s="2351">
        <f t="shared" si="21"/>
        <v>0</v>
      </c>
      <c r="AS95" s="2351">
        <f t="shared" si="22"/>
        <v>0</v>
      </c>
      <c r="AT95" s="123" t="str">
        <f t="shared" si="23"/>
        <v>미사용 랙</v>
      </c>
      <c r="AU95" t="str">
        <f t="shared" si="18"/>
        <v/>
      </c>
      <c r="AV95" t="str">
        <f t="shared" si="19"/>
        <v/>
      </c>
      <c r="BA95" s="123"/>
      <c r="BB95" s="123"/>
      <c r="BC95" s="123"/>
      <c r="BD95" s="2997"/>
      <c r="BE95" s="123"/>
      <c r="BF95" s="2998"/>
      <c r="BG95" s="2999"/>
      <c r="BH95" s="3005"/>
      <c r="BI95" s="3000"/>
      <c r="BJ95" s="3001"/>
      <c r="BK95" s="3002"/>
      <c r="BL95" s="3003"/>
      <c r="BM95" s="3004"/>
    </row>
    <row r="96" spans="1:65" ht="46.8" x14ac:dyDescent="0.25">
      <c r="A96" s="2824"/>
      <c r="B96" s="2564" t="s">
        <v>365</v>
      </c>
      <c r="C96" s="1155" t="s">
        <v>366</v>
      </c>
      <c r="D96" s="2564" t="s">
        <v>9249</v>
      </c>
      <c r="E96" s="2564"/>
      <c r="F96" s="2564" t="s">
        <v>27</v>
      </c>
      <c r="G96" s="2564"/>
      <c r="H96" s="1825" t="s">
        <v>8899</v>
      </c>
      <c r="I96" s="1851"/>
      <c r="J96" s="1825" t="str">
        <f>"7-DaHall 1-"&amp;N96&amp;"-"&amp;M96&amp;"-"&amp;O96</f>
        <v>7-DaHall 1-PDU-01-30-29</v>
      </c>
      <c r="K96" s="1851"/>
      <c r="L96" s="1827">
        <v>220</v>
      </c>
      <c r="M96" s="1828">
        <v>30</v>
      </c>
      <c r="N96" s="703" t="s">
        <v>8749</v>
      </c>
      <c r="O96" s="1829">
        <v>29</v>
      </c>
      <c r="P96" s="1852"/>
      <c r="Q96" s="1842"/>
      <c r="R96" s="896"/>
      <c r="S96" s="1843"/>
      <c r="T96" s="703" t="s">
        <v>367</v>
      </c>
      <c r="U96" s="896"/>
      <c r="V96" s="733"/>
      <c r="W96" s="733"/>
      <c r="X96" s="733"/>
      <c r="Y96" s="733"/>
      <c r="Z96" s="733"/>
      <c r="AA96" s="733"/>
      <c r="AB96" s="2594" t="s">
        <v>108</v>
      </c>
      <c r="AC96" s="733"/>
      <c r="AD96" s="2594" t="s">
        <v>110</v>
      </c>
      <c r="AE96" s="733"/>
      <c r="AF96" s="2146" t="s">
        <v>31</v>
      </c>
      <c r="AG96" s="733"/>
      <c r="AH96" s="681">
        <f>SUM('7층_부하량(월간_AVG)'!D77:F77)</f>
        <v>0</v>
      </c>
      <c r="AI96" s="921"/>
      <c r="AJ96" s="1298">
        <f>AH96+AI96</f>
        <v>0</v>
      </c>
      <c r="AK96" s="2816" t="e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6" s="2817"/>
      <c r="AM96" s="3240">
        <f>VLOOKUP(J96&amp;K96,'7층~4층_매핑테이블'!$Y$6:$AF$2020,8,0)</f>
        <v>7.9000000000000001E-2</v>
      </c>
      <c r="AN96" s="3230" t="e">
        <f t="shared" si="20"/>
        <v>#N/A</v>
      </c>
      <c r="AO96" s="2597" t="s">
        <v>368</v>
      </c>
      <c r="AP96" s="2599"/>
      <c r="AR96" s="2351" t="e">
        <f t="shared" si="21"/>
        <v>#N/A</v>
      </c>
      <c r="AS96" s="2351" t="e">
        <f t="shared" si="22"/>
        <v>#N/A</v>
      </c>
      <c r="AT96" s="123" t="e">
        <f>IF(SIGN(AS96)&gt;=0,IF(AN96=0,"무부하 랙","적정함"),"사용초과")</f>
        <v>#N/A</v>
      </c>
      <c r="AU96" t="e">
        <f t="shared" si="18"/>
        <v>#N/A</v>
      </c>
      <c r="AV96" t="e">
        <f t="shared" si="19"/>
        <v>#N/A</v>
      </c>
      <c r="BA96" s="123"/>
      <c r="BB96" s="123"/>
      <c r="BC96" s="123"/>
      <c r="BD96" s="2997"/>
      <c r="BE96" s="123"/>
      <c r="BF96" s="2998"/>
      <c r="BG96" s="2999"/>
      <c r="BH96" s="3005"/>
      <c r="BI96" s="3000"/>
      <c r="BJ96" s="3001"/>
      <c r="BK96" s="3002"/>
      <c r="BL96" s="3003"/>
      <c r="BM96" s="3004"/>
    </row>
    <row r="97" spans="1:65" ht="16.2" customHeight="1" x14ac:dyDescent="0.25">
      <c r="A97" s="2824"/>
      <c r="B97" s="2564" t="s">
        <v>364</v>
      </c>
      <c r="C97" s="2564"/>
      <c r="D97" s="2564"/>
      <c r="E97" s="2564"/>
      <c r="F97" s="2564"/>
      <c r="G97" s="2564"/>
      <c r="H97" s="1805"/>
      <c r="I97" s="1837"/>
      <c r="J97" s="1805"/>
      <c r="K97" s="1837"/>
      <c r="L97" s="1807"/>
      <c r="M97" s="1808"/>
      <c r="N97" s="2594"/>
      <c r="O97" s="1809"/>
      <c r="P97" s="1847"/>
      <c r="Q97" s="1848"/>
      <c r="R97" s="2578"/>
      <c r="S97" s="1838"/>
      <c r="T97" s="2594"/>
      <c r="U97" s="2578"/>
      <c r="V97" s="887"/>
      <c r="W97" s="693"/>
      <c r="X97" s="2558"/>
      <c r="Y97" s="2560"/>
      <c r="Z97" s="2558"/>
      <c r="AA97" s="2560"/>
      <c r="AB97" s="2558"/>
      <c r="AC97" s="2560"/>
      <c r="AD97" s="2558"/>
      <c r="AE97" s="2560"/>
      <c r="AF97" s="2146"/>
      <c r="AG97" s="2560"/>
      <c r="AH97" s="681"/>
      <c r="AI97" s="676"/>
      <c r="AJ97" s="2915"/>
      <c r="AK97" s="2916"/>
      <c r="AL97" s="2819"/>
      <c r="AM97" s="3240"/>
      <c r="AN97" s="3229">
        <f t="shared" si="20"/>
        <v>0</v>
      </c>
      <c r="AO97" s="2597"/>
      <c r="AP97" s="2599"/>
      <c r="AR97" s="2351">
        <f t="shared" si="21"/>
        <v>0</v>
      </c>
      <c r="AS97" s="2351">
        <f t="shared" si="22"/>
        <v>0</v>
      </c>
      <c r="AT97" s="123" t="str">
        <f t="shared" si="23"/>
        <v>미사용 랙</v>
      </c>
      <c r="AU97" t="str">
        <f t="shared" si="18"/>
        <v/>
      </c>
      <c r="AV97" t="str">
        <f t="shared" si="19"/>
        <v/>
      </c>
      <c r="BA97" s="123"/>
      <c r="BB97" s="123"/>
      <c r="BC97" s="123"/>
      <c r="BD97" s="2997"/>
      <c r="BE97" s="123"/>
      <c r="BF97" s="2998"/>
      <c r="BG97" s="2999"/>
      <c r="BH97" s="3005"/>
      <c r="BI97" s="3000"/>
      <c r="BJ97" s="3001"/>
      <c r="BK97" s="3002"/>
      <c r="BL97" s="3003"/>
      <c r="BM97" s="3004"/>
    </row>
    <row r="98" spans="1:65" ht="46.8" x14ac:dyDescent="0.25">
      <c r="A98" s="2824"/>
      <c r="B98" s="2564" t="s">
        <v>360</v>
      </c>
      <c r="C98" s="2143" t="s">
        <v>361</v>
      </c>
      <c r="D98" s="2564" t="s">
        <v>9251</v>
      </c>
      <c r="E98" s="2960">
        <v>2.2000000000000002</v>
      </c>
      <c r="F98" s="2564" t="s">
        <v>27</v>
      </c>
      <c r="G98" s="2564"/>
      <c r="H98" s="1825" t="s">
        <v>8900</v>
      </c>
      <c r="I98" s="1833" t="s">
        <v>8901</v>
      </c>
      <c r="J98" s="1825" t="str">
        <f>"7-DaHall 1-"&amp;N98&amp;"-"&amp;M98&amp;"-"&amp;O98</f>
        <v>7-DaHall 1-PDU-01-30-18</v>
      </c>
      <c r="K98" s="1833" t="str">
        <f>"7-DaHall 1-"&amp;R98&amp;"-"&amp;Q98&amp;"-"&amp;S98</f>
        <v>7-DaHall 1-PDU-02-30-18</v>
      </c>
      <c r="L98" s="1827">
        <v>220</v>
      </c>
      <c r="M98" s="1828">
        <v>30</v>
      </c>
      <c r="N98" s="703" t="s">
        <v>8749</v>
      </c>
      <c r="O98" s="1829">
        <v>18</v>
      </c>
      <c r="P98" s="1834">
        <v>220</v>
      </c>
      <c r="Q98" s="1835">
        <v>30</v>
      </c>
      <c r="R98" s="687" t="s">
        <v>8750</v>
      </c>
      <c r="S98" s="1836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46" t="s">
        <v>164</v>
      </c>
      <c r="AC98" s="903" t="s">
        <v>165</v>
      </c>
      <c r="AD98" s="2146" t="s">
        <v>110</v>
      </c>
      <c r="AE98" s="903" t="s">
        <v>111</v>
      </c>
      <c r="AF98" s="2146" t="s">
        <v>31</v>
      </c>
      <c r="AG98" s="903" t="s">
        <v>36</v>
      </c>
      <c r="AH98" s="1191">
        <f>SUM('7층_부하량(월간_AVG)'!N71:P71)</f>
        <v>0</v>
      </c>
      <c r="AI98" s="1194">
        <f>SUM('7층_부하량(월간_AVG)'!N39:P39)</f>
        <v>0</v>
      </c>
      <c r="AJ98" s="1298">
        <f t="shared" ref="AJ98:AJ106" si="27">AH98+AI98</f>
        <v>0</v>
      </c>
      <c r="AK98" s="2816" t="e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8" s="2817" t="e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8" s="3240">
        <f>VLOOKUP(J98&amp;K98,'7층~4층_매핑테이블'!$Y$6:$AF$2020,8,0)</f>
        <v>0.89900000000000002</v>
      </c>
      <c r="AN98" s="3230" t="e">
        <f t="shared" si="20"/>
        <v>#N/A</v>
      </c>
      <c r="AO98" s="2597" t="s">
        <v>346</v>
      </c>
      <c r="AP98" s="1195" t="s">
        <v>347</v>
      </c>
      <c r="AR98" s="2351" t="e">
        <f t="shared" si="21"/>
        <v>#N/A</v>
      </c>
      <c r="AS98" s="2351" t="e">
        <f t="shared" si="22"/>
        <v>#N/A</v>
      </c>
      <c r="AT98" s="123" t="e">
        <f t="shared" ref="AT98:AT106" si="28">IF(SIGN(AS98)&gt;=0,IF(AN98=0,"무부하 랙","적정함"),"사용초과")</f>
        <v>#N/A</v>
      </c>
      <c r="AU98" t="e">
        <f t="shared" si="18"/>
        <v>#N/A</v>
      </c>
      <c r="AV98" t="e">
        <f t="shared" si="19"/>
        <v>#N/A</v>
      </c>
      <c r="BA98" s="123"/>
      <c r="BB98" s="123"/>
      <c r="BC98" s="123"/>
      <c r="BD98" s="2997"/>
      <c r="BE98" s="123"/>
      <c r="BF98" s="2998"/>
      <c r="BG98" s="2999"/>
      <c r="BH98" s="3005"/>
      <c r="BI98" s="3000"/>
      <c r="BJ98" s="3001"/>
      <c r="BK98" s="3002"/>
      <c r="BL98" s="3003"/>
      <c r="BM98" s="3004"/>
    </row>
    <row r="99" spans="1:65" ht="46.8" x14ac:dyDescent="0.25">
      <c r="A99" s="2824"/>
      <c r="B99" s="2564" t="s">
        <v>356</v>
      </c>
      <c r="C99" s="2143" t="s">
        <v>357</v>
      </c>
      <c r="D99" s="2564" t="s">
        <v>9251</v>
      </c>
      <c r="E99" s="2960">
        <v>2.2000000000000002</v>
      </c>
      <c r="F99" s="2564" t="s">
        <v>27</v>
      </c>
      <c r="G99" s="2564"/>
      <c r="H99" s="1825" t="s">
        <v>8902</v>
      </c>
      <c r="I99" s="1833" t="s">
        <v>8903</v>
      </c>
      <c r="J99" s="1825" t="str">
        <f>"7-DaHall 1-"&amp;N99&amp;"-"&amp;M99&amp;"-"&amp;O99</f>
        <v>7-DaHall 1-PDU-01-30-20</v>
      </c>
      <c r="K99" s="1833" t="str">
        <f>"7-DaHall 1-"&amp;R99&amp;"-"&amp;Q99&amp;"-"&amp;S99</f>
        <v>7-DaHall 1-PDU-02-30-20</v>
      </c>
      <c r="L99" s="1827">
        <v>220</v>
      </c>
      <c r="M99" s="1828">
        <v>30</v>
      </c>
      <c r="N99" s="703" t="s">
        <v>8749</v>
      </c>
      <c r="O99" s="1829">
        <v>20</v>
      </c>
      <c r="P99" s="1834">
        <v>220</v>
      </c>
      <c r="Q99" s="1835">
        <v>30</v>
      </c>
      <c r="R99" s="687" t="s">
        <v>8750</v>
      </c>
      <c r="S99" s="1836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46" t="s">
        <v>164</v>
      </c>
      <c r="AC99" s="903" t="s">
        <v>165</v>
      </c>
      <c r="AD99" s="2146" t="s">
        <v>110</v>
      </c>
      <c r="AE99" s="903" t="s">
        <v>111</v>
      </c>
      <c r="AF99" s="2146" t="s">
        <v>31</v>
      </c>
      <c r="AG99" s="903" t="s">
        <v>36</v>
      </c>
      <c r="AH99" s="1191">
        <f>SUM('7층_부하량(월간_AVG)'!N72:P72)</f>
        <v>0</v>
      </c>
      <c r="AI99" s="1194">
        <f>SUM('7층_부하량(월간_AVG)'!N40:P40)</f>
        <v>0</v>
      </c>
      <c r="AJ99" s="1298">
        <f t="shared" si="27"/>
        <v>0</v>
      </c>
      <c r="AK99" s="2816" t="e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9" s="2817" t="e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9" s="3240">
        <f>VLOOKUP(J99&amp;K99,'7층~4층_매핑테이블'!$Y$6:$AF$2020,8,0)</f>
        <v>1.0649999999999999</v>
      </c>
      <c r="AN99" s="3230" t="e">
        <f t="shared" si="20"/>
        <v>#N/A</v>
      </c>
      <c r="AO99" s="2597" t="s">
        <v>346</v>
      </c>
      <c r="AP99" s="1195" t="s">
        <v>347</v>
      </c>
      <c r="AR99" s="2351" t="e">
        <f t="shared" si="21"/>
        <v>#N/A</v>
      </c>
      <c r="AS99" s="2351" t="e">
        <f t="shared" si="22"/>
        <v>#N/A</v>
      </c>
      <c r="AT99" s="123" t="e">
        <f t="shared" si="28"/>
        <v>#N/A</v>
      </c>
      <c r="AU99" t="e">
        <f t="shared" si="18"/>
        <v>#N/A</v>
      </c>
      <c r="AV99" t="e">
        <f t="shared" si="19"/>
        <v>#N/A</v>
      </c>
      <c r="BA99" s="123"/>
      <c r="BB99" s="123"/>
      <c r="BC99" s="123"/>
      <c r="BD99" s="2997"/>
      <c r="BE99" s="123"/>
      <c r="BF99" s="2998"/>
      <c r="BG99" s="2999"/>
      <c r="BH99" s="3005"/>
      <c r="BI99" s="3000"/>
      <c r="BJ99" s="3001"/>
      <c r="BK99" s="3002"/>
      <c r="BL99" s="3003"/>
      <c r="BM99" s="3004"/>
    </row>
    <row r="100" spans="1:65" ht="46.8" x14ac:dyDescent="0.25">
      <c r="A100" s="2824"/>
      <c r="B100" s="2564" t="s">
        <v>352</v>
      </c>
      <c r="C100" s="2143" t="s">
        <v>353</v>
      </c>
      <c r="D100" s="2564" t="s">
        <v>9251</v>
      </c>
      <c r="E100" s="2960">
        <v>2.2000000000000002</v>
      </c>
      <c r="F100" s="2564" t="s">
        <v>27</v>
      </c>
      <c r="G100" s="2564"/>
      <c r="H100" s="1825" t="s">
        <v>8904</v>
      </c>
      <c r="I100" s="1833" t="s">
        <v>8905</v>
      </c>
      <c r="J100" s="1825" t="str">
        <f>"7-DaHall 1-"&amp;N100&amp;"-"&amp;M100&amp;"-"&amp;O100</f>
        <v>7-DaHall 1-PDU-01-30-22</v>
      </c>
      <c r="K100" s="1833" t="str">
        <f>"7-DaHall 1-"&amp;R100&amp;"-"&amp;Q100&amp;"-"&amp;S100</f>
        <v>7-DaHall 1-PDU-02-30-22</v>
      </c>
      <c r="L100" s="1827">
        <v>220</v>
      </c>
      <c r="M100" s="1828">
        <v>30</v>
      </c>
      <c r="N100" s="703" t="s">
        <v>8749</v>
      </c>
      <c r="O100" s="1829">
        <v>22</v>
      </c>
      <c r="P100" s="1834">
        <v>220</v>
      </c>
      <c r="Q100" s="1835">
        <v>30</v>
      </c>
      <c r="R100" s="687" t="s">
        <v>8750</v>
      </c>
      <c r="S100" s="1836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46" t="s">
        <v>164</v>
      </c>
      <c r="AC100" s="903" t="s">
        <v>165</v>
      </c>
      <c r="AD100" s="2146" t="s">
        <v>110</v>
      </c>
      <c r="AE100" s="903" t="s">
        <v>111</v>
      </c>
      <c r="AF100" s="2146" t="s">
        <v>31</v>
      </c>
      <c r="AG100" s="903" t="s">
        <v>36</v>
      </c>
      <c r="AH100" s="1191">
        <f>SUM('7층_부하량(월간_AVG)'!N73:P73)</f>
        <v>0</v>
      </c>
      <c r="AI100" s="1194">
        <f>SUM('7층_부하량(월간_AVG)'!N41:P41)</f>
        <v>0</v>
      </c>
      <c r="AJ100" s="1298">
        <f t="shared" si="27"/>
        <v>0</v>
      </c>
      <c r="AK100" s="2816" t="e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100" s="2817" t="e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100" s="3240">
        <f>VLOOKUP(J100&amp;K100,'7층~4층_매핑테이블'!$Y$6:$AF$2020,8,0)</f>
        <v>0.79899999999999993</v>
      </c>
      <c r="AN100" s="3230" t="e">
        <f t="shared" si="20"/>
        <v>#N/A</v>
      </c>
      <c r="AO100" s="2597" t="s">
        <v>346</v>
      </c>
      <c r="AP100" s="1195" t="s">
        <v>347</v>
      </c>
      <c r="AR100" s="2351" t="e">
        <f t="shared" si="21"/>
        <v>#N/A</v>
      </c>
      <c r="AS100" s="2351" t="e">
        <f t="shared" si="22"/>
        <v>#N/A</v>
      </c>
      <c r="AT100" s="123" t="e">
        <f t="shared" si="28"/>
        <v>#N/A</v>
      </c>
      <c r="AU100" t="e">
        <f t="shared" si="18"/>
        <v>#N/A</v>
      </c>
      <c r="AV100" t="e">
        <f t="shared" si="19"/>
        <v>#N/A</v>
      </c>
      <c r="BA100" s="123"/>
      <c r="BB100" s="123"/>
      <c r="BC100" s="123"/>
      <c r="BD100" s="2997"/>
      <c r="BE100" s="123"/>
      <c r="BF100" s="2998"/>
      <c r="BG100" s="2999"/>
      <c r="BH100" s="3005"/>
      <c r="BI100" s="3000"/>
      <c r="BJ100" s="3001"/>
      <c r="BK100" s="3002"/>
      <c r="BL100" s="3003"/>
      <c r="BM100" s="3004"/>
    </row>
    <row r="101" spans="1:65" ht="46.8" x14ac:dyDescent="0.25">
      <c r="A101" s="2824"/>
      <c r="B101" s="2564" t="s">
        <v>348</v>
      </c>
      <c r="C101" s="2143" t="s">
        <v>349</v>
      </c>
      <c r="D101" s="2564" t="s">
        <v>9251</v>
      </c>
      <c r="E101" s="2960">
        <v>2.2000000000000002</v>
      </c>
      <c r="F101" s="2564" t="s">
        <v>27</v>
      </c>
      <c r="G101" s="2564"/>
      <c r="H101" s="1825" t="s">
        <v>8906</v>
      </c>
      <c r="I101" s="1833" t="s">
        <v>8907</v>
      </c>
      <c r="J101" s="1825" t="str">
        <f t="shared" ref="J101" si="29">"7-DaHall 1-"&amp;N101&amp;"-"&amp;M101&amp;"-"&amp;O101</f>
        <v>7-DaHall 1-PDU-01-30-24</v>
      </c>
      <c r="K101" s="1833" t="str">
        <f t="shared" ref="K101" si="30">"7-DaHall 1-"&amp;R101&amp;"-"&amp;Q101&amp;"-"&amp;S101</f>
        <v>7-DaHall 1-PDU-02-30-24</v>
      </c>
      <c r="L101" s="1827">
        <v>220</v>
      </c>
      <c r="M101" s="1828">
        <v>30</v>
      </c>
      <c r="N101" s="703" t="s">
        <v>8749</v>
      </c>
      <c r="O101" s="1829">
        <v>24</v>
      </c>
      <c r="P101" s="1834">
        <v>220</v>
      </c>
      <c r="Q101" s="1835">
        <v>30</v>
      </c>
      <c r="R101" s="687" t="s">
        <v>8750</v>
      </c>
      <c r="S101" s="1836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46" t="s">
        <v>164</v>
      </c>
      <c r="AC101" s="903" t="s">
        <v>165</v>
      </c>
      <c r="AD101" s="2146" t="s">
        <v>110</v>
      </c>
      <c r="AE101" s="903" t="s">
        <v>111</v>
      </c>
      <c r="AF101" s="2146" t="s">
        <v>31</v>
      </c>
      <c r="AG101" s="903" t="s">
        <v>36</v>
      </c>
      <c r="AH101" s="1191">
        <f>SUM('7층_부하량(월간_AVG)'!N74:P74)</f>
        <v>0</v>
      </c>
      <c r="AI101" s="1194">
        <f>SUM('7층_부하량(월간_AVG)'!N42:P42)</f>
        <v>0</v>
      </c>
      <c r="AJ101" s="1298">
        <f t="shared" si="27"/>
        <v>0</v>
      </c>
      <c r="AK101" s="2816" t="e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101" s="2817" t="e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101" s="3240">
        <f>VLOOKUP(J101&amp;K101,'7층~4층_매핑테이블'!$Y$6:$AF$2020,8,0)</f>
        <v>1.2230000000000001</v>
      </c>
      <c r="AN101" s="3230" t="e">
        <f t="shared" si="20"/>
        <v>#N/A</v>
      </c>
      <c r="AO101" s="2597" t="s">
        <v>346</v>
      </c>
      <c r="AP101" s="1195" t="s">
        <v>347</v>
      </c>
      <c r="AR101" s="2351" t="e">
        <f t="shared" si="21"/>
        <v>#N/A</v>
      </c>
      <c r="AS101" s="2351" t="e">
        <f t="shared" si="22"/>
        <v>#N/A</v>
      </c>
      <c r="AT101" s="123" t="e">
        <f t="shared" si="28"/>
        <v>#N/A</v>
      </c>
      <c r="AU101" t="e">
        <f t="shared" si="18"/>
        <v>#N/A</v>
      </c>
      <c r="AV101" t="e">
        <f t="shared" si="19"/>
        <v>#N/A</v>
      </c>
      <c r="BA101" s="123"/>
      <c r="BB101" s="123"/>
      <c r="BC101" s="123"/>
      <c r="BD101" s="2997"/>
      <c r="BE101" s="123"/>
      <c r="BF101" s="2998"/>
      <c r="BG101" s="2999"/>
      <c r="BH101" s="3005"/>
      <c r="BI101" s="3000"/>
      <c r="BJ101" s="3001"/>
      <c r="BK101" s="3002"/>
      <c r="BL101" s="3003"/>
      <c r="BM101" s="3004"/>
    </row>
    <row r="102" spans="1:65" ht="46.8" x14ac:dyDescent="0.25">
      <c r="A102" s="2824"/>
      <c r="B102" s="2564" t="s">
        <v>342</v>
      </c>
      <c r="C102" s="2143" t="s">
        <v>343</v>
      </c>
      <c r="D102" s="2564" t="s">
        <v>9251</v>
      </c>
      <c r="E102" s="2960">
        <v>2.2000000000000002</v>
      </c>
      <c r="F102" s="2564" t="s">
        <v>27</v>
      </c>
      <c r="G102" s="2564"/>
      <c r="H102" s="1825" t="s">
        <v>8908</v>
      </c>
      <c r="I102" s="1833" t="s">
        <v>8909</v>
      </c>
      <c r="J102" s="1825" t="str">
        <f>"7-DaHall 1-"&amp;N102&amp;"-"&amp;M102&amp;"-"&amp;O102</f>
        <v>7-DaHall 1-PDU-01-30-26</v>
      </c>
      <c r="K102" s="1833" t="str">
        <f>"7-DaHall 1-"&amp;R102&amp;"-"&amp;Q102&amp;"-"&amp;S102</f>
        <v>7-DaHall 1-PDU-02-30-26</v>
      </c>
      <c r="L102" s="1827">
        <v>220</v>
      </c>
      <c r="M102" s="1828">
        <v>30</v>
      </c>
      <c r="N102" s="703" t="s">
        <v>8749</v>
      </c>
      <c r="O102" s="1829">
        <v>26</v>
      </c>
      <c r="P102" s="1834">
        <v>220</v>
      </c>
      <c r="Q102" s="1835">
        <v>30</v>
      </c>
      <c r="R102" s="687" t="s">
        <v>8750</v>
      </c>
      <c r="S102" s="1836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46" t="s">
        <v>164</v>
      </c>
      <c r="AC102" s="903" t="s">
        <v>165</v>
      </c>
      <c r="AD102" s="2146" t="s">
        <v>110</v>
      </c>
      <c r="AE102" s="903" t="s">
        <v>111</v>
      </c>
      <c r="AF102" s="2146" t="s">
        <v>31</v>
      </c>
      <c r="AG102" s="903" t="s">
        <v>36</v>
      </c>
      <c r="AH102" s="1191">
        <f>SUM('7층_부하량(월간_AVG)'!N75:P75)</f>
        <v>0</v>
      </c>
      <c r="AI102" s="1194">
        <f>SUM('7층_부하량(월간_AVG)'!N43:P43)</f>
        <v>0</v>
      </c>
      <c r="AJ102" s="1298">
        <f t="shared" si="27"/>
        <v>0</v>
      </c>
      <c r="AK102" s="2816" t="e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2" s="2817" t="e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2" s="3240">
        <f>VLOOKUP(J102&amp;K102,'7층~4층_매핑테이블'!$Y$6:$AF$2020,8,0)</f>
        <v>1.476</v>
      </c>
      <c r="AN102" s="3230" t="e">
        <f t="shared" si="20"/>
        <v>#N/A</v>
      </c>
      <c r="AO102" s="2597" t="s">
        <v>346</v>
      </c>
      <c r="AP102" s="1195" t="s">
        <v>347</v>
      </c>
      <c r="AR102" s="2351" t="e">
        <f t="shared" si="21"/>
        <v>#N/A</v>
      </c>
      <c r="AS102" s="2351" t="e">
        <f t="shared" si="22"/>
        <v>#N/A</v>
      </c>
      <c r="AT102" s="123" t="e">
        <f t="shared" si="28"/>
        <v>#N/A</v>
      </c>
      <c r="AU102" t="e">
        <f t="shared" si="18"/>
        <v>#N/A</v>
      </c>
      <c r="AV102" t="e">
        <f t="shared" si="19"/>
        <v>#N/A</v>
      </c>
      <c r="BA102" s="123"/>
      <c r="BB102" s="123"/>
      <c r="BC102" s="123"/>
      <c r="BD102" s="2997"/>
      <c r="BE102" s="123"/>
      <c r="BF102" s="2998"/>
      <c r="BG102" s="2999"/>
      <c r="BH102" s="3005"/>
      <c r="BI102" s="3000"/>
      <c r="BJ102" s="3001"/>
      <c r="BK102" s="3002"/>
      <c r="BL102" s="3003"/>
      <c r="BM102" s="3004"/>
    </row>
    <row r="103" spans="1:65" ht="27.75" customHeight="1" x14ac:dyDescent="0.25">
      <c r="A103" s="2824"/>
      <c r="B103" s="2564" t="s">
        <v>336</v>
      </c>
      <c r="C103" s="2143" t="s">
        <v>337</v>
      </c>
      <c r="D103" s="2564" t="s">
        <v>9251</v>
      </c>
      <c r="E103" s="2960">
        <v>2.2000000000000002</v>
      </c>
      <c r="F103" s="2564" t="s">
        <v>27</v>
      </c>
      <c r="G103" s="2564"/>
      <c r="H103" s="1825" t="s">
        <v>8910</v>
      </c>
      <c r="I103" s="1833" t="s">
        <v>8911</v>
      </c>
      <c r="J103" s="1825" t="str">
        <f>"7-DaHall 1-"&amp;N103&amp;"-"&amp;M103&amp;"-"&amp;O103</f>
        <v>7-DaHall 1-PDU-01-30-28</v>
      </c>
      <c r="K103" s="1833" t="str">
        <f>"7-DaHall 1-"&amp;R103&amp;"-"&amp;Q103&amp;"-"&amp;S103</f>
        <v>7-DaHall 1-PDU-02-30-28</v>
      </c>
      <c r="L103" s="1827">
        <v>220</v>
      </c>
      <c r="M103" s="1828">
        <v>30</v>
      </c>
      <c r="N103" s="703" t="s">
        <v>8749</v>
      </c>
      <c r="O103" s="1829">
        <v>28</v>
      </c>
      <c r="P103" s="1834">
        <v>220</v>
      </c>
      <c r="Q103" s="1835">
        <v>30</v>
      </c>
      <c r="R103" s="687" t="s">
        <v>8750</v>
      </c>
      <c r="S103" s="1836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46" t="s">
        <v>164</v>
      </c>
      <c r="AC103" s="903" t="s">
        <v>165</v>
      </c>
      <c r="AD103" s="2146" t="s">
        <v>110</v>
      </c>
      <c r="AE103" s="903" t="s">
        <v>111</v>
      </c>
      <c r="AF103" s="2146" t="s">
        <v>31</v>
      </c>
      <c r="AG103" s="903" t="s">
        <v>36</v>
      </c>
      <c r="AH103" s="1191">
        <f>SUM('7층_부하량(월간_AVG)'!N76:P76)</f>
        <v>0</v>
      </c>
      <c r="AI103" s="1194">
        <f>SUM('7층_부하량(월간_AVG)'!N44:P44)</f>
        <v>0</v>
      </c>
      <c r="AJ103" s="1298">
        <f t="shared" si="27"/>
        <v>0</v>
      </c>
      <c r="AK103" s="2816" t="e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3" s="2817" t="e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3" s="3240">
        <f>VLOOKUP(J103&amp;K103,'7층~4층_매핑테이블'!$Y$6:$AF$2020,8,0)</f>
        <v>2.3559999999999999</v>
      </c>
      <c r="AN103" s="3230" t="e">
        <f t="shared" si="20"/>
        <v>#N/A</v>
      </c>
      <c r="AO103" s="2597" t="s">
        <v>340</v>
      </c>
      <c r="AP103" s="1195" t="s">
        <v>341</v>
      </c>
      <c r="AR103" s="2351" t="e">
        <f t="shared" si="21"/>
        <v>#N/A</v>
      </c>
      <c r="AS103" s="2351" t="e">
        <f t="shared" si="22"/>
        <v>#N/A</v>
      </c>
      <c r="AT103" s="123" t="e">
        <f t="shared" si="28"/>
        <v>#N/A</v>
      </c>
      <c r="AU103" t="e">
        <f t="shared" si="18"/>
        <v>#N/A</v>
      </c>
      <c r="AV103" t="e">
        <f t="shared" si="19"/>
        <v>#N/A</v>
      </c>
      <c r="BA103" s="123"/>
      <c r="BB103" s="123"/>
      <c r="BC103" s="123"/>
      <c r="BD103" s="2997"/>
      <c r="BE103" s="123"/>
      <c r="BF103" s="2998"/>
      <c r="BG103" s="2999"/>
      <c r="BH103" s="3005"/>
      <c r="BI103" s="3000"/>
      <c r="BJ103" s="3001"/>
      <c r="BK103" s="3002"/>
      <c r="BL103" s="3003"/>
      <c r="BM103" s="3004"/>
    </row>
    <row r="104" spans="1:65" ht="46.8" x14ac:dyDescent="0.25">
      <c r="A104" s="2824"/>
      <c r="B104" s="2570" t="s">
        <v>334</v>
      </c>
      <c r="C104" s="2145" t="s">
        <v>335</v>
      </c>
      <c r="D104" s="2564" t="s">
        <v>9251</v>
      </c>
      <c r="E104" s="2960">
        <v>2.2000000000000002</v>
      </c>
      <c r="F104" s="2589" t="s">
        <v>27</v>
      </c>
      <c r="G104" s="2102" t="s">
        <v>329</v>
      </c>
      <c r="H104" s="2103" t="s">
        <v>8912</v>
      </c>
      <c r="I104" s="2104" t="s">
        <v>8913</v>
      </c>
      <c r="J104" s="1825" t="str">
        <f>"7-DaHall 1-"&amp;N104&amp;"-"&amp;M104&amp;"-"&amp;O104</f>
        <v>7-DaHall 1-PDU-01-    30AT-40</v>
      </c>
      <c r="K104" s="1833" t="str">
        <f>"7-DaHall 1-"&amp;R104&amp;"-"&amp;Q104&amp;"-"&amp;S104</f>
        <v>7-DaHall 1-PDU-02-    30AT-40</v>
      </c>
      <c r="L104" s="2004" t="s">
        <v>330</v>
      </c>
      <c r="M104" s="2103" t="s">
        <v>331</v>
      </c>
      <c r="N104" s="2103" t="s">
        <v>8749</v>
      </c>
      <c r="O104" s="2108">
        <v>40</v>
      </c>
      <c r="P104" s="2109" t="s">
        <v>330</v>
      </c>
      <c r="Q104" s="2109" t="s">
        <v>331</v>
      </c>
      <c r="R104" s="2109" t="s">
        <v>8750</v>
      </c>
      <c r="S104" s="2104">
        <v>40</v>
      </c>
      <c r="T104" s="896"/>
      <c r="U104" s="950"/>
      <c r="V104" s="896"/>
      <c r="W104" s="950"/>
      <c r="X104" s="896"/>
      <c r="Y104" s="950"/>
      <c r="Z104" s="896"/>
      <c r="AA104" s="950"/>
      <c r="AB104" s="2146" t="s">
        <v>164</v>
      </c>
      <c r="AC104" s="903" t="s">
        <v>165</v>
      </c>
      <c r="AD104" s="2146" t="s">
        <v>110</v>
      </c>
      <c r="AE104" s="903" t="s">
        <v>111</v>
      </c>
      <c r="AF104" s="2146" t="s">
        <v>31</v>
      </c>
      <c r="AG104" s="903" t="s">
        <v>36</v>
      </c>
      <c r="AH104" s="1191">
        <f>SUM('7층_부하량(월간_AVG)'!N82:P82)</f>
        <v>0</v>
      </c>
      <c r="AI104" s="2112">
        <f>SUM('7층_부하량(월간_AVG)'!N50:P50)</f>
        <v>0</v>
      </c>
      <c r="AJ104" s="1298">
        <f t="shared" si="27"/>
        <v>0</v>
      </c>
      <c r="AK104" s="2816" t="e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4" s="2817" t="e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4" s="3240">
        <f>VLOOKUP(J104&amp;K104,'7층~4층_매핑테이블'!$Y$6:$AF$2020,8,0)</f>
        <v>1.4039999999999999</v>
      </c>
      <c r="AN104" s="3230" t="e">
        <f t="shared" si="20"/>
        <v>#N/A</v>
      </c>
      <c r="AO104" s="1328"/>
      <c r="AP104" s="1162"/>
      <c r="AR104" s="2351" t="e">
        <f t="shared" si="21"/>
        <v>#N/A</v>
      </c>
      <c r="AS104" s="2351" t="e">
        <f t="shared" si="22"/>
        <v>#N/A</v>
      </c>
      <c r="AT104" s="123" t="e">
        <f t="shared" si="28"/>
        <v>#N/A</v>
      </c>
      <c r="AU104" t="e">
        <f t="shared" si="18"/>
        <v>#N/A</v>
      </c>
      <c r="AV104" t="e">
        <f t="shared" si="19"/>
        <v>#N/A</v>
      </c>
      <c r="BA104" s="123"/>
      <c r="BB104" s="123"/>
      <c r="BC104" s="123"/>
      <c r="BD104" s="2997"/>
      <c r="BE104" s="123"/>
      <c r="BF104" s="2998"/>
      <c r="BG104" s="2999"/>
      <c r="BH104" s="3005"/>
      <c r="BI104" s="3000"/>
      <c r="BJ104" s="3001"/>
      <c r="BK104" s="3002"/>
      <c r="BL104" s="3003"/>
      <c r="BM104" s="3004"/>
    </row>
    <row r="105" spans="1:65" ht="46.8" x14ac:dyDescent="0.25">
      <c r="A105" s="2824"/>
      <c r="B105" s="2570" t="s">
        <v>332</v>
      </c>
      <c r="C105" s="2145" t="s">
        <v>333</v>
      </c>
      <c r="D105" s="2564" t="s">
        <v>9251</v>
      </c>
      <c r="E105" s="2960">
        <v>2.2000000000000002</v>
      </c>
      <c r="F105" s="2589" t="s">
        <v>27</v>
      </c>
      <c r="G105" s="2102" t="s">
        <v>329</v>
      </c>
      <c r="H105" s="2103" t="s">
        <v>8914</v>
      </c>
      <c r="I105" s="2104" t="s">
        <v>8915</v>
      </c>
      <c r="J105" s="1825" t="str">
        <f>"7-DaHall 1-"&amp;N105&amp;"-"&amp;M105&amp;"-"&amp;O105</f>
        <v>7-DaHall 1-PDU-01-    30AT-38</v>
      </c>
      <c r="K105" s="1833" t="str">
        <f>"7-DaHall 1-"&amp;R105&amp;"-"&amp;Q105&amp;"-"&amp;S105</f>
        <v>7-DaHall 1-PDU-02-    30AT-38</v>
      </c>
      <c r="L105" s="2004" t="s">
        <v>330</v>
      </c>
      <c r="M105" s="2103" t="s">
        <v>331</v>
      </c>
      <c r="N105" s="2103" t="s">
        <v>8749</v>
      </c>
      <c r="O105" s="2108">
        <v>38</v>
      </c>
      <c r="P105" s="2109" t="s">
        <v>330</v>
      </c>
      <c r="Q105" s="2109" t="s">
        <v>331</v>
      </c>
      <c r="R105" s="2109" t="s">
        <v>8750</v>
      </c>
      <c r="S105" s="2104">
        <v>38</v>
      </c>
      <c r="T105" s="896"/>
      <c r="U105" s="950"/>
      <c r="V105" s="896"/>
      <c r="W105" s="950"/>
      <c r="X105" s="896"/>
      <c r="Y105" s="950"/>
      <c r="Z105" s="896"/>
      <c r="AA105" s="950"/>
      <c r="AB105" s="2146" t="s">
        <v>164</v>
      </c>
      <c r="AC105" s="903" t="s">
        <v>165</v>
      </c>
      <c r="AD105" s="2146" t="s">
        <v>110</v>
      </c>
      <c r="AE105" s="903" t="s">
        <v>111</v>
      </c>
      <c r="AF105" s="2146" t="s">
        <v>31</v>
      </c>
      <c r="AG105" s="903" t="s">
        <v>36</v>
      </c>
      <c r="AH105" s="1191">
        <f>SUM('7층_부하량(월간_AVG)'!N81:P81)</f>
        <v>0</v>
      </c>
      <c r="AI105" s="2112">
        <f>SUM('7층_부하량(월간_AVG)'!N49:P49)</f>
        <v>0</v>
      </c>
      <c r="AJ105" s="1298">
        <f t="shared" si="27"/>
        <v>0</v>
      </c>
      <c r="AK105" s="2816" t="e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5" s="2817" t="e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5" s="3240">
        <f>VLOOKUP(J105&amp;K105,'7층~4층_매핑테이블'!$Y$6:$AF$2020,8,0)</f>
        <v>1.3820000000000001</v>
      </c>
      <c r="AN105" s="3230" t="e">
        <f t="shared" si="20"/>
        <v>#N/A</v>
      </c>
      <c r="AO105" s="1328"/>
      <c r="AP105" s="1161"/>
      <c r="AR105" s="2351" t="e">
        <f t="shared" si="21"/>
        <v>#N/A</v>
      </c>
      <c r="AS105" s="2351" t="e">
        <f t="shared" si="22"/>
        <v>#N/A</v>
      </c>
      <c r="AT105" s="123" t="e">
        <f t="shared" si="28"/>
        <v>#N/A</v>
      </c>
      <c r="AU105" t="e">
        <f t="shared" si="18"/>
        <v>#N/A</v>
      </c>
      <c r="AV105" t="e">
        <f t="shared" si="19"/>
        <v>#N/A</v>
      </c>
      <c r="BA105" s="123"/>
      <c r="BB105" s="123"/>
      <c r="BC105" s="123"/>
      <c r="BD105" s="2997"/>
      <c r="BE105" s="123"/>
      <c r="BF105" s="2998"/>
      <c r="BG105" s="2999"/>
      <c r="BH105" s="3005"/>
      <c r="BI105" s="3000"/>
      <c r="BJ105" s="3001"/>
      <c r="BK105" s="3002"/>
      <c r="BL105" s="3003"/>
      <c r="BM105" s="3004"/>
    </row>
    <row r="106" spans="1:65" ht="46.8" x14ac:dyDescent="0.25">
      <c r="A106" s="2824"/>
      <c r="B106" s="2564" t="s">
        <v>328</v>
      </c>
      <c r="C106" s="2597" t="s">
        <v>329</v>
      </c>
      <c r="D106" s="2564" t="s">
        <v>329</v>
      </c>
      <c r="E106" s="2960">
        <v>2.2000000000000002</v>
      </c>
      <c r="F106" s="2597" t="s">
        <v>27</v>
      </c>
      <c r="G106" s="2597" t="s">
        <v>329</v>
      </c>
      <c r="H106" s="1825" t="s">
        <v>8916</v>
      </c>
      <c r="I106" s="2101" t="s">
        <v>8917</v>
      </c>
      <c r="J106" s="1825" t="str">
        <f t="shared" ref="J106:J119" si="31">"7-DaHall 1-"&amp;N106&amp;"-"&amp;M106&amp;"-"&amp;O106</f>
        <v>7-DaHall 1-PDU-01-    30AT-36</v>
      </c>
      <c r="K106" s="1833" t="str">
        <f t="shared" ref="K106:K119" si="32">"7-DaHall 1-"&amp;R106&amp;"-"&amp;Q106&amp;"-"&amp;S106</f>
        <v>7-DaHall 1-PDU-02-    30AT-36</v>
      </c>
      <c r="L106" s="1825" t="s">
        <v>330</v>
      </c>
      <c r="M106" s="2105" t="s">
        <v>331</v>
      </c>
      <c r="N106" s="2105" t="s">
        <v>8749</v>
      </c>
      <c r="O106" s="2106">
        <v>36</v>
      </c>
      <c r="P106" s="2107" t="s">
        <v>330</v>
      </c>
      <c r="Q106" s="2107" t="s">
        <v>331</v>
      </c>
      <c r="R106" s="2107" t="s">
        <v>8750</v>
      </c>
      <c r="S106" s="2101">
        <v>36</v>
      </c>
      <c r="T106" s="703"/>
      <c r="U106" s="687"/>
      <c r="V106" s="2110"/>
      <c r="W106" s="2577"/>
      <c r="X106" s="1044"/>
      <c r="Y106" s="2111"/>
      <c r="Z106" s="1044"/>
      <c r="AA106" s="2111"/>
      <c r="AB106" s="2146" t="s">
        <v>164</v>
      </c>
      <c r="AC106" s="903" t="s">
        <v>165</v>
      </c>
      <c r="AD106" s="2146" t="s">
        <v>110</v>
      </c>
      <c r="AE106" s="903" t="s">
        <v>111</v>
      </c>
      <c r="AF106" s="2146" t="s">
        <v>31</v>
      </c>
      <c r="AG106" s="903" t="s">
        <v>36</v>
      </c>
      <c r="AH106" s="1191">
        <f>SUM('7층_부하량(월간_AVG)'!N80:P80)</f>
        <v>0</v>
      </c>
      <c r="AI106" s="2112">
        <f>SUM('7층_부하량(월간_AVG)'!N48:P48)</f>
        <v>0</v>
      </c>
      <c r="AJ106" s="1298">
        <f t="shared" si="27"/>
        <v>0</v>
      </c>
      <c r="AK106" s="2816" t="e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6" s="2817" t="e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6" s="3240">
        <f>VLOOKUP(J106&amp;K106,'7층~4층_매핑테이블'!$Y$6:$AF$2020,8,0)</f>
        <v>0</v>
      </c>
      <c r="AN106" s="3230" t="e">
        <f t="shared" si="20"/>
        <v>#N/A</v>
      </c>
      <c r="AO106" s="2597"/>
      <c r="AP106" s="2585"/>
      <c r="AR106" s="2351" t="e">
        <f t="shared" si="21"/>
        <v>#N/A</v>
      </c>
      <c r="AS106" s="2351" t="e">
        <f t="shared" si="22"/>
        <v>#N/A</v>
      </c>
      <c r="AT106" s="123" t="e">
        <f t="shared" si="28"/>
        <v>#N/A</v>
      </c>
      <c r="AU106" t="e">
        <f t="shared" si="18"/>
        <v>#N/A</v>
      </c>
      <c r="AV106" t="e">
        <f t="shared" si="19"/>
        <v>#N/A</v>
      </c>
      <c r="BA106" s="123"/>
      <c r="BB106" s="123"/>
      <c r="BC106" s="123"/>
      <c r="BD106" s="2997"/>
      <c r="BE106" s="123"/>
      <c r="BF106" s="2998"/>
      <c r="BG106" s="2999"/>
      <c r="BH106" s="3005"/>
      <c r="BI106" s="3000"/>
      <c r="BJ106" s="3001"/>
      <c r="BK106" s="3002"/>
      <c r="BL106" s="3003"/>
      <c r="BM106" s="3004"/>
    </row>
    <row r="107" spans="1:65" ht="54" customHeight="1" x14ac:dyDescent="0.25">
      <c r="A107" s="2824"/>
      <c r="B107" s="2564" t="s">
        <v>225</v>
      </c>
      <c r="C107" s="2141" t="s">
        <v>226</v>
      </c>
      <c r="D107" s="2564" t="s">
        <v>227</v>
      </c>
      <c r="E107" s="2564"/>
      <c r="F107" s="2564"/>
      <c r="G107" s="2564" t="s">
        <v>27</v>
      </c>
      <c r="H107" s="1805" t="s">
        <v>8918</v>
      </c>
      <c r="I107" s="1837" t="s">
        <v>8919</v>
      </c>
      <c r="J107" s="1805" t="str">
        <f t="shared" si="31"/>
        <v>7-DaHall 1-A-3-35-22</v>
      </c>
      <c r="K107" s="1837" t="str">
        <f t="shared" si="32"/>
        <v>7-DaHall 1-B-3-35-22</v>
      </c>
      <c r="L107" s="1807">
        <v>48</v>
      </c>
      <c r="M107" s="1808">
        <v>35</v>
      </c>
      <c r="N107" s="2594" t="s">
        <v>181</v>
      </c>
      <c r="O107" s="1809">
        <v>22</v>
      </c>
      <c r="P107" s="1847">
        <v>48</v>
      </c>
      <c r="Q107" s="1848">
        <v>35</v>
      </c>
      <c r="R107" s="2578" t="s">
        <v>182</v>
      </c>
      <c r="S107" s="1838">
        <v>22</v>
      </c>
      <c r="T107" s="2594" t="s">
        <v>228</v>
      </c>
      <c r="U107" s="2578" t="s">
        <v>229</v>
      </c>
      <c r="V107" s="2828" t="s">
        <v>185</v>
      </c>
      <c r="W107" s="2827" t="s">
        <v>186</v>
      </c>
      <c r="X107" s="2146" t="s">
        <v>47</v>
      </c>
      <c r="Y107" s="903" t="s">
        <v>48</v>
      </c>
      <c r="Z107" s="2146" t="s">
        <v>49</v>
      </c>
      <c r="AA107" s="903" t="s">
        <v>50</v>
      </c>
      <c r="AB107" s="2146" t="s">
        <v>51</v>
      </c>
      <c r="AC107" s="903" t="s">
        <v>52</v>
      </c>
      <c r="AD107" s="2146" t="s">
        <v>30</v>
      </c>
      <c r="AE107" s="903" t="s">
        <v>35</v>
      </c>
      <c r="AF107" s="2146" t="s">
        <v>31</v>
      </c>
      <c r="AG107" s="903" t="s">
        <v>36</v>
      </c>
      <c r="AH107" s="675"/>
      <c r="AI107" s="676"/>
      <c r="AJ107" s="2915"/>
      <c r="AK107" s="2916"/>
      <c r="AL107" s="2819"/>
      <c r="AM107" s="3240" t="e">
        <f>VLOOKUP(J107&amp;K107,'7층~4층_매핑테이블'!$Y$6:$AF$2020,8,0)</f>
        <v>#N/A</v>
      </c>
      <c r="AN107" s="3229">
        <f t="shared" si="20"/>
        <v>0</v>
      </c>
      <c r="AO107" s="2597"/>
      <c r="AP107" s="2599"/>
      <c r="AR107" s="2351">
        <f t="shared" si="21"/>
        <v>0</v>
      </c>
      <c r="AS107" s="2351">
        <f t="shared" si="22"/>
        <v>0</v>
      </c>
      <c r="AT107" s="123" t="str">
        <f t="shared" si="23"/>
        <v>미사용 랙</v>
      </c>
      <c r="AU107" t="str">
        <f t="shared" si="18"/>
        <v/>
      </c>
      <c r="AV107" t="str">
        <f t="shared" si="19"/>
        <v/>
      </c>
      <c r="BA107" s="123"/>
      <c r="BB107" s="123"/>
      <c r="BC107" s="123"/>
      <c r="BD107" s="2997"/>
      <c r="BE107" s="123"/>
      <c r="BF107" s="2998"/>
      <c r="BG107" s="2999"/>
      <c r="BH107" s="3005"/>
      <c r="BI107" s="3000"/>
      <c r="BJ107" s="3001"/>
      <c r="BK107" s="3002"/>
      <c r="BL107" s="3003"/>
      <c r="BM107" s="3004"/>
    </row>
    <row r="108" spans="1:65" ht="54" customHeight="1" x14ac:dyDescent="0.25">
      <c r="A108" s="2824"/>
      <c r="B108" s="2564" t="s">
        <v>220</v>
      </c>
      <c r="C108" s="2141" t="s">
        <v>221</v>
      </c>
      <c r="D108" s="2564" t="s">
        <v>222</v>
      </c>
      <c r="E108" s="2564"/>
      <c r="F108" s="2564"/>
      <c r="G108" s="2564" t="s">
        <v>27</v>
      </c>
      <c r="H108" s="1805" t="s">
        <v>8920</v>
      </c>
      <c r="I108" s="1837" t="s">
        <v>8921</v>
      </c>
      <c r="J108" s="1805" t="str">
        <f t="shared" si="31"/>
        <v>7-DaHall 1-A-3-35-51</v>
      </c>
      <c r="K108" s="1837" t="str">
        <f t="shared" si="32"/>
        <v>7-DaHall 1-B-3-35-51</v>
      </c>
      <c r="L108" s="1807">
        <v>48</v>
      </c>
      <c r="M108" s="1808">
        <v>35</v>
      </c>
      <c r="N108" s="2594" t="s">
        <v>181</v>
      </c>
      <c r="O108" s="1809">
        <v>51</v>
      </c>
      <c r="P108" s="1847">
        <v>48</v>
      </c>
      <c r="Q108" s="1848">
        <v>35</v>
      </c>
      <c r="R108" s="2578" t="s">
        <v>182</v>
      </c>
      <c r="S108" s="1838">
        <v>51</v>
      </c>
      <c r="T108" s="2594" t="s">
        <v>223</v>
      </c>
      <c r="U108" s="2578" t="s">
        <v>224</v>
      </c>
      <c r="V108" s="2828" t="s">
        <v>185</v>
      </c>
      <c r="W108" s="2827" t="s">
        <v>186</v>
      </c>
      <c r="X108" s="2146" t="s">
        <v>47</v>
      </c>
      <c r="Y108" s="903" t="s">
        <v>48</v>
      </c>
      <c r="Z108" s="2146" t="s">
        <v>49</v>
      </c>
      <c r="AA108" s="903" t="s">
        <v>50</v>
      </c>
      <c r="AB108" s="2146" t="s">
        <v>51</v>
      </c>
      <c r="AC108" s="903" t="s">
        <v>52</v>
      </c>
      <c r="AD108" s="2146" t="s">
        <v>30</v>
      </c>
      <c r="AE108" s="903" t="s">
        <v>35</v>
      </c>
      <c r="AF108" s="2146" t="s">
        <v>31</v>
      </c>
      <c r="AG108" s="903" t="s">
        <v>36</v>
      </c>
      <c r="AH108" s="675"/>
      <c r="AI108" s="676"/>
      <c r="AJ108" s="2915"/>
      <c r="AK108" s="2916"/>
      <c r="AL108" s="2819"/>
      <c r="AM108" s="3240" t="e">
        <f>VLOOKUP(J108&amp;K108,'7층~4층_매핑테이블'!$Y$6:$AF$2020,8,0)</f>
        <v>#N/A</v>
      </c>
      <c r="AN108" s="3229">
        <f t="shared" si="20"/>
        <v>0</v>
      </c>
      <c r="AO108" s="2597"/>
      <c r="AP108" s="2599"/>
      <c r="AR108" s="2351">
        <f t="shared" si="21"/>
        <v>0</v>
      </c>
      <c r="AS108" s="2351">
        <f t="shared" si="22"/>
        <v>0</v>
      </c>
      <c r="AT108" s="123" t="str">
        <f t="shared" si="23"/>
        <v>미사용 랙</v>
      </c>
      <c r="AU108" t="str">
        <f t="shared" si="18"/>
        <v/>
      </c>
      <c r="AV108" t="str">
        <f t="shared" si="19"/>
        <v/>
      </c>
      <c r="BA108" s="123"/>
      <c r="BB108" s="123"/>
      <c r="BC108" s="123"/>
      <c r="BD108" s="2997"/>
      <c r="BE108" s="123"/>
      <c r="BF108" s="2998"/>
      <c r="BG108" s="2999"/>
      <c r="BH108" s="3005"/>
      <c r="BI108" s="3000"/>
      <c r="BJ108" s="3001"/>
      <c r="BK108" s="3002"/>
      <c r="BL108" s="3003"/>
      <c r="BM108" s="3004"/>
    </row>
    <row r="109" spans="1:65" ht="54" customHeight="1" x14ac:dyDescent="0.25">
      <c r="A109" s="2824"/>
      <c r="B109" s="2564" t="s">
        <v>215</v>
      </c>
      <c r="C109" s="2141" t="s">
        <v>216</v>
      </c>
      <c r="D109" s="2564" t="s">
        <v>217</v>
      </c>
      <c r="E109" s="2564"/>
      <c r="F109" s="2564"/>
      <c r="G109" s="2564" t="s">
        <v>27</v>
      </c>
      <c r="H109" s="1805" t="s">
        <v>8922</v>
      </c>
      <c r="I109" s="1837" t="s">
        <v>8923</v>
      </c>
      <c r="J109" s="1805" t="str">
        <f t="shared" si="31"/>
        <v>7-DaHall 1-A-3-35-50</v>
      </c>
      <c r="K109" s="1837" t="str">
        <f t="shared" si="32"/>
        <v>7-DaHall 1-B-3-35-50</v>
      </c>
      <c r="L109" s="1807">
        <v>48</v>
      </c>
      <c r="M109" s="1808">
        <v>35</v>
      </c>
      <c r="N109" s="2594" t="s">
        <v>181</v>
      </c>
      <c r="O109" s="1809">
        <v>50</v>
      </c>
      <c r="P109" s="1847">
        <v>48</v>
      </c>
      <c r="Q109" s="1848">
        <v>35</v>
      </c>
      <c r="R109" s="2578" t="s">
        <v>182</v>
      </c>
      <c r="S109" s="1838">
        <v>50</v>
      </c>
      <c r="T109" s="2594" t="s">
        <v>218</v>
      </c>
      <c r="U109" s="2578" t="s">
        <v>219</v>
      </c>
      <c r="V109" s="2828" t="s">
        <v>185</v>
      </c>
      <c r="W109" s="2827" t="s">
        <v>186</v>
      </c>
      <c r="X109" s="2146" t="s">
        <v>47</v>
      </c>
      <c r="Y109" s="903" t="s">
        <v>48</v>
      </c>
      <c r="Z109" s="2146" t="s">
        <v>49</v>
      </c>
      <c r="AA109" s="903" t="s">
        <v>50</v>
      </c>
      <c r="AB109" s="2146" t="s">
        <v>51</v>
      </c>
      <c r="AC109" s="903" t="s">
        <v>52</v>
      </c>
      <c r="AD109" s="2146" t="s">
        <v>30</v>
      </c>
      <c r="AE109" s="903" t="s">
        <v>35</v>
      </c>
      <c r="AF109" s="2146" t="s">
        <v>31</v>
      </c>
      <c r="AG109" s="903" t="s">
        <v>36</v>
      </c>
      <c r="AH109" s="675"/>
      <c r="AI109" s="676"/>
      <c r="AJ109" s="2915"/>
      <c r="AK109" s="2916"/>
      <c r="AL109" s="2819"/>
      <c r="AM109" s="3240" t="e">
        <f>VLOOKUP(J109&amp;K109,'7층~4층_매핑테이블'!$Y$6:$AF$2020,8,0)</f>
        <v>#N/A</v>
      </c>
      <c r="AN109" s="3229">
        <f t="shared" si="20"/>
        <v>0</v>
      </c>
      <c r="AO109" s="2597"/>
      <c r="AP109" s="2599"/>
      <c r="AR109" s="2351">
        <f t="shared" si="21"/>
        <v>0</v>
      </c>
      <c r="AS109" s="2351">
        <f t="shared" si="22"/>
        <v>0</v>
      </c>
      <c r="AT109" s="123" t="str">
        <f t="shared" si="23"/>
        <v>미사용 랙</v>
      </c>
      <c r="AU109" t="str">
        <f t="shared" si="18"/>
        <v/>
      </c>
      <c r="AV109" t="str">
        <f t="shared" si="19"/>
        <v/>
      </c>
      <c r="BA109" s="123"/>
      <c r="BB109" s="123"/>
      <c r="BC109" s="123"/>
      <c r="BD109" s="2997"/>
      <c r="BE109" s="123"/>
      <c r="BF109" s="2998"/>
      <c r="BG109" s="2999"/>
      <c r="BH109" s="3005"/>
      <c r="BI109" s="3000"/>
      <c r="BJ109" s="3001"/>
      <c r="BK109" s="3002"/>
      <c r="BL109" s="3003"/>
      <c r="BM109" s="3004"/>
    </row>
    <row r="110" spans="1:65" ht="54" customHeight="1" x14ac:dyDescent="0.25">
      <c r="A110" s="2824"/>
      <c r="B110" s="2564" t="s">
        <v>210</v>
      </c>
      <c r="C110" s="2141" t="s">
        <v>211</v>
      </c>
      <c r="D110" s="2564" t="s">
        <v>212</v>
      </c>
      <c r="E110" s="2564"/>
      <c r="F110" s="2564"/>
      <c r="G110" s="2564" t="s">
        <v>27</v>
      </c>
      <c r="H110" s="1805" t="s">
        <v>8924</v>
      </c>
      <c r="I110" s="1837" t="s">
        <v>8925</v>
      </c>
      <c r="J110" s="1805" t="str">
        <f t="shared" si="31"/>
        <v>7-DaHall 1-A-3-50-49</v>
      </c>
      <c r="K110" s="1837" t="str">
        <f t="shared" si="32"/>
        <v>7-DaHall 1-B-3-35-49</v>
      </c>
      <c r="L110" s="1807">
        <v>48</v>
      </c>
      <c r="M110" s="1808">
        <v>50</v>
      </c>
      <c r="N110" s="2594" t="s">
        <v>181</v>
      </c>
      <c r="O110" s="1809">
        <v>49</v>
      </c>
      <c r="P110" s="1847">
        <v>48</v>
      </c>
      <c r="Q110" s="1848">
        <v>35</v>
      </c>
      <c r="R110" s="2578" t="s">
        <v>182</v>
      </c>
      <c r="S110" s="1838">
        <v>49</v>
      </c>
      <c r="T110" s="2594" t="s">
        <v>213</v>
      </c>
      <c r="U110" s="2578" t="s">
        <v>214</v>
      </c>
      <c r="V110" s="2828" t="s">
        <v>185</v>
      </c>
      <c r="W110" s="2827" t="s">
        <v>186</v>
      </c>
      <c r="X110" s="2146" t="s">
        <v>47</v>
      </c>
      <c r="Y110" s="903" t="s">
        <v>48</v>
      </c>
      <c r="Z110" s="2146" t="s">
        <v>49</v>
      </c>
      <c r="AA110" s="903" t="s">
        <v>50</v>
      </c>
      <c r="AB110" s="2146" t="s">
        <v>51</v>
      </c>
      <c r="AC110" s="903" t="s">
        <v>52</v>
      </c>
      <c r="AD110" s="2146" t="s">
        <v>30</v>
      </c>
      <c r="AE110" s="903" t="s">
        <v>35</v>
      </c>
      <c r="AF110" s="2146" t="s">
        <v>31</v>
      </c>
      <c r="AG110" s="903" t="s">
        <v>36</v>
      </c>
      <c r="AH110" s="675"/>
      <c r="AI110" s="676"/>
      <c r="AJ110" s="2915"/>
      <c r="AK110" s="2916"/>
      <c r="AL110" s="2819"/>
      <c r="AM110" s="3240" t="e">
        <f>VLOOKUP(J110&amp;K110,'7층~4층_매핑테이블'!$Y$6:$AF$2020,8,0)</f>
        <v>#N/A</v>
      </c>
      <c r="AN110" s="3229">
        <f t="shared" si="20"/>
        <v>0</v>
      </c>
      <c r="AO110" s="2597"/>
      <c r="AP110" s="2599"/>
      <c r="AR110" s="2351">
        <f t="shared" si="21"/>
        <v>0</v>
      </c>
      <c r="AS110" s="2351">
        <f t="shared" si="22"/>
        <v>0</v>
      </c>
      <c r="AT110" s="123" t="str">
        <f t="shared" si="23"/>
        <v>미사용 랙</v>
      </c>
      <c r="AU110" t="str">
        <f t="shared" si="18"/>
        <v/>
      </c>
      <c r="AV110" t="str">
        <f t="shared" si="19"/>
        <v/>
      </c>
      <c r="BA110" s="123"/>
      <c r="BB110" s="123"/>
      <c r="BC110" s="123"/>
      <c r="BD110" s="2997"/>
      <c r="BE110" s="123"/>
      <c r="BF110" s="2998"/>
      <c r="BG110" s="2999"/>
      <c r="BH110" s="3005"/>
      <c r="BI110" s="3000"/>
      <c r="BJ110" s="3001"/>
      <c r="BK110" s="3002"/>
      <c r="BL110" s="3003"/>
      <c r="BM110" s="3004"/>
    </row>
    <row r="111" spans="1:65" ht="54" customHeight="1" x14ac:dyDescent="0.25">
      <c r="A111" s="2824"/>
      <c r="B111" s="2564" t="s">
        <v>205</v>
      </c>
      <c r="C111" s="2141" t="s">
        <v>206</v>
      </c>
      <c r="D111" s="2564" t="s">
        <v>207</v>
      </c>
      <c r="E111" s="2564"/>
      <c r="F111" s="2564"/>
      <c r="G111" s="2564" t="s">
        <v>27</v>
      </c>
      <c r="H111" s="1805" t="s">
        <v>8926</v>
      </c>
      <c r="I111" s="1837" t="s">
        <v>8927</v>
      </c>
      <c r="J111" s="1805" t="str">
        <f t="shared" si="31"/>
        <v>7-DaHall 1-A-3-50-21</v>
      </c>
      <c r="K111" s="1837" t="str">
        <f t="shared" si="32"/>
        <v>7-DaHall 1-B-3-50-21</v>
      </c>
      <c r="L111" s="1807">
        <v>48</v>
      </c>
      <c r="M111" s="1808">
        <v>50</v>
      </c>
      <c r="N111" s="2594" t="s">
        <v>181</v>
      </c>
      <c r="O111" s="1809">
        <v>21</v>
      </c>
      <c r="P111" s="1847">
        <v>48</v>
      </c>
      <c r="Q111" s="1848">
        <v>50</v>
      </c>
      <c r="R111" s="2578" t="s">
        <v>182</v>
      </c>
      <c r="S111" s="1838">
        <v>21</v>
      </c>
      <c r="T111" s="2594" t="s">
        <v>208</v>
      </c>
      <c r="U111" s="2578" t="s">
        <v>209</v>
      </c>
      <c r="V111" s="2828" t="s">
        <v>185</v>
      </c>
      <c r="W111" s="2827" t="s">
        <v>186</v>
      </c>
      <c r="X111" s="2146" t="s">
        <v>47</v>
      </c>
      <c r="Y111" s="903" t="s">
        <v>48</v>
      </c>
      <c r="Z111" s="2146" t="s">
        <v>49</v>
      </c>
      <c r="AA111" s="903" t="s">
        <v>50</v>
      </c>
      <c r="AB111" s="2146" t="s">
        <v>51</v>
      </c>
      <c r="AC111" s="903" t="s">
        <v>52</v>
      </c>
      <c r="AD111" s="2146" t="s">
        <v>30</v>
      </c>
      <c r="AE111" s="903" t="s">
        <v>35</v>
      </c>
      <c r="AF111" s="2146" t="s">
        <v>31</v>
      </c>
      <c r="AG111" s="903" t="s">
        <v>36</v>
      </c>
      <c r="AH111" s="675"/>
      <c r="AI111" s="676"/>
      <c r="AJ111" s="2915"/>
      <c r="AK111" s="2916"/>
      <c r="AL111" s="2819"/>
      <c r="AM111" s="3240" t="e">
        <f>VLOOKUP(J111&amp;K111,'7층~4층_매핑테이블'!$Y$6:$AF$2020,8,0)</f>
        <v>#N/A</v>
      </c>
      <c r="AN111" s="3229">
        <f t="shared" si="20"/>
        <v>0</v>
      </c>
      <c r="AO111" s="2597"/>
      <c r="AP111" s="2599"/>
      <c r="AR111" s="2351">
        <f t="shared" si="21"/>
        <v>0</v>
      </c>
      <c r="AS111" s="2351">
        <f t="shared" si="22"/>
        <v>0</v>
      </c>
      <c r="AT111" s="123" t="str">
        <f t="shared" si="23"/>
        <v>미사용 랙</v>
      </c>
      <c r="AU111" t="str">
        <f t="shared" si="18"/>
        <v/>
      </c>
      <c r="AV111" t="str">
        <f t="shared" si="19"/>
        <v/>
      </c>
      <c r="BA111" s="123"/>
      <c r="BB111" s="123"/>
      <c r="BC111" s="123"/>
      <c r="BD111" s="2997"/>
      <c r="BE111" s="123"/>
      <c r="BF111" s="2998"/>
      <c r="BG111" s="2999"/>
      <c r="BH111" s="3005"/>
      <c r="BI111" s="3000"/>
      <c r="BJ111" s="3001"/>
      <c r="BK111" s="3002"/>
      <c r="BL111" s="3003"/>
      <c r="BM111" s="3004"/>
    </row>
    <row r="112" spans="1:65" ht="54" customHeight="1" x14ac:dyDescent="0.25">
      <c r="A112" s="2824"/>
      <c r="B112" s="2564" t="s">
        <v>200</v>
      </c>
      <c r="C112" s="2141" t="s">
        <v>201</v>
      </c>
      <c r="D112" s="2564" t="s">
        <v>202</v>
      </c>
      <c r="E112" s="2564"/>
      <c r="F112" s="2564"/>
      <c r="G112" s="2564" t="s">
        <v>27</v>
      </c>
      <c r="H112" s="1805" t="s">
        <v>8928</v>
      </c>
      <c r="I112" s="1837" t="s">
        <v>8929</v>
      </c>
      <c r="J112" s="1805" t="str">
        <f t="shared" si="31"/>
        <v>7-DaHall 1-A-3-35-20</v>
      </c>
      <c r="K112" s="1837" t="str">
        <f t="shared" si="32"/>
        <v>7-DaHall 1-B-3-50-20</v>
      </c>
      <c r="L112" s="1807">
        <v>48</v>
      </c>
      <c r="M112" s="1808">
        <v>35</v>
      </c>
      <c r="N112" s="2594" t="s">
        <v>181</v>
      </c>
      <c r="O112" s="1809">
        <v>20</v>
      </c>
      <c r="P112" s="1847">
        <v>48</v>
      </c>
      <c r="Q112" s="1848">
        <v>50</v>
      </c>
      <c r="R112" s="2578" t="s">
        <v>182</v>
      </c>
      <c r="S112" s="1838">
        <v>20</v>
      </c>
      <c r="T112" s="2594" t="s">
        <v>203</v>
      </c>
      <c r="U112" s="2578" t="s">
        <v>204</v>
      </c>
      <c r="V112" s="2828" t="s">
        <v>185</v>
      </c>
      <c r="W112" s="2827" t="s">
        <v>186</v>
      </c>
      <c r="X112" s="2146" t="s">
        <v>47</v>
      </c>
      <c r="Y112" s="903" t="s">
        <v>48</v>
      </c>
      <c r="Z112" s="2146" t="s">
        <v>49</v>
      </c>
      <c r="AA112" s="903" t="s">
        <v>50</v>
      </c>
      <c r="AB112" s="2146" t="s">
        <v>51</v>
      </c>
      <c r="AC112" s="903" t="s">
        <v>52</v>
      </c>
      <c r="AD112" s="2146" t="s">
        <v>30</v>
      </c>
      <c r="AE112" s="903" t="s">
        <v>35</v>
      </c>
      <c r="AF112" s="2146" t="s">
        <v>31</v>
      </c>
      <c r="AG112" s="903" t="s">
        <v>36</v>
      </c>
      <c r="AH112" s="675"/>
      <c r="AI112" s="676"/>
      <c r="AJ112" s="2915"/>
      <c r="AK112" s="2916"/>
      <c r="AL112" s="2819"/>
      <c r="AM112" s="3240" t="e">
        <f>VLOOKUP(J112&amp;K112,'7층~4층_매핑테이블'!$Y$6:$AF$2020,8,0)</f>
        <v>#N/A</v>
      </c>
      <c r="AN112" s="3229">
        <f t="shared" si="20"/>
        <v>0</v>
      </c>
      <c r="AO112" s="2597"/>
      <c r="AP112" s="2599"/>
      <c r="AR112" s="2351">
        <f t="shared" si="21"/>
        <v>0</v>
      </c>
      <c r="AS112" s="2351">
        <f t="shared" si="22"/>
        <v>0</v>
      </c>
      <c r="AT112" s="123" t="str">
        <f t="shared" si="23"/>
        <v>미사용 랙</v>
      </c>
      <c r="AU112" t="str">
        <f t="shared" si="18"/>
        <v/>
      </c>
      <c r="AV112" t="str">
        <f t="shared" si="19"/>
        <v/>
      </c>
      <c r="BA112" s="123"/>
      <c r="BB112" s="123"/>
      <c r="BC112" s="123"/>
      <c r="BD112" s="2997"/>
      <c r="BE112" s="123"/>
      <c r="BF112" s="2998"/>
      <c r="BG112" s="2999"/>
      <c r="BH112" s="3005"/>
      <c r="BI112" s="3000"/>
      <c r="BJ112" s="3001"/>
      <c r="BK112" s="3002"/>
      <c r="BL112" s="3003"/>
      <c r="BM112" s="3004"/>
    </row>
    <row r="113" spans="1:65" ht="54" customHeight="1" x14ac:dyDescent="0.25">
      <c r="A113" s="2824"/>
      <c r="B113" s="3362" t="s">
        <v>192</v>
      </c>
      <c r="C113" s="3373" t="s">
        <v>193</v>
      </c>
      <c r="D113" s="3362" t="s">
        <v>194</v>
      </c>
      <c r="E113" s="2569"/>
      <c r="F113" s="2564"/>
      <c r="G113" s="2564" t="s">
        <v>27</v>
      </c>
      <c r="H113" s="1805" t="s">
        <v>8930</v>
      </c>
      <c r="I113" s="1837" t="s">
        <v>8931</v>
      </c>
      <c r="J113" s="1805" t="str">
        <f t="shared" si="31"/>
        <v>7-DaHall 1-A-3-35-52</v>
      </c>
      <c r="K113" s="1837" t="str">
        <f t="shared" si="32"/>
        <v>7-DaHall 1-B-3-35-23</v>
      </c>
      <c r="L113" s="1807">
        <v>48</v>
      </c>
      <c r="M113" s="1808">
        <v>35</v>
      </c>
      <c r="N113" s="2594" t="s">
        <v>181</v>
      </c>
      <c r="O113" s="1809">
        <v>52</v>
      </c>
      <c r="P113" s="1847">
        <v>48</v>
      </c>
      <c r="Q113" s="1848">
        <v>35</v>
      </c>
      <c r="R113" s="2578" t="s">
        <v>182</v>
      </c>
      <c r="S113" s="1838">
        <v>23</v>
      </c>
      <c r="T113" s="2594" t="s">
        <v>195</v>
      </c>
      <c r="U113" s="2578" t="s">
        <v>196</v>
      </c>
      <c r="V113" s="2828" t="s">
        <v>185</v>
      </c>
      <c r="W113" s="2827" t="s">
        <v>186</v>
      </c>
      <c r="X113" s="2146" t="s">
        <v>47</v>
      </c>
      <c r="Y113" s="903" t="s">
        <v>48</v>
      </c>
      <c r="Z113" s="2146" t="s">
        <v>49</v>
      </c>
      <c r="AA113" s="903" t="s">
        <v>50</v>
      </c>
      <c r="AB113" s="2146" t="s">
        <v>51</v>
      </c>
      <c r="AC113" s="903" t="s">
        <v>52</v>
      </c>
      <c r="AD113" s="2146" t="s">
        <v>30</v>
      </c>
      <c r="AE113" s="903" t="s">
        <v>35</v>
      </c>
      <c r="AF113" s="2146" t="s">
        <v>31</v>
      </c>
      <c r="AG113" s="903" t="s">
        <v>36</v>
      </c>
      <c r="AH113" s="685"/>
      <c r="AI113" s="686"/>
      <c r="AJ113" s="2915"/>
      <c r="AK113" s="2916"/>
      <c r="AL113" s="2819"/>
      <c r="AM113" s="3240" t="e">
        <f>VLOOKUP(J113&amp;K113,'7층~4층_매핑테이블'!$Y$6:$AF$2020,8,0)</f>
        <v>#N/A</v>
      </c>
      <c r="AN113" s="3229">
        <f t="shared" si="20"/>
        <v>0</v>
      </c>
      <c r="AO113" s="2597"/>
      <c r="AP113" s="2830" t="s">
        <v>197</v>
      </c>
      <c r="AR113" s="2351">
        <f t="shared" si="21"/>
        <v>0</v>
      </c>
      <c r="AS113" s="2351">
        <f t="shared" si="22"/>
        <v>0</v>
      </c>
      <c r="AT113" s="123" t="str">
        <f t="shared" si="23"/>
        <v>미사용 랙</v>
      </c>
      <c r="AU113" t="str">
        <f t="shared" si="18"/>
        <v/>
      </c>
      <c r="AV113" t="str">
        <f t="shared" si="19"/>
        <v/>
      </c>
      <c r="BA113" s="123"/>
      <c r="BB113" s="123"/>
      <c r="BC113" s="123"/>
      <c r="BD113" s="2997"/>
      <c r="BE113" s="123"/>
      <c r="BF113" s="2998"/>
      <c r="BG113" s="2999"/>
      <c r="BH113" s="3005"/>
      <c r="BI113" s="3000"/>
      <c r="BJ113" s="3001"/>
      <c r="BK113" s="3002"/>
      <c r="BL113" s="3003"/>
      <c r="BM113" s="3004"/>
    </row>
    <row r="114" spans="1:65" ht="54" customHeight="1" x14ac:dyDescent="0.25">
      <c r="A114" s="2824"/>
      <c r="B114" s="3363"/>
      <c r="C114" s="3374"/>
      <c r="D114" s="3363"/>
      <c r="E114" s="2570"/>
      <c r="F114" s="2564"/>
      <c r="G114" s="2564" t="s">
        <v>27</v>
      </c>
      <c r="H114" s="1805" t="s">
        <v>8932</v>
      </c>
      <c r="I114" s="1837" t="s">
        <v>8933</v>
      </c>
      <c r="J114" s="1805" t="str">
        <f t="shared" si="31"/>
        <v>7-DaHall 1-A-3-35-55</v>
      </c>
      <c r="K114" s="1837" t="str">
        <f t="shared" si="32"/>
        <v>7-DaHall 1-B-3-35-54</v>
      </c>
      <c r="L114" s="1807">
        <v>48</v>
      </c>
      <c r="M114" s="1808">
        <v>35</v>
      </c>
      <c r="N114" s="2594" t="s">
        <v>181</v>
      </c>
      <c r="O114" s="1809">
        <v>55</v>
      </c>
      <c r="P114" s="1847">
        <v>48</v>
      </c>
      <c r="Q114" s="1848">
        <v>35</v>
      </c>
      <c r="R114" s="2578" t="s">
        <v>182</v>
      </c>
      <c r="S114" s="1838">
        <v>54</v>
      </c>
      <c r="T114" s="2594" t="s">
        <v>198</v>
      </c>
      <c r="U114" s="2578" t="s">
        <v>199</v>
      </c>
      <c r="V114" s="2828" t="s">
        <v>185</v>
      </c>
      <c r="W114" s="2827" t="s">
        <v>186</v>
      </c>
      <c r="X114" s="2146" t="s">
        <v>47</v>
      </c>
      <c r="Y114" s="903" t="s">
        <v>48</v>
      </c>
      <c r="Z114" s="2146" t="s">
        <v>49</v>
      </c>
      <c r="AA114" s="903" t="s">
        <v>50</v>
      </c>
      <c r="AB114" s="2146" t="s">
        <v>51</v>
      </c>
      <c r="AC114" s="903" t="s">
        <v>52</v>
      </c>
      <c r="AD114" s="2146" t="s">
        <v>30</v>
      </c>
      <c r="AE114" s="903" t="s">
        <v>35</v>
      </c>
      <c r="AF114" s="2146" t="s">
        <v>31</v>
      </c>
      <c r="AG114" s="903" t="s">
        <v>36</v>
      </c>
      <c r="AH114" s="685"/>
      <c r="AI114" s="686"/>
      <c r="AJ114" s="2915"/>
      <c r="AK114" s="2916"/>
      <c r="AL114" s="2819"/>
      <c r="AM114" s="3240" t="e">
        <f>VLOOKUP(J114&amp;K114,'7층~4층_매핑테이블'!$Y$6:$AF$2020,8,0)</f>
        <v>#N/A</v>
      </c>
      <c r="AN114" s="3229">
        <f t="shared" si="20"/>
        <v>0</v>
      </c>
      <c r="AO114" s="2597"/>
      <c r="AP114" s="2831"/>
      <c r="AR114" s="2351">
        <f t="shared" si="21"/>
        <v>0</v>
      </c>
      <c r="AS114" s="2351">
        <f t="shared" si="22"/>
        <v>0</v>
      </c>
      <c r="AT114" s="123" t="str">
        <f t="shared" si="23"/>
        <v>미사용 랙</v>
      </c>
      <c r="AU114" t="str">
        <f t="shared" si="18"/>
        <v/>
      </c>
      <c r="AV114" t="str">
        <f t="shared" si="19"/>
        <v/>
      </c>
      <c r="BA114" s="123"/>
      <c r="BB114" s="123"/>
      <c r="BC114" s="123"/>
      <c r="BD114" s="2997"/>
      <c r="BE114" s="123"/>
      <c r="BF114" s="2998"/>
      <c r="BG114" s="2999"/>
      <c r="BH114" s="3005"/>
      <c r="BI114" s="3000"/>
      <c r="BJ114" s="3001"/>
      <c r="BK114" s="3002"/>
      <c r="BL114" s="3003"/>
      <c r="BM114" s="3004"/>
    </row>
    <row r="115" spans="1:65" ht="54" customHeight="1" x14ac:dyDescent="0.25">
      <c r="A115" s="2824"/>
      <c r="B115" s="2564" t="s">
        <v>187</v>
      </c>
      <c r="C115" s="2141" t="s">
        <v>188</v>
      </c>
      <c r="D115" s="2564" t="s">
        <v>189</v>
      </c>
      <c r="E115" s="2564"/>
      <c r="F115" s="2564"/>
      <c r="G115" s="2564" t="s">
        <v>27</v>
      </c>
      <c r="H115" s="1805" t="s">
        <v>8934</v>
      </c>
      <c r="I115" s="1837" t="s">
        <v>8935</v>
      </c>
      <c r="J115" s="1805" t="str">
        <f t="shared" si="31"/>
        <v>7-DaHall 1-A-3-35-19</v>
      </c>
      <c r="K115" s="1837" t="str">
        <f t="shared" si="32"/>
        <v>7-DaHall 1-B-3-50-19</v>
      </c>
      <c r="L115" s="1807">
        <v>48</v>
      </c>
      <c r="M115" s="1808">
        <v>35</v>
      </c>
      <c r="N115" s="2594" t="s">
        <v>181</v>
      </c>
      <c r="O115" s="1809">
        <v>19</v>
      </c>
      <c r="P115" s="1847">
        <v>48</v>
      </c>
      <c r="Q115" s="1848">
        <v>50</v>
      </c>
      <c r="R115" s="2578" t="s">
        <v>182</v>
      </c>
      <c r="S115" s="1838">
        <v>19</v>
      </c>
      <c r="T115" s="2594" t="s">
        <v>190</v>
      </c>
      <c r="U115" s="2578" t="s">
        <v>191</v>
      </c>
      <c r="V115" s="2828" t="s">
        <v>185</v>
      </c>
      <c r="W115" s="2827" t="s">
        <v>186</v>
      </c>
      <c r="X115" s="2146" t="s">
        <v>47</v>
      </c>
      <c r="Y115" s="903" t="s">
        <v>48</v>
      </c>
      <c r="Z115" s="2146" t="s">
        <v>49</v>
      </c>
      <c r="AA115" s="903" t="s">
        <v>50</v>
      </c>
      <c r="AB115" s="2146" t="s">
        <v>51</v>
      </c>
      <c r="AC115" s="903" t="s">
        <v>52</v>
      </c>
      <c r="AD115" s="2146" t="s">
        <v>30</v>
      </c>
      <c r="AE115" s="903" t="s">
        <v>35</v>
      </c>
      <c r="AF115" s="2146" t="s">
        <v>31</v>
      </c>
      <c r="AG115" s="903" t="s">
        <v>36</v>
      </c>
      <c r="AH115" s="675"/>
      <c r="AI115" s="676"/>
      <c r="AJ115" s="2915"/>
      <c r="AK115" s="2916"/>
      <c r="AL115" s="2819"/>
      <c r="AM115" s="3240" t="e">
        <f>VLOOKUP(J115&amp;K115,'7층~4층_매핑테이블'!$Y$6:$AF$2020,8,0)</f>
        <v>#N/A</v>
      </c>
      <c r="AN115" s="3229">
        <f t="shared" si="20"/>
        <v>0</v>
      </c>
      <c r="AO115" s="2597"/>
      <c r="AP115" s="2599"/>
      <c r="AR115" s="2351">
        <f t="shared" si="21"/>
        <v>0</v>
      </c>
      <c r="AS115" s="2351">
        <f t="shared" si="22"/>
        <v>0</v>
      </c>
      <c r="AT115" s="123" t="str">
        <f t="shared" si="23"/>
        <v>미사용 랙</v>
      </c>
      <c r="AU115" t="str">
        <f t="shared" si="18"/>
        <v/>
      </c>
      <c r="AV115" t="str">
        <f t="shared" si="19"/>
        <v/>
      </c>
      <c r="BA115" s="123"/>
      <c r="BB115" s="123"/>
      <c r="BC115" s="123"/>
      <c r="BD115" s="2997"/>
      <c r="BE115" s="123"/>
      <c r="BF115" s="2998"/>
      <c r="BG115" s="2999"/>
      <c r="BH115" s="3005"/>
      <c r="BI115" s="3000"/>
      <c r="BJ115" s="3001"/>
      <c r="BK115" s="3002"/>
      <c r="BL115" s="3003"/>
      <c r="BM115" s="3004"/>
    </row>
    <row r="116" spans="1:65" ht="54" customHeight="1" x14ac:dyDescent="0.25">
      <c r="A116" s="2824"/>
      <c r="B116" s="2564" t="s">
        <v>178</v>
      </c>
      <c r="C116" s="2141" t="s">
        <v>179</v>
      </c>
      <c r="D116" s="2564" t="s">
        <v>180</v>
      </c>
      <c r="E116" s="2564"/>
      <c r="F116" s="2564"/>
      <c r="G116" s="2564" t="s">
        <v>27</v>
      </c>
      <c r="H116" s="1805" t="s">
        <v>8936</v>
      </c>
      <c r="I116" s="1837" t="s">
        <v>8937</v>
      </c>
      <c r="J116" s="1805" t="str">
        <f t="shared" si="31"/>
        <v>7-DaHall 1-A-3-35-18</v>
      </c>
      <c r="K116" s="1837" t="str">
        <f t="shared" si="32"/>
        <v>7-DaHall 1-B-3-35-18</v>
      </c>
      <c r="L116" s="1807">
        <v>48</v>
      </c>
      <c r="M116" s="1808">
        <v>35</v>
      </c>
      <c r="N116" s="2594" t="s">
        <v>181</v>
      </c>
      <c r="O116" s="1809">
        <v>18</v>
      </c>
      <c r="P116" s="1847">
        <v>48</v>
      </c>
      <c r="Q116" s="1848">
        <v>35</v>
      </c>
      <c r="R116" s="2578" t="s">
        <v>182</v>
      </c>
      <c r="S116" s="1838">
        <v>18</v>
      </c>
      <c r="T116" s="2594" t="s">
        <v>183</v>
      </c>
      <c r="U116" s="2578" t="s">
        <v>184</v>
      </c>
      <c r="V116" s="2828" t="s">
        <v>185</v>
      </c>
      <c r="W116" s="2827" t="s">
        <v>186</v>
      </c>
      <c r="X116" s="2146" t="s">
        <v>47</v>
      </c>
      <c r="Y116" s="903" t="s">
        <v>48</v>
      </c>
      <c r="Z116" s="2146" t="s">
        <v>49</v>
      </c>
      <c r="AA116" s="903" t="s">
        <v>50</v>
      </c>
      <c r="AB116" s="2146" t="s">
        <v>51</v>
      </c>
      <c r="AC116" s="903" t="s">
        <v>52</v>
      </c>
      <c r="AD116" s="2146" t="s">
        <v>30</v>
      </c>
      <c r="AE116" s="903" t="s">
        <v>35</v>
      </c>
      <c r="AF116" s="2146" t="s">
        <v>31</v>
      </c>
      <c r="AG116" s="903" t="s">
        <v>36</v>
      </c>
      <c r="AH116" s="675"/>
      <c r="AI116" s="676"/>
      <c r="AJ116" s="2915"/>
      <c r="AK116" s="2916"/>
      <c r="AL116" s="2819"/>
      <c r="AM116" s="3240" t="e">
        <f>VLOOKUP(J116&amp;K116,'7층~4층_매핑테이블'!$Y$6:$AF$2020,8,0)</f>
        <v>#N/A</v>
      </c>
      <c r="AN116" s="3229">
        <f t="shared" si="20"/>
        <v>0</v>
      </c>
      <c r="AO116" s="2597"/>
      <c r="AP116" s="2599"/>
      <c r="AR116" s="2351">
        <f t="shared" si="21"/>
        <v>0</v>
      </c>
      <c r="AS116" s="2351">
        <f t="shared" si="22"/>
        <v>0</v>
      </c>
      <c r="AT116" s="123" t="str">
        <f t="shared" si="23"/>
        <v>미사용 랙</v>
      </c>
      <c r="AU116" t="str">
        <f t="shared" si="18"/>
        <v/>
      </c>
      <c r="AV116" t="str">
        <f t="shared" si="19"/>
        <v/>
      </c>
      <c r="BA116" s="123"/>
      <c r="BB116" s="123"/>
      <c r="BC116" s="123"/>
      <c r="BD116" s="2997"/>
      <c r="BE116" s="123"/>
      <c r="BF116" s="2998"/>
      <c r="BG116" s="2999"/>
      <c r="BH116" s="3005"/>
      <c r="BI116" s="3000"/>
      <c r="BJ116" s="3001"/>
      <c r="BK116" s="3002"/>
      <c r="BL116" s="3003"/>
      <c r="BM116" s="3004"/>
    </row>
    <row r="117" spans="1:65" ht="32.1" customHeight="1" x14ac:dyDescent="0.25">
      <c r="A117" s="2824"/>
      <c r="B117" s="2564" t="s">
        <v>173</v>
      </c>
      <c r="C117" s="2141" t="s">
        <v>174</v>
      </c>
      <c r="D117" s="2564" t="s">
        <v>175</v>
      </c>
      <c r="E117" s="2564"/>
      <c r="F117" s="2564"/>
      <c r="G117" s="2564" t="s">
        <v>27</v>
      </c>
      <c r="H117" s="1805" t="s">
        <v>8938</v>
      </c>
      <c r="I117" s="1837" t="s">
        <v>8939</v>
      </c>
      <c r="J117" s="1805" t="str">
        <f t="shared" si="31"/>
        <v>7-DaHall 1-A-2-50-22</v>
      </c>
      <c r="K117" s="1837" t="str">
        <f t="shared" si="32"/>
        <v>7-DaHall 1-B-2-50-22</v>
      </c>
      <c r="L117" s="1807">
        <v>48</v>
      </c>
      <c r="M117" s="1808">
        <v>50</v>
      </c>
      <c r="N117" s="2594" t="s">
        <v>41</v>
      </c>
      <c r="O117" s="1809">
        <v>22</v>
      </c>
      <c r="P117" s="1847">
        <v>48</v>
      </c>
      <c r="Q117" s="1848">
        <v>50</v>
      </c>
      <c r="R117" s="2578" t="s">
        <v>42</v>
      </c>
      <c r="S117" s="1838">
        <v>22</v>
      </c>
      <c r="T117" s="2594" t="s">
        <v>176</v>
      </c>
      <c r="U117" s="2578" t="s">
        <v>177</v>
      </c>
      <c r="V117" s="2562" t="s">
        <v>45</v>
      </c>
      <c r="W117" s="2571" t="s">
        <v>46</v>
      </c>
      <c r="X117" s="2146" t="s">
        <v>47</v>
      </c>
      <c r="Y117" s="903" t="s">
        <v>48</v>
      </c>
      <c r="Z117" s="2146" t="s">
        <v>49</v>
      </c>
      <c r="AA117" s="903" t="s">
        <v>50</v>
      </c>
      <c r="AB117" s="2146" t="s">
        <v>51</v>
      </c>
      <c r="AC117" s="903" t="s">
        <v>52</v>
      </c>
      <c r="AD117" s="2146" t="s">
        <v>30</v>
      </c>
      <c r="AE117" s="903" t="s">
        <v>35</v>
      </c>
      <c r="AF117" s="2146" t="s">
        <v>31</v>
      </c>
      <c r="AG117" s="903" t="s">
        <v>36</v>
      </c>
      <c r="AH117" s="675"/>
      <c r="AI117" s="676"/>
      <c r="AJ117" s="2915"/>
      <c r="AK117" s="2916"/>
      <c r="AL117" s="2819"/>
      <c r="AM117" s="3240" t="e">
        <f>VLOOKUP(J117&amp;K117,'7층~4층_매핑테이블'!$Y$6:$AF$2020,8,0)</f>
        <v>#N/A</v>
      </c>
      <c r="AN117" s="3229">
        <f t="shared" si="20"/>
        <v>0</v>
      </c>
      <c r="AO117" s="2597"/>
      <c r="AP117" s="2599"/>
      <c r="AR117" s="2351">
        <f t="shared" si="21"/>
        <v>0</v>
      </c>
      <c r="AS117" s="2351">
        <f t="shared" si="22"/>
        <v>0</v>
      </c>
      <c r="AT117" s="123" t="str">
        <f t="shared" si="23"/>
        <v>미사용 랙</v>
      </c>
      <c r="AU117" t="str">
        <f t="shared" si="18"/>
        <v/>
      </c>
      <c r="AV117" t="str">
        <f t="shared" si="19"/>
        <v/>
      </c>
      <c r="BA117" s="123"/>
      <c r="BB117" s="123"/>
      <c r="BC117" s="123"/>
      <c r="BD117" s="2997"/>
      <c r="BE117" s="123"/>
      <c r="BF117" s="2998"/>
      <c r="BG117" s="2999"/>
      <c r="BH117" s="3005"/>
      <c r="BI117" s="3000"/>
      <c r="BJ117" s="3001"/>
      <c r="BK117" s="3002"/>
      <c r="BL117" s="3003"/>
      <c r="BM117" s="3004"/>
    </row>
    <row r="118" spans="1:65" ht="46.8" x14ac:dyDescent="0.25">
      <c r="A118" s="2824"/>
      <c r="B118" s="2564" t="s">
        <v>167</v>
      </c>
      <c r="C118" s="1155" t="s">
        <v>168</v>
      </c>
      <c r="D118" s="2564" t="s">
        <v>169</v>
      </c>
      <c r="E118" s="2960">
        <v>2.2000000000000002</v>
      </c>
      <c r="F118" s="2564" t="s">
        <v>27</v>
      </c>
      <c r="G118" s="2564"/>
      <c r="H118" s="1825" t="s">
        <v>8940</v>
      </c>
      <c r="I118" s="1833" t="s">
        <v>8941</v>
      </c>
      <c r="J118" s="1825" t="str">
        <f t="shared" si="31"/>
        <v>7-DaHall 1-PDU-01-30-14</v>
      </c>
      <c r="K118" s="1833" t="str">
        <f t="shared" si="32"/>
        <v>7-DaHall 1-PDU-02-30-14</v>
      </c>
      <c r="L118" s="1827">
        <v>220</v>
      </c>
      <c r="M118" s="1828">
        <v>30</v>
      </c>
      <c r="N118" s="703" t="s">
        <v>8749</v>
      </c>
      <c r="O118" s="1829">
        <v>14</v>
      </c>
      <c r="P118" s="1834">
        <v>220</v>
      </c>
      <c r="Q118" s="1835">
        <v>30</v>
      </c>
      <c r="R118" s="687" t="s">
        <v>8750</v>
      </c>
      <c r="S118" s="1836">
        <v>14</v>
      </c>
      <c r="T118" s="703" t="s">
        <v>170</v>
      </c>
      <c r="U118" s="687" t="s">
        <v>171</v>
      </c>
      <c r="V118" s="896"/>
      <c r="W118" s="950"/>
      <c r="X118" s="896"/>
      <c r="Y118" s="950"/>
      <c r="Z118" s="896"/>
      <c r="AA118" s="950"/>
      <c r="AB118" s="2146" t="s">
        <v>164</v>
      </c>
      <c r="AC118" s="903" t="s">
        <v>165</v>
      </c>
      <c r="AD118" s="2146" t="s">
        <v>110</v>
      </c>
      <c r="AE118" s="903" t="s">
        <v>111</v>
      </c>
      <c r="AF118" s="2146" t="s">
        <v>31</v>
      </c>
      <c r="AG118" s="903" t="s">
        <v>36</v>
      </c>
      <c r="AH118" s="681">
        <f>SUM('7층_부하량(월간_AVG)'!N69:P69)</f>
        <v>0</v>
      </c>
      <c r="AI118" s="676">
        <f>SUM('7층_부하량(월간_AVG)'!N37:P37)</f>
        <v>0</v>
      </c>
      <c r="AJ118" s="1298">
        <f t="shared" ref="AJ118:AJ119" si="33">AH118+AI118</f>
        <v>0</v>
      </c>
      <c r="AK118" s="2816" t="e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8" s="2817" t="e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8" s="3240">
        <f>VLOOKUP(J118&amp;K118,'7층~4층_매핑테이블'!$Y$6:$AF$2020,8,0)</f>
        <v>1.4830000000000001</v>
      </c>
      <c r="AN118" s="3230" t="e">
        <f t="shared" si="20"/>
        <v>#N/A</v>
      </c>
      <c r="AO118" s="2597"/>
      <c r="AP118" s="1158" t="s">
        <v>172</v>
      </c>
      <c r="AR118" s="2351" t="e">
        <f t="shared" si="21"/>
        <v>#N/A</v>
      </c>
      <c r="AS118" s="2351" t="e">
        <f t="shared" si="22"/>
        <v>#N/A</v>
      </c>
      <c r="AT118" s="123" t="e">
        <f>IF(SIGN(AS118)&gt;=0,IF(AN118=0,"무부하 랙","적정함"),"사용초과")</f>
        <v>#N/A</v>
      </c>
      <c r="AU118" t="e">
        <f t="shared" si="18"/>
        <v>#N/A</v>
      </c>
      <c r="AV118" t="e">
        <f t="shared" si="19"/>
        <v>#N/A</v>
      </c>
      <c r="BA118" s="123"/>
      <c r="BB118" s="123"/>
      <c r="BC118" s="123"/>
      <c r="BD118" s="2997"/>
      <c r="BE118" s="123"/>
      <c r="BF118" s="2998"/>
      <c r="BG118" s="2999"/>
      <c r="BH118" s="3005"/>
      <c r="BI118" s="3000"/>
      <c r="BJ118" s="3001"/>
      <c r="BK118" s="3002"/>
      <c r="BL118" s="3003"/>
      <c r="BM118" s="3004"/>
    </row>
    <row r="119" spans="1:65" ht="27" customHeight="1" x14ac:dyDescent="0.25">
      <c r="A119" s="2824"/>
      <c r="B119" s="2564" t="s">
        <v>159</v>
      </c>
      <c r="C119" s="1155" t="s">
        <v>160</v>
      </c>
      <c r="D119" s="2564" t="s">
        <v>161</v>
      </c>
      <c r="E119" s="2960">
        <v>2.2000000000000002</v>
      </c>
      <c r="F119" s="2564" t="s">
        <v>27</v>
      </c>
      <c r="G119" s="2564"/>
      <c r="H119" s="1825" t="s">
        <v>8942</v>
      </c>
      <c r="I119" s="1833" t="s">
        <v>8943</v>
      </c>
      <c r="J119" s="1825" t="str">
        <f t="shared" si="31"/>
        <v>7-DaHall 1-PDU-01-30-16</v>
      </c>
      <c r="K119" s="1833" t="str">
        <f t="shared" si="32"/>
        <v>7-DaHall 1-PDU-02-30-16</v>
      </c>
      <c r="L119" s="1827">
        <v>220</v>
      </c>
      <c r="M119" s="1828">
        <v>30</v>
      </c>
      <c r="N119" s="703" t="s">
        <v>8749</v>
      </c>
      <c r="O119" s="1829">
        <v>16</v>
      </c>
      <c r="P119" s="1834">
        <v>220</v>
      </c>
      <c r="Q119" s="1835">
        <v>30</v>
      </c>
      <c r="R119" s="687" t="s">
        <v>8750</v>
      </c>
      <c r="S119" s="1836">
        <v>16</v>
      </c>
      <c r="T119" s="703" t="s">
        <v>162</v>
      </c>
      <c r="U119" s="687" t="s">
        <v>163</v>
      </c>
      <c r="V119" s="896"/>
      <c r="W119" s="950"/>
      <c r="X119" s="896"/>
      <c r="Y119" s="950"/>
      <c r="Z119" s="896"/>
      <c r="AA119" s="950"/>
      <c r="AB119" s="2146" t="s">
        <v>164</v>
      </c>
      <c r="AC119" s="903" t="s">
        <v>165</v>
      </c>
      <c r="AD119" s="2146" t="s">
        <v>110</v>
      </c>
      <c r="AE119" s="903" t="s">
        <v>111</v>
      </c>
      <c r="AF119" s="2146" t="s">
        <v>31</v>
      </c>
      <c r="AG119" s="903" t="s">
        <v>36</v>
      </c>
      <c r="AH119" s="681">
        <f>SUM('7층_부하량(월간_AVG)'!N70:P70)</f>
        <v>0</v>
      </c>
      <c r="AI119" s="676">
        <f>SUM('7층_부하량(월간_AVG)'!N38:P38)</f>
        <v>0</v>
      </c>
      <c r="AJ119" s="1298">
        <f t="shared" si="33"/>
        <v>0</v>
      </c>
      <c r="AK119" s="2816" t="e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9" s="2817" t="e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9" s="3240">
        <f>VLOOKUP(J119&amp;K119,'7층~4층_매핑테이블'!$Y$6:$AF$2020,8,0)</f>
        <v>1.079</v>
      </c>
      <c r="AN119" s="3230" t="e">
        <f t="shared" si="20"/>
        <v>#N/A</v>
      </c>
      <c r="AO119" s="2597"/>
      <c r="AP119" s="1159" t="s">
        <v>166</v>
      </c>
      <c r="AR119" s="2351" t="e">
        <f t="shared" si="21"/>
        <v>#N/A</v>
      </c>
      <c r="AS119" s="2351" t="e">
        <f t="shared" si="22"/>
        <v>#N/A</v>
      </c>
      <c r="AT119" s="123" t="e">
        <f>IF(SIGN(AS119)&gt;=0,IF(AN119=0,"무부하 랙","적정함"),"사용초과")</f>
        <v>#N/A</v>
      </c>
      <c r="AU119" t="e">
        <f t="shared" si="18"/>
        <v>#N/A</v>
      </c>
      <c r="AV119" t="e">
        <f t="shared" si="19"/>
        <v>#N/A</v>
      </c>
      <c r="BA119" s="123"/>
      <c r="BB119" s="123"/>
      <c r="BC119" s="123"/>
      <c r="BD119" s="2997"/>
      <c r="BE119" s="123"/>
      <c r="BF119" s="2998"/>
      <c r="BG119" s="2999"/>
      <c r="BH119" s="3005"/>
      <c r="BI119" s="3000"/>
      <c r="BJ119" s="3001"/>
      <c r="BK119" s="3002"/>
      <c r="BL119" s="3003"/>
      <c r="BM119" s="3004"/>
    </row>
    <row r="120" spans="1:65" ht="27" customHeight="1" x14ac:dyDescent="0.25">
      <c r="A120" s="2824"/>
      <c r="B120" s="2564"/>
      <c r="C120" s="684" t="s">
        <v>158</v>
      </c>
      <c r="D120" s="684"/>
      <c r="E120" s="684"/>
      <c r="F120" s="684"/>
      <c r="G120" s="684"/>
      <c r="H120" s="1839"/>
      <c r="I120" s="1840"/>
      <c r="J120" s="1839"/>
      <c r="K120" s="1840"/>
      <c r="L120" s="1841"/>
      <c r="M120" s="1842"/>
      <c r="N120" s="896"/>
      <c r="O120" s="1843"/>
      <c r="P120" s="1844"/>
      <c r="Q120" s="1845"/>
      <c r="R120" s="950"/>
      <c r="S120" s="1846"/>
      <c r="T120" s="896"/>
      <c r="U120" s="950"/>
      <c r="V120" s="896"/>
      <c r="W120" s="950"/>
      <c r="X120" s="896"/>
      <c r="Y120" s="950"/>
      <c r="Z120" s="896"/>
      <c r="AA120" s="950"/>
      <c r="AB120" s="896"/>
      <c r="AC120" s="950"/>
      <c r="AD120" s="896"/>
      <c r="AE120" s="950"/>
      <c r="AF120" s="2146" t="s">
        <v>31</v>
      </c>
      <c r="AG120" s="903" t="s">
        <v>36</v>
      </c>
      <c r="AH120" s="952"/>
      <c r="AI120" s="948"/>
      <c r="AJ120" s="1310"/>
      <c r="AK120" s="2825"/>
      <c r="AL120" s="2826"/>
      <c r="AM120" s="3240"/>
      <c r="AN120" s="3231">
        <f t="shared" si="20"/>
        <v>0</v>
      </c>
      <c r="AO120" s="2597"/>
      <c r="AP120" s="1158"/>
      <c r="AR120" s="2351">
        <f t="shared" si="21"/>
        <v>0</v>
      </c>
      <c r="AS120" s="2351">
        <f t="shared" si="22"/>
        <v>0</v>
      </c>
      <c r="AT120" s="123" t="str">
        <f t="shared" si="23"/>
        <v>미사용 랙</v>
      </c>
      <c r="AU120" t="str">
        <f t="shared" si="18"/>
        <v/>
      </c>
      <c r="AV120" t="str">
        <f t="shared" si="19"/>
        <v/>
      </c>
      <c r="BA120" s="123"/>
      <c r="BB120" s="123"/>
      <c r="BC120" s="123"/>
      <c r="BD120" s="2997"/>
      <c r="BE120" s="123"/>
      <c r="BF120" s="2998"/>
      <c r="BG120" s="2999"/>
      <c r="BH120" s="3005"/>
      <c r="BI120" s="3000"/>
      <c r="BJ120" s="3001"/>
      <c r="BK120" s="3002"/>
      <c r="BL120" s="3003"/>
      <c r="BM120" s="3004"/>
    </row>
    <row r="121" spans="1:65" ht="27" customHeight="1" x14ac:dyDescent="0.25">
      <c r="A121" s="2824"/>
      <c r="B121" s="2564"/>
      <c r="C121" s="684" t="s">
        <v>157</v>
      </c>
      <c r="D121" s="684"/>
      <c r="E121" s="684"/>
      <c r="F121" s="684"/>
      <c r="G121" s="684"/>
      <c r="H121" s="1839"/>
      <c r="I121" s="1840"/>
      <c r="J121" s="1839"/>
      <c r="K121" s="1840"/>
      <c r="L121" s="1841"/>
      <c r="M121" s="1842"/>
      <c r="N121" s="896"/>
      <c r="O121" s="1843"/>
      <c r="P121" s="1844"/>
      <c r="Q121" s="1845"/>
      <c r="R121" s="950"/>
      <c r="S121" s="1846"/>
      <c r="T121" s="896"/>
      <c r="U121" s="950"/>
      <c r="V121" s="896"/>
      <c r="W121" s="950"/>
      <c r="X121" s="896"/>
      <c r="Y121" s="950"/>
      <c r="Z121" s="896"/>
      <c r="AA121" s="950"/>
      <c r="AB121" s="896"/>
      <c r="AC121" s="950"/>
      <c r="AD121" s="896"/>
      <c r="AE121" s="950"/>
      <c r="AF121" s="2146" t="s">
        <v>31</v>
      </c>
      <c r="AG121" s="903" t="s">
        <v>36</v>
      </c>
      <c r="AH121" s="952"/>
      <c r="AI121" s="948"/>
      <c r="AJ121" s="1310"/>
      <c r="AK121" s="2825"/>
      <c r="AL121" s="2826"/>
      <c r="AM121" s="3240"/>
      <c r="AN121" s="3231">
        <f t="shared" si="20"/>
        <v>0</v>
      </c>
      <c r="AO121" s="2597"/>
      <c r="AP121" s="1158"/>
      <c r="AR121" s="2351">
        <f t="shared" si="21"/>
        <v>0</v>
      </c>
      <c r="AS121" s="2351">
        <f t="shared" si="22"/>
        <v>0</v>
      </c>
      <c r="AT121" s="123" t="str">
        <f t="shared" si="23"/>
        <v>미사용 랙</v>
      </c>
      <c r="AU121" t="str">
        <f t="shared" si="18"/>
        <v/>
      </c>
      <c r="AV121" t="str">
        <f t="shared" si="19"/>
        <v/>
      </c>
      <c r="BA121" s="123"/>
      <c r="BB121" s="123"/>
      <c r="BC121" s="123"/>
      <c r="BD121" s="2997"/>
      <c r="BE121" s="123"/>
      <c r="BF121" s="2998"/>
      <c r="BG121" s="2999"/>
      <c r="BH121" s="3005"/>
      <c r="BI121" s="3000"/>
      <c r="BJ121" s="3001"/>
      <c r="BK121" s="3002"/>
      <c r="BL121" s="3003"/>
      <c r="BM121" s="3004"/>
    </row>
    <row r="122" spans="1:65" ht="27" customHeight="1" x14ac:dyDescent="0.25">
      <c r="A122" s="2824"/>
      <c r="B122" s="2564"/>
      <c r="C122" s="684" t="s">
        <v>156</v>
      </c>
      <c r="D122" s="684"/>
      <c r="E122" s="684"/>
      <c r="F122" s="684"/>
      <c r="G122" s="684"/>
      <c r="H122" s="1839"/>
      <c r="I122" s="1840"/>
      <c r="J122" s="1839"/>
      <c r="K122" s="1840"/>
      <c r="L122" s="1841"/>
      <c r="M122" s="1842"/>
      <c r="N122" s="896"/>
      <c r="O122" s="1843"/>
      <c r="P122" s="1844"/>
      <c r="Q122" s="1845"/>
      <c r="R122" s="950"/>
      <c r="S122" s="1846"/>
      <c r="T122" s="896"/>
      <c r="U122" s="950"/>
      <c r="V122" s="896"/>
      <c r="W122" s="950"/>
      <c r="X122" s="896"/>
      <c r="Y122" s="950"/>
      <c r="Z122" s="896"/>
      <c r="AA122" s="950"/>
      <c r="AB122" s="896"/>
      <c r="AC122" s="950"/>
      <c r="AD122" s="896"/>
      <c r="AE122" s="950"/>
      <c r="AF122" s="2146" t="s">
        <v>31</v>
      </c>
      <c r="AG122" s="903" t="s">
        <v>36</v>
      </c>
      <c r="AH122" s="952"/>
      <c r="AI122" s="948"/>
      <c r="AJ122" s="1310"/>
      <c r="AK122" s="2825"/>
      <c r="AL122" s="2826"/>
      <c r="AM122" s="3240"/>
      <c r="AN122" s="3231">
        <f t="shared" si="20"/>
        <v>0</v>
      </c>
      <c r="AO122" s="2597"/>
      <c r="AP122" s="1157"/>
      <c r="AR122" s="2351">
        <f t="shared" si="21"/>
        <v>0</v>
      </c>
      <c r="AS122" s="2351">
        <f t="shared" si="22"/>
        <v>0</v>
      </c>
      <c r="AT122" s="123" t="str">
        <f t="shared" si="23"/>
        <v>미사용 랙</v>
      </c>
      <c r="AU122" t="str">
        <f t="shared" si="18"/>
        <v/>
      </c>
      <c r="AV122" t="str">
        <f t="shared" si="19"/>
        <v/>
      </c>
      <c r="BA122" s="123"/>
      <c r="BB122" s="123"/>
      <c r="BC122" s="123"/>
      <c r="BD122" s="2997"/>
      <c r="BE122" s="123"/>
      <c r="BF122" s="2998"/>
      <c r="BG122" s="2999"/>
      <c r="BH122" s="3005"/>
      <c r="BI122" s="3000"/>
      <c r="BJ122" s="3001"/>
      <c r="BK122" s="3002"/>
      <c r="BL122" s="3003"/>
      <c r="BM122" s="3004"/>
    </row>
    <row r="123" spans="1:65" ht="27" customHeight="1" x14ac:dyDescent="0.25">
      <c r="A123" s="2824"/>
      <c r="B123" s="2564"/>
      <c r="C123" s="1153" t="s">
        <v>155</v>
      </c>
      <c r="D123" s="1153"/>
      <c r="E123" s="1153"/>
      <c r="F123" s="1153"/>
      <c r="G123" s="1153"/>
      <c r="H123" s="1839"/>
      <c r="I123" s="1840"/>
      <c r="J123" s="1839"/>
      <c r="K123" s="1840"/>
      <c r="L123" s="1841"/>
      <c r="M123" s="1842"/>
      <c r="N123" s="896"/>
      <c r="O123" s="1843"/>
      <c r="P123" s="1844"/>
      <c r="Q123" s="1845"/>
      <c r="R123" s="950"/>
      <c r="S123" s="1846"/>
      <c r="T123" s="896"/>
      <c r="U123" s="950"/>
      <c r="V123" s="896"/>
      <c r="W123" s="950"/>
      <c r="X123" s="896"/>
      <c r="Y123" s="950"/>
      <c r="Z123" s="896"/>
      <c r="AA123" s="950"/>
      <c r="AB123" s="896"/>
      <c r="AC123" s="950"/>
      <c r="AD123" s="896"/>
      <c r="AE123" s="950"/>
      <c r="AF123" s="2146" t="s">
        <v>31</v>
      </c>
      <c r="AG123" s="903" t="s">
        <v>36</v>
      </c>
      <c r="AH123" s="952"/>
      <c r="AI123" s="948"/>
      <c r="AJ123" s="1310"/>
      <c r="AK123" s="2825"/>
      <c r="AL123" s="2826"/>
      <c r="AM123" s="3240"/>
      <c r="AN123" s="3231">
        <f t="shared" si="20"/>
        <v>0</v>
      </c>
      <c r="AO123" s="2597"/>
      <c r="AP123" s="2599"/>
      <c r="AR123" s="2351">
        <f t="shared" si="21"/>
        <v>0</v>
      </c>
      <c r="AS123" s="2351">
        <f t="shared" si="22"/>
        <v>0</v>
      </c>
      <c r="AT123" s="123" t="str">
        <f t="shared" si="23"/>
        <v>미사용 랙</v>
      </c>
      <c r="AU123" t="str">
        <f t="shared" si="18"/>
        <v/>
      </c>
      <c r="AV123" t="str">
        <f t="shared" si="19"/>
        <v/>
      </c>
      <c r="BA123" s="123"/>
      <c r="BB123" s="123"/>
      <c r="BC123" s="123"/>
      <c r="BD123" s="2997"/>
      <c r="BE123" s="123"/>
      <c r="BF123" s="2998"/>
      <c r="BG123" s="2999"/>
      <c r="BH123" s="3005"/>
      <c r="BI123" s="3000"/>
      <c r="BJ123" s="3001"/>
      <c r="BK123" s="3002"/>
      <c r="BL123" s="3003"/>
      <c r="BM123" s="3004"/>
    </row>
    <row r="124" spans="1:65" ht="27" customHeight="1" x14ac:dyDescent="0.25">
      <c r="A124" s="2824"/>
      <c r="B124" s="2564" t="s">
        <v>150</v>
      </c>
      <c r="C124" s="2564" t="s">
        <v>151</v>
      </c>
      <c r="D124" s="2564" t="s">
        <v>152</v>
      </c>
      <c r="E124" s="2564"/>
      <c r="F124" s="2564"/>
      <c r="G124" s="2564" t="s">
        <v>27</v>
      </c>
      <c r="H124" s="1805" t="s">
        <v>8944</v>
      </c>
      <c r="I124" s="1837" t="s">
        <v>8945</v>
      </c>
      <c r="J124" s="1805" t="str">
        <f t="shared" ref="J124:J132" si="34">"7-DaHall 1-"&amp;N124&amp;"-"&amp;M124&amp;"-"&amp;O124</f>
        <v>7-DaHall 1-A-2-50-12</v>
      </c>
      <c r="K124" s="1837" t="str">
        <f t="shared" ref="K124:K132" si="35">"7-DaHall 1-"&amp;R124&amp;"-"&amp;Q124&amp;"-"&amp;S124</f>
        <v>7-DaHall 1-B-2-50-12</v>
      </c>
      <c r="L124" s="1807">
        <v>48</v>
      </c>
      <c r="M124" s="1808">
        <v>50</v>
      </c>
      <c r="N124" s="2594" t="s">
        <v>41</v>
      </c>
      <c r="O124" s="1809">
        <v>12</v>
      </c>
      <c r="P124" s="1810">
        <v>48</v>
      </c>
      <c r="Q124" s="1811">
        <v>50</v>
      </c>
      <c r="R124" s="2578" t="s">
        <v>42</v>
      </c>
      <c r="S124" s="1838">
        <v>12</v>
      </c>
      <c r="T124" s="2594" t="s">
        <v>153</v>
      </c>
      <c r="U124" s="2578" t="s">
        <v>154</v>
      </c>
      <c r="V124" s="2562" t="s">
        <v>45</v>
      </c>
      <c r="W124" s="2571" t="s">
        <v>46</v>
      </c>
      <c r="X124" s="2558" t="s">
        <v>47</v>
      </c>
      <c r="Y124" s="2560" t="s">
        <v>48</v>
      </c>
      <c r="Z124" s="2558" t="s">
        <v>49</v>
      </c>
      <c r="AA124" s="2560" t="s">
        <v>50</v>
      </c>
      <c r="AB124" s="2594" t="s">
        <v>51</v>
      </c>
      <c r="AC124" s="2578" t="s">
        <v>52</v>
      </c>
      <c r="AD124" s="2594" t="s">
        <v>30</v>
      </c>
      <c r="AE124" s="2578" t="s">
        <v>35</v>
      </c>
      <c r="AF124" s="2146" t="s">
        <v>31</v>
      </c>
      <c r="AG124" s="903" t="s">
        <v>36</v>
      </c>
      <c r="AH124" s="675"/>
      <c r="AI124" s="676"/>
      <c r="AJ124" s="2915"/>
      <c r="AK124" s="2916"/>
      <c r="AL124" s="2819"/>
      <c r="AM124" s="3240" t="e">
        <f>VLOOKUP(J124&amp;K124,'7층~4층_매핑테이블'!$Y$6:$AF$2020,8,0)</f>
        <v>#N/A</v>
      </c>
      <c r="AN124" s="3229">
        <f t="shared" si="20"/>
        <v>0</v>
      </c>
      <c r="AO124" s="2597"/>
      <c r="AP124" s="2599"/>
      <c r="AR124" s="2351">
        <f t="shared" si="21"/>
        <v>0</v>
      </c>
      <c r="AS124" s="2351">
        <f t="shared" si="22"/>
        <v>0</v>
      </c>
      <c r="AT124" s="123" t="str">
        <f t="shared" si="23"/>
        <v>미사용 랙</v>
      </c>
      <c r="AU124" t="str">
        <f t="shared" si="18"/>
        <v/>
      </c>
      <c r="AV124" t="str">
        <f t="shared" si="19"/>
        <v/>
      </c>
      <c r="BA124" s="123"/>
      <c r="BB124" s="123"/>
      <c r="BC124" s="123"/>
      <c r="BD124" s="2997"/>
      <c r="BE124" s="123"/>
      <c r="BF124" s="2998"/>
      <c r="BG124" s="2999"/>
      <c r="BH124" s="3005"/>
      <c r="BI124" s="3000"/>
      <c r="BJ124" s="3001"/>
      <c r="BK124" s="3002"/>
      <c r="BL124" s="3003"/>
      <c r="BM124" s="3004"/>
    </row>
    <row r="125" spans="1:65" ht="27.75" customHeight="1" thickBot="1" x14ac:dyDescent="0.3">
      <c r="A125" s="2824" t="s">
        <v>37</v>
      </c>
      <c r="B125" s="2595" t="s">
        <v>98</v>
      </c>
      <c r="C125" s="2142" t="s">
        <v>99</v>
      </c>
      <c r="D125" s="2595" t="s">
        <v>100</v>
      </c>
      <c r="E125" s="2595"/>
      <c r="F125" s="2595"/>
      <c r="G125" s="2595" t="s">
        <v>27</v>
      </c>
      <c r="H125" s="1813" t="s">
        <v>8946</v>
      </c>
      <c r="I125" s="1814" t="s">
        <v>8947</v>
      </c>
      <c r="J125" s="1813" t="str">
        <f t="shared" si="34"/>
        <v>7-DaHall 1-A-2-50-66</v>
      </c>
      <c r="K125" s="1814" t="str">
        <f t="shared" si="35"/>
        <v>7-DaHall 1-B-2-50-66</v>
      </c>
      <c r="L125" s="1815">
        <v>48</v>
      </c>
      <c r="M125" s="1816">
        <v>50</v>
      </c>
      <c r="N125" s="890" t="s">
        <v>41</v>
      </c>
      <c r="O125" s="1817">
        <v>66</v>
      </c>
      <c r="P125" s="1818">
        <v>48</v>
      </c>
      <c r="Q125" s="1819">
        <v>50</v>
      </c>
      <c r="R125" s="891" t="s">
        <v>42</v>
      </c>
      <c r="S125" s="1820">
        <v>66</v>
      </c>
      <c r="T125" s="890" t="s">
        <v>101</v>
      </c>
      <c r="U125" s="891" t="s">
        <v>102</v>
      </c>
      <c r="V125" s="2844" t="s">
        <v>45</v>
      </c>
      <c r="W125" s="2845" t="s">
        <v>46</v>
      </c>
      <c r="X125" s="2844" t="s">
        <v>47</v>
      </c>
      <c r="Y125" s="2845" t="s">
        <v>48</v>
      </c>
      <c r="Z125" s="2844" t="s">
        <v>49</v>
      </c>
      <c r="AA125" s="2845" t="s">
        <v>50</v>
      </c>
      <c r="AB125" s="2844" t="s">
        <v>51</v>
      </c>
      <c r="AC125" s="2845" t="s">
        <v>52</v>
      </c>
      <c r="AD125" s="2844" t="s">
        <v>30</v>
      </c>
      <c r="AE125" s="2845" t="s">
        <v>35</v>
      </c>
      <c r="AF125" s="2844" t="s">
        <v>31</v>
      </c>
      <c r="AG125" s="2845" t="s">
        <v>36</v>
      </c>
      <c r="AH125" s="677"/>
      <c r="AI125" s="678"/>
      <c r="AJ125" s="1307"/>
      <c r="AK125" s="2842"/>
      <c r="AL125" s="2843"/>
      <c r="AM125" s="3240" t="e">
        <f>VLOOKUP(J125&amp;K125,'7층~4층_매핑테이블'!$Y$6:$AF$2020,8,0)</f>
        <v>#N/A</v>
      </c>
      <c r="AN125" s="3230">
        <f t="shared" si="20"/>
        <v>0</v>
      </c>
      <c r="AO125" s="2598"/>
      <c r="AP125" s="679"/>
      <c r="AR125" s="2351">
        <f t="shared" si="21"/>
        <v>0</v>
      </c>
      <c r="AS125" s="2351">
        <f t="shared" si="22"/>
        <v>0</v>
      </c>
      <c r="AT125" s="123" t="str">
        <f t="shared" si="23"/>
        <v>미사용 랙</v>
      </c>
      <c r="AU125" t="str">
        <f t="shared" si="18"/>
        <v/>
      </c>
      <c r="AV125" t="str">
        <f t="shared" si="19"/>
        <v/>
      </c>
      <c r="BA125" s="123"/>
      <c r="BB125" s="123"/>
      <c r="BC125" s="123"/>
      <c r="BD125" s="2997"/>
      <c r="BE125" s="123"/>
      <c r="BF125" s="2998"/>
      <c r="BG125" s="2999"/>
      <c r="BH125" s="3005"/>
      <c r="BI125" s="3000"/>
      <c r="BJ125" s="3001"/>
      <c r="BK125" s="3002"/>
      <c r="BL125" s="3003"/>
      <c r="BM125" s="3004"/>
    </row>
    <row r="126" spans="1:65" ht="54.75" customHeight="1" thickBot="1" x14ac:dyDescent="0.3">
      <c r="A126" s="2806"/>
      <c r="B126" s="2564" t="s">
        <v>93</v>
      </c>
      <c r="C126" s="2141" t="s">
        <v>94</v>
      </c>
      <c r="D126" s="2564" t="s">
        <v>95</v>
      </c>
      <c r="E126" s="2564"/>
      <c r="F126" s="2564"/>
      <c r="G126" s="2564" t="s">
        <v>27</v>
      </c>
      <c r="H126" s="1805" t="s">
        <v>8948</v>
      </c>
      <c r="I126" s="1806" t="s">
        <v>8949</v>
      </c>
      <c r="J126" s="1805" t="str">
        <f t="shared" si="34"/>
        <v>7-DaHall 1-A-2-50-67</v>
      </c>
      <c r="K126" s="1806" t="str">
        <f t="shared" si="35"/>
        <v>7-DaHall 1-B-2-50-67</v>
      </c>
      <c r="L126" s="1807">
        <v>48</v>
      </c>
      <c r="M126" s="1808">
        <v>50</v>
      </c>
      <c r="N126" s="2594" t="s">
        <v>41</v>
      </c>
      <c r="O126" s="1809">
        <v>67</v>
      </c>
      <c r="P126" s="1810">
        <v>48</v>
      </c>
      <c r="Q126" s="1811">
        <v>50</v>
      </c>
      <c r="R126" s="889" t="s">
        <v>42</v>
      </c>
      <c r="S126" s="1812">
        <v>67</v>
      </c>
      <c r="T126" s="2594" t="s">
        <v>96</v>
      </c>
      <c r="U126" s="889" t="s">
        <v>97</v>
      </c>
      <c r="V126" s="2844" t="s">
        <v>45</v>
      </c>
      <c r="W126" s="2845" t="s">
        <v>46</v>
      </c>
      <c r="X126" s="2844" t="s">
        <v>47</v>
      </c>
      <c r="Y126" s="2845" t="s">
        <v>48</v>
      </c>
      <c r="Z126" s="2844" t="s">
        <v>49</v>
      </c>
      <c r="AA126" s="2845" t="s">
        <v>50</v>
      </c>
      <c r="AB126" s="2844" t="s">
        <v>51</v>
      </c>
      <c r="AC126" s="2845" t="s">
        <v>52</v>
      </c>
      <c r="AD126" s="2844" t="s">
        <v>30</v>
      </c>
      <c r="AE126" s="2845" t="s">
        <v>35</v>
      </c>
      <c r="AF126" s="2844" t="s">
        <v>31</v>
      </c>
      <c r="AG126" s="2845" t="s">
        <v>36</v>
      </c>
      <c r="AH126" s="675"/>
      <c r="AI126" s="676"/>
      <c r="AJ126" s="2915"/>
      <c r="AK126" s="2842"/>
      <c r="AL126" s="2843"/>
      <c r="AM126" s="3240" t="e">
        <f>VLOOKUP(J126&amp;K126,'7층~4층_매핑테이블'!$Y$6:$AF$2020,8,0)</f>
        <v>#N/A</v>
      </c>
      <c r="AN126" s="3230">
        <f t="shared" si="20"/>
        <v>0</v>
      </c>
      <c r="AO126" s="2597"/>
      <c r="AP126" s="2599"/>
      <c r="AR126" s="2351">
        <f t="shared" si="21"/>
        <v>0</v>
      </c>
      <c r="AS126" s="2351">
        <f t="shared" si="22"/>
        <v>0</v>
      </c>
      <c r="AT126" s="123" t="str">
        <f t="shared" si="23"/>
        <v>미사용 랙</v>
      </c>
      <c r="AU126" t="str">
        <f t="shared" si="18"/>
        <v/>
      </c>
      <c r="AV126" t="str">
        <f t="shared" si="19"/>
        <v/>
      </c>
      <c r="BA126" s="123"/>
      <c r="BB126" s="123"/>
      <c r="BC126" s="123"/>
      <c r="BD126" s="2997"/>
      <c r="BE126" s="123"/>
      <c r="BF126" s="2998"/>
      <c r="BG126" s="2999"/>
      <c r="BH126" s="3005"/>
      <c r="BI126" s="3000"/>
      <c r="BJ126" s="3001"/>
      <c r="BK126" s="3002"/>
      <c r="BL126" s="3003"/>
      <c r="BM126" s="3004"/>
    </row>
    <row r="127" spans="1:65" ht="54" customHeight="1" x14ac:dyDescent="0.25">
      <c r="A127" s="2824"/>
      <c r="B127" s="2564" t="s">
        <v>88</v>
      </c>
      <c r="C127" s="2141" t="s">
        <v>89</v>
      </c>
      <c r="D127" s="2564" t="s">
        <v>90</v>
      </c>
      <c r="E127" s="2564"/>
      <c r="F127" s="2564"/>
      <c r="G127" s="2564" t="s">
        <v>27</v>
      </c>
      <c r="H127" s="1805" t="s">
        <v>8950</v>
      </c>
      <c r="I127" s="1806" t="s">
        <v>8951</v>
      </c>
      <c r="J127" s="1805" t="str">
        <f t="shared" si="34"/>
        <v>7-DaHall 1-A-2-35-65</v>
      </c>
      <c r="K127" s="1806" t="str">
        <f t="shared" si="35"/>
        <v>7-DaHall 1-B-2-35-65</v>
      </c>
      <c r="L127" s="1807">
        <v>48</v>
      </c>
      <c r="M127" s="1808">
        <v>35</v>
      </c>
      <c r="N127" s="2594" t="s">
        <v>41</v>
      </c>
      <c r="O127" s="1809">
        <v>65</v>
      </c>
      <c r="P127" s="1810">
        <v>48</v>
      </c>
      <c r="Q127" s="1811">
        <v>35</v>
      </c>
      <c r="R127" s="889" t="s">
        <v>42</v>
      </c>
      <c r="S127" s="1812">
        <v>65</v>
      </c>
      <c r="T127" s="2594" t="s">
        <v>91</v>
      </c>
      <c r="U127" s="889" t="s">
        <v>92</v>
      </c>
      <c r="V127" s="2844" t="s">
        <v>45</v>
      </c>
      <c r="W127" s="2845" t="s">
        <v>46</v>
      </c>
      <c r="X127" s="2844" t="s">
        <v>47</v>
      </c>
      <c r="Y127" s="2845" t="s">
        <v>48</v>
      </c>
      <c r="Z127" s="2844" t="s">
        <v>49</v>
      </c>
      <c r="AA127" s="2845" t="s">
        <v>50</v>
      </c>
      <c r="AB127" s="2844" t="s">
        <v>51</v>
      </c>
      <c r="AC127" s="2845" t="s">
        <v>52</v>
      </c>
      <c r="AD127" s="2844" t="s">
        <v>30</v>
      </c>
      <c r="AE127" s="2845" t="s">
        <v>35</v>
      </c>
      <c r="AF127" s="2844" t="s">
        <v>31</v>
      </c>
      <c r="AG127" s="2845" t="s">
        <v>36</v>
      </c>
      <c r="AH127" s="675"/>
      <c r="AI127" s="676"/>
      <c r="AJ127" s="2915"/>
      <c r="AK127" s="2842"/>
      <c r="AL127" s="2843"/>
      <c r="AM127" s="3240" t="e">
        <f>VLOOKUP(J127&amp;K127,'7층~4층_매핑테이블'!$Y$6:$AF$2020,8,0)</f>
        <v>#N/A</v>
      </c>
      <c r="AN127" s="3230">
        <f t="shared" si="20"/>
        <v>0</v>
      </c>
      <c r="AO127" s="2597"/>
      <c r="AP127" s="2599"/>
      <c r="AR127" s="2351">
        <f t="shared" si="21"/>
        <v>0</v>
      </c>
      <c r="AS127" s="2351">
        <f t="shared" si="22"/>
        <v>0</v>
      </c>
      <c r="AT127" s="123" t="str">
        <f t="shared" si="23"/>
        <v>미사용 랙</v>
      </c>
      <c r="AU127" t="str">
        <f t="shared" si="18"/>
        <v/>
      </c>
      <c r="AV127" t="str">
        <f t="shared" si="19"/>
        <v/>
      </c>
      <c r="BA127" s="123"/>
      <c r="BB127" s="123"/>
      <c r="BC127" s="123"/>
      <c r="BD127" s="2997"/>
      <c r="BE127" s="123"/>
      <c r="BF127" s="2998"/>
      <c r="BG127" s="2999"/>
      <c r="BH127" s="3005"/>
      <c r="BI127" s="3000"/>
      <c r="BJ127" s="3001"/>
      <c r="BK127" s="3002"/>
      <c r="BL127" s="3003"/>
      <c r="BM127" s="3004"/>
    </row>
    <row r="128" spans="1:65" ht="54" customHeight="1" x14ac:dyDescent="0.25">
      <c r="A128" s="2824"/>
      <c r="B128" s="2564" t="s">
        <v>83</v>
      </c>
      <c r="C128" s="2141" t="s">
        <v>84</v>
      </c>
      <c r="D128" s="2564" t="s">
        <v>85</v>
      </c>
      <c r="E128" s="2564"/>
      <c r="F128" s="2564"/>
      <c r="G128" s="2564" t="s">
        <v>27</v>
      </c>
      <c r="H128" s="1805" t="s">
        <v>8952</v>
      </c>
      <c r="I128" s="1806" t="s">
        <v>8953</v>
      </c>
      <c r="J128" s="1805" t="str">
        <f t="shared" si="34"/>
        <v>7-DaHall 1-A-2-50-64</v>
      </c>
      <c r="K128" s="1806" t="str">
        <f t="shared" si="35"/>
        <v>7-DaHall 1-B-2-50-64</v>
      </c>
      <c r="L128" s="1807">
        <v>48</v>
      </c>
      <c r="M128" s="1808">
        <v>50</v>
      </c>
      <c r="N128" s="2594" t="s">
        <v>41</v>
      </c>
      <c r="O128" s="1809">
        <v>64</v>
      </c>
      <c r="P128" s="1810">
        <v>48</v>
      </c>
      <c r="Q128" s="1811">
        <v>50</v>
      </c>
      <c r="R128" s="889" t="s">
        <v>42</v>
      </c>
      <c r="S128" s="1812">
        <v>64</v>
      </c>
      <c r="T128" s="2594" t="s">
        <v>86</v>
      </c>
      <c r="U128" s="889" t="s">
        <v>87</v>
      </c>
      <c r="V128" s="2844" t="s">
        <v>45</v>
      </c>
      <c r="W128" s="2845" t="s">
        <v>46</v>
      </c>
      <c r="X128" s="2844" t="s">
        <v>47</v>
      </c>
      <c r="Y128" s="2845" t="s">
        <v>48</v>
      </c>
      <c r="Z128" s="2844" t="s">
        <v>49</v>
      </c>
      <c r="AA128" s="2845" t="s">
        <v>50</v>
      </c>
      <c r="AB128" s="2844" t="s">
        <v>51</v>
      </c>
      <c r="AC128" s="2845" t="s">
        <v>52</v>
      </c>
      <c r="AD128" s="2844" t="s">
        <v>30</v>
      </c>
      <c r="AE128" s="2845" t="s">
        <v>35</v>
      </c>
      <c r="AF128" s="2844" t="s">
        <v>31</v>
      </c>
      <c r="AG128" s="2845" t="s">
        <v>36</v>
      </c>
      <c r="AH128" s="675"/>
      <c r="AI128" s="676"/>
      <c r="AJ128" s="2915"/>
      <c r="AK128" s="2842"/>
      <c r="AL128" s="2843"/>
      <c r="AM128" s="3240" t="e">
        <f>VLOOKUP(J128&amp;K128,'7층~4층_매핑테이블'!$Y$6:$AF$2020,8,0)</f>
        <v>#N/A</v>
      </c>
      <c r="AN128" s="3230">
        <f t="shared" si="20"/>
        <v>0</v>
      </c>
      <c r="AO128" s="2597"/>
      <c r="AP128" s="2599"/>
      <c r="AR128" s="2351">
        <f t="shared" si="21"/>
        <v>0</v>
      </c>
      <c r="AS128" s="2351">
        <f t="shared" si="22"/>
        <v>0</v>
      </c>
      <c r="AT128" s="123" t="str">
        <f t="shared" si="23"/>
        <v>미사용 랙</v>
      </c>
      <c r="AU128" t="str">
        <f t="shared" si="18"/>
        <v/>
      </c>
      <c r="AV128" t="str">
        <f t="shared" si="19"/>
        <v/>
      </c>
      <c r="BA128" s="123"/>
      <c r="BB128" s="123"/>
      <c r="BC128" s="123"/>
      <c r="BD128" s="2997"/>
      <c r="BE128" s="123"/>
      <c r="BF128" s="2998"/>
      <c r="BG128" s="2999"/>
      <c r="BH128" s="3005"/>
      <c r="BI128" s="3000"/>
      <c r="BJ128" s="3001"/>
      <c r="BK128" s="3002"/>
      <c r="BL128" s="3003"/>
      <c r="BM128" s="3004"/>
    </row>
    <row r="129" spans="1:65" ht="54" customHeight="1" x14ac:dyDescent="0.25">
      <c r="A129" s="2824"/>
      <c r="B129" s="2564" t="s">
        <v>78</v>
      </c>
      <c r="C129" s="2141" t="s">
        <v>79</v>
      </c>
      <c r="D129" s="2564" t="s">
        <v>80</v>
      </c>
      <c r="E129" s="2564"/>
      <c r="F129" s="2564"/>
      <c r="G129" s="2564" t="s">
        <v>27</v>
      </c>
      <c r="H129" s="1805" t="s">
        <v>8954</v>
      </c>
      <c r="I129" s="1806" t="s">
        <v>8955</v>
      </c>
      <c r="J129" s="1805" t="str">
        <f t="shared" si="34"/>
        <v>7-DaHall 1-A-2-35-60</v>
      </c>
      <c r="K129" s="1806" t="str">
        <f t="shared" si="35"/>
        <v>7-DaHall 1-B-2-35-60</v>
      </c>
      <c r="L129" s="1807">
        <v>48</v>
      </c>
      <c r="M129" s="1808">
        <v>35</v>
      </c>
      <c r="N129" s="2594" t="s">
        <v>41</v>
      </c>
      <c r="O129" s="1809">
        <v>60</v>
      </c>
      <c r="P129" s="1810">
        <v>48</v>
      </c>
      <c r="Q129" s="1811">
        <v>35</v>
      </c>
      <c r="R129" s="889" t="s">
        <v>42</v>
      </c>
      <c r="S129" s="1812">
        <v>60</v>
      </c>
      <c r="T129" s="2594" t="s">
        <v>81</v>
      </c>
      <c r="U129" s="889" t="s">
        <v>82</v>
      </c>
      <c r="V129" s="2844" t="s">
        <v>45</v>
      </c>
      <c r="W129" s="2845" t="s">
        <v>46</v>
      </c>
      <c r="X129" s="2844" t="s">
        <v>47</v>
      </c>
      <c r="Y129" s="2845" t="s">
        <v>48</v>
      </c>
      <c r="Z129" s="2844" t="s">
        <v>49</v>
      </c>
      <c r="AA129" s="2845" t="s">
        <v>50</v>
      </c>
      <c r="AB129" s="2844" t="s">
        <v>51</v>
      </c>
      <c r="AC129" s="2845" t="s">
        <v>52</v>
      </c>
      <c r="AD129" s="2844" t="s">
        <v>30</v>
      </c>
      <c r="AE129" s="2845" t="s">
        <v>35</v>
      </c>
      <c r="AF129" s="2844" t="s">
        <v>31</v>
      </c>
      <c r="AG129" s="2845" t="s">
        <v>36</v>
      </c>
      <c r="AH129" s="675"/>
      <c r="AI129" s="676"/>
      <c r="AJ129" s="2915"/>
      <c r="AK129" s="2842"/>
      <c r="AL129" s="2843"/>
      <c r="AM129" s="3240" t="e">
        <f>VLOOKUP(J129&amp;K129,'7층~4층_매핑테이블'!$Y$6:$AF$2020,8,0)</f>
        <v>#N/A</v>
      </c>
      <c r="AN129" s="3230">
        <f t="shared" si="20"/>
        <v>0</v>
      </c>
      <c r="AO129" s="2597"/>
      <c r="AP129" s="2599"/>
      <c r="AR129" s="2351">
        <f t="shared" si="21"/>
        <v>0</v>
      </c>
      <c r="AS129" s="2351">
        <f t="shared" si="22"/>
        <v>0</v>
      </c>
      <c r="AT129" s="123" t="str">
        <f t="shared" si="23"/>
        <v>미사용 랙</v>
      </c>
      <c r="AU129" t="str">
        <f t="shared" si="18"/>
        <v/>
      </c>
      <c r="AV129" t="str">
        <f t="shared" si="19"/>
        <v/>
      </c>
      <c r="BA129" s="123"/>
      <c r="BB129" s="123"/>
      <c r="BC129" s="123"/>
      <c r="BD129" s="2997"/>
      <c r="BE129" s="123"/>
      <c r="BF129" s="2998"/>
      <c r="BG129" s="2999"/>
      <c r="BH129" s="3005"/>
      <c r="BI129" s="3000"/>
      <c r="BJ129" s="3001"/>
      <c r="BK129" s="3002"/>
      <c r="BL129" s="3003"/>
      <c r="BM129" s="3004"/>
    </row>
    <row r="130" spans="1:65" ht="54" customHeight="1" x14ac:dyDescent="0.25">
      <c r="A130" s="2824"/>
      <c r="B130" s="2564" t="s">
        <v>73</v>
      </c>
      <c r="C130" s="2141" t="s">
        <v>74</v>
      </c>
      <c r="D130" s="2564" t="s">
        <v>75</v>
      </c>
      <c r="E130" s="2564"/>
      <c r="F130" s="2564"/>
      <c r="G130" s="2564" t="s">
        <v>27</v>
      </c>
      <c r="H130" s="1805" t="s">
        <v>8956</v>
      </c>
      <c r="I130" s="1806" t="s">
        <v>8957</v>
      </c>
      <c r="J130" s="1805" t="str">
        <f t="shared" si="34"/>
        <v>7-DaHall 1-A-2-35-61</v>
      </c>
      <c r="K130" s="1806" t="str">
        <f t="shared" si="35"/>
        <v>7-DaHall 1-B-2-35-61</v>
      </c>
      <c r="L130" s="1807">
        <v>48</v>
      </c>
      <c r="M130" s="1808">
        <v>35</v>
      </c>
      <c r="N130" s="2594" t="s">
        <v>41</v>
      </c>
      <c r="O130" s="1809">
        <v>61</v>
      </c>
      <c r="P130" s="1810">
        <v>48</v>
      </c>
      <c r="Q130" s="1811">
        <v>35</v>
      </c>
      <c r="R130" s="889" t="s">
        <v>42</v>
      </c>
      <c r="S130" s="1812">
        <v>61</v>
      </c>
      <c r="T130" s="2594" t="s">
        <v>76</v>
      </c>
      <c r="U130" s="889" t="s">
        <v>77</v>
      </c>
      <c r="V130" s="2844" t="s">
        <v>45</v>
      </c>
      <c r="W130" s="2845" t="s">
        <v>46</v>
      </c>
      <c r="X130" s="2844" t="s">
        <v>47</v>
      </c>
      <c r="Y130" s="2845" t="s">
        <v>48</v>
      </c>
      <c r="Z130" s="2844" t="s">
        <v>49</v>
      </c>
      <c r="AA130" s="2845" t="s">
        <v>50</v>
      </c>
      <c r="AB130" s="2844" t="s">
        <v>51</v>
      </c>
      <c r="AC130" s="2845" t="s">
        <v>52</v>
      </c>
      <c r="AD130" s="2844" t="s">
        <v>30</v>
      </c>
      <c r="AE130" s="2845" t="s">
        <v>35</v>
      </c>
      <c r="AF130" s="2844" t="s">
        <v>31</v>
      </c>
      <c r="AG130" s="2845" t="s">
        <v>36</v>
      </c>
      <c r="AH130" s="675"/>
      <c r="AI130" s="676"/>
      <c r="AJ130" s="2915"/>
      <c r="AK130" s="2842"/>
      <c r="AL130" s="2843"/>
      <c r="AM130" s="3240" t="e">
        <f>VLOOKUP(J130&amp;K130,'7층~4층_매핑테이블'!$Y$6:$AF$2020,8,0)</f>
        <v>#N/A</v>
      </c>
      <c r="AN130" s="3230">
        <f t="shared" si="20"/>
        <v>0</v>
      </c>
      <c r="AO130" s="2597"/>
      <c r="AP130" s="2599"/>
      <c r="AR130" s="2351">
        <f t="shared" si="21"/>
        <v>0</v>
      </c>
      <c r="AS130" s="2351">
        <f t="shared" si="22"/>
        <v>0</v>
      </c>
      <c r="AT130" s="123" t="str">
        <f t="shared" si="23"/>
        <v>미사용 랙</v>
      </c>
      <c r="AU130" t="str">
        <f t="shared" si="18"/>
        <v/>
      </c>
      <c r="AV130" t="str">
        <f t="shared" si="19"/>
        <v/>
      </c>
      <c r="BA130" s="123"/>
      <c r="BB130" s="123"/>
      <c r="BC130" s="123"/>
      <c r="BD130" s="2997"/>
      <c r="BE130" s="123"/>
      <c r="BF130" s="2998"/>
      <c r="BG130" s="2999"/>
      <c r="BH130" s="3005"/>
      <c r="BI130" s="3000"/>
      <c r="BJ130" s="3001"/>
      <c r="BK130" s="3002"/>
      <c r="BL130" s="3003"/>
      <c r="BM130" s="3004"/>
    </row>
    <row r="131" spans="1:65" ht="54" customHeight="1" x14ac:dyDescent="0.25">
      <c r="A131" s="2824"/>
      <c r="B131" s="2564" t="s">
        <v>68</v>
      </c>
      <c r="C131" s="2141" t="s">
        <v>69</v>
      </c>
      <c r="D131" s="2564" t="s">
        <v>70</v>
      </c>
      <c r="E131" s="2564"/>
      <c r="F131" s="2564"/>
      <c r="G131" s="2564" t="s">
        <v>27</v>
      </c>
      <c r="H131" s="1805" t="s">
        <v>8958</v>
      </c>
      <c r="I131" s="1806" t="s">
        <v>8959</v>
      </c>
      <c r="J131" s="1805" t="str">
        <f t="shared" si="34"/>
        <v>7-DaHall 1-A-2-35-59</v>
      </c>
      <c r="K131" s="1806" t="str">
        <f t="shared" si="35"/>
        <v>7-DaHall 1-B-2-35-59</v>
      </c>
      <c r="L131" s="1807">
        <v>48</v>
      </c>
      <c r="M131" s="1808">
        <v>35</v>
      </c>
      <c r="N131" s="2594" t="s">
        <v>41</v>
      </c>
      <c r="O131" s="1809">
        <v>59</v>
      </c>
      <c r="P131" s="1810">
        <v>48</v>
      </c>
      <c r="Q131" s="1811">
        <v>35</v>
      </c>
      <c r="R131" s="889" t="s">
        <v>42</v>
      </c>
      <c r="S131" s="1812">
        <v>59</v>
      </c>
      <c r="T131" s="2594" t="s">
        <v>71</v>
      </c>
      <c r="U131" s="889" t="s">
        <v>72</v>
      </c>
      <c r="V131" s="2844" t="s">
        <v>45</v>
      </c>
      <c r="W131" s="2845" t="s">
        <v>46</v>
      </c>
      <c r="X131" s="2844" t="s">
        <v>47</v>
      </c>
      <c r="Y131" s="2845" t="s">
        <v>48</v>
      </c>
      <c r="Z131" s="2844" t="s">
        <v>49</v>
      </c>
      <c r="AA131" s="2845" t="s">
        <v>50</v>
      </c>
      <c r="AB131" s="2844" t="s">
        <v>51</v>
      </c>
      <c r="AC131" s="2845" t="s">
        <v>52</v>
      </c>
      <c r="AD131" s="2844" t="s">
        <v>30</v>
      </c>
      <c r="AE131" s="2845" t="s">
        <v>35</v>
      </c>
      <c r="AF131" s="2844" t="s">
        <v>31</v>
      </c>
      <c r="AG131" s="2845" t="s">
        <v>36</v>
      </c>
      <c r="AH131" s="675"/>
      <c r="AI131" s="676"/>
      <c r="AJ131" s="2915"/>
      <c r="AK131" s="2842"/>
      <c r="AL131" s="2843"/>
      <c r="AM131" s="3240" t="e">
        <f>VLOOKUP(J131&amp;K131,'7층~4층_매핑테이블'!$Y$6:$AF$2020,8,0)</f>
        <v>#N/A</v>
      </c>
      <c r="AN131" s="3230">
        <f t="shared" si="20"/>
        <v>0</v>
      </c>
      <c r="AO131" s="2597"/>
      <c r="AP131" s="2599"/>
      <c r="AR131" s="2351">
        <f t="shared" si="21"/>
        <v>0</v>
      </c>
      <c r="AS131" s="2351">
        <f t="shared" si="22"/>
        <v>0</v>
      </c>
      <c r="AT131" s="123" t="str">
        <f t="shared" si="23"/>
        <v>미사용 랙</v>
      </c>
      <c r="AU131" t="str">
        <f t="shared" si="18"/>
        <v/>
      </c>
      <c r="AV131" t="str">
        <f t="shared" si="19"/>
        <v/>
      </c>
      <c r="BA131" s="123"/>
      <c r="BB131" s="123"/>
      <c r="BC131" s="123"/>
      <c r="BD131" s="2997"/>
      <c r="BE131" s="123"/>
      <c r="BF131" s="2998"/>
      <c r="BG131" s="2999"/>
      <c r="BH131" s="3005"/>
      <c r="BI131" s="3000"/>
      <c r="BJ131" s="3001"/>
      <c r="BK131" s="3002"/>
      <c r="BL131" s="3003"/>
      <c r="BM131" s="3004"/>
    </row>
    <row r="132" spans="1:65" ht="54" customHeight="1" x14ac:dyDescent="0.25">
      <c r="A132" s="2824"/>
      <c r="B132" s="2564" t="s">
        <v>63</v>
      </c>
      <c r="C132" s="2141" t="s">
        <v>64</v>
      </c>
      <c r="D132" s="2564" t="s">
        <v>65</v>
      </c>
      <c r="E132" s="2564"/>
      <c r="F132" s="2564"/>
      <c r="G132" s="2564" t="s">
        <v>27</v>
      </c>
      <c r="H132" s="1805" t="s">
        <v>8960</v>
      </c>
      <c r="I132" s="1806" t="s">
        <v>8961</v>
      </c>
      <c r="J132" s="1805" t="str">
        <f t="shared" si="34"/>
        <v>7-DaHall 1-A-2-35-56</v>
      </c>
      <c r="K132" s="1806" t="str">
        <f t="shared" si="35"/>
        <v>7-DaHall 1-B-2-35-56</v>
      </c>
      <c r="L132" s="1807">
        <v>48</v>
      </c>
      <c r="M132" s="1808">
        <v>35</v>
      </c>
      <c r="N132" s="2594" t="s">
        <v>41</v>
      </c>
      <c r="O132" s="1809">
        <v>56</v>
      </c>
      <c r="P132" s="1810">
        <v>48</v>
      </c>
      <c r="Q132" s="1811">
        <v>35</v>
      </c>
      <c r="R132" s="889" t="s">
        <v>42</v>
      </c>
      <c r="S132" s="1812">
        <v>56</v>
      </c>
      <c r="T132" s="2594" t="s">
        <v>66</v>
      </c>
      <c r="U132" s="889" t="s">
        <v>67</v>
      </c>
      <c r="V132" s="2844" t="s">
        <v>45</v>
      </c>
      <c r="W132" s="2845" t="s">
        <v>46</v>
      </c>
      <c r="X132" s="2844" t="s">
        <v>47</v>
      </c>
      <c r="Y132" s="2845" t="s">
        <v>48</v>
      </c>
      <c r="Z132" s="2844" t="s">
        <v>49</v>
      </c>
      <c r="AA132" s="2845" t="s">
        <v>50</v>
      </c>
      <c r="AB132" s="2844" t="s">
        <v>51</v>
      </c>
      <c r="AC132" s="2845" t="s">
        <v>52</v>
      </c>
      <c r="AD132" s="2844" t="s">
        <v>30</v>
      </c>
      <c r="AE132" s="2845" t="s">
        <v>35</v>
      </c>
      <c r="AF132" s="2844" t="s">
        <v>31</v>
      </c>
      <c r="AG132" s="2845" t="s">
        <v>36</v>
      </c>
      <c r="AH132" s="675"/>
      <c r="AI132" s="676"/>
      <c r="AJ132" s="2915"/>
      <c r="AK132" s="2842"/>
      <c r="AL132" s="2843"/>
      <c r="AM132" s="3240" t="e">
        <f>VLOOKUP(J132&amp;K132,'7층~4층_매핑테이블'!$Y$6:$AF$2020,8,0)</f>
        <v>#N/A</v>
      </c>
      <c r="AN132" s="3230">
        <f t="shared" si="20"/>
        <v>0</v>
      </c>
      <c r="AO132" s="2597"/>
      <c r="AP132" s="2599"/>
      <c r="AR132" s="2351">
        <f t="shared" si="21"/>
        <v>0</v>
      </c>
      <c r="AS132" s="2351">
        <f t="shared" si="22"/>
        <v>0</v>
      </c>
      <c r="AT132" s="123" t="str">
        <f t="shared" si="23"/>
        <v>미사용 랙</v>
      </c>
      <c r="AU132" t="str">
        <f t="shared" si="18"/>
        <v/>
      </c>
      <c r="AV132" t="str">
        <f t="shared" si="19"/>
        <v/>
      </c>
      <c r="BA132" s="123"/>
      <c r="BB132" s="123"/>
      <c r="BC132" s="123"/>
      <c r="BD132" s="2997"/>
      <c r="BE132" s="123"/>
      <c r="BF132" s="2998"/>
      <c r="BG132" s="2999"/>
      <c r="BH132" s="3005"/>
      <c r="BI132" s="3000"/>
      <c r="BJ132" s="3001"/>
      <c r="BK132" s="3002"/>
      <c r="BL132" s="3003"/>
      <c r="BM132" s="3004"/>
    </row>
    <row r="133" spans="1:65" ht="54" customHeight="1" x14ac:dyDescent="0.25">
      <c r="A133" s="2824"/>
      <c r="B133" s="2564" t="s">
        <v>58</v>
      </c>
      <c r="C133" s="2141" t="s">
        <v>59</v>
      </c>
      <c r="D133" s="2564" t="s">
        <v>60</v>
      </c>
      <c r="E133" s="2564"/>
      <c r="F133" s="2564"/>
      <c r="G133" s="2564" t="s">
        <v>27</v>
      </c>
      <c r="H133" s="1805" t="s">
        <v>8962</v>
      </c>
      <c r="I133" s="1806" t="s">
        <v>8963</v>
      </c>
      <c r="J133" s="1805" t="str">
        <f>"7-DaHall 1-"&amp;N133&amp;"-"&amp;M133&amp;"-"&amp;O133</f>
        <v>7-DaHall 1-A-2-35-55</v>
      </c>
      <c r="K133" s="1806" t="str">
        <f>"7-DaHall 1-"&amp;R133&amp;"-"&amp;Q133&amp;"-"&amp;S133</f>
        <v>7-DaHall 1-B-2-35-55</v>
      </c>
      <c r="L133" s="1807">
        <v>48</v>
      </c>
      <c r="M133" s="1808">
        <v>35</v>
      </c>
      <c r="N133" s="2594" t="s">
        <v>41</v>
      </c>
      <c r="O133" s="1809">
        <v>55</v>
      </c>
      <c r="P133" s="1810">
        <v>48</v>
      </c>
      <c r="Q133" s="1811">
        <v>35</v>
      </c>
      <c r="R133" s="889" t="s">
        <v>42</v>
      </c>
      <c r="S133" s="1812">
        <v>55</v>
      </c>
      <c r="T133" s="2594" t="s">
        <v>61</v>
      </c>
      <c r="U133" s="889" t="s">
        <v>62</v>
      </c>
      <c r="V133" s="2844" t="s">
        <v>45</v>
      </c>
      <c r="W133" s="2845" t="s">
        <v>46</v>
      </c>
      <c r="X133" s="2844" t="s">
        <v>47</v>
      </c>
      <c r="Y133" s="2845" t="s">
        <v>48</v>
      </c>
      <c r="Z133" s="2844" t="s">
        <v>49</v>
      </c>
      <c r="AA133" s="2845" t="s">
        <v>50</v>
      </c>
      <c r="AB133" s="2844" t="s">
        <v>51</v>
      </c>
      <c r="AC133" s="2845" t="s">
        <v>52</v>
      </c>
      <c r="AD133" s="2844" t="s">
        <v>30</v>
      </c>
      <c r="AE133" s="2845" t="s">
        <v>35</v>
      </c>
      <c r="AF133" s="2844" t="s">
        <v>31</v>
      </c>
      <c r="AG133" s="2845" t="s">
        <v>36</v>
      </c>
      <c r="AH133" s="675"/>
      <c r="AI133" s="676"/>
      <c r="AJ133" s="2915"/>
      <c r="AK133" s="2842"/>
      <c r="AL133" s="2843"/>
      <c r="AM133" s="3240" t="e">
        <f>VLOOKUP(J133&amp;K133,'7층~4층_매핑테이블'!$Y$6:$AF$2020,8,0)</f>
        <v>#N/A</v>
      </c>
      <c r="AN133" s="3230">
        <f t="shared" si="20"/>
        <v>0</v>
      </c>
      <c r="AO133" s="2597"/>
      <c r="AP133" s="2599"/>
      <c r="AR133" s="2351">
        <f t="shared" si="21"/>
        <v>0</v>
      </c>
      <c r="AS133" s="2351">
        <f t="shared" si="22"/>
        <v>0</v>
      </c>
      <c r="AT133" s="123" t="str">
        <f t="shared" si="23"/>
        <v>미사용 랙</v>
      </c>
      <c r="AU133" t="str">
        <f t="shared" si="18"/>
        <v/>
      </c>
      <c r="AV133" t="str">
        <f t="shared" si="19"/>
        <v/>
      </c>
      <c r="BA133" s="123"/>
      <c r="BB133" s="123"/>
      <c r="BC133" s="123"/>
      <c r="BD133" s="2997"/>
      <c r="BE133" s="123"/>
      <c r="BF133" s="2998"/>
      <c r="BG133" s="2999"/>
      <c r="BH133" s="3005"/>
      <c r="BI133" s="3000"/>
      <c r="BJ133" s="3001"/>
      <c r="BK133" s="3002"/>
      <c r="BL133" s="3003"/>
      <c r="BM133" s="3004"/>
    </row>
    <row r="134" spans="1:65" ht="54" customHeight="1" x14ac:dyDescent="0.25">
      <c r="A134" s="2824"/>
      <c r="B134" s="2564" t="s">
        <v>53</v>
      </c>
      <c r="C134" s="2141" t="s">
        <v>54</v>
      </c>
      <c r="D134" s="2564" t="s">
        <v>55</v>
      </c>
      <c r="E134" s="2564"/>
      <c r="F134" s="2564"/>
      <c r="G134" s="2564" t="s">
        <v>27</v>
      </c>
      <c r="H134" s="1805" t="s">
        <v>8964</v>
      </c>
      <c r="I134" s="1806" t="s">
        <v>8965</v>
      </c>
      <c r="J134" s="1805" t="str">
        <f>"7-DaHall 1-"&amp;N134&amp;"-"&amp;M134&amp;"-"&amp;O134</f>
        <v>7-DaHall 1-A-2-35-54</v>
      </c>
      <c r="K134" s="1806" t="str">
        <f>"7-DaHall 1-"&amp;R134&amp;"-"&amp;Q134&amp;"-"&amp;S134</f>
        <v>7-DaHall 1-B-2-35-54</v>
      </c>
      <c r="L134" s="1807">
        <v>48</v>
      </c>
      <c r="M134" s="1808">
        <v>35</v>
      </c>
      <c r="N134" s="2594" t="s">
        <v>41</v>
      </c>
      <c r="O134" s="1809">
        <v>54</v>
      </c>
      <c r="P134" s="1810">
        <v>48</v>
      </c>
      <c r="Q134" s="1811">
        <v>35</v>
      </c>
      <c r="R134" s="889" t="s">
        <v>42</v>
      </c>
      <c r="S134" s="1812">
        <v>54</v>
      </c>
      <c r="T134" s="2594" t="s">
        <v>56</v>
      </c>
      <c r="U134" s="889" t="s">
        <v>57</v>
      </c>
      <c r="V134" s="2844" t="s">
        <v>45</v>
      </c>
      <c r="W134" s="2845" t="s">
        <v>46</v>
      </c>
      <c r="X134" s="2844" t="s">
        <v>47</v>
      </c>
      <c r="Y134" s="2845" t="s">
        <v>48</v>
      </c>
      <c r="Z134" s="2844" t="s">
        <v>49</v>
      </c>
      <c r="AA134" s="2845" t="s">
        <v>50</v>
      </c>
      <c r="AB134" s="2844" t="s">
        <v>51</v>
      </c>
      <c r="AC134" s="2845" t="s">
        <v>52</v>
      </c>
      <c r="AD134" s="2844" t="s">
        <v>30</v>
      </c>
      <c r="AE134" s="2845" t="s">
        <v>35</v>
      </c>
      <c r="AF134" s="2844" t="s">
        <v>31</v>
      </c>
      <c r="AG134" s="2845" t="s">
        <v>36</v>
      </c>
      <c r="AH134" s="675"/>
      <c r="AI134" s="676"/>
      <c r="AJ134" s="2915"/>
      <c r="AK134" s="2842"/>
      <c r="AL134" s="2843"/>
      <c r="AM134" s="3240" t="e">
        <f>VLOOKUP(J134&amp;K134,'7층~4층_매핑테이블'!$Y$6:$AF$2020,8,0)</f>
        <v>#N/A</v>
      </c>
      <c r="AN134" s="3230">
        <f t="shared" si="20"/>
        <v>0</v>
      </c>
      <c r="AO134" s="2597"/>
      <c r="AP134" s="2599"/>
      <c r="AR134" s="2351">
        <f t="shared" si="21"/>
        <v>0</v>
      </c>
      <c r="AS134" s="2351">
        <f t="shared" si="22"/>
        <v>0</v>
      </c>
      <c r="AT134" s="123" t="str">
        <f t="shared" si="23"/>
        <v>미사용 랙</v>
      </c>
      <c r="AU134" t="str">
        <f t="shared" ref="AU134:AU197" si="36">IF(AT134="사용초과",D134,"")</f>
        <v/>
      </c>
      <c r="AV134" t="str">
        <f t="shared" ref="AV134:AV197" si="37">IF(AU134="","",B134)</f>
        <v/>
      </c>
      <c r="BA134" s="123"/>
      <c r="BB134" s="123"/>
      <c r="BC134" s="123"/>
      <c r="BD134" s="2997"/>
      <c r="BE134" s="123"/>
      <c r="BF134" s="2998"/>
      <c r="BG134" s="2999"/>
      <c r="BH134" s="3005"/>
      <c r="BI134" s="3000"/>
      <c r="BJ134" s="3001"/>
      <c r="BK134" s="3002"/>
      <c r="BL134" s="3003"/>
      <c r="BM134" s="3004"/>
    </row>
    <row r="135" spans="1:65" ht="54" customHeight="1" x14ac:dyDescent="0.25">
      <c r="A135" s="2824"/>
      <c r="B135" s="2570" t="s">
        <v>38</v>
      </c>
      <c r="C135" s="2575" t="s">
        <v>39</v>
      </c>
      <c r="D135" s="2570" t="s">
        <v>40</v>
      </c>
      <c r="E135" s="2570"/>
      <c r="F135" s="2570"/>
      <c r="G135" s="2570" t="s">
        <v>27</v>
      </c>
      <c r="H135" s="1797" t="s">
        <v>8966</v>
      </c>
      <c r="I135" s="1798" t="s">
        <v>8967</v>
      </c>
      <c r="J135" s="1797" t="str">
        <f>"7-DaHall 1-"&amp;N135&amp;"-"&amp;M135&amp;"-"&amp;O135</f>
        <v>7-DaHall 1-A-2-35-57</v>
      </c>
      <c r="K135" s="1798" t="str">
        <f>"7-DaHall 1-"&amp;R135&amp;"-"&amp;Q135&amp;"-"&amp;S135</f>
        <v>7-DaHall 1-B-2-35-57</v>
      </c>
      <c r="L135" s="1799">
        <v>48</v>
      </c>
      <c r="M135" s="1800">
        <v>35</v>
      </c>
      <c r="N135" s="2559" t="s">
        <v>41</v>
      </c>
      <c r="O135" s="1801">
        <v>57</v>
      </c>
      <c r="P135" s="1802">
        <v>48</v>
      </c>
      <c r="Q135" s="1803">
        <v>35</v>
      </c>
      <c r="R135" s="1300" t="s">
        <v>42</v>
      </c>
      <c r="S135" s="1804">
        <v>57</v>
      </c>
      <c r="T135" s="2559" t="s">
        <v>43</v>
      </c>
      <c r="U135" s="1300" t="s">
        <v>44</v>
      </c>
      <c r="V135" s="2844" t="s">
        <v>45</v>
      </c>
      <c r="W135" s="2845" t="s">
        <v>46</v>
      </c>
      <c r="X135" s="2844" t="s">
        <v>47</v>
      </c>
      <c r="Y135" s="2845" t="s">
        <v>48</v>
      </c>
      <c r="Z135" s="2844" t="s">
        <v>49</v>
      </c>
      <c r="AA135" s="2845" t="s">
        <v>50</v>
      </c>
      <c r="AB135" s="2844" t="s">
        <v>51</v>
      </c>
      <c r="AC135" s="2845" t="s">
        <v>52</v>
      </c>
      <c r="AD135" s="2844" t="s">
        <v>30</v>
      </c>
      <c r="AE135" s="2845" t="s">
        <v>35</v>
      </c>
      <c r="AF135" s="2844" t="s">
        <v>31</v>
      </c>
      <c r="AG135" s="2845" t="s">
        <v>36</v>
      </c>
      <c r="AH135" s="1301"/>
      <c r="AI135" s="1302"/>
      <c r="AJ135" s="2917"/>
      <c r="AK135" s="2842"/>
      <c r="AL135" s="2843"/>
      <c r="AM135" s="3240" t="e">
        <f>VLOOKUP(J135&amp;K135,'7층~4층_매핑테이블'!$Y$6:$AF$2020,8,0)</f>
        <v>#N/A</v>
      </c>
      <c r="AN135" s="3230">
        <f t="shared" si="20"/>
        <v>0</v>
      </c>
      <c r="AO135" s="2589"/>
      <c r="AP135" s="2586"/>
      <c r="AR135" s="2351">
        <f t="shared" si="21"/>
        <v>0</v>
      </c>
      <c r="AS135" s="2351">
        <f t="shared" si="22"/>
        <v>0</v>
      </c>
      <c r="AT135" s="123" t="str">
        <f t="shared" si="23"/>
        <v>미사용 랙</v>
      </c>
      <c r="AU135" t="str">
        <f t="shared" si="36"/>
        <v/>
      </c>
      <c r="AV135" t="str">
        <f t="shared" si="37"/>
        <v/>
      </c>
      <c r="BA135" s="123"/>
      <c r="BB135" s="123"/>
      <c r="BC135" s="123"/>
      <c r="BD135" s="2997"/>
      <c r="BE135" s="123"/>
      <c r="BF135" s="2998"/>
      <c r="BG135" s="2999"/>
      <c r="BH135" s="3005"/>
      <c r="BI135" s="3000"/>
      <c r="BJ135" s="3001"/>
      <c r="BK135" s="3002"/>
      <c r="BL135" s="3003"/>
      <c r="BM135" s="3004"/>
    </row>
    <row r="136" spans="1:65" ht="13.5" customHeight="1" x14ac:dyDescent="0.25">
      <c r="A136" s="2824"/>
      <c r="B136" s="2564"/>
      <c r="C136" s="918" t="s">
        <v>658</v>
      </c>
      <c r="D136" s="918"/>
      <c r="E136" s="918"/>
      <c r="F136" s="918"/>
      <c r="G136" s="918"/>
      <c r="H136" s="1839"/>
      <c r="I136" s="1851"/>
      <c r="J136" s="1839"/>
      <c r="K136" s="1851"/>
      <c r="L136" s="1841"/>
      <c r="M136" s="896"/>
      <c r="N136" s="896"/>
      <c r="O136" s="1843"/>
      <c r="P136" s="1852"/>
      <c r="Q136" s="1842"/>
      <c r="R136" s="896"/>
      <c r="S136" s="1843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7"/>
      <c r="AI136" s="949"/>
      <c r="AJ136" s="1309"/>
      <c r="AK136" s="2825"/>
      <c r="AL136" s="2826"/>
      <c r="AM136" s="3240"/>
      <c r="AN136" s="3231">
        <f t="shared" ref="AN136:AN199" si="38">SUBTOTAL(9,AK136:AL136)</f>
        <v>0</v>
      </c>
      <c r="AO136" s="2597"/>
      <c r="AP136" s="2599"/>
      <c r="AR136" s="2351">
        <f t="shared" ref="AR136:AR199" si="39">AN136/(24*31)</f>
        <v>0</v>
      </c>
      <c r="AS136" s="2351">
        <f t="shared" ref="AS136:AS199" si="40">E136-AR136</f>
        <v>0</v>
      </c>
      <c r="AT136" s="123" t="str">
        <f t="shared" ref="AT136:AT197" si="41">IF(SIGN(AS136)&gt;=0,IF(AN136=0,"미사용 랙","적정함"),"사용초과")</f>
        <v>미사용 랙</v>
      </c>
      <c r="AU136" t="str">
        <f t="shared" si="36"/>
        <v/>
      </c>
      <c r="AV136" t="str">
        <f t="shared" si="37"/>
        <v/>
      </c>
      <c r="BA136" s="123"/>
      <c r="BB136" s="123"/>
      <c r="BC136" s="123"/>
      <c r="BD136" s="2997"/>
      <c r="BE136" s="123"/>
      <c r="BF136" s="2998"/>
      <c r="BG136" s="2999"/>
      <c r="BH136" s="3005"/>
      <c r="BI136" s="3000"/>
      <c r="BJ136" s="3001"/>
      <c r="BK136" s="3002"/>
      <c r="BL136" s="3003"/>
      <c r="BM136" s="3004"/>
    </row>
    <row r="137" spans="1:65" ht="54" customHeight="1" x14ac:dyDescent="0.25">
      <c r="A137" s="2824"/>
      <c r="B137" s="3362" t="s">
        <v>651</v>
      </c>
      <c r="C137" s="3373" t="s">
        <v>652</v>
      </c>
      <c r="D137" s="3403" t="s">
        <v>9249</v>
      </c>
      <c r="E137" s="2883"/>
      <c r="F137" s="2564"/>
      <c r="G137" s="2564" t="s">
        <v>27</v>
      </c>
      <c r="H137" s="1805" t="s">
        <v>8968</v>
      </c>
      <c r="I137" s="1837" t="s">
        <v>8969</v>
      </c>
      <c r="J137" s="1805" t="str">
        <f>"7-DaHall 1-"&amp;N137&amp;"-"&amp;M137&amp;"-"&amp;O137</f>
        <v>7-DaHall 1-A-1-50-20</v>
      </c>
      <c r="K137" s="1837" t="str">
        <f>"7-DaHall 1-"&amp;R137&amp;"-"&amp;Q137&amp;"-"&amp;S137</f>
        <v>7-DaHall 1-B-1-50-20</v>
      </c>
      <c r="L137" s="1807">
        <v>48</v>
      </c>
      <c r="M137" s="1808">
        <v>50</v>
      </c>
      <c r="N137" s="2594" t="s">
        <v>293</v>
      </c>
      <c r="O137" s="1809">
        <v>20</v>
      </c>
      <c r="P137" s="1847">
        <v>48</v>
      </c>
      <c r="Q137" s="1848">
        <v>50</v>
      </c>
      <c r="R137" s="2578" t="s">
        <v>294</v>
      </c>
      <c r="S137" s="1838">
        <v>20</v>
      </c>
      <c r="T137" s="2594" t="s">
        <v>653</v>
      </c>
      <c r="U137" s="2578" t="s">
        <v>654</v>
      </c>
      <c r="V137" s="2146" t="s">
        <v>297</v>
      </c>
      <c r="W137" s="2827" t="s">
        <v>298</v>
      </c>
      <c r="X137" s="2146" t="s">
        <v>47</v>
      </c>
      <c r="Y137" s="903" t="s">
        <v>48</v>
      </c>
      <c r="Z137" s="2146" t="s">
        <v>49</v>
      </c>
      <c r="AA137" s="903" t="s">
        <v>50</v>
      </c>
      <c r="AB137" s="2146" t="s">
        <v>51</v>
      </c>
      <c r="AC137" s="903" t="s">
        <v>52</v>
      </c>
      <c r="AD137" s="2146" t="s">
        <v>30</v>
      </c>
      <c r="AE137" s="903" t="s">
        <v>35</v>
      </c>
      <c r="AF137" s="2146" t="s">
        <v>31</v>
      </c>
      <c r="AG137" s="903" t="s">
        <v>36</v>
      </c>
      <c r="AH137" s="681"/>
      <c r="AI137" s="676"/>
      <c r="AJ137" s="2915"/>
      <c r="AK137" s="2916"/>
      <c r="AL137" s="2819"/>
      <c r="AM137" s="3240" t="e">
        <f>VLOOKUP(J137&amp;K137,'7층~4층_매핑테이블'!$Y$6:$AF$2020,8,0)</f>
        <v>#N/A</v>
      </c>
      <c r="AN137" s="3229">
        <f t="shared" si="38"/>
        <v>0</v>
      </c>
      <c r="AO137" s="2597" t="s">
        <v>321</v>
      </c>
      <c r="AP137" s="2599"/>
      <c r="AR137" s="2351">
        <f t="shared" si="39"/>
        <v>0</v>
      </c>
      <c r="AS137" s="2351">
        <f t="shared" si="40"/>
        <v>0</v>
      </c>
      <c r="AT137" s="123" t="str">
        <f t="shared" si="41"/>
        <v>미사용 랙</v>
      </c>
      <c r="AU137" t="str">
        <f t="shared" si="36"/>
        <v/>
      </c>
      <c r="AV137" t="str">
        <f t="shared" si="37"/>
        <v/>
      </c>
      <c r="BA137" s="123"/>
      <c r="BB137" s="123"/>
      <c r="BC137" s="123"/>
      <c r="BD137" s="2997"/>
      <c r="BE137" s="123"/>
      <c r="BF137" s="2998"/>
      <c r="BG137" s="2999"/>
      <c r="BH137" s="3005"/>
      <c r="BI137" s="3000"/>
      <c r="BJ137" s="3001"/>
      <c r="BK137" s="3002"/>
      <c r="BL137" s="3003"/>
      <c r="BM137" s="3004"/>
    </row>
    <row r="138" spans="1:65" ht="46.8" x14ac:dyDescent="0.25">
      <c r="A138" s="2824"/>
      <c r="B138" s="3363"/>
      <c r="C138" s="3374"/>
      <c r="D138" s="3404"/>
      <c r="E138" s="2960">
        <v>2.2000000000000002</v>
      </c>
      <c r="F138" s="2564" t="s">
        <v>27</v>
      </c>
      <c r="G138" s="2564"/>
      <c r="H138" s="1857"/>
      <c r="I138" s="1915"/>
      <c r="J138" s="1857"/>
      <c r="K138" s="1915"/>
      <c r="L138" s="1858"/>
      <c r="M138" s="938"/>
      <c r="N138" s="938"/>
      <c r="O138" s="1859"/>
      <c r="P138" s="1916"/>
      <c r="Q138" s="1917"/>
      <c r="R138" s="942"/>
      <c r="S138" s="1918"/>
      <c r="T138" s="938" t="s">
        <v>655</v>
      </c>
      <c r="U138" s="942" t="s">
        <v>656</v>
      </c>
      <c r="V138" s="2559"/>
      <c r="W138" s="2563"/>
      <c r="X138" s="2559"/>
      <c r="Y138" s="2563"/>
      <c r="Z138" s="2559"/>
      <c r="AA138" s="1156"/>
      <c r="AB138" s="2559"/>
      <c r="AC138" s="2561"/>
      <c r="AD138" s="2559"/>
      <c r="AE138" s="2561"/>
      <c r="AF138" s="2559"/>
      <c r="AG138" s="2561"/>
      <c r="AH138" s="681"/>
      <c r="AI138" s="676"/>
      <c r="AJ138" s="1298">
        <f t="shared" ref="AJ138" si="42">AH138+AI138</f>
        <v>0</v>
      </c>
      <c r="AK138" s="2816"/>
      <c r="AL138" s="2817"/>
      <c r="AM138" s="3240">
        <f>VLOOKUP(J138&amp;K138,'7층~4층_매핑테이블'!$Y$6:$AF$2020,8,0)</f>
        <v>0</v>
      </c>
      <c r="AN138" s="3230">
        <f t="shared" si="38"/>
        <v>0</v>
      </c>
      <c r="AO138" s="2597"/>
      <c r="AP138" s="2599" t="s">
        <v>657</v>
      </c>
      <c r="AR138" s="2351">
        <f t="shared" si="39"/>
        <v>0</v>
      </c>
      <c r="AS138" s="2351">
        <f t="shared" si="40"/>
        <v>2.2000000000000002</v>
      </c>
      <c r="AT138" s="123" t="str">
        <f>IF(SIGN(AS138)&gt;=0,IF(AN138=0,"무부하 랙","적정함"),"사용초과")</f>
        <v>무부하 랙</v>
      </c>
      <c r="AU138" t="str">
        <f t="shared" si="36"/>
        <v/>
      </c>
      <c r="AV138" t="str">
        <f t="shared" si="37"/>
        <v/>
      </c>
      <c r="BA138" s="123"/>
      <c r="BB138" s="123"/>
      <c r="BC138" s="123"/>
      <c r="BD138" s="2997"/>
      <c r="BE138" s="123"/>
      <c r="BF138" s="2998"/>
      <c r="BG138" s="2999"/>
      <c r="BH138" s="3005"/>
      <c r="BI138" s="3000"/>
      <c r="BJ138" s="3001"/>
      <c r="BK138" s="3002"/>
      <c r="BL138" s="3003"/>
      <c r="BM138" s="3004"/>
    </row>
    <row r="139" spans="1:65" ht="27" customHeight="1" x14ac:dyDescent="0.25">
      <c r="A139" s="2824"/>
      <c r="B139" s="3362" t="s">
        <v>641</v>
      </c>
      <c r="C139" s="3393" t="s">
        <v>642</v>
      </c>
      <c r="D139" s="3378" t="s">
        <v>643</v>
      </c>
      <c r="E139" s="2878"/>
      <c r="F139" s="2564"/>
      <c r="G139" s="2564" t="s">
        <v>27</v>
      </c>
      <c r="H139" s="1805" t="s">
        <v>8970</v>
      </c>
      <c r="I139" s="1837" t="s">
        <v>8971</v>
      </c>
      <c r="J139" s="1805" t="str">
        <f>"7-DaHall 1-"&amp;N139&amp;"-"&amp;M139&amp;"-"&amp;O139</f>
        <v>7-DaHall 1-A-1-35-11(1)</v>
      </c>
      <c r="K139" s="1837" t="str">
        <f>"7-DaHall 1-"&amp;R139&amp;"-"&amp;Q139&amp;"-"&amp;S139</f>
        <v>7-DaHall 1-B-1-35-14(1)</v>
      </c>
      <c r="L139" s="1807">
        <v>48</v>
      </c>
      <c r="M139" s="1808">
        <v>35</v>
      </c>
      <c r="N139" s="2594" t="s">
        <v>293</v>
      </c>
      <c r="O139" s="1809" t="s">
        <v>644</v>
      </c>
      <c r="P139" s="1847">
        <v>48</v>
      </c>
      <c r="Q139" s="1848">
        <v>35</v>
      </c>
      <c r="R139" s="2578" t="s">
        <v>294</v>
      </c>
      <c r="S139" s="1838" t="s">
        <v>645</v>
      </c>
      <c r="T139" s="2594" t="s">
        <v>646</v>
      </c>
      <c r="U139" s="2578" t="s">
        <v>647</v>
      </c>
      <c r="V139" s="2146" t="s">
        <v>297</v>
      </c>
      <c r="W139" s="2827" t="s">
        <v>298</v>
      </c>
      <c r="X139" s="2146" t="s">
        <v>47</v>
      </c>
      <c r="Y139" s="903" t="s">
        <v>48</v>
      </c>
      <c r="Z139" s="2146" t="s">
        <v>49</v>
      </c>
      <c r="AA139" s="903" t="s">
        <v>50</v>
      </c>
      <c r="AB139" s="2146" t="s">
        <v>51</v>
      </c>
      <c r="AC139" s="903" t="s">
        <v>52</v>
      </c>
      <c r="AD139" s="2146" t="s">
        <v>30</v>
      </c>
      <c r="AE139" s="903" t="s">
        <v>35</v>
      </c>
      <c r="AF139" s="2146" t="s">
        <v>31</v>
      </c>
      <c r="AG139" s="903" t="s">
        <v>36</v>
      </c>
      <c r="AH139" s="694"/>
      <c r="AI139" s="686"/>
      <c r="AJ139" s="3346"/>
      <c r="AK139" s="2916"/>
      <c r="AL139" s="2819"/>
      <c r="AM139" s="3240" t="e">
        <f>VLOOKUP(J139&amp;K139,'7층~4층_매핑테이블'!$Y$6:$AF$2020,8,0)</f>
        <v>#N/A</v>
      </c>
      <c r="AN139" s="3229">
        <f t="shared" si="38"/>
        <v>0</v>
      </c>
      <c r="AO139" s="2839" t="s">
        <v>309</v>
      </c>
      <c r="AP139" s="2830" t="s">
        <v>197</v>
      </c>
      <c r="AR139" s="2351">
        <f t="shared" si="39"/>
        <v>0</v>
      </c>
      <c r="AS139" s="2351">
        <f t="shared" si="40"/>
        <v>0</v>
      </c>
      <c r="AT139" s="123" t="str">
        <f t="shared" si="41"/>
        <v>미사용 랙</v>
      </c>
      <c r="AU139" t="str">
        <f t="shared" si="36"/>
        <v/>
      </c>
      <c r="AV139" t="str">
        <f t="shared" si="37"/>
        <v/>
      </c>
      <c r="BA139" s="123"/>
      <c r="BB139" s="123"/>
      <c r="BC139" s="123"/>
      <c r="BD139" s="2997"/>
      <c r="BE139" s="123"/>
      <c r="BF139" s="2998"/>
      <c r="BG139" s="2999"/>
      <c r="BH139" s="3005"/>
      <c r="BI139" s="3000"/>
      <c r="BJ139" s="3001"/>
      <c r="BK139" s="3002"/>
      <c r="BL139" s="3003"/>
      <c r="BM139" s="3004"/>
    </row>
    <row r="140" spans="1:65" ht="54" customHeight="1" x14ac:dyDescent="0.25">
      <c r="A140" s="2824"/>
      <c r="B140" s="3363"/>
      <c r="C140" s="3394"/>
      <c r="D140" s="3405"/>
      <c r="E140" s="2577"/>
      <c r="F140" s="2564"/>
      <c r="G140" s="2564" t="s">
        <v>27</v>
      </c>
      <c r="H140" s="1805" t="s">
        <v>8972</v>
      </c>
      <c r="I140" s="1837" t="s">
        <v>8973</v>
      </c>
      <c r="J140" s="1805" t="str">
        <f>"7-DaHall 1-"&amp;N140&amp;"-"&amp;M140&amp;"-"&amp;O140</f>
        <v>7-DaHall 1-A-1-35-15(2)</v>
      </c>
      <c r="K140" s="1837" t="str">
        <f>"7-DaHall 1-"&amp;R140&amp;"-"&amp;Q140&amp;"-"&amp;S140</f>
        <v>7-DaHall 1-B-1-35-15(2)</v>
      </c>
      <c r="L140" s="1807">
        <v>48</v>
      </c>
      <c r="M140" s="1808">
        <v>35</v>
      </c>
      <c r="N140" s="2594" t="s">
        <v>293</v>
      </c>
      <c r="O140" s="1809" t="s">
        <v>648</v>
      </c>
      <c r="P140" s="1847">
        <v>48</v>
      </c>
      <c r="Q140" s="1848">
        <v>35</v>
      </c>
      <c r="R140" s="2578" t="s">
        <v>294</v>
      </c>
      <c r="S140" s="1838" t="s">
        <v>648</v>
      </c>
      <c r="T140" s="2594" t="s">
        <v>649</v>
      </c>
      <c r="U140" s="2578" t="s">
        <v>650</v>
      </c>
      <c r="V140" s="2146" t="s">
        <v>297</v>
      </c>
      <c r="W140" s="2827" t="s">
        <v>298</v>
      </c>
      <c r="X140" s="2146" t="s">
        <v>47</v>
      </c>
      <c r="Y140" s="903" t="s">
        <v>48</v>
      </c>
      <c r="Z140" s="2146" t="s">
        <v>49</v>
      </c>
      <c r="AA140" s="903" t="s">
        <v>50</v>
      </c>
      <c r="AB140" s="2146" t="s">
        <v>51</v>
      </c>
      <c r="AC140" s="903" t="s">
        <v>52</v>
      </c>
      <c r="AD140" s="2146" t="s">
        <v>30</v>
      </c>
      <c r="AE140" s="903" t="s">
        <v>35</v>
      </c>
      <c r="AF140" s="2146" t="s">
        <v>31</v>
      </c>
      <c r="AG140" s="903" t="s">
        <v>36</v>
      </c>
      <c r="AH140" s="694"/>
      <c r="AI140" s="686"/>
      <c r="AJ140" s="3347"/>
      <c r="AK140" s="2916"/>
      <c r="AL140" s="2819"/>
      <c r="AM140" s="3240" t="e">
        <f>VLOOKUP(J140&amp;K140,'7층~4층_매핑테이블'!$Y$6:$AF$2020,8,0)</f>
        <v>#N/A</v>
      </c>
      <c r="AN140" s="3229">
        <f t="shared" si="38"/>
        <v>0</v>
      </c>
      <c r="AO140" s="2838"/>
      <c r="AP140" s="2831"/>
      <c r="AR140" s="2351">
        <f t="shared" si="39"/>
        <v>0</v>
      </c>
      <c r="AS140" s="2351">
        <f t="shared" si="40"/>
        <v>0</v>
      </c>
      <c r="AT140" s="123" t="str">
        <f t="shared" si="41"/>
        <v>미사용 랙</v>
      </c>
      <c r="AU140" t="str">
        <f t="shared" si="36"/>
        <v/>
      </c>
      <c r="AV140" t="str">
        <f t="shared" si="37"/>
        <v/>
      </c>
      <c r="BA140" s="123"/>
      <c r="BB140" s="123"/>
      <c r="BC140" s="123"/>
      <c r="BD140" s="2997"/>
      <c r="BE140" s="123"/>
      <c r="BF140" s="2998"/>
      <c r="BG140" s="2999"/>
      <c r="BH140" s="3005"/>
      <c r="BI140" s="3000"/>
      <c r="BJ140" s="3001"/>
      <c r="BK140" s="3002"/>
      <c r="BL140" s="3003"/>
      <c r="BM140" s="3004"/>
    </row>
    <row r="141" spans="1:65" ht="13.5" customHeight="1" x14ac:dyDescent="0.25">
      <c r="A141" s="2824"/>
      <c r="B141" s="2564"/>
      <c r="C141" s="918" t="s">
        <v>640</v>
      </c>
      <c r="D141" s="918"/>
      <c r="E141" s="2564"/>
      <c r="F141" s="2564"/>
      <c r="G141" s="2564"/>
      <c r="H141" s="1908"/>
      <c r="I141" s="1909"/>
      <c r="J141" s="1908"/>
      <c r="K141" s="1909"/>
      <c r="L141" s="1910"/>
      <c r="M141" s="902"/>
      <c r="N141" s="902"/>
      <c r="O141" s="1911"/>
      <c r="P141" s="1912"/>
      <c r="Q141" s="1913"/>
      <c r="R141" s="920"/>
      <c r="S141" s="1914"/>
      <c r="T141" s="902"/>
      <c r="U141" s="920"/>
      <c r="V141" s="902"/>
      <c r="W141" s="1171"/>
      <c r="X141" s="902"/>
      <c r="Y141" s="1165"/>
      <c r="Z141" s="902"/>
      <c r="AA141" s="1165"/>
      <c r="AB141" s="902"/>
      <c r="AC141" s="1165"/>
      <c r="AD141" s="902"/>
      <c r="AE141" s="1165"/>
      <c r="AF141" s="920"/>
      <c r="AG141" s="1165"/>
      <c r="AH141" s="952"/>
      <c r="AI141" s="948"/>
      <c r="AJ141" s="1310"/>
      <c r="AK141" s="2825"/>
      <c r="AL141" s="2826"/>
      <c r="AM141" s="3240"/>
      <c r="AN141" s="3231">
        <f t="shared" si="38"/>
        <v>0</v>
      </c>
      <c r="AO141" s="2597"/>
      <c r="AP141" s="2599"/>
      <c r="AR141" s="2351">
        <f t="shared" si="39"/>
        <v>0</v>
      </c>
      <c r="AS141" s="2351">
        <f t="shared" si="40"/>
        <v>0</v>
      </c>
      <c r="AT141" s="123" t="str">
        <f t="shared" si="41"/>
        <v>미사용 랙</v>
      </c>
      <c r="AU141" t="str">
        <f t="shared" si="36"/>
        <v/>
      </c>
      <c r="AV141" t="str">
        <f t="shared" si="37"/>
        <v/>
      </c>
      <c r="BA141" s="123"/>
      <c r="BB141" s="123"/>
      <c r="BC141" s="123"/>
      <c r="BD141" s="2997"/>
      <c r="BE141" s="123"/>
      <c r="BF141" s="2998"/>
      <c r="BG141" s="2999"/>
      <c r="BH141" s="3005"/>
      <c r="BI141" s="3000"/>
      <c r="BJ141" s="3001"/>
      <c r="BK141" s="3002"/>
      <c r="BL141" s="3003"/>
      <c r="BM141" s="3004"/>
    </row>
    <row r="142" spans="1:65" ht="54" customHeight="1" thickBot="1" x14ac:dyDescent="0.3">
      <c r="A142" s="2824"/>
      <c r="B142" s="2564" t="s">
        <v>635</v>
      </c>
      <c r="C142" s="2141" t="s">
        <v>636</v>
      </c>
      <c r="D142" s="2564" t="s">
        <v>637</v>
      </c>
      <c r="E142" s="2564"/>
      <c r="F142" s="2564"/>
      <c r="G142" s="2564" t="s">
        <v>27</v>
      </c>
      <c r="H142" s="1860" t="s">
        <v>8974</v>
      </c>
      <c r="I142" s="1861" t="s">
        <v>8975</v>
      </c>
      <c r="J142" s="1860" t="str">
        <f>"7-DaHall 1-"&amp;N142&amp;"-"&amp;M142&amp;"-"&amp;O142</f>
        <v>7-DaHall 1-B-1-35-16</v>
      </c>
      <c r="K142" s="1861" t="str">
        <f>"7-DaHall 1-"&amp;R142&amp;"-"&amp;Q142&amp;"-"&amp;S142</f>
        <v>7-DaHall 1-A-1-35-16</v>
      </c>
      <c r="L142" s="1862">
        <v>48</v>
      </c>
      <c r="M142" s="1848">
        <v>35</v>
      </c>
      <c r="N142" s="2578" t="s">
        <v>294</v>
      </c>
      <c r="O142" s="1838">
        <v>16</v>
      </c>
      <c r="P142" s="1863">
        <v>48</v>
      </c>
      <c r="Q142" s="1808">
        <v>35</v>
      </c>
      <c r="R142" s="2594" t="s">
        <v>293</v>
      </c>
      <c r="S142" s="1809">
        <v>16</v>
      </c>
      <c r="T142" s="2578" t="s">
        <v>638</v>
      </c>
      <c r="U142" s="2594" t="s">
        <v>639</v>
      </c>
      <c r="V142" s="693" t="s">
        <v>298</v>
      </c>
      <c r="W142" s="887" t="s">
        <v>297</v>
      </c>
      <c r="X142" s="2578" t="s">
        <v>48</v>
      </c>
      <c r="Y142" s="2594" t="s">
        <v>47</v>
      </c>
      <c r="Z142" s="2578" t="s">
        <v>50</v>
      </c>
      <c r="AA142" s="2594" t="s">
        <v>49</v>
      </c>
      <c r="AB142" s="2578" t="s">
        <v>52</v>
      </c>
      <c r="AC142" s="2594" t="s">
        <v>51</v>
      </c>
      <c r="AD142" s="2578" t="s">
        <v>35</v>
      </c>
      <c r="AE142" s="2594" t="s">
        <v>30</v>
      </c>
      <c r="AF142" s="2578" t="s">
        <v>36</v>
      </c>
      <c r="AG142" s="2594" t="s">
        <v>31</v>
      </c>
      <c r="AH142" s="901"/>
      <c r="AI142" s="922"/>
      <c r="AJ142" s="2915"/>
      <c r="AK142" s="2916"/>
      <c r="AL142" s="2819"/>
      <c r="AM142" s="3240" t="e">
        <f>VLOOKUP(J142&amp;K142,'7층~4층_매핑테이블'!$Y$6:$AF$2020,8,0)</f>
        <v>#N/A</v>
      </c>
      <c r="AN142" s="3229">
        <f t="shared" si="38"/>
        <v>0</v>
      </c>
      <c r="AO142" s="2597" t="s">
        <v>309</v>
      </c>
      <c r="AP142" s="2599"/>
      <c r="AR142" s="2351">
        <f t="shared" si="39"/>
        <v>0</v>
      </c>
      <c r="AS142" s="2351">
        <f t="shared" si="40"/>
        <v>0</v>
      </c>
      <c r="AT142" s="123" t="str">
        <f t="shared" si="41"/>
        <v>미사용 랙</v>
      </c>
      <c r="AU142" t="str">
        <f t="shared" si="36"/>
        <v/>
      </c>
      <c r="AV142" t="str">
        <f t="shared" si="37"/>
        <v/>
      </c>
      <c r="BA142" s="123"/>
      <c r="BB142" s="123"/>
      <c r="BC142" s="123"/>
      <c r="BD142" s="2997"/>
      <c r="BE142" s="123"/>
      <c r="BF142" s="2998"/>
      <c r="BG142" s="2999"/>
      <c r="BH142" s="3005"/>
      <c r="BI142" s="3000"/>
      <c r="BJ142" s="3001"/>
      <c r="BK142" s="3002"/>
      <c r="BL142" s="3003"/>
      <c r="BM142" s="3004"/>
    </row>
    <row r="143" spans="1:65" ht="54" customHeight="1" thickBot="1" x14ac:dyDescent="0.3">
      <c r="A143" s="2824"/>
      <c r="B143" s="2564" t="s">
        <v>630</v>
      </c>
      <c r="C143" s="2141" t="s">
        <v>631</v>
      </c>
      <c r="D143" s="2564" t="s">
        <v>632</v>
      </c>
      <c r="E143" s="2564"/>
      <c r="F143" s="2564"/>
      <c r="G143" s="2564" t="s">
        <v>27</v>
      </c>
      <c r="H143" s="1805" t="s">
        <v>8976</v>
      </c>
      <c r="I143" s="1837" t="s">
        <v>8977</v>
      </c>
      <c r="J143" s="1805" t="str">
        <f>"7-DaHall 1-"&amp;N143&amp;"-"&amp;M143&amp;"-"&amp;O143</f>
        <v>7-DaHall 1-A-1-50-17</v>
      </c>
      <c r="K143" s="1837" t="str">
        <f>"7-DaHall 1-"&amp;R143&amp;"-"&amp;Q143&amp;"-"&amp;S143</f>
        <v>7-DaHall 1-B-1-50-17</v>
      </c>
      <c r="L143" s="1807">
        <v>48</v>
      </c>
      <c r="M143" s="1808">
        <v>50</v>
      </c>
      <c r="N143" s="2594" t="s">
        <v>293</v>
      </c>
      <c r="O143" s="1809">
        <v>17</v>
      </c>
      <c r="P143" s="1847">
        <v>48</v>
      </c>
      <c r="Q143" s="1848">
        <v>50</v>
      </c>
      <c r="R143" s="2578" t="s">
        <v>294</v>
      </c>
      <c r="S143" s="1838">
        <v>17</v>
      </c>
      <c r="T143" s="2594" t="s">
        <v>633</v>
      </c>
      <c r="U143" s="2578" t="s">
        <v>634</v>
      </c>
      <c r="V143" s="2846" t="s">
        <v>297</v>
      </c>
      <c r="W143" s="2847" t="s">
        <v>298</v>
      </c>
      <c r="X143" s="2848" t="s">
        <v>47</v>
      </c>
      <c r="Y143" s="2849" t="s">
        <v>48</v>
      </c>
      <c r="Z143" s="2848" t="s">
        <v>49</v>
      </c>
      <c r="AA143" s="2849" t="s">
        <v>50</v>
      </c>
      <c r="AB143" s="2848" t="s">
        <v>51</v>
      </c>
      <c r="AC143" s="2849" t="s">
        <v>52</v>
      </c>
      <c r="AD143" s="2848" t="s">
        <v>30</v>
      </c>
      <c r="AE143" s="2849" t="s">
        <v>35</v>
      </c>
      <c r="AF143" s="2848" t="s">
        <v>31</v>
      </c>
      <c r="AG143" s="2849" t="s">
        <v>36</v>
      </c>
      <c r="AH143" s="681"/>
      <c r="AI143" s="676"/>
      <c r="AJ143" s="2915"/>
      <c r="AK143" s="2916"/>
      <c r="AL143" s="2819"/>
      <c r="AM143" s="3240" t="e">
        <f>VLOOKUP(J143&amp;K143,'7층~4층_매핑테이블'!$Y$6:$AF$2020,8,0)</f>
        <v>#N/A</v>
      </c>
      <c r="AN143" s="3229">
        <f t="shared" si="38"/>
        <v>0</v>
      </c>
      <c r="AO143" s="2597" t="s">
        <v>309</v>
      </c>
      <c r="AP143" s="2599"/>
      <c r="AR143" s="2351">
        <f t="shared" si="39"/>
        <v>0</v>
      </c>
      <c r="AS143" s="2351">
        <f t="shared" si="40"/>
        <v>0</v>
      </c>
      <c r="AT143" s="123" t="str">
        <f t="shared" si="41"/>
        <v>미사용 랙</v>
      </c>
      <c r="AU143" t="str">
        <f t="shared" si="36"/>
        <v/>
      </c>
      <c r="AV143" t="str">
        <f t="shared" si="37"/>
        <v/>
      </c>
      <c r="BA143" s="123"/>
      <c r="BB143" s="123"/>
      <c r="BC143" s="123"/>
      <c r="BD143" s="2997"/>
      <c r="BE143" s="123"/>
      <c r="BF143" s="2998"/>
      <c r="BG143" s="2999"/>
      <c r="BH143" s="3005"/>
      <c r="BI143" s="3000"/>
      <c r="BJ143" s="3001"/>
      <c r="BK143" s="3002"/>
      <c r="BL143" s="3003"/>
      <c r="BM143" s="3004"/>
    </row>
    <row r="144" spans="1:65" ht="54" customHeight="1" thickBot="1" x14ac:dyDescent="0.3">
      <c r="A144" s="2824"/>
      <c r="B144" s="2564" t="s">
        <v>625</v>
      </c>
      <c r="C144" s="2141" t="s">
        <v>626</v>
      </c>
      <c r="D144" s="2564" t="s">
        <v>627</v>
      </c>
      <c r="E144" s="2564"/>
      <c r="F144" s="2564"/>
      <c r="G144" s="2564" t="s">
        <v>27</v>
      </c>
      <c r="H144" s="1805" t="s">
        <v>8978</v>
      </c>
      <c r="I144" s="1837" t="s">
        <v>8979</v>
      </c>
      <c r="J144" s="1805" t="str">
        <f>"7-DaHall 1-"&amp;N144&amp;"-"&amp;M144&amp;"-"&amp;O144</f>
        <v>7-DaHall 1-A-1-50-56</v>
      </c>
      <c r="K144" s="1837" t="str">
        <f>"7-DaHall 1-"&amp;R144&amp;"-"&amp;Q144&amp;"-"&amp;S144</f>
        <v>7-DaHall 1-B-1-50-56</v>
      </c>
      <c r="L144" s="1807">
        <v>48</v>
      </c>
      <c r="M144" s="1808">
        <v>50</v>
      </c>
      <c r="N144" s="2594" t="s">
        <v>293</v>
      </c>
      <c r="O144" s="1809">
        <v>56</v>
      </c>
      <c r="P144" s="1847">
        <v>48</v>
      </c>
      <c r="Q144" s="1848">
        <v>50</v>
      </c>
      <c r="R144" s="2578" t="s">
        <v>294</v>
      </c>
      <c r="S144" s="1838">
        <v>56</v>
      </c>
      <c r="T144" s="2594" t="s">
        <v>628</v>
      </c>
      <c r="U144" s="2578" t="s">
        <v>629</v>
      </c>
      <c r="V144" s="2846" t="s">
        <v>297</v>
      </c>
      <c r="W144" s="2847" t="s">
        <v>298</v>
      </c>
      <c r="X144" s="2848" t="s">
        <v>47</v>
      </c>
      <c r="Y144" s="2849" t="s">
        <v>48</v>
      </c>
      <c r="Z144" s="2848" t="s">
        <v>49</v>
      </c>
      <c r="AA144" s="2849" t="s">
        <v>50</v>
      </c>
      <c r="AB144" s="2848" t="s">
        <v>51</v>
      </c>
      <c r="AC144" s="2849" t="s">
        <v>52</v>
      </c>
      <c r="AD144" s="2848" t="s">
        <v>30</v>
      </c>
      <c r="AE144" s="2849" t="s">
        <v>35</v>
      </c>
      <c r="AF144" s="2848" t="s">
        <v>31</v>
      </c>
      <c r="AG144" s="2849" t="s">
        <v>36</v>
      </c>
      <c r="AH144" s="681"/>
      <c r="AI144" s="676"/>
      <c r="AJ144" s="2915"/>
      <c r="AK144" s="2916"/>
      <c r="AL144" s="2819"/>
      <c r="AM144" s="3240" t="e">
        <f>VLOOKUP(J144&amp;K144,'7층~4층_매핑테이블'!$Y$6:$AF$2020,8,0)</f>
        <v>#N/A</v>
      </c>
      <c r="AN144" s="3229">
        <f t="shared" si="38"/>
        <v>0</v>
      </c>
      <c r="AO144" s="2597" t="s">
        <v>309</v>
      </c>
      <c r="AP144" s="2599"/>
      <c r="AR144" s="2351">
        <f t="shared" si="39"/>
        <v>0</v>
      </c>
      <c r="AS144" s="2351">
        <f t="shared" si="40"/>
        <v>0</v>
      </c>
      <c r="AT144" s="123" t="str">
        <f t="shared" si="41"/>
        <v>미사용 랙</v>
      </c>
      <c r="AU144" t="str">
        <f t="shared" si="36"/>
        <v/>
      </c>
      <c r="AV144" t="str">
        <f t="shared" si="37"/>
        <v/>
      </c>
      <c r="BA144" s="123"/>
      <c r="BB144" s="123"/>
      <c r="BC144" s="123"/>
      <c r="BD144" s="2997"/>
      <c r="BE144" s="123"/>
      <c r="BF144" s="2998"/>
      <c r="BG144" s="2999"/>
      <c r="BH144" s="3005"/>
      <c r="BI144" s="3000"/>
      <c r="BJ144" s="3001"/>
      <c r="BK144" s="3002"/>
      <c r="BL144" s="3003"/>
      <c r="BM144" s="3004"/>
    </row>
    <row r="145" spans="1:65" ht="27" customHeight="1" x14ac:dyDescent="0.25">
      <c r="A145" s="2813" t="s">
        <v>619</v>
      </c>
      <c r="B145" s="672" t="s">
        <v>620</v>
      </c>
      <c r="C145" s="2148" t="s">
        <v>621</v>
      </c>
      <c r="D145" s="672" t="s">
        <v>622</v>
      </c>
      <c r="E145" s="672"/>
      <c r="F145" s="672"/>
      <c r="G145" s="672" t="s">
        <v>27</v>
      </c>
      <c r="H145" s="1902" t="s">
        <v>8980</v>
      </c>
      <c r="I145" s="1903" t="s">
        <v>8981</v>
      </c>
      <c r="J145" s="1902" t="str">
        <f>"7-DaHall 1-"&amp;N145&amp;"-"&amp;M145&amp;"-"&amp;O145</f>
        <v>7-DaHall 1-A-1-100-19</v>
      </c>
      <c r="K145" s="1903" t="str">
        <f>"7-DaHall 1-"&amp;R145&amp;"-"&amp;Q145&amp;"-"&amp;S145</f>
        <v>7-DaHall 1-B-1-100-19</v>
      </c>
      <c r="L145" s="1904">
        <v>48</v>
      </c>
      <c r="M145" s="1808">
        <v>100</v>
      </c>
      <c r="N145" s="888" t="s">
        <v>293</v>
      </c>
      <c r="O145" s="1905">
        <v>19</v>
      </c>
      <c r="P145" s="1906">
        <v>48</v>
      </c>
      <c r="Q145" s="1848">
        <v>100</v>
      </c>
      <c r="R145" s="899" t="s">
        <v>294</v>
      </c>
      <c r="S145" s="1907">
        <v>19</v>
      </c>
      <c r="T145" s="888" t="s">
        <v>623</v>
      </c>
      <c r="U145" s="899" t="s">
        <v>624</v>
      </c>
      <c r="V145" s="2846" t="s">
        <v>297</v>
      </c>
      <c r="W145" s="2847" t="s">
        <v>298</v>
      </c>
      <c r="X145" s="2848" t="s">
        <v>47</v>
      </c>
      <c r="Y145" s="2849" t="s">
        <v>48</v>
      </c>
      <c r="Z145" s="2848" t="s">
        <v>49</v>
      </c>
      <c r="AA145" s="2849" t="s">
        <v>50</v>
      </c>
      <c r="AB145" s="2848" t="s">
        <v>51</v>
      </c>
      <c r="AC145" s="2849" t="s">
        <v>52</v>
      </c>
      <c r="AD145" s="2848" t="s">
        <v>30</v>
      </c>
      <c r="AE145" s="2849" t="s">
        <v>35</v>
      </c>
      <c r="AF145" s="2848" t="s">
        <v>31</v>
      </c>
      <c r="AG145" s="2849" t="s">
        <v>36</v>
      </c>
      <c r="AH145" s="680"/>
      <c r="AI145" s="673"/>
      <c r="AJ145" s="2917"/>
      <c r="AK145" s="2916"/>
      <c r="AL145" s="2819"/>
      <c r="AM145" s="3240" t="e">
        <f>VLOOKUP(J145&amp;K145,'7층~4층_매핑테이블'!$Y$6:$AF$2020,8,0)</f>
        <v>#N/A</v>
      </c>
      <c r="AN145" s="3229">
        <f t="shared" si="38"/>
        <v>0</v>
      </c>
      <c r="AO145" s="882" t="s">
        <v>315</v>
      </c>
      <c r="AP145" s="674"/>
      <c r="AR145" s="2351">
        <f t="shared" si="39"/>
        <v>0</v>
      </c>
      <c r="AS145" s="2351">
        <f t="shared" si="40"/>
        <v>0</v>
      </c>
      <c r="AT145" s="123" t="str">
        <f t="shared" si="41"/>
        <v>미사용 랙</v>
      </c>
      <c r="AU145" t="str">
        <f t="shared" si="36"/>
        <v/>
      </c>
      <c r="AV145" t="str">
        <f t="shared" si="37"/>
        <v/>
      </c>
      <c r="BA145" s="123"/>
      <c r="BB145" s="123"/>
      <c r="BC145" s="123"/>
      <c r="BD145" s="2997"/>
      <c r="BE145" s="123"/>
      <c r="BF145" s="2998"/>
      <c r="BG145" s="2999"/>
      <c r="BH145" s="3005"/>
      <c r="BI145" s="3000"/>
      <c r="BJ145" s="3001"/>
      <c r="BK145" s="3002"/>
      <c r="BL145" s="3003"/>
      <c r="BM145" s="3004"/>
    </row>
    <row r="146" spans="1:65" ht="62.4" x14ac:dyDescent="0.25">
      <c r="A146" s="2824"/>
      <c r="B146" s="2564" t="s">
        <v>513</v>
      </c>
      <c r="C146" s="1163" t="s">
        <v>514</v>
      </c>
      <c r="D146" s="2569" t="s">
        <v>9249</v>
      </c>
      <c r="E146" s="2960">
        <v>1.6</v>
      </c>
      <c r="F146" s="2564" t="s">
        <v>27</v>
      </c>
      <c r="G146" s="2564"/>
      <c r="H146" s="1825" t="s">
        <v>8982</v>
      </c>
      <c r="I146" s="1833" t="s">
        <v>8983</v>
      </c>
      <c r="J146" s="1825" t="str">
        <f>"7-DaHall 1-"&amp;N146&amp;"-"&amp;M146&amp;"-"&amp;O146</f>
        <v>7-DaHall 1-RPP-01-30-32</v>
      </c>
      <c r="K146" s="1833" t="str">
        <f>"7-DaHall 1-"&amp;R146&amp;"-"&amp;Q146&amp;"-"&amp;S146</f>
        <v>7-DaHall 1-RPP-02-30-26</v>
      </c>
      <c r="L146" s="1827">
        <v>220</v>
      </c>
      <c r="M146" s="1828">
        <v>30</v>
      </c>
      <c r="N146" s="703" t="s">
        <v>8775</v>
      </c>
      <c r="O146" s="1829">
        <v>32</v>
      </c>
      <c r="P146" s="1834">
        <v>220</v>
      </c>
      <c r="Q146" s="1835">
        <v>30</v>
      </c>
      <c r="R146" s="687" t="s">
        <v>8776</v>
      </c>
      <c r="S146" s="1836">
        <v>26</v>
      </c>
      <c r="T146" s="703" t="s">
        <v>515</v>
      </c>
      <c r="U146" s="687" t="s">
        <v>516</v>
      </c>
      <c r="V146" s="2594" t="s">
        <v>517</v>
      </c>
      <c r="W146" s="2578" t="s">
        <v>518</v>
      </c>
      <c r="X146" s="2594" t="s">
        <v>450</v>
      </c>
      <c r="Y146" s="2578" t="s">
        <v>460</v>
      </c>
      <c r="Z146" s="2594" t="s">
        <v>451</v>
      </c>
      <c r="AA146" s="2578" t="s">
        <v>461</v>
      </c>
      <c r="AB146" s="2594" t="s">
        <v>452</v>
      </c>
      <c r="AC146" s="2578" t="s">
        <v>519</v>
      </c>
      <c r="AD146" s="2594" t="s">
        <v>30</v>
      </c>
      <c r="AE146" s="2578" t="s">
        <v>35</v>
      </c>
      <c r="AF146" s="2594" t="s">
        <v>31</v>
      </c>
      <c r="AG146" s="2578" t="s">
        <v>36</v>
      </c>
      <c r="AH146" s="681">
        <f>SUM('7층_부하량(월간_AVG)'!N21:P21)</f>
        <v>0</v>
      </c>
      <c r="AI146" s="676">
        <f>SUM('7층_부하량(월간_AVG)'!N107:P107)</f>
        <v>0</v>
      </c>
      <c r="AJ146" s="1298">
        <f>AH146+AI146</f>
        <v>0</v>
      </c>
      <c r="AK146" s="2816" t="e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6" s="2817" t="e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6" s="3240">
        <f>VLOOKUP(J146&amp;K146,'7층~4층_매핑테이블'!$Y$6:$AF$2020,8,0)</f>
        <v>0.05</v>
      </c>
      <c r="AN146" s="3230" t="e">
        <f t="shared" si="38"/>
        <v>#N/A</v>
      </c>
      <c r="AO146" s="2589" t="s">
        <v>520</v>
      </c>
      <c r="AP146" s="2599"/>
      <c r="AR146" s="2351" t="e">
        <f t="shared" si="39"/>
        <v>#N/A</v>
      </c>
      <c r="AS146" s="2351" t="e">
        <f t="shared" si="40"/>
        <v>#N/A</v>
      </c>
      <c r="AT146" s="123" t="e">
        <f>IF(SIGN(AS146)&gt;=0,IF(AN146=0,"무부하 랙","적정함"),"사용초과")</f>
        <v>#N/A</v>
      </c>
      <c r="AU146" t="e">
        <f t="shared" si="36"/>
        <v>#N/A</v>
      </c>
      <c r="AV146" t="e">
        <f t="shared" si="37"/>
        <v>#N/A</v>
      </c>
      <c r="BA146" s="123"/>
      <c r="BB146" s="123"/>
      <c r="BC146" s="123"/>
      <c r="BD146" s="2997"/>
      <c r="BE146" s="123"/>
      <c r="BF146" s="2998"/>
      <c r="BG146" s="2999"/>
      <c r="BH146" s="3005"/>
      <c r="BI146" s="3000"/>
      <c r="BJ146" s="3001"/>
      <c r="BK146" s="3002"/>
      <c r="BL146" s="3003"/>
      <c r="BM146" s="3004"/>
    </row>
    <row r="147" spans="1:65" ht="62.4" x14ac:dyDescent="0.25">
      <c r="A147" s="2824"/>
      <c r="B147" s="2564" t="s">
        <v>508</v>
      </c>
      <c r="C147" s="1155" t="s">
        <v>509</v>
      </c>
      <c r="D147" s="2564" t="s">
        <v>9249</v>
      </c>
      <c r="E147" s="2960">
        <v>1.6</v>
      </c>
      <c r="F147" s="2564" t="s">
        <v>27</v>
      </c>
      <c r="G147" s="2564"/>
      <c r="H147" s="1857"/>
      <c r="I147" s="1882"/>
      <c r="J147" s="1857"/>
      <c r="K147" s="1882"/>
      <c r="L147" s="1858"/>
      <c r="M147" s="938"/>
      <c r="N147" s="938"/>
      <c r="O147" s="1859"/>
      <c r="P147" s="1883"/>
      <c r="Q147" s="1884"/>
      <c r="R147" s="938"/>
      <c r="S147" s="1859"/>
      <c r="T147" s="938" t="s">
        <v>510</v>
      </c>
      <c r="U147" s="938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7"/>
      <c r="AI147" s="948"/>
      <c r="AJ147" s="1309"/>
      <c r="AK147" s="2816"/>
      <c r="AL147" s="2817"/>
      <c r="AM147" s="3240">
        <f>VLOOKUP(J147&amp;K147,'7층~4층_매핑테이블'!$Y$6:$AF$2020,8,0)</f>
        <v>0</v>
      </c>
      <c r="AN147" s="3230">
        <f t="shared" si="38"/>
        <v>0</v>
      </c>
      <c r="AO147" s="2597"/>
      <c r="AP147" s="688" t="s">
        <v>512</v>
      </c>
      <c r="AR147" s="2351">
        <f t="shared" si="39"/>
        <v>0</v>
      </c>
      <c r="AS147" s="2351">
        <f t="shared" si="40"/>
        <v>1.6</v>
      </c>
      <c r="AT147" s="123" t="str">
        <f>IF(SIGN(AS147)&gt;=0,IF(AN147=0,"무부하 랙","적정함"),"사용초과")</f>
        <v>무부하 랙</v>
      </c>
      <c r="AU147" t="str">
        <f t="shared" si="36"/>
        <v/>
      </c>
      <c r="AV147" t="str">
        <f t="shared" si="37"/>
        <v/>
      </c>
      <c r="BA147" s="123"/>
      <c r="BB147" s="123"/>
      <c r="BC147" s="123"/>
      <c r="BD147" s="2997"/>
      <c r="BE147" s="123"/>
      <c r="BF147" s="2998"/>
      <c r="BG147" s="2999"/>
      <c r="BH147" s="3005"/>
      <c r="BI147" s="3000"/>
      <c r="BJ147" s="3001"/>
      <c r="BK147" s="3002"/>
      <c r="BL147" s="3003"/>
      <c r="BM147" s="3004"/>
    </row>
    <row r="148" spans="1:65" ht="40.200000000000003" customHeight="1" x14ac:dyDescent="0.25">
      <c r="A148" s="2824"/>
      <c r="B148" s="2564" t="s">
        <v>502</v>
      </c>
      <c r="C148" s="1155" t="s">
        <v>503</v>
      </c>
      <c r="D148" s="2564" t="s">
        <v>9249</v>
      </c>
      <c r="E148" s="2960">
        <v>1.6</v>
      </c>
      <c r="F148" s="2564" t="s">
        <v>27</v>
      </c>
      <c r="G148" s="2564"/>
      <c r="H148" s="1825" t="s">
        <v>8984</v>
      </c>
      <c r="I148" s="1833" t="s">
        <v>8985</v>
      </c>
      <c r="J148" s="1825" t="str">
        <f t="shared" ref="J148" si="43">"7-DaHall 1-"&amp;N148&amp;"-"&amp;M148&amp;"-"&amp;O148</f>
        <v>7-DaHall 1-RPP-01-30-12</v>
      </c>
      <c r="K148" s="1833" t="str">
        <f t="shared" ref="K148" si="44">"7-DaHall 1-"&amp;R148&amp;"-"&amp;Q148&amp;"-"&amp;S148</f>
        <v>7-DaHall 1-RPP-02-20-17</v>
      </c>
      <c r="L148" s="1827">
        <v>220</v>
      </c>
      <c r="M148" s="1828">
        <v>30</v>
      </c>
      <c r="N148" s="703" t="s">
        <v>8775</v>
      </c>
      <c r="O148" s="1829">
        <v>12</v>
      </c>
      <c r="P148" s="1834">
        <v>220</v>
      </c>
      <c r="Q148" s="1835">
        <v>20</v>
      </c>
      <c r="R148" s="687" t="s">
        <v>8776</v>
      </c>
      <c r="S148" s="1836">
        <v>17</v>
      </c>
      <c r="T148" s="703" t="s">
        <v>504</v>
      </c>
      <c r="U148" s="687" t="s">
        <v>505</v>
      </c>
      <c r="V148" s="2594" t="s">
        <v>506</v>
      </c>
      <c r="W148" s="2578" t="s">
        <v>507</v>
      </c>
      <c r="X148" s="2146" t="s">
        <v>450</v>
      </c>
      <c r="Y148" s="903" t="s">
        <v>460</v>
      </c>
      <c r="Z148" s="2146" t="s">
        <v>451</v>
      </c>
      <c r="AA148" s="903" t="s">
        <v>461</v>
      </c>
      <c r="AB148" s="2146" t="s">
        <v>51</v>
      </c>
      <c r="AC148" s="903" t="s">
        <v>52</v>
      </c>
      <c r="AD148" s="2146" t="s">
        <v>30</v>
      </c>
      <c r="AE148" s="903" t="s">
        <v>35</v>
      </c>
      <c r="AF148" s="2146" t="s">
        <v>31</v>
      </c>
      <c r="AG148" s="903" t="s">
        <v>36</v>
      </c>
      <c r="AH148" s="681">
        <f>SUM('7층_부하량(월간_AVG)'!N11:P11)</f>
        <v>0</v>
      </c>
      <c r="AI148" s="676">
        <f>SUM('7층_부하량(월간_AVG)'!D103:F103)</f>
        <v>0</v>
      </c>
      <c r="AJ148" s="1298">
        <f t="shared" ref="AJ148" si="45">AH148+AI148</f>
        <v>0</v>
      </c>
      <c r="AK148" s="2816" t="e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8" s="2817" t="e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8" s="3240">
        <f>VLOOKUP(J148&amp;K148,'7층~4층_매핑테이블'!$Y$6:$AF$2020,8,0)</f>
        <v>1.9810000000000001</v>
      </c>
      <c r="AN148" s="3230" t="e">
        <f t="shared" si="38"/>
        <v>#N/A</v>
      </c>
      <c r="AO148" s="2597"/>
      <c r="AP148" s="2599"/>
      <c r="AR148" s="2351" t="e">
        <f t="shared" si="39"/>
        <v>#N/A</v>
      </c>
      <c r="AS148" s="2351" t="e">
        <f t="shared" si="40"/>
        <v>#N/A</v>
      </c>
      <c r="AT148" s="123" t="e">
        <f>IF(SIGN(AS148)&gt;=0,IF(AN148=0,"무부하 랙","적정함"),"사용초과")</f>
        <v>#N/A</v>
      </c>
      <c r="AU148" t="e">
        <f t="shared" si="36"/>
        <v>#N/A</v>
      </c>
      <c r="AV148" t="e">
        <f t="shared" si="37"/>
        <v>#N/A</v>
      </c>
      <c r="BA148" s="123"/>
      <c r="BB148" s="123"/>
      <c r="BC148" s="123"/>
      <c r="BD148" s="2997"/>
      <c r="BE148" s="123"/>
      <c r="BF148" s="2998"/>
      <c r="BG148" s="2999"/>
      <c r="BH148" s="3005"/>
      <c r="BI148" s="3000"/>
      <c r="BJ148" s="3001"/>
      <c r="BK148" s="3002"/>
      <c r="BL148" s="3003"/>
      <c r="BM148" s="3004"/>
    </row>
    <row r="149" spans="1:65" ht="54" customHeight="1" x14ac:dyDescent="0.25">
      <c r="A149" s="2824"/>
      <c r="B149" s="3362" t="s">
        <v>494</v>
      </c>
      <c r="C149" s="3376" t="s">
        <v>495</v>
      </c>
      <c r="D149" s="3378" t="s">
        <v>9249</v>
      </c>
      <c r="E149" s="2878"/>
      <c r="F149" s="2592"/>
      <c r="G149" s="2592" t="s">
        <v>27</v>
      </c>
      <c r="H149" s="1805" t="s">
        <v>8986</v>
      </c>
      <c r="I149" s="1837" t="s">
        <v>8987</v>
      </c>
      <c r="J149" s="1805" t="str">
        <f>"7-DaHall 1-"&amp;N149&amp;"-"&amp;M149&amp;"-"&amp;O149</f>
        <v>7-DaHall 1-A-1-35-44</v>
      </c>
      <c r="K149" s="1837" t="str">
        <f>"7-DaHall 1-"&amp;R149&amp;"-"&amp;Q149&amp;"-"&amp;S149</f>
        <v>7-DaHall 1-B-1-35-6</v>
      </c>
      <c r="L149" s="1807">
        <v>48</v>
      </c>
      <c r="M149" s="1808">
        <v>35</v>
      </c>
      <c r="N149" s="2594" t="s">
        <v>293</v>
      </c>
      <c r="O149" s="1809">
        <v>44</v>
      </c>
      <c r="P149" s="1847">
        <v>48</v>
      </c>
      <c r="Q149" s="1848">
        <v>35</v>
      </c>
      <c r="R149" s="2578" t="s">
        <v>294</v>
      </c>
      <c r="S149" s="1838">
        <v>6</v>
      </c>
      <c r="T149" s="2594" t="s">
        <v>496</v>
      </c>
      <c r="U149" s="2578" t="s">
        <v>497</v>
      </c>
      <c r="V149" s="2594" t="s">
        <v>297</v>
      </c>
      <c r="W149" s="2578" t="s">
        <v>298</v>
      </c>
      <c r="X149" s="2594" t="s">
        <v>435</v>
      </c>
      <c r="Y149" s="2578" t="s">
        <v>436</v>
      </c>
      <c r="Z149" s="2594" t="s">
        <v>49</v>
      </c>
      <c r="AA149" s="2578" t="s">
        <v>50</v>
      </c>
      <c r="AB149" s="2146" t="s">
        <v>51</v>
      </c>
      <c r="AC149" s="903" t="s">
        <v>52</v>
      </c>
      <c r="AD149" s="2146" t="s">
        <v>30</v>
      </c>
      <c r="AE149" s="903" t="s">
        <v>35</v>
      </c>
      <c r="AF149" s="2146" t="s">
        <v>31</v>
      </c>
      <c r="AG149" s="903" t="s">
        <v>36</v>
      </c>
      <c r="AH149" s="681"/>
      <c r="AI149" s="676"/>
      <c r="AJ149" s="2915"/>
      <c r="AK149" s="2916"/>
      <c r="AL149" s="2819"/>
      <c r="AM149" s="3240" t="e">
        <f>VLOOKUP(J149&amp;K149,'7층~4층_매핑테이블'!$Y$6:$AF$2020,8,0)</f>
        <v>#N/A</v>
      </c>
      <c r="AN149" s="3229">
        <f t="shared" si="38"/>
        <v>0</v>
      </c>
      <c r="AO149" s="2597"/>
      <c r="AP149" s="2599"/>
      <c r="AR149" s="2351">
        <f t="shared" si="39"/>
        <v>0</v>
      </c>
      <c r="AS149" s="2351">
        <f t="shared" si="40"/>
        <v>0</v>
      </c>
      <c r="AT149" s="123" t="str">
        <f t="shared" si="41"/>
        <v>미사용 랙</v>
      </c>
      <c r="AU149" t="str">
        <f t="shared" si="36"/>
        <v/>
      </c>
      <c r="AV149" t="str">
        <f t="shared" si="37"/>
        <v/>
      </c>
      <c r="BA149" s="123"/>
      <c r="BB149" s="123"/>
      <c r="BC149" s="123"/>
      <c r="BD149" s="2997"/>
      <c r="BE149" s="123"/>
      <c r="BF149" s="2998"/>
      <c r="BG149" s="2999"/>
      <c r="BH149" s="3005"/>
      <c r="BI149" s="3000"/>
      <c r="BJ149" s="3001"/>
      <c r="BK149" s="3002"/>
      <c r="BL149" s="3003"/>
      <c r="BM149" s="3004"/>
    </row>
    <row r="150" spans="1:65" ht="40.200000000000003" customHeight="1" x14ac:dyDescent="0.25">
      <c r="A150" s="2824"/>
      <c r="B150" s="3363"/>
      <c r="C150" s="3406"/>
      <c r="D150" s="3405"/>
      <c r="E150" s="2960">
        <v>1.6</v>
      </c>
      <c r="F150" s="2566" t="s">
        <v>27</v>
      </c>
      <c r="G150" s="2566"/>
      <c r="H150" s="1825" t="s">
        <v>8988</v>
      </c>
      <c r="I150" s="1833" t="s">
        <v>8989</v>
      </c>
      <c r="J150" s="1825" t="str">
        <f>"7-DaHall 1-"&amp;N150&amp;"-"&amp;M150&amp;"-"&amp;O150</f>
        <v>7-DaHall 1-RPP-01-30-10</v>
      </c>
      <c r="K150" s="1833" t="str">
        <f>"7-DaHall 1-"&amp;R150&amp;"-"&amp;Q150&amp;"-"&amp;S150</f>
        <v>7-DaHall 1-RPP-02-20-15</v>
      </c>
      <c r="L150" s="1827">
        <v>220</v>
      </c>
      <c r="M150" s="1828">
        <v>30</v>
      </c>
      <c r="N150" s="703" t="s">
        <v>8775</v>
      </c>
      <c r="O150" s="1829">
        <v>10</v>
      </c>
      <c r="P150" s="1834">
        <v>220</v>
      </c>
      <c r="Q150" s="1835">
        <v>20</v>
      </c>
      <c r="R150" s="687" t="s">
        <v>8776</v>
      </c>
      <c r="S150" s="1836">
        <v>15</v>
      </c>
      <c r="T150" s="703" t="s">
        <v>498</v>
      </c>
      <c r="U150" s="687" t="s">
        <v>499</v>
      </c>
      <c r="V150" s="2594" t="s">
        <v>500</v>
      </c>
      <c r="W150" s="2578" t="s">
        <v>501</v>
      </c>
      <c r="X150" s="2146" t="s">
        <v>450</v>
      </c>
      <c r="Y150" s="903" t="s">
        <v>460</v>
      </c>
      <c r="Z150" s="2146" t="s">
        <v>451</v>
      </c>
      <c r="AA150" s="903" t="s">
        <v>461</v>
      </c>
      <c r="AB150" s="2146" t="s">
        <v>51</v>
      </c>
      <c r="AC150" s="903" t="s">
        <v>52</v>
      </c>
      <c r="AD150" s="2146" t="s">
        <v>30</v>
      </c>
      <c r="AE150" s="903" t="s">
        <v>35</v>
      </c>
      <c r="AF150" s="2146" t="s">
        <v>31</v>
      </c>
      <c r="AG150" s="903" t="s">
        <v>36</v>
      </c>
      <c r="AH150" s="681">
        <f>SUM('7층_부하량(월간_AVG)'!N10:P10)</f>
        <v>0</v>
      </c>
      <c r="AI150" s="676">
        <f>SUM('7층_부하량(월간_AVG)'!D102:F102)</f>
        <v>0</v>
      </c>
      <c r="AJ150" s="1298">
        <f t="shared" ref="AJ150" si="46">AH150+AI150</f>
        <v>0</v>
      </c>
      <c r="AK150" s="2816" t="e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50" s="2817" t="e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50" s="3240">
        <f>VLOOKUP(J150&amp;K150,'7층~4층_매핑테이블'!$Y$6:$AF$2020,8,0)</f>
        <v>0.71199999999999997</v>
      </c>
      <c r="AN150" s="3230" t="e">
        <f t="shared" si="38"/>
        <v>#N/A</v>
      </c>
      <c r="AO150" s="2597"/>
      <c r="AP150" s="2599"/>
      <c r="AR150" s="2351" t="e">
        <f t="shared" si="39"/>
        <v>#N/A</v>
      </c>
      <c r="AS150" s="2351" t="e">
        <f t="shared" si="40"/>
        <v>#N/A</v>
      </c>
      <c r="AT150" s="123" t="e">
        <f>IF(SIGN(AS150)&gt;=0,IF(AN150=0,"무부하 랙","적정함"),"사용초과")</f>
        <v>#N/A</v>
      </c>
      <c r="AU150" t="e">
        <f t="shared" si="36"/>
        <v>#N/A</v>
      </c>
      <c r="AV150" t="e">
        <f t="shared" si="37"/>
        <v>#N/A</v>
      </c>
      <c r="BA150" s="123"/>
      <c r="BB150" s="123"/>
      <c r="BC150" s="123"/>
      <c r="BD150" s="2997"/>
      <c r="BE150" s="123"/>
      <c r="BF150" s="2998"/>
      <c r="BG150" s="2999"/>
      <c r="BH150" s="3005"/>
      <c r="BI150" s="3000"/>
      <c r="BJ150" s="3001"/>
      <c r="BK150" s="3002"/>
      <c r="BL150" s="3003"/>
      <c r="BM150" s="3004"/>
    </row>
    <row r="151" spans="1:65" ht="54" customHeight="1" x14ac:dyDescent="0.25">
      <c r="A151" s="2824"/>
      <c r="B151" s="3362" t="s">
        <v>486</v>
      </c>
      <c r="C151" s="3376" t="s">
        <v>487</v>
      </c>
      <c r="D151" s="3378" t="s">
        <v>9249</v>
      </c>
      <c r="E151" s="2878"/>
      <c r="F151" s="2592"/>
      <c r="G151" s="2592" t="s">
        <v>27</v>
      </c>
      <c r="H151" s="1805" t="s">
        <v>8990</v>
      </c>
      <c r="I151" s="1837" t="s">
        <v>8991</v>
      </c>
      <c r="J151" s="1805" t="str">
        <f>"7-DaHall 1-"&amp;N151&amp;"-"&amp;M151&amp;"-"&amp;O151</f>
        <v>7-DaHall 1-A-1-35-43</v>
      </c>
      <c r="K151" s="1837" t="str">
        <f>"7-DaHall 1-"&amp;R151&amp;"-"&amp;Q151&amp;"-"&amp;S151</f>
        <v>7-DaHall 1-B-1-35-5</v>
      </c>
      <c r="L151" s="1807">
        <v>48</v>
      </c>
      <c r="M151" s="1808">
        <v>35</v>
      </c>
      <c r="N151" s="2594" t="s">
        <v>293</v>
      </c>
      <c r="O151" s="1809">
        <v>43</v>
      </c>
      <c r="P151" s="1847">
        <v>48</v>
      </c>
      <c r="Q151" s="1848">
        <v>35</v>
      </c>
      <c r="R151" s="2578" t="s">
        <v>294</v>
      </c>
      <c r="S151" s="1838">
        <v>5</v>
      </c>
      <c r="T151" s="2594" t="s">
        <v>488</v>
      </c>
      <c r="U151" s="2578" t="s">
        <v>489</v>
      </c>
      <c r="V151" s="2558" t="s">
        <v>297</v>
      </c>
      <c r="W151" s="2560" t="s">
        <v>298</v>
      </c>
      <c r="X151" s="2558" t="s">
        <v>435</v>
      </c>
      <c r="Y151" s="2560" t="s">
        <v>436</v>
      </c>
      <c r="Z151" s="2558" t="s">
        <v>49</v>
      </c>
      <c r="AA151" s="2560" t="s">
        <v>50</v>
      </c>
      <c r="AB151" s="2146" t="s">
        <v>51</v>
      </c>
      <c r="AC151" s="903" t="s">
        <v>52</v>
      </c>
      <c r="AD151" s="2146" t="s">
        <v>30</v>
      </c>
      <c r="AE151" s="903" t="s">
        <v>35</v>
      </c>
      <c r="AF151" s="2146" t="s">
        <v>31</v>
      </c>
      <c r="AG151" s="903" t="s">
        <v>36</v>
      </c>
      <c r="AH151" s="675"/>
      <c r="AI151" s="676"/>
      <c r="AJ151" s="2915"/>
      <c r="AK151" s="2916"/>
      <c r="AL151" s="2819"/>
      <c r="AM151" s="3240" t="e">
        <f>VLOOKUP(J151&amp;K151,'7층~4층_매핑테이블'!$Y$6:$AF$2020,8,0)</f>
        <v>#N/A</v>
      </c>
      <c r="AN151" s="3229">
        <f t="shared" si="38"/>
        <v>0</v>
      </c>
      <c r="AO151" s="2597"/>
      <c r="AP151" s="2599"/>
      <c r="AR151" s="2351">
        <f t="shared" si="39"/>
        <v>0</v>
      </c>
      <c r="AS151" s="2351">
        <f t="shared" si="40"/>
        <v>0</v>
      </c>
      <c r="AT151" s="123" t="str">
        <f t="shared" si="41"/>
        <v>미사용 랙</v>
      </c>
      <c r="AU151" t="str">
        <f t="shared" si="36"/>
        <v/>
      </c>
      <c r="AV151" t="str">
        <f t="shared" si="37"/>
        <v/>
      </c>
      <c r="BA151" s="123"/>
      <c r="BB151" s="123"/>
      <c r="BC151" s="123"/>
      <c r="BD151" s="2997"/>
      <c r="BE151" s="123"/>
      <c r="BF151" s="2998"/>
      <c r="BG151" s="2999"/>
      <c r="BH151" s="3005"/>
      <c r="BI151" s="3000"/>
      <c r="BJ151" s="3001"/>
      <c r="BK151" s="3002"/>
      <c r="BL151" s="3003"/>
      <c r="BM151" s="3004"/>
    </row>
    <row r="152" spans="1:65" ht="62.4" x14ac:dyDescent="0.25">
      <c r="A152" s="2824"/>
      <c r="B152" s="3363"/>
      <c r="C152" s="3406"/>
      <c r="D152" s="3405"/>
      <c r="E152" s="2960">
        <v>1.6</v>
      </c>
      <c r="F152" s="2566" t="s">
        <v>27</v>
      </c>
      <c r="G152" s="2566"/>
      <c r="H152" s="1825" t="s">
        <v>8992</v>
      </c>
      <c r="I152" s="1833" t="s">
        <v>8993</v>
      </c>
      <c r="J152" s="1825" t="str">
        <f>"7-DaHall 1-"&amp;N152&amp;"-"&amp;M152&amp;"-"&amp;O152</f>
        <v>7-DaHall 1-RPP-01-30-8</v>
      </c>
      <c r="K152" s="1833" t="str">
        <f>"7-DaHall 1-"&amp;R152&amp;"-"&amp;Q152&amp;"-"&amp;S152</f>
        <v>7-DaHall 1-RPP-02-20-13</v>
      </c>
      <c r="L152" s="1827">
        <v>220</v>
      </c>
      <c r="M152" s="1828">
        <v>30</v>
      </c>
      <c r="N152" s="703" t="s">
        <v>8775</v>
      </c>
      <c r="O152" s="1829">
        <v>8</v>
      </c>
      <c r="P152" s="1834">
        <v>220</v>
      </c>
      <c r="Q152" s="1835">
        <v>20</v>
      </c>
      <c r="R152" s="687" t="s">
        <v>8776</v>
      </c>
      <c r="S152" s="1836">
        <v>13</v>
      </c>
      <c r="T152" s="703" t="s">
        <v>490</v>
      </c>
      <c r="U152" s="687" t="s">
        <v>491</v>
      </c>
      <c r="V152" s="2594" t="s">
        <v>492</v>
      </c>
      <c r="W152" s="2578" t="s">
        <v>493</v>
      </c>
      <c r="X152" s="2594" t="s">
        <v>450</v>
      </c>
      <c r="Y152" s="2578" t="s">
        <v>460</v>
      </c>
      <c r="Z152" s="2594" t="s">
        <v>451</v>
      </c>
      <c r="AA152" s="2578" t="s">
        <v>461</v>
      </c>
      <c r="AB152" s="2146" t="s">
        <v>51</v>
      </c>
      <c r="AC152" s="903" t="s">
        <v>52</v>
      </c>
      <c r="AD152" s="2146" t="s">
        <v>30</v>
      </c>
      <c r="AE152" s="903" t="s">
        <v>35</v>
      </c>
      <c r="AF152" s="2146" t="s">
        <v>31</v>
      </c>
      <c r="AG152" s="903" t="s">
        <v>36</v>
      </c>
      <c r="AH152" s="681">
        <f>SUM('7층_부하량(월간_AVG)'!N9:P9)</f>
        <v>0</v>
      </c>
      <c r="AI152" s="676">
        <f>SUM('7층_부하량(월간_AVG)'!D101:F101)</f>
        <v>0</v>
      </c>
      <c r="AJ152" s="1298">
        <f t="shared" ref="AJ152" si="47">AH152+AI152</f>
        <v>0</v>
      </c>
      <c r="AK152" s="2816" t="e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2" s="2817" t="e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2" s="3240">
        <f>VLOOKUP(J152&amp;K152,'7층~4층_매핑테이블'!$Y$6:$AF$2020,8,0)</f>
        <v>1.022</v>
      </c>
      <c r="AN152" s="3230" t="e">
        <f t="shared" si="38"/>
        <v>#N/A</v>
      </c>
      <c r="AO152" s="2597"/>
      <c r="AP152" s="2599"/>
      <c r="AR152" s="2351" t="e">
        <f t="shared" si="39"/>
        <v>#N/A</v>
      </c>
      <c r="AS152" s="2351" t="e">
        <f t="shared" si="40"/>
        <v>#N/A</v>
      </c>
      <c r="AT152" s="123" t="e">
        <f>IF(SIGN(AS152)&gt;=0,IF(AN152=0,"무부하 랙","적정함"),"사용초과")</f>
        <v>#N/A</v>
      </c>
      <c r="AU152" t="e">
        <f t="shared" si="36"/>
        <v>#N/A</v>
      </c>
      <c r="AV152" t="e">
        <f t="shared" si="37"/>
        <v>#N/A</v>
      </c>
      <c r="BA152" s="123"/>
      <c r="BB152" s="123"/>
      <c r="BC152" s="123"/>
      <c r="BD152" s="2997"/>
      <c r="BE152" s="123"/>
      <c r="BF152" s="2998"/>
      <c r="BG152" s="2999"/>
      <c r="BH152" s="3005"/>
      <c r="BI152" s="3000"/>
      <c r="BJ152" s="3001"/>
      <c r="BK152" s="3002"/>
      <c r="BL152" s="3003"/>
      <c r="BM152" s="3004"/>
    </row>
    <row r="153" spans="1:65" ht="62.4" x14ac:dyDescent="0.25">
      <c r="A153" s="2824"/>
      <c r="B153" s="2564" t="s">
        <v>481</v>
      </c>
      <c r="C153" s="2568" t="s">
        <v>482</v>
      </c>
      <c r="D153" s="2569" t="s">
        <v>9249</v>
      </c>
      <c r="E153" s="2958">
        <v>1.6</v>
      </c>
      <c r="F153" s="2564" t="s">
        <v>27</v>
      </c>
      <c r="G153" s="2564"/>
      <c r="H153" s="1866" t="s">
        <v>8994</v>
      </c>
      <c r="I153" s="1864" t="s">
        <v>8995</v>
      </c>
      <c r="J153" s="1825" t="str">
        <f>"7-DaHall 1-"&amp;R153&amp;"-"&amp;Q153&amp;"-"&amp;S153</f>
        <v>7-DaHall 1-PDU-01-30-8</v>
      </c>
      <c r="K153" s="1833" t="str">
        <f>"7-DaHall 1-"&amp;N153&amp;"-"&amp;M153&amp;"-"&amp;O153</f>
        <v>7-DaHall 1-RPP-02-20-9</v>
      </c>
      <c r="L153" s="1867">
        <v>220</v>
      </c>
      <c r="M153" s="1835">
        <v>20</v>
      </c>
      <c r="N153" s="687" t="s">
        <v>8776</v>
      </c>
      <c r="O153" s="1836">
        <v>9</v>
      </c>
      <c r="P153" s="1865">
        <v>220</v>
      </c>
      <c r="Q153" s="1828">
        <v>30</v>
      </c>
      <c r="R153" s="703" t="s">
        <v>8749</v>
      </c>
      <c r="S153" s="1829">
        <v>8</v>
      </c>
      <c r="T153" s="687" t="s">
        <v>483</v>
      </c>
      <c r="U153" s="703" t="s">
        <v>484</v>
      </c>
      <c r="V153" s="2578" t="s">
        <v>485</v>
      </c>
      <c r="W153" s="733"/>
      <c r="X153" s="2578" t="s">
        <v>460</v>
      </c>
      <c r="Y153" s="733"/>
      <c r="Z153" s="2560" t="s">
        <v>461</v>
      </c>
      <c r="AA153" s="733"/>
      <c r="AB153" s="2560" t="s">
        <v>52</v>
      </c>
      <c r="AC153" s="2594" t="s">
        <v>164</v>
      </c>
      <c r="AD153" s="2560" t="s">
        <v>35</v>
      </c>
      <c r="AE153" s="2594" t="s">
        <v>110</v>
      </c>
      <c r="AF153" s="2578" t="s">
        <v>36</v>
      </c>
      <c r="AG153" s="2594" t="s">
        <v>31</v>
      </c>
      <c r="AH153" s="922">
        <f>SUM('7층_부하량(월간_AVG)'!N66:P66)</f>
        <v>0</v>
      </c>
      <c r="AI153" s="901">
        <f>SUM('7층_부하량(월간_AVG)'!D99:F99)</f>
        <v>0</v>
      </c>
      <c r="AJ153" s="1298">
        <f>AI153+AH153</f>
        <v>0</v>
      </c>
      <c r="AK153" s="2816" t="e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3" s="2817" t="e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3" s="3240">
        <f>VLOOKUP(J153&amp;K153,'7층~4층_매핑테이블'!$Y$6:$AF$2020,8,0)</f>
        <v>0.82</v>
      </c>
      <c r="AN153" s="3230" t="e">
        <f t="shared" si="38"/>
        <v>#N/A</v>
      </c>
      <c r="AO153" s="2597"/>
      <c r="AP153" s="2599"/>
      <c r="AR153" s="2351" t="e">
        <f t="shared" si="39"/>
        <v>#N/A</v>
      </c>
      <c r="AS153" s="2351" t="e">
        <f t="shared" si="40"/>
        <v>#N/A</v>
      </c>
      <c r="AT153" s="123" t="e">
        <f>IF(SIGN(AS153)&gt;=0,IF(AN153=0,"무부하 랙","적정함"),"사용초과")</f>
        <v>#N/A</v>
      </c>
      <c r="AU153" t="e">
        <f t="shared" si="36"/>
        <v>#N/A</v>
      </c>
      <c r="AV153" t="e">
        <f t="shared" si="37"/>
        <v>#N/A</v>
      </c>
      <c r="BA153" s="123"/>
      <c r="BB153" s="123"/>
      <c r="BC153" s="123"/>
      <c r="BD153" s="2997"/>
      <c r="BE153" s="123"/>
      <c r="BF153" s="2998"/>
      <c r="BG153" s="2999"/>
      <c r="BH153" s="3005"/>
      <c r="BI153" s="3000"/>
      <c r="BJ153" s="3001"/>
      <c r="BK153" s="3002"/>
      <c r="BL153" s="3003"/>
      <c r="BM153" s="3004"/>
    </row>
    <row r="154" spans="1:65" ht="63" thickBot="1" x14ac:dyDescent="0.3">
      <c r="A154" s="2824"/>
      <c r="B154" s="2564" t="s">
        <v>479</v>
      </c>
      <c r="C154" s="1155" t="s">
        <v>480</v>
      </c>
      <c r="D154" s="2564" t="s">
        <v>9249</v>
      </c>
      <c r="E154" s="2957">
        <v>1.6</v>
      </c>
      <c r="F154" s="2564" t="s">
        <v>27</v>
      </c>
      <c r="G154" s="2564"/>
      <c r="H154" s="1879"/>
      <c r="I154" s="1875"/>
      <c r="J154" s="1879"/>
      <c r="K154" s="1875"/>
      <c r="L154" s="1880"/>
      <c r="M154" s="954"/>
      <c r="N154" s="954"/>
      <c r="O154" s="1881"/>
      <c r="P154" s="1876"/>
      <c r="Q154" s="1877"/>
      <c r="R154" s="940"/>
      <c r="S154" s="1878"/>
      <c r="T154" s="954"/>
      <c r="U154" s="940" t="s">
        <v>478</v>
      </c>
      <c r="V154" s="954"/>
      <c r="W154" s="939"/>
      <c r="X154" s="954"/>
      <c r="Y154" s="939"/>
      <c r="Z154" s="954"/>
      <c r="AA154" s="939"/>
      <c r="AB154" s="954"/>
      <c r="AC154" s="939"/>
      <c r="AD154" s="954"/>
      <c r="AE154" s="939"/>
      <c r="AF154" s="954"/>
      <c r="AG154" s="938"/>
      <c r="AH154" s="954"/>
      <c r="AI154" s="682"/>
      <c r="AJ154" s="1298">
        <f t="shared" ref="AJ154:AJ164" si="48">AH154+AI154</f>
        <v>0</v>
      </c>
      <c r="AK154" s="2816"/>
      <c r="AL154" s="2817"/>
      <c r="AM154" s="3240">
        <f>VLOOKUP(J154&amp;K154,'7층~4층_매핑테이블'!$Y$6:$AF$2020,8,0)</f>
        <v>0</v>
      </c>
      <c r="AN154" s="3230">
        <f t="shared" si="38"/>
        <v>0</v>
      </c>
      <c r="AO154" s="2597" t="s">
        <v>121</v>
      </c>
      <c r="AP154" s="2599"/>
      <c r="AR154" s="2351">
        <f t="shared" si="39"/>
        <v>0</v>
      </c>
      <c r="AS154" s="2351">
        <f t="shared" si="40"/>
        <v>1.6</v>
      </c>
      <c r="AT154" s="123" t="str">
        <f>IF(SIGN(AS154)&gt;=0,IF(AN154=0,"무부하 랙","적정함"),"사용초과")</f>
        <v>무부하 랙</v>
      </c>
      <c r="AU154" t="str">
        <f t="shared" si="36"/>
        <v/>
      </c>
      <c r="AV154" t="str">
        <f t="shared" si="37"/>
        <v/>
      </c>
      <c r="BA154" s="123"/>
      <c r="BB154" s="123"/>
      <c r="BC154" s="123"/>
      <c r="BD154" s="2997"/>
      <c r="BE154" s="123"/>
      <c r="BF154" s="2998"/>
      <c r="BG154" s="2999"/>
      <c r="BH154" s="3005"/>
      <c r="BI154" s="3000"/>
      <c r="BJ154" s="3001"/>
      <c r="BK154" s="3002"/>
      <c r="BL154" s="3003"/>
      <c r="BM154" s="3004"/>
    </row>
    <row r="155" spans="1:65" ht="63" thickBot="1" x14ac:dyDescent="0.3">
      <c r="A155" s="2813" t="s">
        <v>475</v>
      </c>
      <c r="B155" s="672" t="s">
        <v>476</v>
      </c>
      <c r="C155" s="1154" t="s">
        <v>477</v>
      </c>
      <c r="D155" s="672" t="s">
        <v>9249</v>
      </c>
      <c r="E155" s="2959">
        <v>1.6</v>
      </c>
      <c r="F155" s="672" t="s">
        <v>27</v>
      </c>
      <c r="G155" s="2570"/>
      <c r="H155" s="1821"/>
      <c r="I155" s="1875"/>
      <c r="J155" s="1821"/>
      <c r="K155" s="1875"/>
      <c r="L155" s="1822"/>
      <c r="M155" s="895"/>
      <c r="N155" s="895"/>
      <c r="O155" s="1824"/>
      <c r="P155" s="1876"/>
      <c r="Q155" s="1877"/>
      <c r="R155" s="940"/>
      <c r="S155" s="1878"/>
      <c r="T155" s="895"/>
      <c r="U155" s="940" t="s">
        <v>478</v>
      </c>
      <c r="V155" s="895"/>
      <c r="W155" s="941"/>
      <c r="X155" s="895"/>
      <c r="Y155" s="941"/>
      <c r="Z155" s="895"/>
      <c r="AA155" s="941"/>
      <c r="AB155" s="895"/>
      <c r="AC155" s="941"/>
      <c r="AD155" s="895"/>
      <c r="AE155" s="941"/>
      <c r="AF155" s="895"/>
      <c r="AG155" s="940"/>
      <c r="AH155" s="895"/>
      <c r="AI155" s="692"/>
      <c r="AJ155" s="2914">
        <f t="shared" si="48"/>
        <v>0</v>
      </c>
      <c r="AK155" s="2816"/>
      <c r="AL155" s="2817"/>
      <c r="AM155" s="3240">
        <f>VLOOKUP(J155&amp;K155,'7층~4층_매핑테이블'!$Y$6:$AF$2020,8,0)</f>
        <v>0</v>
      </c>
      <c r="AN155" s="3230">
        <f t="shared" si="38"/>
        <v>0</v>
      </c>
      <c r="AO155" s="882" t="s">
        <v>121</v>
      </c>
      <c r="AP155" s="674"/>
      <c r="AR155" s="2351">
        <f t="shared" si="39"/>
        <v>0</v>
      </c>
      <c r="AS155" s="2351">
        <f t="shared" si="40"/>
        <v>1.6</v>
      </c>
      <c r="AT155" s="123" t="str">
        <f>IF(SIGN(AS155)&gt;=0,IF(AN155=0,"무부하 랙","적정함"),"사용초과")</f>
        <v>무부하 랙</v>
      </c>
      <c r="AU155" t="str">
        <f t="shared" si="36"/>
        <v/>
      </c>
      <c r="AV155" t="str">
        <f t="shared" si="37"/>
        <v/>
      </c>
      <c r="BA155" s="123"/>
      <c r="BB155" s="123"/>
      <c r="BC155" s="123"/>
      <c r="BD155" s="2997"/>
      <c r="BE155" s="123"/>
      <c r="BF155" s="2998"/>
      <c r="BG155" s="2999"/>
      <c r="BH155" s="3005"/>
      <c r="BI155" s="3000"/>
      <c r="BJ155" s="3001"/>
      <c r="BK155" s="3002"/>
      <c r="BL155" s="3003"/>
      <c r="BM155" s="3004"/>
    </row>
    <row r="156" spans="1:65" ht="54.75" customHeight="1" thickBot="1" x14ac:dyDescent="0.3">
      <c r="A156" s="2824"/>
      <c r="B156" s="2564" t="s">
        <v>322</v>
      </c>
      <c r="C156" s="2141" t="s">
        <v>323</v>
      </c>
      <c r="D156" s="2564" t="s">
        <v>324</v>
      </c>
      <c r="E156" s="2564"/>
      <c r="F156" s="2564"/>
      <c r="G156" s="2564" t="s">
        <v>27</v>
      </c>
      <c r="H156" s="1805" t="s">
        <v>8996</v>
      </c>
      <c r="I156" s="1837" t="s">
        <v>8997</v>
      </c>
      <c r="J156" s="1805" t="str">
        <f>"7-DaHall 1-"&amp;N156&amp;"-"&amp;M156&amp;"-"&amp;O156</f>
        <v>7-DaHall 1-A-1-100-24</v>
      </c>
      <c r="K156" s="1837" t="str">
        <f>"7-DaHall 1-"&amp;R156&amp;"-"&amp;Q156&amp;"-"&amp;S156</f>
        <v>7-DaHall 1-B-1-100-24</v>
      </c>
      <c r="L156" s="1807">
        <v>48</v>
      </c>
      <c r="M156" s="1808">
        <v>100</v>
      </c>
      <c r="N156" s="2594" t="s">
        <v>293</v>
      </c>
      <c r="O156" s="1809">
        <v>24</v>
      </c>
      <c r="P156" s="1847">
        <v>48</v>
      </c>
      <c r="Q156" s="1848">
        <v>100</v>
      </c>
      <c r="R156" s="2578" t="s">
        <v>294</v>
      </c>
      <c r="S156" s="1838">
        <v>24</v>
      </c>
      <c r="T156" s="2594" t="s">
        <v>325</v>
      </c>
      <c r="U156" s="2578" t="s">
        <v>326</v>
      </c>
      <c r="V156" s="2828" t="s">
        <v>297</v>
      </c>
      <c r="W156" s="2827" t="s">
        <v>298</v>
      </c>
      <c r="X156" s="2146" t="s">
        <v>47</v>
      </c>
      <c r="Y156" s="903" t="s">
        <v>48</v>
      </c>
      <c r="Z156" s="2146" t="s">
        <v>49</v>
      </c>
      <c r="AA156" s="903" t="s">
        <v>50</v>
      </c>
      <c r="AB156" s="2146" t="s">
        <v>51</v>
      </c>
      <c r="AC156" s="903" t="s">
        <v>52</v>
      </c>
      <c r="AD156" s="2146" t="s">
        <v>30</v>
      </c>
      <c r="AE156" s="903" t="s">
        <v>35</v>
      </c>
      <c r="AF156" s="2848" t="s">
        <v>31</v>
      </c>
      <c r="AG156" s="2849" t="s">
        <v>36</v>
      </c>
      <c r="AH156" s="681"/>
      <c r="AI156" s="676"/>
      <c r="AJ156" s="2915"/>
      <c r="AK156" s="2916"/>
      <c r="AL156" s="2819"/>
      <c r="AM156" s="3240" t="e">
        <f>VLOOKUP(J156&amp;K156,'7층~4층_매핑테이블'!$Y$6:$AF$2020,8,0)</f>
        <v>#N/A</v>
      </c>
      <c r="AN156" s="3229">
        <f t="shared" si="38"/>
        <v>0</v>
      </c>
      <c r="AO156" s="2597" t="s">
        <v>327</v>
      </c>
      <c r="AP156" s="2585"/>
      <c r="AR156" s="2351">
        <f t="shared" si="39"/>
        <v>0</v>
      </c>
      <c r="AS156" s="2351">
        <f t="shared" si="40"/>
        <v>0</v>
      </c>
      <c r="AT156" s="123" t="str">
        <f t="shared" si="41"/>
        <v>미사용 랙</v>
      </c>
      <c r="AU156" t="str">
        <f t="shared" si="36"/>
        <v/>
      </c>
      <c r="AV156" t="str">
        <f t="shared" si="37"/>
        <v/>
      </c>
      <c r="BA156" s="123"/>
      <c r="BB156" s="123"/>
      <c r="BC156" s="123"/>
      <c r="BD156" s="2997"/>
      <c r="BE156" s="123"/>
      <c r="BF156" s="2998"/>
      <c r="BG156" s="2999"/>
      <c r="BH156" s="3005"/>
      <c r="BI156" s="3000"/>
      <c r="BJ156" s="3001"/>
      <c r="BK156" s="3002"/>
      <c r="BL156" s="3003"/>
      <c r="BM156" s="3004"/>
    </row>
    <row r="157" spans="1:65" ht="54.75" customHeight="1" thickBot="1" x14ac:dyDescent="0.3">
      <c r="A157" s="2824"/>
      <c r="B157" s="2564" t="s">
        <v>316</v>
      </c>
      <c r="C157" s="2141" t="s">
        <v>317</v>
      </c>
      <c r="D157" s="2564" t="s">
        <v>318</v>
      </c>
      <c r="E157" s="2564"/>
      <c r="F157" s="2564"/>
      <c r="G157" s="2564" t="s">
        <v>27</v>
      </c>
      <c r="H157" s="1805" t="s">
        <v>8998</v>
      </c>
      <c r="I157" s="1837" t="s">
        <v>8999</v>
      </c>
      <c r="J157" s="1805" t="str">
        <f t="shared" ref="J157:J169" si="49">"7-DaHall 1-"&amp;N157&amp;"-"&amp;M157&amp;"-"&amp;O157</f>
        <v>7-DaHall 1-A-1-100-7</v>
      </c>
      <c r="K157" s="1837" t="str">
        <f t="shared" ref="K157:K169" si="50">"7-DaHall 1-"&amp;R157&amp;"-"&amp;Q157&amp;"-"&amp;S157</f>
        <v>7-DaHall 1-B-1-100-7</v>
      </c>
      <c r="L157" s="1807">
        <v>48</v>
      </c>
      <c r="M157" s="1808">
        <v>100</v>
      </c>
      <c r="N157" s="2594" t="s">
        <v>293</v>
      </c>
      <c r="O157" s="1809">
        <v>7</v>
      </c>
      <c r="P157" s="1847">
        <v>48</v>
      </c>
      <c r="Q157" s="1848">
        <v>100</v>
      </c>
      <c r="R157" s="2578" t="s">
        <v>294</v>
      </c>
      <c r="S157" s="1838">
        <v>7</v>
      </c>
      <c r="T157" s="2594" t="s">
        <v>319</v>
      </c>
      <c r="U157" s="2578" t="s">
        <v>320</v>
      </c>
      <c r="V157" s="2828" t="s">
        <v>297</v>
      </c>
      <c r="W157" s="2827" t="s">
        <v>298</v>
      </c>
      <c r="X157" s="2146" t="s">
        <v>47</v>
      </c>
      <c r="Y157" s="903" t="s">
        <v>48</v>
      </c>
      <c r="Z157" s="2146" t="s">
        <v>49</v>
      </c>
      <c r="AA157" s="903" t="s">
        <v>50</v>
      </c>
      <c r="AB157" s="2146" t="s">
        <v>51</v>
      </c>
      <c r="AC157" s="903" t="s">
        <v>52</v>
      </c>
      <c r="AD157" s="2146" t="s">
        <v>30</v>
      </c>
      <c r="AE157" s="903" t="s">
        <v>35</v>
      </c>
      <c r="AF157" s="2848" t="s">
        <v>31</v>
      </c>
      <c r="AG157" s="2849" t="s">
        <v>36</v>
      </c>
      <c r="AH157" s="681"/>
      <c r="AI157" s="676"/>
      <c r="AJ157" s="2915"/>
      <c r="AK157" s="2916"/>
      <c r="AL157" s="2819"/>
      <c r="AM157" s="3240" t="e">
        <f>VLOOKUP(J157&amp;K157,'7층~4층_매핑테이블'!$Y$6:$AF$2020,8,0)</f>
        <v>#N/A</v>
      </c>
      <c r="AN157" s="3229">
        <f t="shared" si="38"/>
        <v>0</v>
      </c>
      <c r="AO157" s="2597" t="s">
        <v>321</v>
      </c>
      <c r="AP157" s="2599"/>
      <c r="AR157" s="2351">
        <f t="shared" si="39"/>
        <v>0</v>
      </c>
      <c r="AS157" s="2351">
        <f t="shared" si="40"/>
        <v>0</v>
      </c>
      <c r="AT157" s="123" t="str">
        <f t="shared" si="41"/>
        <v>미사용 랙</v>
      </c>
      <c r="AU157" t="str">
        <f t="shared" si="36"/>
        <v/>
      </c>
      <c r="AV157" t="str">
        <f t="shared" si="37"/>
        <v/>
      </c>
      <c r="BA157" s="123"/>
      <c r="BB157" s="123"/>
      <c r="BC157" s="123"/>
      <c r="BD157" s="2997"/>
      <c r="BE157" s="123"/>
      <c r="BF157" s="2998"/>
      <c r="BG157" s="2999"/>
      <c r="BH157" s="3005"/>
      <c r="BI157" s="3000"/>
      <c r="BJ157" s="3001"/>
      <c r="BK157" s="3002"/>
      <c r="BL157" s="3003"/>
      <c r="BM157" s="3004"/>
    </row>
    <row r="158" spans="1:65" ht="54.75" customHeight="1" thickBot="1" x14ac:dyDescent="0.3">
      <c r="A158" s="2824"/>
      <c r="B158" s="2564" t="s">
        <v>310</v>
      </c>
      <c r="C158" s="2141" t="s">
        <v>311</v>
      </c>
      <c r="D158" s="2564" t="s">
        <v>312</v>
      </c>
      <c r="E158" s="2564"/>
      <c r="F158" s="2564"/>
      <c r="G158" s="2564" t="s">
        <v>27</v>
      </c>
      <c r="H158" s="1805" t="s">
        <v>9000</v>
      </c>
      <c r="I158" s="1837" t="s">
        <v>9001</v>
      </c>
      <c r="J158" s="1805" t="str">
        <f t="shared" si="49"/>
        <v>7-DaHall 1-A-1-50-57</v>
      </c>
      <c r="K158" s="1837" t="str">
        <f t="shared" si="50"/>
        <v>7-DaHall 1-B-1-50-57</v>
      </c>
      <c r="L158" s="1807">
        <v>48</v>
      </c>
      <c r="M158" s="1808">
        <v>50</v>
      </c>
      <c r="N158" s="2594" t="s">
        <v>293</v>
      </c>
      <c r="O158" s="1809">
        <v>57</v>
      </c>
      <c r="P158" s="1847">
        <v>48</v>
      </c>
      <c r="Q158" s="1848">
        <v>50</v>
      </c>
      <c r="R158" s="2578" t="s">
        <v>294</v>
      </c>
      <c r="S158" s="1838">
        <v>57</v>
      </c>
      <c r="T158" s="2594" t="s">
        <v>313</v>
      </c>
      <c r="U158" s="2578" t="s">
        <v>314</v>
      </c>
      <c r="V158" s="2828" t="s">
        <v>297</v>
      </c>
      <c r="W158" s="2827" t="s">
        <v>298</v>
      </c>
      <c r="X158" s="2146" t="s">
        <v>47</v>
      </c>
      <c r="Y158" s="903" t="s">
        <v>48</v>
      </c>
      <c r="Z158" s="2146" t="s">
        <v>49</v>
      </c>
      <c r="AA158" s="903" t="s">
        <v>50</v>
      </c>
      <c r="AB158" s="2146" t="s">
        <v>51</v>
      </c>
      <c r="AC158" s="903" t="s">
        <v>52</v>
      </c>
      <c r="AD158" s="2146" t="s">
        <v>30</v>
      </c>
      <c r="AE158" s="903" t="s">
        <v>35</v>
      </c>
      <c r="AF158" s="2848" t="s">
        <v>31</v>
      </c>
      <c r="AG158" s="2849" t="s">
        <v>36</v>
      </c>
      <c r="AH158" s="681"/>
      <c r="AI158" s="676"/>
      <c r="AJ158" s="2915"/>
      <c r="AK158" s="2916"/>
      <c r="AL158" s="2819"/>
      <c r="AM158" s="3240" t="e">
        <f>VLOOKUP(J158&amp;K158,'7층~4층_매핑테이블'!$Y$6:$AF$2020,8,0)</f>
        <v>#N/A</v>
      </c>
      <c r="AN158" s="3229">
        <f t="shared" si="38"/>
        <v>0</v>
      </c>
      <c r="AO158" s="2597" t="s">
        <v>315</v>
      </c>
      <c r="AP158" s="2599"/>
      <c r="AR158" s="2351">
        <f t="shared" si="39"/>
        <v>0</v>
      </c>
      <c r="AS158" s="2351">
        <f t="shared" si="40"/>
        <v>0</v>
      </c>
      <c r="AT158" s="123" t="str">
        <f t="shared" si="41"/>
        <v>미사용 랙</v>
      </c>
      <c r="AU158" t="str">
        <f t="shared" si="36"/>
        <v/>
      </c>
      <c r="AV158" t="str">
        <f t="shared" si="37"/>
        <v/>
      </c>
      <c r="BA158" s="123"/>
      <c r="BB158" s="123"/>
      <c r="BC158" s="123"/>
      <c r="BD158" s="2997"/>
      <c r="BE158" s="123"/>
      <c r="BF158" s="2998"/>
      <c r="BG158" s="2999"/>
      <c r="BH158" s="3005"/>
      <c r="BI158" s="3000"/>
      <c r="BJ158" s="3001"/>
      <c r="BK158" s="3002"/>
      <c r="BL158" s="3003"/>
      <c r="BM158" s="3004"/>
    </row>
    <row r="159" spans="1:65" ht="54.75" customHeight="1" thickBot="1" x14ac:dyDescent="0.3">
      <c r="A159" s="2824"/>
      <c r="B159" s="2564" t="s">
        <v>304</v>
      </c>
      <c r="C159" s="2141" t="s">
        <v>305</v>
      </c>
      <c r="D159" s="2564" t="s">
        <v>306</v>
      </c>
      <c r="E159" s="2564"/>
      <c r="F159" s="2564"/>
      <c r="G159" s="2564" t="s">
        <v>27</v>
      </c>
      <c r="H159" s="1805" t="s">
        <v>9002</v>
      </c>
      <c r="I159" s="1837" t="s">
        <v>9003</v>
      </c>
      <c r="J159" s="1805" t="str">
        <f t="shared" si="49"/>
        <v>7-DaHall 1-A-1-50-21</v>
      </c>
      <c r="K159" s="1837" t="str">
        <f t="shared" si="50"/>
        <v>7-DaHall 1-B-1-50-21</v>
      </c>
      <c r="L159" s="1807">
        <v>48</v>
      </c>
      <c r="M159" s="1808">
        <v>50</v>
      </c>
      <c r="N159" s="2594" t="s">
        <v>293</v>
      </c>
      <c r="O159" s="1809">
        <v>21</v>
      </c>
      <c r="P159" s="1847">
        <v>48</v>
      </c>
      <c r="Q159" s="1848">
        <v>50</v>
      </c>
      <c r="R159" s="2578" t="s">
        <v>294</v>
      </c>
      <c r="S159" s="1838">
        <v>21</v>
      </c>
      <c r="T159" s="2594" t="s">
        <v>307</v>
      </c>
      <c r="U159" s="2578" t="s">
        <v>308</v>
      </c>
      <c r="V159" s="2828" t="s">
        <v>297</v>
      </c>
      <c r="W159" s="2827" t="s">
        <v>298</v>
      </c>
      <c r="X159" s="2146" t="s">
        <v>47</v>
      </c>
      <c r="Y159" s="903" t="s">
        <v>48</v>
      </c>
      <c r="Z159" s="2146" t="s">
        <v>49</v>
      </c>
      <c r="AA159" s="903" t="s">
        <v>50</v>
      </c>
      <c r="AB159" s="2146" t="s">
        <v>51</v>
      </c>
      <c r="AC159" s="903" t="s">
        <v>52</v>
      </c>
      <c r="AD159" s="2146" t="s">
        <v>30</v>
      </c>
      <c r="AE159" s="903" t="s">
        <v>35</v>
      </c>
      <c r="AF159" s="2848" t="s">
        <v>31</v>
      </c>
      <c r="AG159" s="2849" t="s">
        <v>36</v>
      </c>
      <c r="AH159" s="681"/>
      <c r="AI159" s="676"/>
      <c r="AJ159" s="2915"/>
      <c r="AK159" s="2916"/>
      <c r="AL159" s="2819"/>
      <c r="AM159" s="3240" t="e">
        <f>VLOOKUP(J159&amp;K159,'7층~4층_매핑테이블'!$Y$6:$AF$2020,8,0)</f>
        <v>#N/A</v>
      </c>
      <c r="AN159" s="3229">
        <f t="shared" si="38"/>
        <v>0</v>
      </c>
      <c r="AO159" s="2597" t="s">
        <v>309</v>
      </c>
      <c r="AP159" s="2599"/>
      <c r="AR159" s="2351">
        <f t="shared" si="39"/>
        <v>0</v>
      </c>
      <c r="AS159" s="2351">
        <f t="shared" si="40"/>
        <v>0</v>
      </c>
      <c r="AT159" s="123" t="str">
        <f t="shared" si="41"/>
        <v>미사용 랙</v>
      </c>
      <c r="AU159" t="str">
        <f t="shared" si="36"/>
        <v/>
      </c>
      <c r="AV159" t="str">
        <f t="shared" si="37"/>
        <v/>
      </c>
      <c r="BA159" s="123"/>
      <c r="BB159" s="123"/>
      <c r="BC159" s="123"/>
      <c r="BD159" s="2997"/>
      <c r="BE159" s="123"/>
      <c r="BF159" s="2998"/>
      <c r="BG159" s="2999"/>
      <c r="BH159" s="3005"/>
      <c r="BI159" s="3000"/>
      <c r="BJ159" s="3001"/>
      <c r="BK159" s="3002"/>
      <c r="BL159" s="3003"/>
      <c r="BM159" s="3004"/>
    </row>
    <row r="160" spans="1:65" ht="27" customHeight="1" thickBot="1" x14ac:dyDescent="0.3">
      <c r="A160" s="2824"/>
      <c r="B160" s="2564" t="s">
        <v>299</v>
      </c>
      <c r="C160" s="2141" t="s">
        <v>300</v>
      </c>
      <c r="D160" s="2564" t="s">
        <v>301</v>
      </c>
      <c r="E160" s="2564"/>
      <c r="F160" s="2564"/>
      <c r="G160" s="2564" t="s">
        <v>27</v>
      </c>
      <c r="H160" s="1805" t="s">
        <v>9004</v>
      </c>
      <c r="I160" s="1837" t="s">
        <v>9005</v>
      </c>
      <c r="J160" s="1805" t="str">
        <f t="shared" si="49"/>
        <v>7-DaHall 1-A-1-100-18</v>
      </c>
      <c r="K160" s="1837" t="str">
        <f t="shared" si="50"/>
        <v>7-DaHall 1-B-1-100-18</v>
      </c>
      <c r="L160" s="1807">
        <v>48</v>
      </c>
      <c r="M160" s="1808">
        <v>100</v>
      </c>
      <c r="N160" s="2594" t="s">
        <v>293</v>
      </c>
      <c r="O160" s="1809">
        <v>18</v>
      </c>
      <c r="P160" s="1847">
        <v>48</v>
      </c>
      <c r="Q160" s="1848">
        <v>100</v>
      </c>
      <c r="R160" s="2578" t="s">
        <v>294</v>
      </c>
      <c r="S160" s="1838">
        <v>18</v>
      </c>
      <c r="T160" s="2594" t="s">
        <v>302</v>
      </c>
      <c r="U160" s="2578" t="s">
        <v>303</v>
      </c>
      <c r="V160" s="2828" t="s">
        <v>297</v>
      </c>
      <c r="W160" s="2827" t="s">
        <v>298</v>
      </c>
      <c r="X160" s="2146" t="s">
        <v>47</v>
      </c>
      <c r="Y160" s="903" t="s">
        <v>48</v>
      </c>
      <c r="Z160" s="2146" t="s">
        <v>49</v>
      </c>
      <c r="AA160" s="903" t="s">
        <v>50</v>
      </c>
      <c r="AB160" s="2146" t="s">
        <v>51</v>
      </c>
      <c r="AC160" s="903" t="s">
        <v>52</v>
      </c>
      <c r="AD160" s="2146" t="s">
        <v>30</v>
      </c>
      <c r="AE160" s="903" t="s">
        <v>35</v>
      </c>
      <c r="AF160" s="2848" t="s">
        <v>31</v>
      </c>
      <c r="AG160" s="2849" t="s">
        <v>36</v>
      </c>
      <c r="AH160" s="681"/>
      <c r="AI160" s="676"/>
      <c r="AJ160" s="2915"/>
      <c r="AK160" s="2916"/>
      <c r="AL160" s="2819"/>
      <c r="AM160" s="3240" t="e">
        <f>VLOOKUP(J160&amp;K160,'7층~4층_매핑테이블'!$Y$6:$AF$2020,8,0)</f>
        <v>#N/A</v>
      </c>
      <c r="AN160" s="3229">
        <f t="shared" si="38"/>
        <v>0</v>
      </c>
      <c r="AO160" s="2597"/>
      <c r="AP160" s="2599"/>
      <c r="AR160" s="2351">
        <f t="shared" si="39"/>
        <v>0</v>
      </c>
      <c r="AS160" s="2351">
        <f t="shared" si="40"/>
        <v>0</v>
      </c>
      <c r="AT160" s="123" t="str">
        <f t="shared" si="41"/>
        <v>미사용 랙</v>
      </c>
      <c r="AU160" t="str">
        <f t="shared" si="36"/>
        <v/>
      </c>
      <c r="AV160" t="str">
        <f t="shared" si="37"/>
        <v/>
      </c>
      <c r="BA160" s="123"/>
      <c r="BB160" s="123"/>
      <c r="BC160" s="123"/>
      <c r="BD160" s="2997"/>
      <c r="BE160" s="123"/>
      <c r="BF160" s="2998"/>
      <c r="BG160" s="2999"/>
      <c r="BH160" s="3005"/>
      <c r="BI160" s="3000"/>
      <c r="BJ160" s="3001"/>
      <c r="BK160" s="3002"/>
      <c r="BL160" s="3003"/>
      <c r="BM160" s="3004"/>
    </row>
    <row r="161" spans="1:65" ht="27" customHeight="1" thickBot="1" x14ac:dyDescent="0.3">
      <c r="A161" s="2824"/>
      <c r="B161" s="2564" t="s">
        <v>290</v>
      </c>
      <c r="C161" s="2141" t="s">
        <v>291</v>
      </c>
      <c r="D161" s="2564" t="s">
        <v>292</v>
      </c>
      <c r="E161" s="2564"/>
      <c r="F161" s="2564"/>
      <c r="G161" s="2564" t="s">
        <v>27</v>
      </c>
      <c r="H161" s="1805" t="s">
        <v>9006</v>
      </c>
      <c r="I161" s="1837" t="s">
        <v>9007</v>
      </c>
      <c r="J161" s="1805" t="str">
        <f t="shared" si="49"/>
        <v>7-DaHall 1-A-1-100-23</v>
      </c>
      <c r="K161" s="1837" t="str">
        <f t="shared" si="50"/>
        <v>7-DaHall 1-B-1-100-23</v>
      </c>
      <c r="L161" s="1807">
        <v>48</v>
      </c>
      <c r="M161" s="1808">
        <v>100</v>
      </c>
      <c r="N161" s="2594" t="s">
        <v>293</v>
      </c>
      <c r="O161" s="1809">
        <v>23</v>
      </c>
      <c r="P161" s="1847">
        <v>48</v>
      </c>
      <c r="Q161" s="1848">
        <v>100</v>
      </c>
      <c r="R161" s="2578" t="s">
        <v>294</v>
      </c>
      <c r="S161" s="1838">
        <v>23</v>
      </c>
      <c r="T161" s="2594" t="s">
        <v>295</v>
      </c>
      <c r="U161" s="2578" t="s">
        <v>296</v>
      </c>
      <c r="V161" s="2828" t="s">
        <v>297</v>
      </c>
      <c r="W161" s="2827" t="s">
        <v>298</v>
      </c>
      <c r="X161" s="2146" t="s">
        <v>47</v>
      </c>
      <c r="Y161" s="903" t="s">
        <v>48</v>
      </c>
      <c r="Z161" s="2146" t="s">
        <v>49</v>
      </c>
      <c r="AA161" s="903" t="s">
        <v>50</v>
      </c>
      <c r="AB161" s="2146" t="s">
        <v>51</v>
      </c>
      <c r="AC161" s="903" t="s">
        <v>52</v>
      </c>
      <c r="AD161" s="2146" t="s">
        <v>30</v>
      </c>
      <c r="AE161" s="903" t="s">
        <v>35</v>
      </c>
      <c r="AF161" s="2848" t="s">
        <v>31</v>
      </c>
      <c r="AG161" s="2849" t="s">
        <v>36</v>
      </c>
      <c r="AH161" s="681"/>
      <c r="AI161" s="676"/>
      <c r="AJ161" s="2915"/>
      <c r="AK161" s="2916"/>
      <c r="AL161" s="2819"/>
      <c r="AM161" s="3240" t="e">
        <f>VLOOKUP(J161&amp;K161,'7층~4층_매핑테이블'!$Y$6:$AF$2020,8,0)</f>
        <v>#N/A</v>
      </c>
      <c r="AN161" s="3229">
        <f t="shared" si="38"/>
        <v>0</v>
      </c>
      <c r="AO161" s="2597"/>
      <c r="AP161" s="2599"/>
      <c r="AR161" s="2351">
        <f t="shared" si="39"/>
        <v>0</v>
      </c>
      <c r="AS161" s="2351">
        <f t="shared" si="40"/>
        <v>0</v>
      </c>
      <c r="AT161" s="123" t="str">
        <f t="shared" si="41"/>
        <v>미사용 랙</v>
      </c>
      <c r="AU161" t="str">
        <f t="shared" si="36"/>
        <v/>
      </c>
      <c r="AV161" t="str">
        <f t="shared" si="37"/>
        <v/>
      </c>
      <c r="BA161" s="123"/>
      <c r="BB161" s="123"/>
      <c r="BC161" s="123"/>
      <c r="BD161" s="2997"/>
      <c r="BE161" s="123"/>
      <c r="BF161" s="2998"/>
      <c r="BG161" s="2999"/>
      <c r="BH161" s="3005"/>
      <c r="BI161" s="3000"/>
      <c r="BJ161" s="3001"/>
      <c r="BK161" s="3002"/>
      <c r="BL161" s="3003"/>
      <c r="BM161" s="3004"/>
    </row>
    <row r="162" spans="1:65" ht="47.4" thickBot="1" x14ac:dyDescent="0.3">
      <c r="A162" s="2813" t="s">
        <v>284</v>
      </c>
      <c r="B162" s="672" t="s">
        <v>285</v>
      </c>
      <c r="C162" s="2144" t="s">
        <v>286</v>
      </c>
      <c r="D162" s="672" t="s">
        <v>9249</v>
      </c>
      <c r="E162" s="2959">
        <v>1.6</v>
      </c>
      <c r="F162" s="672" t="s">
        <v>27</v>
      </c>
      <c r="G162" s="672"/>
      <c r="H162" s="1825" t="s">
        <v>9008</v>
      </c>
      <c r="I162" s="1833" t="s">
        <v>9009</v>
      </c>
      <c r="J162" s="1825" t="str">
        <f t="shared" si="49"/>
        <v>7-DaHall 1-PDU-01-30-30</v>
      </c>
      <c r="K162" s="1833" t="str">
        <f t="shared" si="50"/>
        <v>7-DaHall 1-PDU-02-30-30</v>
      </c>
      <c r="L162" s="1827">
        <v>220</v>
      </c>
      <c r="M162" s="1828">
        <v>30</v>
      </c>
      <c r="N162" s="703" t="s">
        <v>8749</v>
      </c>
      <c r="O162" s="1829">
        <v>30</v>
      </c>
      <c r="P162" s="1834">
        <v>220</v>
      </c>
      <c r="Q162" s="1835">
        <v>30</v>
      </c>
      <c r="R162" s="687" t="s">
        <v>8750</v>
      </c>
      <c r="S162" s="1836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848" t="s">
        <v>31</v>
      </c>
      <c r="AG162" s="2849" t="s">
        <v>36</v>
      </c>
      <c r="AH162" s="680">
        <f>SUM('7층_부하량(월간_AVG)'!N77:P77)</f>
        <v>0</v>
      </c>
      <c r="AI162" s="1350">
        <f>SUM('7층_부하량(월간_AVG)'!N45:P45)</f>
        <v>0</v>
      </c>
      <c r="AJ162" s="1299">
        <f t="shared" si="48"/>
        <v>0</v>
      </c>
      <c r="AK162" s="2816" t="e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2" s="2817" t="e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2" s="3240">
        <f>VLOOKUP(J162&amp;K162,'7층~4층_매핑테이블'!$Y$6:$AF$2020,8,0)</f>
        <v>0.157</v>
      </c>
      <c r="AN162" s="3231" t="e">
        <f t="shared" si="38"/>
        <v>#N/A</v>
      </c>
      <c r="AO162" s="882"/>
      <c r="AP162" s="674"/>
      <c r="AR162" s="2351" t="e">
        <f t="shared" si="39"/>
        <v>#N/A</v>
      </c>
      <c r="AS162" s="2351" t="e">
        <f t="shared" si="40"/>
        <v>#N/A</v>
      </c>
      <c r="AT162" s="123" t="e">
        <f t="shared" ref="AT162:AT175" si="51">IF(SIGN(AS162)&gt;=0,IF(AN162=0,"무부하 랙","적정함"),"사용초과")</f>
        <v>#N/A</v>
      </c>
      <c r="AU162" t="e">
        <f t="shared" si="36"/>
        <v>#N/A</v>
      </c>
      <c r="AV162" t="e">
        <f t="shared" si="37"/>
        <v>#N/A</v>
      </c>
      <c r="BA162" s="123"/>
      <c r="BB162" s="123"/>
      <c r="BC162" s="123"/>
      <c r="BD162" s="2997"/>
      <c r="BE162" s="123"/>
      <c r="BF162" s="2998"/>
      <c r="BG162" s="2999"/>
      <c r="BH162" s="3005"/>
      <c r="BI162" s="3000"/>
      <c r="BJ162" s="3001"/>
      <c r="BK162" s="3002"/>
      <c r="BL162" s="3003"/>
      <c r="BM162" s="3004"/>
    </row>
    <row r="163" spans="1:65" ht="47.4" thickBot="1" x14ac:dyDescent="0.3">
      <c r="A163" s="2824"/>
      <c r="B163" s="2564" t="s">
        <v>145</v>
      </c>
      <c r="C163" s="2143" t="s">
        <v>146</v>
      </c>
      <c r="D163" s="2564" t="s">
        <v>9249</v>
      </c>
      <c r="E163" s="2960">
        <v>1.6</v>
      </c>
      <c r="F163" s="2564" t="s">
        <v>27</v>
      </c>
      <c r="G163" s="2564"/>
      <c r="H163" s="1825" t="s">
        <v>9010</v>
      </c>
      <c r="I163" s="1833" t="s">
        <v>9011</v>
      </c>
      <c r="J163" s="1825" t="str">
        <f t="shared" si="49"/>
        <v>7-DaHall 1-PDU-01-30-13</v>
      </c>
      <c r="K163" s="1833" t="str">
        <f t="shared" si="50"/>
        <v>7-DaHall 1-PDU-02-30-13</v>
      </c>
      <c r="L163" s="1827">
        <v>220</v>
      </c>
      <c r="M163" s="1828">
        <v>30</v>
      </c>
      <c r="N163" s="703" t="s">
        <v>8749</v>
      </c>
      <c r="O163" s="1829">
        <v>13</v>
      </c>
      <c r="P163" s="1834">
        <v>220</v>
      </c>
      <c r="Q163" s="1835">
        <v>30</v>
      </c>
      <c r="R163" s="687" t="s">
        <v>8750</v>
      </c>
      <c r="S163" s="1836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848" t="s">
        <v>108</v>
      </c>
      <c r="AC163" s="2849" t="s">
        <v>109</v>
      </c>
      <c r="AD163" s="2848" t="s">
        <v>110</v>
      </c>
      <c r="AE163" s="2849" t="s">
        <v>111</v>
      </c>
      <c r="AF163" s="2848" t="s">
        <v>31</v>
      </c>
      <c r="AG163" s="2849" t="s">
        <v>36</v>
      </c>
      <c r="AH163" s="681">
        <f>SUM('7층_부하량(월간_AVG)'!D69:F69)</f>
        <v>0</v>
      </c>
      <c r="AI163" s="682">
        <f>SUM('7층_부하량(월간_AVG)'!D37:F37)</f>
        <v>0</v>
      </c>
      <c r="AJ163" s="1298">
        <f t="shared" si="48"/>
        <v>0</v>
      </c>
      <c r="AK163" s="2816" t="e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3" s="2817" t="e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3" s="3240">
        <f>VLOOKUP(J163&amp;K163,'7층~4층_매핑테이블'!$Y$6:$AF$2020,8,0)</f>
        <v>2.536</v>
      </c>
      <c r="AN163" s="3230" t="e">
        <f t="shared" si="38"/>
        <v>#N/A</v>
      </c>
      <c r="AO163" s="2597" t="s">
        <v>121</v>
      </c>
      <c r="AP163" s="683" t="s">
        <v>149</v>
      </c>
      <c r="AR163" s="2351" t="e">
        <f t="shared" si="39"/>
        <v>#N/A</v>
      </c>
      <c r="AS163" s="2351" t="e">
        <f t="shared" si="40"/>
        <v>#N/A</v>
      </c>
      <c r="AT163" s="123" t="e">
        <f t="shared" si="51"/>
        <v>#N/A</v>
      </c>
      <c r="AU163" t="e">
        <f t="shared" si="36"/>
        <v>#N/A</v>
      </c>
      <c r="AV163" t="e">
        <f t="shared" si="37"/>
        <v>#N/A</v>
      </c>
      <c r="BA163" s="123"/>
      <c r="BB163" s="123"/>
      <c r="BC163" s="123"/>
      <c r="BD163" s="2997"/>
      <c r="BE163" s="123"/>
      <c r="BF163" s="2998"/>
      <c r="BG163" s="2999"/>
      <c r="BH163" s="3005"/>
      <c r="BI163" s="3000"/>
      <c r="BJ163" s="3001"/>
      <c r="BK163" s="3002"/>
      <c r="BL163" s="3003"/>
      <c r="BM163" s="3004"/>
    </row>
    <row r="164" spans="1:65" ht="47.4" thickBot="1" x14ac:dyDescent="0.3">
      <c r="A164" s="2824"/>
      <c r="B164" s="2564" t="s">
        <v>140</v>
      </c>
      <c r="C164" s="2143" t="s">
        <v>141</v>
      </c>
      <c r="D164" s="2564" t="s">
        <v>9249</v>
      </c>
      <c r="E164" s="2960">
        <v>1.6</v>
      </c>
      <c r="F164" s="2564" t="s">
        <v>27</v>
      </c>
      <c r="G164" s="2564"/>
      <c r="H164" s="1825" t="s">
        <v>9012</v>
      </c>
      <c r="I164" s="1833" t="s">
        <v>9013</v>
      </c>
      <c r="J164" s="1825" t="str">
        <f t="shared" si="49"/>
        <v>7-DaHall 1-PDU-01-30-11</v>
      </c>
      <c r="K164" s="1833" t="str">
        <f t="shared" si="50"/>
        <v>7-DaHall 1-PDU-02-30-11</v>
      </c>
      <c r="L164" s="1827">
        <v>220</v>
      </c>
      <c r="M164" s="1828">
        <v>30</v>
      </c>
      <c r="N164" s="703" t="s">
        <v>8749</v>
      </c>
      <c r="O164" s="1829">
        <v>11</v>
      </c>
      <c r="P164" s="1834">
        <v>220</v>
      </c>
      <c r="Q164" s="1835">
        <v>30</v>
      </c>
      <c r="R164" s="687" t="s">
        <v>8750</v>
      </c>
      <c r="S164" s="1836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848" t="s">
        <v>108</v>
      </c>
      <c r="AC164" s="2849" t="s">
        <v>109</v>
      </c>
      <c r="AD164" s="2848" t="s">
        <v>110</v>
      </c>
      <c r="AE164" s="2849" t="s">
        <v>111</v>
      </c>
      <c r="AF164" s="2848" t="s">
        <v>31</v>
      </c>
      <c r="AG164" s="2849" t="s">
        <v>36</v>
      </c>
      <c r="AH164" s="681">
        <f>SUM('7층_부하량(월간_AVG)'!D68:F68)</f>
        <v>0</v>
      </c>
      <c r="AI164" s="682">
        <f>SUM('7층_부하량(월간_AVG)'!D36:F36)</f>
        <v>0</v>
      </c>
      <c r="AJ164" s="1298">
        <f t="shared" si="48"/>
        <v>0</v>
      </c>
      <c r="AK164" s="2816" t="e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4" s="2817" t="e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4" s="3240">
        <f>VLOOKUP(J164&amp;K164,'7층~4층_매핑테이블'!$Y$6:$AF$2020,8,0)</f>
        <v>2.4990000000000001</v>
      </c>
      <c r="AN164" s="3230" t="e">
        <f t="shared" si="38"/>
        <v>#N/A</v>
      </c>
      <c r="AO164" s="2597" t="s">
        <v>121</v>
      </c>
      <c r="AP164" s="683" t="s">
        <v>144</v>
      </c>
      <c r="AR164" s="2351" t="e">
        <f t="shared" si="39"/>
        <v>#N/A</v>
      </c>
      <c r="AS164" s="2351" t="e">
        <f t="shared" si="40"/>
        <v>#N/A</v>
      </c>
      <c r="AT164" s="123" t="e">
        <f t="shared" si="51"/>
        <v>#N/A</v>
      </c>
      <c r="AU164" t="e">
        <f t="shared" si="36"/>
        <v>#N/A</v>
      </c>
      <c r="AV164" t="e">
        <f t="shared" si="37"/>
        <v>#N/A</v>
      </c>
      <c r="BA164" s="123"/>
      <c r="BB164" s="123"/>
      <c r="BC164" s="123"/>
      <c r="BD164" s="2997"/>
      <c r="BE164" s="123"/>
      <c r="BF164" s="2998"/>
      <c r="BG164" s="2999"/>
      <c r="BH164" s="3005"/>
      <c r="BI164" s="3000"/>
      <c r="BJ164" s="3001"/>
      <c r="BK164" s="3002"/>
      <c r="BL164" s="3003"/>
      <c r="BM164" s="3004"/>
    </row>
    <row r="165" spans="1:65" ht="47.4" thickBot="1" x14ac:dyDescent="0.3">
      <c r="A165" s="2824"/>
      <c r="B165" s="3362" t="s">
        <v>134</v>
      </c>
      <c r="C165" s="3407" t="s">
        <v>135</v>
      </c>
      <c r="D165" s="3362" t="s">
        <v>9249</v>
      </c>
      <c r="E165" s="3413">
        <v>1.6</v>
      </c>
      <c r="F165" s="2564" t="s">
        <v>27</v>
      </c>
      <c r="G165" s="2564"/>
      <c r="H165" s="1825" t="s">
        <v>9014</v>
      </c>
      <c r="I165" s="1833" t="s">
        <v>9015</v>
      </c>
      <c r="J165" s="1825" t="str">
        <f t="shared" si="49"/>
        <v>7-DaHall 1-PDU-01-30-17</v>
      </c>
      <c r="K165" s="1833" t="str">
        <f t="shared" si="50"/>
        <v>7-DaHall 1-PDU-02-30-17</v>
      </c>
      <c r="L165" s="1827">
        <v>220</v>
      </c>
      <c r="M165" s="1828">
        <v>30</v>
      </c>
      <c r="N165" s="703" t="s">
        <v>8749</v>
      </c>
      <c r="O165" s="1829">
        <v>17</v>
      </c>
      <c r="P165" s="1834">
        <v>220</v>
      </c>
      <c r="Q165" s="1835">
        <v>30</v>
      </c>
      <c r="R165" s="687" t="s">
        <v>8750</v>
      </c>
      <c r="S165" s="1836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848" t="s">
        <v>108</v>
      </c>
      <c r="AC165" s="2849" t="s">
        <v>109</v>
      </c>
      <c r="AD165" s="2848" t="s">
        <v>110</v>
      </c>
      <c r="AE165" s="2849" t="s">
        <v>111</v>
      </c>
      <c r="AF165" s="2848" t="s">
        <v>31</v>
      </c>
      <c r="AG165" s="2849" t="s">
        <v>36</v>
      </c>
      <c r="AH165" s="681">
        <f>SUM('7층_부하량(월간_AVG)'!D71:F71)</f>
        <v>0</v>
      </c>
      <c r="AI165" s="682">
        <f>SUM('7층_부하량(월간_AVG)'!D39:F39)</f>
        <v>0</v>
      </c>
      <c r="AJ165" s="3409">
        <f>AH165+AI165+AH166+AI166</f>
        <v>0</v>
      </c>
      <c r="AK165" s="2816" t="e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5" s="2817" t="e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5" s="3240">
        <f>VLOOKUP(J165&amp;K165,'7층~4층_매핑테이블'!$Y$6:$AF$2020,8,0)</f>
        <v>1.484</v>
      </c>
      <c r="AN165" s="3230" t="e">
        <f t="shared" si="38"/>
        <v>#N/A</v>
      </c>
      <c r="AO165" s="2839" t="s">
        <v>121</v>
      </c>
      <c r="AP165" s="2599"/>
      <c r="AR165" s="2351" t="e">
        <f t="shared" si="39"/>
        <v>#N/A</v>
      </c>
      <c r="AS165" s="2351" t="e">
        <f t="shared" si="40"/>
        <v>#N/A</v>
      </c>
      <c r="AT165" s="123" t="e">
        <f t="shared" si="51"/>
        <v>#N/A</v>
      </c>
      <c r="AU165" t="e">
        <f t="shared" si="36"/>
        <v>#N/A</v>
      </c>
      <c r="AV165" t="e">
        <f t="shared" si="37"/>
        <v>#N/A</v>
      </c>
      <c r="BA165" s="123"/>
      <c r="BB165" s="123"/>
      <c r="BC165" s="123"/>
      <c r="BD165" s="2997"/>
      <c r="BE165" s="123"/>
      <c r="BF165" s="2998"/>
      <c r="BG165" s="2999"/>
      <c r="BH165" s="3005"/>
      <c r="BI165" s="3000"/>
      <c r="BJ165" s="3001"/>
      <c r="BK165" s="3002"/>
      <c r="BL165" s="3003"/>
      <c r="BM165" s="3004"/>
    </row>
    <row r="166" spans="1:65" ht="47.4" thickBot="1" x14ac:dyDescent="0.3">
      <c r="A166" s="2824"/>
      <c r="B166" s="3363"/>
      <c r="C166" s="3408"/>
      <c r="D166" s="3363"/>
      <c r="E166" s="3413"/>
      <c r="F166" s="2564" t="s">
        <v>27</v>
      </c>
      <c r="G166" s="2564"/>
      <c r="H166" s="1825" t="s">
        <v>9016</v>
      </c>
      <c r="I166" s="1833" t="s">
        <v>9017</v>
      </c>
      <c r="J166" s="1825" t="str">
        <f t="shared" si="49"/>
        <v>7-DaHall 1-PDU-01-30-27</v>
      </c>
      <c r="K166" s="1833" t="str">
        <f t="shared" si="50"/>
        <v>7-DaHall 1-PDU-02-30-27</v>
      </c>
      <c r="L166" s="1827">
        <v>220</v>
      </c>
      <c r="M166" s="1828">
        <v>30</v>
      </c>
      <c r="N166" s="703" t="s">
        <v>8749</v>
      </c>
      <c r="O166" s="1829">
        <v>27</v>
      </c>
      <c r="P166" s="1834">
        <v>220</v>
      </c>
      <c r="Q166" s="1835">
        <v>30</v>
      </c>
      <c r="R166" s="687" t="s">
        <v>8750</v>
      </c>
      <c r="S166" s="1836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848" t="s">
        <v>108</v>
      </c>
      <c r="AC166" s="2849" t="s">
        <v>109</v>
      </c>
      <c r="AD166" s="2848" t="s">
        <v>110</v>
      </c>
      <c r="AE166" s="2849" t="s">
        <v>111</v>
      </c>
      <c r="AF166" s="2848" t="s">
        <v>31</v>
      </c>
      <c r="AG166" s="2849" t="s">
        <v>36</v>
      </c>
      <c r="AH166" s="681">
        <f>SUM('7층_부하량(월간_AVG)'!D76:F76)</f>
        <v>0</v>
      </c>
      <c r="AI166" s="682">
        <f>SUM('7층_부하량(월간_AVG)'!D44:F44)</f>
        <v>0</v>
      </c>
      <c r="AJ166" s="3410"/>
      <c r="AK166" s="2816" t="e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6" s="2817" t="e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6" s="3240">
        <f>VLOOKUP(J166&amp;K166,'7층~4층_매핑테이블'!$Y$6:$AF$2020,8,0)</f>
        <v>1.67</v>
      </c>
      <c r="AN166" s="3230" t="e">
        <f t="shared" si="38"/>
        <v>#N/A</v>
      </c>
      <c r="AO166" s="2838"/>
      <c r="AP166" s="2599"/>
      <c r="AR166" s="2351" t="e">
        <f t="shared" si="39"/>
        <v>#N/A</v>
      </c>
      <c r="AS166" s="2351" t="e">
        <f t="shared" si="40"/>
        <v>#N/A</v>
      </c>
      <c r="AT166" s="123" t="e">
        <f t="shared" si="51"/>
        <v>#N/A</v>
      </c>
      <c r="AU166" t="e">
        <f t="shared" si="36"/>
        <v>#N/A</v>
      </c>
      <c r="AV166" t="e">
        <f t="shared" si="37"/>
        <v>#N/A</v>
      </c>
      <c r="BA166" s="123"/>
      <c r="BB166" s="123"/>
      <c r="BC166" s="123"/>
      <c r="BD166" s="2997"/>
      <c r="BE166" s="123"/>
      <c r="BF166" s="2998"/>
      <c r="BG166" s="2999"/>
      <c r="BH166" s="3005"/>
      <c r="BI166" s="3000"/>
      <c r="BJ166" s="3001"/>
      <c r="BK166" s="3002"/>
      <c r="BL166" s="3003"/>
      <c r="BM166" s="3004"/>
    </row>
    <row r="167" spans="1:65" ht="47.4" thickBot="1" x14ac:dyDescent="0.3">
      <c r="A167" s="2824"/>
      <c r="B167" s="2564" t="s">
        <v>130</v>
      </c>
      <c r="C167" s="2580" t="s">
        <v>131</v>
      </c>
      <c r="D167" s="2569" t="s">
        <v>9249</v>
      </c>
      <c r="E167" s="2960">
        <v>1.6</v>
      </c>
      <c r="F167" s="2564" t="s">
        <v>27</v>
      </c>
      <c r="G167" s="2564"/>
      <c r="H167" s="1825" t="s">
        <v>9018</v>
      </c>
      <c r="I167" s="1833" t="s">
        <v>9019</v>
      </c>
      <c r="J167" s="1825" t="str">
        <f t="shared" si="49"/>
        <v>7-DaHall 1-PDU-01-30-19</v>
      </c>
      <c r="K167" s="1833" t="str">
        <f t="shared" si="50"/>
        <v>7-DaHall 1-PDU-02-30-19</v>
      </c>
      <c r="L167" s="1827">
        <v>220</v>
      </c>
      <c r="M167" s="1828">
        <v>30</v>
      </c>
      <c r="N167" s="703" t="s">
        <v>8749</v>
      </c>
      <c r="O167" s="1829">
        <v>19</v>
      </c>
      <c r="P167" s="1834">
        <v>220</v>
      </c>
      <c r="Q167" s="1835">
        <v>30</v>
      </c>
      <c r="R167" s="687" t="s">
        <v>8750</v>
      </c>
      <c r="S167" s="1836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848" t="s">
        <v>108</v>
      </c>
      <c r="AC167" s="2849" t="s">
        <v>109</v>
      </c>
      <c r="AD167" s="2848" t="s">
        <v>110</v>
      </c>
      <c r="AE167" s="2849" t="s">
        <v>111</v>
      </c>
      <c r="AF167" s="2848" t="s">
        <v>31</v>
      </c>
      <c r="AG167" s="2849" t="s">
        <v>36</v>
      </c>
      <c r="AH167" s="681">
        <f>SUM('7층_부하량(월간_AVG)'!D72:F72)</f>
        <v>0</v>
      </c>
      <c r="AI167" s="682">
        <f>SUM('7층_부하량(월간_AVG)'!D40:F40)</f>
        <v>0</v>
      </c>
      <c r="AJ167" s="1298">
        <f>AH167+AI167</f>
        <v>0</v>
      </c>
      <c r="AK167" s="2816" t="e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7" s="2817" t="e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7" s="3240">
        <f>VLOOKUP(J167&amp;K167,'7층~4층_매핑테이블'!$Y$6:$AF$2020,8,0)</f>
        <v>2.786</v>
      </c>
      <c r="AN167" s="3230" t="e">
        <f t="shared" si="38"/>
        <v>#N/A</v>
      </c>
      <c r="AO167" s="2588" t="s">
        <v>121</v>
      </c>
      <c r="AP167" s="2599"/>
      <c r="AR167" s="2351" t="e">
        <f t="shared" si="39"/>
        <v>#N/A</v>
      </c>
      <c r="AS167" s="2351" t="e">
        <f t="shared" si="40"/>
        <v>#N/A</v>
      </c>
      <c r="AT167" s="123" t="e">
        <f t="shared" si="51"/>
        <v>#N/A</v>
      </c>
      <c r="AU167" t="e">
        <f t="shared" si="36"/>
        <v>#N/A</v>
      </c>
      <c r="AV167" t="e">
        <f t="shared" si="37"/>
        <v>#N/A</v>
      </c>
      <c r="BA167" s="123"/>
      <c r="BB167" s="123"/>
      <c r="BC167" s="123"/>
      <c r="BD167" s="2997"/>
      <c r="BE167" s="123"/>
      <c r="BF167" s="2998"/>
      <c r="BG167" s="2999"/>
      <c r="BH167" s="3005"/>
      <c r="BI167" s="3000"/>
      <c r="BJ167" s="3001"/>
      <c r="BK167" s="3002"/>
      <c r="BL167" s="3003"/>
      <c r="BM167" s="3004"/>
    </row>
    <row r="168" spans="1:65" ht="47.4" thickBot="1" x14ac:dyDescent="0.3">
      <c r="A168" s="2824"/>
      <c r="B168" s="2564" t="s">
        <v>126</v>
      </c>
      <c r="C168" s="2143" t="s">
        <v>127</v>
      </c>
      <c r="D168" s="2569" t="s">
        <v>9249</v>
      </c>
      <c r="E168" s="2960">
        <v>1.6</v>
      </c>
      <c r="F168" s="2564" t="s">
        <v>27</v>
      </c>
      <c r="G168" s="2564"/>
      <c r="H168" s="1825" t="s">
        <v>9020</v>
      </c>
      <c r="I168" s="1833" t="s">
        <v>9021</v>
      </c>
      <c r="J168" s="1825" t="str">
        <f t="shared" si="49"/>
        <v>7-DaHall 1-PDU-01-30-21</v>
      </c>
      <c r="K168" s="1833" t="str">
        <f t="shared" si="50"/>
        <v>7-DaHall 1-PDU-02-30-21</v>
      </c>
      <c r="L168" s="1827">
        <v>220</v>
      </c>
      <c r="M168" s="1828">
        <v>30</v>
      </c>
      <c r="N168" s="703" t="s">
        <v>8749</v>
      </c>
      <c r="O168" s="1829">
        <v>21</v>
      </c>
      <c r="P168" s="1834">
        <v>220</v>
      </c>
      <c r="Q168" s="1835">
        <v>30</v>
      </c>
      <c r="R168" s="687" t="s">
        <v>8750</v>
      </c>
      <c r="S168" s="1836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848" t="s">
        <v>108</v>
      </c>
      <c r="AC168" s="2849" t="s">
        <v>109</v>
      </c>
      <c r="AD168" s="2848" t="s">
        <v>110</v>
      </c>
      <c r="AE168" s="2849" t="s">
        <v>111</v>
      </c>
      <c r="AF168" s="2848" t="s">
        <v>31</v>
      </c>
      <c r="AG168" s="2849" t="s">
        <v>36</v>
      </c>
      <c r="AH168" s="681">
        <f>SUM('7층_부하량(월간_AVG)'!D73:F73)</f>
        <v>0</v>
      </c>
      <c r="AI168" s="682">
        <f>SUM('7층_부하량(월간_AVG)'!D41:F41)</f>
        <v>0</v>
      </c>
      <c r="AJ168" s="1298">
        <f>AH168+AI168</f>
        <v>0</v>
      </c>
      <c r="AK168" s="2816" t="e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8" s="2817" t="e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8" s="3240">
        <f>VLOOKUP(J168&amp;K168,'7층~4층_매핑테이블'!$Y$6:$AF$2020,8,0)</f>
        <v>1.7909999999999999</v>
      </c>
      <c r="AN168" s="3230" t="e">
        <f t="shared" si="38"/>
        <v>#N/A</v>
      </c>
      <c r="AO168" s="2597" t="s">
        <v>121</v>
      </c>
      <c r="AP168" s="2599"/>
      <c r="AR168" s="2351" t="e">
        <f t="shared" si="39"/>
        <v>#N/A</v>
      </c>
      <c r="AS168" s="2351" t="e">
        <f t="shared" si="40"/>
        <v>#N/A</v>
      </c>
      <c r="AT168" s="123" t="e">
        <f t="shared" si="51"/>
        <v>#N/A</v>
      </c>
      <c r="AU168" t="e">
        <f t="shared" si="36"/>
        <v>#N/A</v>
      </c>
      <c r="AV168" t="e">
        <f t="shared" si="37"/>
        <v>#N/A</v>
      </c>
      <c r="BA168" s="123"/>
      <c r="BB168" s="123"/>
      <c r="BC168" s="123"/>
      <c r="BD168" s="2997"/>
      <c r="BE168" s="123"/>
      <c r="BF168" s="2998"/>
      <c r="BG168" s="2999"/>
      <c r="BH168" s="3005"/>
      <c r="BI168" s="3000"/>
      <c r="BJ168" s="3001"/>
      <c r="BK168" s="3002"/>
      <c r="BL168" s="3003"/>
      <c r="BM168" s="3004"/>
    </row>
    <row r="169" spans="1:65" ht="47.4" thickBot="1" x14ac:dyDescent="0.3">
      <c r="A169" s="2824"/>
      <c r="B169" s="2564" t="s">
        <v>122</v>
      </c>
      <c r="C169" s="2143" t="s">
        <v>123</v>
      </c>
      <c r="D169" s="2569" t="s">
        <v>9249</v>
      </c>
      <c r="E169" s="2960">
        <v>1.6</v>
      </c>
      <c r="F169" s="2564" t="s">
        <v>27</v>
      </c>
      <c r="G169" s="2564"/>
      <c r="H169" s="1825" t="s">
        <v>9022</v>
      </c>
      <c r="I169" s="1833" t="s">
        <v>9023</v>
      </c>
      <c r="J169" s="1825" t="str">
        <f t="shared" si="49"/>
        <v>7-DaHall 1-PDU-01-30-23</v>
      </c>
      <c r="K169" s="1833" t="str">
        <f t="shared" si="50"/>
        <v>7-DaHall 1-PDU-02-30-23</v>
      </c>
      <c r="L169" s="1827">
        <v>220</v>
      </c>
      <c r="M169" s="1828">
        <v>30</v>
      </c>
      <c r="N169" s="703" t="s">
        <v>8749</v>
      </c>
      <c r="O169" s="1829">
        <v>23</v>
      </c>
      <c r="P169" s="1834">
        <v>220</v>
      </c>
      <c r="Q169" s="1835">
        <v>30</v>
      </c>
      <c r="R169" s="687" t="s">
        <v>8750</v>
      </c>
      <c r="S169" s="1836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848" t="s">
        <v>108</v>
      </c>
      <c r="AC169" s="2849" t="s">
        <v>109</v>
      </c>
      <c r="AD169" s="2848" t="s">
        <v>110</v>
      </c>
      <c r="AE169" s="2849" t="s">
        <v>111</v>
      </c>
      <c r="AF169" s="2848" t="s">
        <v>31</v>
      </c>
      <c r="AG169" s="2849" t="s">
        <v>36</v>
      </c>
      <c r="AH169" s="681">
        <f>SUM('7층_부하량(월간_AVG)'!D74:F74)</f>
        <v>0</v>
      </c>
      <c r="AI169" s="682">
        <f>SUM('7층_부하량(월간_AVG)'!D42:F42)</f>
        <v>0</v>
      </c>
      <c r="AJ169" s="1298">
        <f t="shared" ref="AJ169" si="52">AH169+AI169</f>
        <v>0</v>
      </c>
      <c r="AK169" s="2816" t="e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9" s="2817" t="e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9" s="3240">
        <f>VLOOKUP(J169&amp;K169,'7층~4층_매핑테이블'!$Y$6:$AF$2020,8,0)</f>
        <v>1.0209999999999999</v>
      </c>
      <c r="AN169" s="3230" t="e">
        <f t="shared" si="38"/>
        <v>#N/A</v>
      </c>
      <c r="AO169" s="2597" t="s">
        <v>121</v>
      </c>
      <c r="AP169" s="2599"/>
      <c r="AR169" s="2351" t="e">
        <f t="shared" si="39"/>
        <v>#N/A</v>
      </c>
      <c r="AS169" s="2351" t="e">
        <f t="shared" si="40"/>
        <v>#N/A</v>
      </c>
      <c r="AT169" s="123" t="e">
        <f t="shared" si="51"/>
        <v>#N/A</v>
      </c>
      <c r="AU169" t="e">
        <f t="shared" si="36"/>
        <v>#N/A</v>
      </c>
      <c r="AV169" t="e">
        <f t="shared" si="37"/>
        <v>#N/A</v>
      </c>
      <c r="BA169" s="123"/>
      <c r="BB169" s="123"/>
      <c r="BC169" s="123"/>
      <c r="BD169" s="2997"/>
      <c r="BE169" s="123"/>
      <c r="BF169" s="2998"/>
      <c r="BG169" s="2999"/>
      <c r="BH169" s="3005"/>
      <c r="BI169" s="3000"/>
      <c r="BJ169" s="3001"/>
      <c r="BK169" s="3002"/>
      <c r="BL169" s="3003"/>
      <c r="BM169" s="3004"/>
    </row>
    <row r="170" spans="1:65" ht="27" customHeight="1" thickBot="1" x14ac:dyDescent="0.3">
      <c r="A170" s="2824"/>
      <c r="B170" s="2564" t="s">
        <v>117</v>
      </c>
      <c r="C170" s="2143" t="s">
        <v>118</v>
      </c>
      <c r="D170" s="2569" t="s">
        <v>9249</v>
      </c>
      <c r="E170" s="2958">
        <v>1.6</v>
      </c>
      <c r="F170" s="2564" t="s">
        <v>27</v>
      </c>
      <c r="G170" s="2564"/>
      <c r="H170" s="1825" t="s">
        <v>9024</v>
      </c>
      <c r="I170" s="1833" t="s">
        <v>9025</v>
      </c>
      <c r="J170" s="1825" t="str">
        <f>"7-DaHall 1-"&amp;N170&amp;"-"&amp;M170&amp;"-"&amp;O170</f>
        <v>7-DaHall 1-PDU-01-30-25</v>
      </c>
      <c r="K170" s="1833" t="str">
        <f>"7-DaHall 1-"&amp;R170&amp;"-"&amp;Q170&amp;"-"&amp;S170</f>
        <v>7-DaHall 1-PDU-02-30-25</v>
      </c>
      <c r="L170" s="1827">
        <v>220</v>
      </c>
      <c r="M170" s="1828">
        <v>30</v>
      </c>
      <c r="N170" s="703" t="s">
        <v>8749</v>
      </c>
      <c r="O170" s="1829">
        <v>25</v>
      </c>
      <c r="P170" s="1834">
        <v>220</v>
      </c>
      <c r="Q170" s="1835">
        <v>30</v>
      </c>
      <c r="R170" s="687" t="s">
        <v>8750</v>
      </c>
      <c r="S170" s="1836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848" t="s">
        <v>108</v>
      </c>
      <c r="AC170" s="2849" t="s">
        <v>109</v>
      </c>
      <c r="AD170" s="2848" t="s">
        <v>110</v>
      </c>
      <c r="AE170" s="2849" t="s">
        <v>111</v>
      </c>
      <c r="AF170" s="2848" t="s">
        <v>31</v>
      </c>
      <c r="AG170" s="2849" t="s">
        <v>36</v>
      </c>
      <c r="AH170" s="681">
        <f>SUM('7층_부하량(월간_AVG)'!D75:F75)</f>
        <v>0</v>
      </c>
      <c r="AI170" s="682">
        <f>SUM('7층_부하량(월간_AVG)'!D43:F43)</f>
        <v>0</v>
      </c>
      <c r="AJ170" s="1298">
        <f>AH170+AI170</f>
        <v>0</v>
      </c>
      <c r="AK170" s="2816" t="e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70" s="2817" t="e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70" s="3240">
        <f>VLOOKUP(J170&amp;K170,'7층~4층_매핑테이블'!$Y$6:$AF$2020,8,0)</f>
        <v>0.73399999999999999</v>
      </c>
      <c r="AN170" s="3230" t="e">
        <f t="shared" si="38"/>
        <v>#N/A</v>
      </c>
      <c r="AO170" s="2597" t="s">
        <v>121</v>
      </c>
      <c r="AP170" s="2599"/>
      <c r="AR170" s="2351" t="e">
        <f t="shared" si="39"/>
        <v>#N/A</v>
      </c>
      <c r="AS170" s="2351" t="e">
        <f t="shared" si="40"/>
        <v>#N/A</v>
      </c>
      <c r="AT170" s="123" t="e">
        <f t="shared" si="51"/>
        <v>#N/A</v>
      </c>
      <c r="AU170" t="e">
        <f t="shared" si="36"/>
        <v>#N/A</v>
      </c>
      <c r="AV170" t="e">
        <f t="shared" si="37"/>
        <v>#N/A</v>
      </c>
      <c r="BA170" s="123"/>
      <c r="BB170" s="123"/>
      <c r="BC170" s="123"/>
      <c r="BD170" s="2997"/>
      <c r="BE170" s="123"/>
      <c r="BF170" s="2998"/>
      <c r="BG170" s="2999"/>
      <c r="BH170" s="3005"/>
      <c r="BI170" s="3000"/>
      <c r="BJ170" s="3001"/>
      <c r="BK170" s="3002"/>
      <c r="BL170" s="3003"/>
      <c r="BM170" s="3004"/>
    </row>
    <row r="171" spans="1:65" ht="27" customHeight="1" thickBot="1" x14ac:dyDescent="0.3">
      <c r="A171" s="2824"/>
      <c r="B171" s="2564" t="s">
        <v>113</v>
      </c>
      <c r="C171" s="2143" t="s">
        <v>114</v>
      </c>
      <c r="D171" s="2564" t="s">
        <v>9249</v>
      </c>
      <c r="E171" s="2957">
        <v>1.6</v>
      </c>
      <c r="F171" s="2564" t="s">
        <v>27</v>
      </c>
      <c r="G171" s="2564"/>
      <c r="H171" s="1825" t="s">
        <v>9026</v>
      </c>
      <c r="I171" s="1826" t="s">
        <v>9027</v>
      </c>
      <c r="J171" s="1825" t="str">
        <f>"7-DaHall 1-"&amp;N171&amp;"-"&amp;M171&amp;"-"&amp;O171</f>
        <v>7-DaHall 1-PDU-01-30-32</v>
      </c>
      <c r="K171" s="1826" t="str">
        <f>"7-DaHall 1-"&amp;R171&amp;"-"&amp;Q171&amp;"-"&amp;S171</f>
        <v>7-DaHall 1-PDU-02-30-32</v>
      </c>
      <c r="L171" s="1827">
        <v>220</v>
      </c>
      <c r="M171" s="1828">
        <v>30</v>
      </c>
      <c r="N171" s="703" t="s">
        <v>8749</v>
      </c>
      <c r="O171" s="1829">
        <v>32</v>
      </c>
      <c r="P171" s="1830">
        <v>220</v>
      </c>
      <c r="Q171" s="1831">
        <v>30</v>
      </c>
      <c r="R171" s="1361" t="s">
        <v>8750</v>
      </c>
      <c r="S171" s="1832">
        <v>32</v>
      </c>
      <c r="T171" s="703" t="s">
        <v>106</v>
      </c>
      <c r="U171" s="1361" t="s">
        <v>107</v>
      </c>
      <c r="V171" s="733"/>
      <c r="W171" s="733"/>
      <c r="X171" s="733"/>
      <c r="Y171" s="733"/>
      <c r="Z171" s="733"/>
      <c r="AA171" s="733"/>
      <c r="AB171" s="2848" t="s">
        <v>108</v>
      </c>
      <c r="AC171" s="2849" t="s">
        <v>109</v>
      </c>
      <c r="AD171" s="2848" t="s">
        <v>110</v>
      </c>
      <c r="AE171" s="2849" t="s">
        <v>111</v>
      </c>
      <c r="AF171" s="2848" t="s">
        <v>31</v>
      </c>
      <c r="AG171" s="2849" t="s">
        <v>36</v>
      </c>
      <c r="AH171" s="681">
        <f>SUM('7층_부하량(월간_AVG)'!N78:P78)</f>
        <v>0</v>
      </c>
      <c r="AI171" s="682">
        <f>SUM('7층_부하량(월간_AVG)'!N46:P46)</f>
        <v>0</v>
      </c>
      <c r="AJ171" s="1298">
        <f t="shared" ref="AJ171" si="53">AH171+AI171</f>
        <v>0</v>
      </c>
      <c r="AK171" s="2816" t="e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71" s="2817" t="e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71" s="3240">
        <f>VLOOKUP(J171&amp;K171,'7층~4층_매핑테이블'!$Y$6:$AF$2020,8,0)</f>
        <v>0.76200000000000001</v>
      </c>
      <c r="AN171" s="3230" t="e">
        <f t="shared" si="38"/>
        <v>#N/A</v>
      </c>
      <c r="AO171" s="2597" t="s">
        <v>115</v>
      </c>
      <c r="AP171" s="1362" t="s">
        <v>116</v>
      </c>
      <c r="AR171" s="2351" t="e">
        <f t="shared" si="39"/>
        <v>#N/A</v>
      </c>
      <c r="AS171" s="2351" t="e">
        <f t="shared" si="40"/>
        <v>#N/A</v>
      </c>
      <c r="AT171" s="123" t="e">
        <f t="shared" si="51"/>
        <v>#N/A</v>
      </c>
      <c r="AU171" t="e">
        <f t="shared" si="36"/>
        <v>#N/A</v>
      </c>
      <c r="AV171" t="e">
        <f t="shared" si="37"/>
        <v>#N/A</v>
      </c>
      <c r="BA171" s="123"/>
      <c r="BB171" s="123"/>
      <c r="BC171" s="123"/>
      <c r="BD171" s="2997"/>
      <c r="BE171" s="123"/>
      <c r="BF171" s="2998"/>
      <c r="BG171" s="2999"/>
      <c r="BH171" s="3005"/>
      <c r="BI171" s="3000"/>
      <c r="BJ171" s="3001"/>
      <c r="BK171" s="3002"/>
      <c r="BL171" s="3003"/>
      <c r="BM171" s="3004"/>
    </row>
    <row r="172" spans="1:65" ht="47.4" thickBot="1" x14ac:dyDescent="0.3">
      <c r="A172" s="2813" t="s">
        <v>103</v>
      </c>
      <c r="B172" s="2255" t="s">
        <v>104</v>
      </c>
      <c r="C172" s="2255" t="s">
        <v>105</v>
      </c>
      <c r="D172" s="672" t="s">
        <v>9249</v>
      </c>
      <c r="E172" s="3096">
        <v>2.2000000000000002</v>
      </c>
      <c r="F172" s="672" t="s">
        <v>27</v>
      </c>
      <c r="G172" s="672"/>
      <c r="H172" s="1825" t="s">
        <v>9028</v>
      </c>
      <c r="I172" s="1826" t="s">
        <v>9029</v>
      </c>
      <c r="J172" s="1825" t="str">
        <f>"7-DaHall 1-"&amp;N172&amp;"-"&amp;M172&amp;"-"&amp;O172</f>
        <v>7-DaHall 1-PDU-01-30-41</v>
      </c>
      <c r="K172" s="1826" t="str">
        <f>"7-DaHall 1-"&amp;R172&amp;"-"&amp;Q172&amp;"-"&amp;S172</f>
        <v>7-DaHall 1-PDU-02-30-41</v>
      </c>
      <c r="L172" s="1827">
        <v>220</v>
      </c>
      <c r="M172" s="1828">
        <v>30</v>
      </c>
      <c r="N172" s="703" t="s">
        <v>8749</v>
      </c>
      <c r="O172" s="1829">
        <v>41</v>
      </c>
      <c r="P172" s="1830">
        <v>220</v>
      </c>
      <c r="Q172" s="1831">
        <v>30</v>
      </c>
      <c r="R172" s="1361" t="s">
        <v>8750</v>
      </c>
      <c r="S172" s="1832">
        <v>41</v>
      </c>
      <c r="T172" s="703" t="s">
        <v>106</v>
      </c>
      <c r="U172" s="1361" t="s">
        <v>107</v>
      </c>
      <c r="V172" s="732"/>
      <c r="W172" s="732"/>
      <c r="X172" s="732"/>
      <c r="Y172" s="732"/>
      <c r="Z172" s="732"/>
      <c r="AA172" s="732"/>
      <c r="AB172" s="2848" t="s">
        <v>108</v>
      </c>
      <c r="AC172" s="2849" t="s">
        <v>109</v>
      </c>
      <c r="AD172" s="2848" t="s">
        <v>110</v>
      </c>
      <c r="AE172" s="2849" t="s">
        <v>111</v>
      </c>
      <c r="AF172" s="2848" t="s">
        <v>31</v>
      </c>
      <c r="AG172" s="2849" t="s">
        <v>36</v>
      </c>
      <c r="AH172" s="681">
        <f>SUM('7층_부하량(월간_AVG)'!D83:F83)</f>
        <v>0</v>
      </c>
      <c r="AI172" s="682">
        <f>SUM('7층_부하량(월간_AVG)'!D51:F51)</f>
        <v>0</v>
      </c>
      <c r="AJ172" s="1298">
        <f>AH172+AI172</f>
        <v>0</v>
      </c>
      <c r="AK172" s="2816" t="e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2" s="2817" t="e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2" s="3240">
        <f>VLOOKUP(J172&amp;K172,'7층~4층_매핑테이블'!$Y$6:$AF$2020,8,0)</f>
        <v>0.18</v>
      </c>
      <c r="AN172" s="3230" t="e">
        <f t="shared" si="38"/>
        <v>#N/A</v>
      </c>
      <c r="AO172" s="882"/>
      <c r="AP172" s="2254" t="s">
        <v>112</v>
      </c>
      <c r="AR172" s="2351" t="e">
        <f t="shared" si="39"/>
        <v>#N/A</v>
      </c>
      <c r="AS172" s="2351" t="e">
        <f t="shared" si="40"/>
        <v>#N/A</v>
      </c>
      <c r="AT172" s="123" t="e">
        <f t="shared" si="51"/>
        <v>#N/A</v>
      </c>
      <c r="AU172" t="e">
        <f t="shared" si="36"/>
        <v>#N/A</v>
      </c>
      <c r="AV172" t="e">
        <f t="shared" si="37"/>
        <v>#N/A</v>
      </c>
      <c r="BA172" s="123"/>
      <c r="BB172" s="123"/>
      <c r="BC172" s="123"/>
      <c r="BD172" s="2997"/>
      <c r="BE172" s="123"/>
      <c r="BF172" s="2998"/>
      <c r="BG172" s="2999"/>
      <c r="BH172" s="3005"/>
      <c r="BI172" s="3000"/>
      <c r="BJ172" s="3001"/>
      <c r="BK172" s="3002"/>
      <c r="BL172" s="3003"/>
      <c r="BM172" s="3004"/>
    </row>
    <row r="173" spans="1:65" ht="63" thickBot="1" x14ac:dyDescent="0.3">
      <c r="A173" s="2850" t="s">
        <v>770</v>
      </c>
      <c r="B173" s="672" t="s">
        <v>771</v>
      </c>
      <c r="C173" s="1154" t="s">
        <v>772</v>
      </c>
      <c r="D173" s="672" t="s">
        <v>9252</v>
      </c>
      <c r="E173" s="2959">
        <v>1.1000000000000001</v>
      </c>
      <c r="F173" s="672" t="s">
        <v>773</v>
      </c>
      <c r="G173" s="672"/>
      <c r="H173" s="1929" t="s">
        <v>9030</v>
      </c>
      <c r="I173" s="1930" t="s">
        <v>9031</v>
      </c>
      <c r="J173" s="1929" t="str">
        <f t="shared" ref="J173:J177" si="54">"7-DaHall 1-"&amp;N173&amp;"-"&amp;M173&amp;"-"&amp;O173</f>
        <v>7-DaHall 1-RPP-01-20-19</v>
      </c>
      <c r="K173" s="1930" t="str">
        <f t="shared" ref="K173:K177" si="55">"7-DaHall 1-"&amp;R173&amp;"-"&amp;Q173&amp;"-"&amp;S173</f>
        <v>7-DaHall 1-RPP-02-30-10</v>
      </c>
      <c r="L173" s="1931">
        <v>220</v>
      </c>
      <c r="M173" s="1932">
        <v>20</v>
      </c>
      <c r="N173" s="1044" t="s">
        <v>8775</v>
      </c>
      <c r="O173" s="1933">
        <v>19</v>
      </c>
      <c r="P173" s="1934">
        <v>220</v>
      </c>
      <c r="Q173" s="1935">
        <v>30</v>
      </c>
      <c r="R173" s="704" t="s">
        <v>8776</v>
      </c>
      <c r="S173" s="1936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848" t="s">
        <v>31</v>
      </c>
      <c r="AG173" s="2849" t="s">
        <v>36</v>
      </c>
      <c r="AH173" s="680">
        <f>SUM('7층_부하량(월간_AVG)'!D15:F15)</f>
        <v>0</v>
      </c>
      <c r="AI173" s="673">
        <f>SUM('7층_부하량(월간_AVG)'!N99:P99)</f>
        <v>0</v>
      </c>
      <c r="AJ173" s="1299">
        <f t="shared" ref="AJ173:AJ175" si="56">AH173+AI173</f>
        <v>0</v>
      </c>
      <c r="AK173" s="2816" t="e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3" s="2817" t="e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3" s="3240">
        <f>VLOOKUP(J173&amp;K173,'7층~4층_매핑테이블'!$Y$6:$AF$2020,8,0)</f>
        <v>0.28000000000000003</v>
      </c>
      <c r="AN173" s="3230" t="e">
        <f t="shared" si="38"/>
        <v>#N/A</v>
      </c>
      <c r="AO173" s="699" t="s">
        <v>778</v>
      </c>
      <c r="AP173" s="674"/>
      <c r="AR173" s="2351" t="e">
        <f t="shared" si="39"/>
        <v>#N/A</v>
      </c>
      <c r="AS173" s="2351" t="e">
        <f t="shared" si="40"/>
        <v>#N/A</v>
      </c>
      <c r="AT173" s="123" t="e">
        <f t="shared" si="51"/>
        <v>#N/A</v>
      </c>
      <c r="AU173" t="e">
        <f t="shared" si="36"/>
        <v>#N/A</v>
      </c>
      <c r="AV173" t="e">
        <f t="shared" si="37"/>
        <v>#N/A</v>
      </c>
      <c r="BA173" s="123"/>
      <c r="BB173" s="123"/>
      <c r="BC173" s="123"/>
      <c r="BD173" s="2997"/>
      <c r="BE173" s="123"/>
      <c r="BF173" s="2998"/>
      <c r="BG173" s="2999"/>
      <c r="BH173" s="3005"/>
      <c r="BI173" s="3000"/>
      <c r="BJ173" s="3001"/>
      <c r="BK173" s="3002"/>
      <c r="BL173" s="3003"/>
      <c r="BM173" s="3004"/>
    </row>
    <row r="174" spans="1:65" ht="47.4" thickBot="1" x14ac:dyDescent="0.3">
      <c r="A174" s="2851"/>
      <c r="B174" s="2564" t="s">
        <v>779</v>
      </c>
      <c r="C174" s="2564" t="s">
        <v>780</v>
      </c>
      <c r="D174" s="2564" t="s">
        <v>9253</v>
      </c>
      <c r="E174" s="2960">
        <v>4</v>
      </c>
      <c r="F174" s="2564" t="s">
        <v>27</v>
      </c>
      <c r="G174" s="2564"/>
      <c r="H174" s="1825" t="s">
        <v>9032</v>
      </c>
      <c r="I174" s="1833" t="s">
        <v>9033</v>
      </c>
      <c r="J174" s="1825" t="str">
        <f t="shared" si="54"/>
        <v>7-DaHall 1-PDU-01-30-44</v>
      </c>
      <c r="K174" s="1833" t="str">
        <f t="shared" si="55"/>
        <v>7-DaHall 1-PDU-02-30-44</v>
      </c>
      <c r="L174" s="1827">
        <v>220</v>
      </c>
      <c r="M174" s="1828">
        <v>30</v>
      </c>
      <c r="N174" s="703" t="s">
        <v>8749</v>
      </c>
      <c r="O174" s="1829">
        <v>44</v>
      </c>
      <c r="P174" s="1834">
        <v>220</v>
      </c>
      <c r="Q174" s="1835">
        <v>30</v>
      </c>
      <c r="R174" s="687" t="s">
        <v>8750</v>
      </c>
      <c r="S174" s="1836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46" t="s">
        <v>164</v>
      </c>
      <c r="AC174" s="903" t="s">
        <v>783</v>
      </c>
      <c r="AD174" s="2146" t="s">
        <v>110</v>
      </c>
      <c r="AE174" s="903" t="s">
        <v>111</v>
      </c>
      <c r="AF174" s="2848" t="s">
        <v>31</v>
      </c>
      <c r="AG174" s="2849" t="s">
        <v>36</v>
      </c>
      <c r="AH174" s="681">
        <f>SUM('7층_부하량(월간_AVG)'!N84:P84)</f>
        <v>0</v>
      </c>
      <c r="AI174" s="676">
        <f>SUM('7층_부하량(월간_AVG)'!N52:P52)</f>
        <v>0</v>
      </c>
      <c r="AJ174" s="2213">
        <f t="shared" si="56"/>
        <v>0</v>
      </c>
      <c r="AK174" s="2816" t="e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4" s="2817" t="e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4" s="3240">
        <f>VLOOKUP(J174&amp;K174,'7층~4층_매핑테이블'!$Y$6:$AF$2020,8,0)</f>
        <v>2.4339999999999997</v>
      </c>
      <c r="AN174" s="3230" t="e">
        <f t="shared" si="38"/>
        <v>#N/A</v>
      </c>
      <c r="AO174" s="2593" t="s">
        <v>4352</v>
      </c>
      <c r="AP174" s="2599"/>
      <c r="AR174" s="2351" t="e">
        <f t="shared" si="39"/>
        <v>#N/A</v>
      </c>
      <c r="AS174" s="2351" t="e">
        <f t="shared" si="40"/>
        <v>#N/A</v>
      </c>
      <c r="AT174" s="123" t="e">
        <f t="shared" si="51"/>
        <v>#N/A</v>
      </c>
      <c r="AU174" t="e">
        <f t="shared" si="36"/>
        <v>#N/A</v>
      </c>
      <c r="AV174" t="e">
        <f t="shared" si="37"/>
        <v>#N/A</v>
      </c>
      <c r="BA174" s="123"/>
      <c r="BB174" s="123"/>
      <c r="BC174" s="123"/>
      <c r="BD174" s="2997"/>
      <c r="BE174" s="123"/>
      <c r="BF174" s="2998"/>
      <c r="BG174" s="2999"/>
      <c r="BH174" s="3005"/>
      <c r="BI174" s="3000"/>
      <c r="BJ174" s="3001"/>
      <c r="BK174" s="3002"/>
      <c r="BL174" s="3003"/>
      <c r="BM174" s="3004"/>
    </row>
    <row r="175" spans="1:65" ht="47.4" thickBot="1" x14ac:dyDescent="0.3">
      <c r="A175" s="2851"/>
      <c r="B175" s="2564" t="s">
        <v>784</v>
      </c>
      <c r="C175" s="2564" t="s">
        <v>785</v>
      </c>
      <c r="D175" s="2564" t="s">
        <v>9253</v>
      </c>
      <c r="E175" s="2960"/>
      <c r="F175" s="2564" t="s">
        <v>27</v>
      </c>
      <c r="G175" s="2564"/>
      <c r="H175" s="1825" t="s">
        <v>9034</v>
      </c>
      <c r="I175" s="1833" t="s">
        <v>9035</v>
      </c>
      <c r="J175" s="1825" t="str">
        <f t="shared" si="54"/>
        <v>7-DaHall 1-PDU-01-30-2</v>
      </c>
      <c r="K175" s="1833" t="str">
        <f t="shared" si="55"/>
        <v>7-DaHall 1-PDU-02-30-2</v>
      </c>
      <c r="L175" s="1827">
        <v>220</v>
      </c>
      <c r="M175" s="1828">
        <v>30</v>
      </c>
      <c r="N175" s="703" t="s">
        <v>8749</v>
      </c>
      <c r="O175" s="1829">
        <v>2</v>
      </c>
      <c r="P175" s="1834">
        <v>220</v>
      </c>
      <c r="Q175" s="1835">
        <v>30</v>
      </c>
      <c r="R175" s="687" t="s">
        <v>8750</v>
      </c>
      <c r="S175" s="1836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46" t="s">
        <v>164</v>
      </c>
      <c r="AC175" s="903" t="s">
        <v>783</v>
      </c>
      <c r="AD175" s="2146" t="s">
        <v>110</v>
      </c>
      <c r="AE175" s="903" t="s">
        <v>111</v>
      </c>
      <c r="AF175" s="2848" t="s">
        <v>31</v>
      </c>
      <c r="AG175" s="2849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298">
        <f t="shared" si="56"/>
        <v>0</v>
      </c>
      <c r="AK175" s="2816" t="e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5" s="2817" t="e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5" s="3240">
        <f>VLOOKUP(J175&amp;K175,'7층~4층_매핑테이블'!$Y$6:$AF$2020,8,0)</f>
        <v>0</v>
      </c>
      <c r="AN175" s="3230" t="e">
        <f t="shared" si="38"/>
        <v>#N/A</v>
      </c>
      <c r="AO175" s="2593" t="s">
        <v>9306</v>
      </c>
      <c r="AP175" s="2599"/>
      <c r="AR175" s="2351" t="e">
        <f t="shared" si="39"/>
        <v>#N/A</v>
      </c>
      <c r="AS175" s="2351" t="e">
        <f t="shared" si="40"/>
        <v>#N/A</v>
      </c>
      <c r="AT175" s="123" t="e">
        <f t="shared" si="51"/>
        <v>#N/A</v>
      </c>
      <c r="AU175" t="e">
        <f t="shared" si="36"/>
        <v>#N/A</v>
      </c>
      <c r="AV175" t="e">
        <f t="shared" si="37"/>
        <v>#N/A</v>
      </c>
      <c r="BA175" s="123"/>
      <c r="BB175" s="123"/>
      <c r="BC175" s="123"/>
      <c r="BD175" s="2997"/>
      <c r="BE175" s="123"/>
      <c r="BF175" s="2998"/>
      <c r="BG175" s="2999"/>
      <c r="BH175" s="3005"/>
      <c r="BI175" s="3000"/>
      <c r="BJ175" s="3001"/>
      <c r="BK175" s="3002"/>
      <c r="BL175" s="3003"/>
      <c r="BM175" s="3004"/>
    </row>
    <row r="176" spans="1:65" ht="54.75" customHeight="1" thickBot="1" x14ac:dyDescent="0.3">
      <c r="A176" s="2851"/>
      <c r="B176" s="3411" t="s">
        <v>789</v>
      </c>
      <c r="C176" s="3412" t="s">
        <v>790</v>
      </c>
      <c r="D176" s="3412" t="s">
        <v>791</v>
      </c>
      <c r="E176" s="2592"/>
      <c r="F176" s="951"/>
      <c r="G176" s="951" t="s">
        <v>27</v>
      </c>
      <c r="H176" s="1937" t="s">
        <v>9036</v>
      </c>
      <c r="I176" s="1938" t="s">
        <v>9037</v>
      </c>
      <c r="J176" s="1937" t="str">
        <f t="shared" si="54"/>
        <v>7-DaHall 1-A-1-35-50</v>
      </c>
      <c r="K176" s="1938" t="str">
        <f t="shared" si="55"/>
        <v>7-DaHall 1-B-1-50-47</v>
      </c>
      <c r="L176" s="1939">
        <v>48</v>
      </c>
      <c r="M176" s="1943">
        <v>35</v>
      </c>
      <c r="N176" s="915" t="s">
        <v>293</v>
      </c>
      <c r="O176" s="1940">
        <v>50</v>
      </c>
      <c r="P176" s="1941">
        <v>48</v>
      </c>
      <c r="Q176" s="1944">
        <v>50</v>
      </c>
      <c r="R176" s="916" t="s">
        <v>294</v>
      </c>
      <c r="S176" s="1942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594" t="s">
        <v>51</v>
      </c>
      <c r="AC176" s="2578" t="s">
        <v>52</v>
      </c>
      <c r="AD176" s="2594" t="s">
        <v>30</v>
      </c>
      <c r="AE176" s="2578" t="s">
        <v>35</v>
      </c>
      <c r="AF176" s="2848" t="s">
        <v>31</v>
      </c>
      <c r="AG176" s="2849" t="s">
        <v>36</v>
      </c>
      <c r="AH176" s="924"/>
      <c r="AI176" s="1172"/>
      <c r="AJ176" s="1315"/>
      <c r="AK176" s="2825"/>
      <c r="AL176" s="2826"/>
      <c r="AM176" s="3240" t="e">
        <f>VLOOKUP(J176&amp;K176,'7층~4층_매핑테이블'!$Y$6:$AF$2020,8,0)</f>
        <v>#N/A</v>
      </c>
      <c r="AN176" s="3231">
        <f t="shared" si="38"/>
        <v>0</v>
      </c>
      <c r="AO176" s="2214"/>
      <c r="AP176" s="700" t="s">
        <v>794</v>
      </c>
      <c r="AR176" s="2351">
        <f t="shared" si="39"/>
        <v>0</v>
      </c>
      <c r="AS176" s="2351">
        <f t="shared" si="40"/>
        <v>0</v>
      </c>
      <c r="AT176" s="123" t="str">
        <f t="shared" si="41"/>
        <v>미사용 랙</v>
      </c>
      <c r="AU176" t="str">
        <f t="shared" si="36"/>
        <v/>
      </c>
      <c r="AV176" t="str">
        <f t="shared" si="37"/>
        <v/>
      </c>
      <c r="BA176" s="123"/>
      <c r="BB176" s="123"/>
      <c r="BC176" s="123"/>
      <c r="BD176" s="2997"/>
      <c r="BE176" s="123"/>
      <c r="BF176" s="2998"/>
      <c r="BG176" s="2999"/>
      <c r="BH176" s="3005"/>
      <c r="BI176" s="3000"/>
      <c r="BJ176" s="3001"/>
      <c r="BK176" s="3002"/>
      <c r="BL176" s="3003"/>
      <c r="BM176" s="3004"/>
    </row>
    <row r="177" spans="1:65" ht="46.8" x14ac:dyDescent="0.25">
      <c r="A177" s="2851"/>
      <c r="B177" s="3411"/>
      <c r="C177" s="3412"/>
      <c r="D177" s="3412"/>
      <c r="E177" s="2592"/>
      <c r="F177" s="2564" t="s">
        <v>27</v>
      </c>
      <c r="G177" s="2564"/>
      <c r="H177" s="1825" t="s">
        <v>9038</v>
      </c>
      <c r="I177" s="1833" t="s">
        <v>9039</v>
      </c>
      <c r="J177" s="1825" t="str">
        <f t="shared" si="54"/>
        <v>7-DaHall 1-PDU-01-30-46</v>
      </c>
      <c r="K177" s="1833" t="str">
        <f t="shared" si="55"/>
        <v>7-DaHall 1-PDU-02-30-46</v>
      </c>
      <c r="L177" s="1827">
        <v>220</v>
      </c>
      <c r="M177" s="1828">
        <v>30</v>
      </c>
      <c r="N177" s="703" t="s">
        <v>8749</v>
      </c>
      <c r="O177" s="1829">
        <v>46</v>
      </c>
      <c r="P177" s="1834">
        <v>220</v>
      </c>
      <c r="Q177" s="1835">
        <v>30</v>
      </c>
      <c r="R177" s="687" t="s">
        <v>8750</v>
      </c>
      <c r="S177" s="1836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59" t="s">
        <v>164</v>
      </c>
      <c r="AC177" s="1156" t="s">
        <v>783</v>
      </c>
      <c r="AD177" s="2594" t="s">
        <v>110</v>
      </c>
      <c r="AE177" s="2578" t="s">
        <v>111</v>
      </c>
      <c r="AF177" s="2848" t="s">
        <v>31</v>
      </c>
      <c r="AG177" s="2849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298">
        <f t="shared" ref="AJ177" si="57">AH177+AI177</f>
        <v>0</v>
      </c>
      <c r="AK177" s="2816" t="e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7" s="2817" t="e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7" s="3240">
        <f>VLOOKUP(J177&amp;K177,'7층~4층_매핑테이블'!$Y$6:$AF$2020,8,0)</f>
        <v>0</v>
      </c>
      <c r="AN177" s="3231" t="e">
        <f t="shared" si="38"/>
        <v>#N/A</v>
      </c>
      <c r="AO177" s="2593" t="s">
        <v>788</v>
      </c>
      <c r="AP177" s="700"/>
      <c r="AR177" s="2351" t="e">
        <f t="shared" si="39"/>
        <v>#N/A</v>
      </c>
      <c r="AS177" s="2351" t="e">
        <f t="shared" si="40"/>
        <v>#N/A</v>
      </c>
      <c r="AT177" s="123" t="e">
        <f t="shared" ref="AT177:AT182" si="58">IF(SIGN(AS177)&gt;=0,IF(AN177=0,"무부하 랙","적정함"),"사용초과")</f>
        <v>#N/A</v>
      </c>
      <c r="AU177" t="e">
        <f t="shared" si="36"/>
        <v>#N/A</v>
      </c>
      <c r="AV177" t="e">
        <f t="shared" si="37"/>
        <v>#N/A</v>
      </c>
      <c r="BA177" s="123"/>
      <c r="BB177" s="123"/>
      <c r="BC177" s="123"/>
      <c r="BD177" s="2997"/>
      <c r="BE177" s="123"/>
      <c r="BF177" s="2998"/>
      <c r="BG177" s="2999"/>
      <c r="BH177" s="3005"/>
      <c r="BI177" s="3000"/>
      <c r="BJ177" s="3001"/>
      <c r="BK177" s="3002"/>
      <c r="BL177" s="3003"/>
      <c r="BM177" s="3004"/>
    </row>
    <row r="178" spans="1:65" ht="40.5" customHeight="1" x14ac:dyDescent="0.25">
      <c r="A178" s="2851"/>
      <c r="B178" s="2564" t="s">
        <v>797</v>
      </c>
      <c r="C178" s="2564" t="s">
        <v>798</v>
      </c>
      <c r="D178" s="2564"/>
      <c r="E178" s="2564"/>
      <c r="F178" s="2564" t="s">
        <v>27</v>
      </c>
      <c r="G178" s="2564"/>
      <c r="H178" s="1866" t="s">
        <v>9040</v>
      </c>
      <c r="I178" s="1864" t="s">
        <v>9041</v>
      </c>
      <c r="J178" s="1825" t="str">
        <f>"7-DaHall 1-"&amp;R178&amp;"-"&amp;Q178&amp;"-"&amp;S178</f>
        <v>7-DaHall 1-RPP-01-30-24</v>
      </c>
      <c r="K178" s="1833" t="str">
        <f>"7-DaHall 1-"&amp;N178&amp;"-"&amp;M178&amp;"-"&amp;O178</f>
        <v>7-DaHall 1-RPP-02-30-18</v>
      </c>
      <c r="L178" s="1867">
        <v>220</v>
      </c>
      <c r="M178" s="1835">
        <v>30</v>
      </c>
      <c r="N178" s="687" t="s">
        <v>8776</v>
      </c>
      <c r="O178" s="1836">
        <v>18</v>
      </c>
      <c r="P178" s="1865">
        <v>220</v>
      </c>
      <c r="Q178" s="1828">
        <v>30</v>
      </c>
      <c r="R178" s="703" t="s">
        <v>8775</v>
      </c>
      <c r="S178" s="1829">
        <v>24</v>
      </c>
      <c r="T178" s="687" t="s">
        <v>799</v>
      </c>
      <c r="U178" s="703" t="s">
        <v>800</v>
      </c>
      <c r="V178" s="2578" t="s">
        <v>801</v>
      </c>
      <c r="W178" s="2594" t="s">
        <v>802</v>
      </c>
      <c r="X178" s="903" t="s">
        <v>460</v>
      </c>
      <c r="Y178" s="2146" t="s">
        <v>450</v>
      </c>
      <c r="Z178" s="903" t="s">
        <v>461</v>
      </c>
      <c r="AA178" s="2146" t="s">
        <v>451</v>
      </c>
      <c r="AB178" s="903" t="s">
        <v>462</v>
      </c>
      <c r="AC178" s="2146" t="s">
        <v>452</v>
      </c>
      <c r="AD178" s="903" t="s">
        <v>35</v>
      </c>
      <c r="AE178" s="2146" t="s">
        <v>30</v>
      </c>
      <c r="AF178" s="903" t="s">
        <v>36</v>
      </c>
      <c r="AG178" s="2146" t="s">
        <v>31</v>
      </c>
      <c r="AH178" s="922">
        <f>SUM('7층_부하량(월간_AVG)'!N17:P17)</f>
        <v>0</v>
      </c>
      <c r="AI178" s="901">
        <f>SUM('7층_부하량(월간_AVG)'!N103:P103)</f>
        <v>0</v>
      </c>
      <c r="AJ178" s="1298">
        <f>AI178+AH178</f>
        <v>0</v>
      </c>
      <c r="AK178" s="2816" t="e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8" s="2817" t="e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8" s="3240">
        <f>VLOOKUP(J178&amp;K178,'7층~4층_매핑테이블'!$Y$6:$AF$2020,8,0)</f>
        <v>0</v>
      </c>
      <c r="AN178" s="3230" t="e">
        <f t="shared" si="38"/>
        <v>#N/A</v>
      </c>
      <c r="AO178" s="2593" t="s">
        <v>803</v>
      </c>
      <c r="AP178" s="2599"/>
      <c r="AR178" s="2351" t="e">
        <f t="shared" si="39"/>
        <v>#N/A</v>
      </c>
      <c r="AS178" s="2351" t="e">
        <f t="shared" si="40"/>
        <v>#N/A</v>
      </c>
      <c r="AT178" s="123" t="e">
        <f t="shared" si="58"/>
        <v>#N/A</v>
      </c>
      <c r="AU178" t="e">
        <f t="shared" si="36"/>
        <v>#N/A</v>
      </c>
      <c r="AV178" t="e">
        <f t="shared" si="37"/>
        <v>#N/A</v>
      </c>
      <c r="BA178" s="123"/>
      <c r="BB178" s="123"/>
      <c r="BC178" s="123"/>
      <c r="BD178" s="2997"/>
      <c r="BE178" s="123"/>
      <c r="BF178" s="2998"/>
      <c r="BG178" s="2999"/>
      <c r="BH178" s="3005"/>
      <c r="BI178" s="3000"/>
      <c r="BJ178" s="3001"/>
      <c r="BK178" s="3002"/>
      <c r="BL178" s="3003"/>
      <c r="BM178" s="3004"/>
    </row>
    <row r="179" spans="1:65" ht="62.4" x14ac:dyDescent="0.25">
      <c r="A179" s="2851"/>
      <c r="B179" s="2564" t="s">
        <v>804</v>
      </c>
      <c r="C179" s="2564" t="s">
        <v>805</v>
      </c>
      <c r="D179" s="918"/>
      <c r="E179" s="918"/>
      <c r="F179" s="918" t="s">
        <v>27</v>
      </c>
      <c r="G179" s="918"/>
      <c r="H179" s="1945" t="s">
        <v>9042</v>
      </c>
      <c r="I179" s="1851" t="s">
        <v>9043</v>
      </c>
      <c r="J179" s="1839" t="str">
        <f>"7-DaHall 1-"&amp;R179&amp;"-"&amp;Q179&amp;"-"&amp;S179</f>
        <v>7-DaHall 1-RPP-01-20-33</v>
      </c>
      <c r="K179" s="1840" t="str">
        <f>"7-DaHall 1-"&amp;N179&amp;"-"&amp;M179&amp;"-"&amp;O179</f>
        <v>7-DaHall 1-RPP-02-20-29</v>
      </c>
      <c r="L179" s="1946">
        <v>220</v>
      </c>
      <c r="M179" s="1845">
        <v>20</v>
      </c>
      <c r="N179" s="950" t="s">
        <v>8776</v>
      </c>
      <c r="O179" s="1846">
        <v>29</v>
      </c>
      <c r="P179" s="1852">
        <v>220</v>
      </c>
      <c r="Q179" s="1842">
        <v>20</v>
      </c>
      <c r="R179" s="896" t="s">
        <v>8775</v>
      </c>
      <c r="S179" s="1843">
        <v>33</v>
      </c>
      <c r="T179" s="950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46" t="s">
        <v>450</v>
      </c>
      <c r="Z179" s="903" t="s">
        <v>461</v>
      </c>
      <c r="AA179" s="2146" t="s">
        <v>451</v>
      </c>
      <c r="AB179" s="903" t="s">
        <v>462</v>
      </c>
      <c r="AC179" s="2146" t="s">
        <v>452</v>
      </c>
      <c r="AD179" s="903" t="s">
        <v>35</v>
      </c>
      <c r="AE179" s="2146" t="s">
        <v>30</v>
      </c>
      <c r="AF179" s="903" t="s">
        <v>36</v>
      </c>
      <c r="AG179" s="2146" t="s">
        <v>31</v>
      </c>
      <c r="AH179" s="1173">
        <f>SUM('7층_부하량(월간_AVG)'!D22:F22)</f>
        <v>0</v>
      </c>
      <c r="AI179" s="929">
        <f>SUM('7층_부하량(월간_AVG)'!D109:F109)</f>
        <v>0</v>
      </c>
      <c r="AJ179" s="1316">
        <f>AI179+AH179</f>
        <v>0</v>
      </c>
      <c r="AK179" s="2829" t="e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9" s="2817" t="e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9" s="3240">
        <f>VLOOKUP(J179&amp;K179,'7층~4층_매핑테이블'!$Y$6:$AF$2020,8,0)</f>
        <v>0</v>
      </c>
      <c r="AN179" s="3231" t="e">
        <f t="shared" si="38"/>
        <v>#N/A</v>
      </c>
      <c r="AO179" s="2593" t="s">
        <v>810</v>
      </c>
      <c r="AP179" s="2599"/>
      <c r="AR179" s="2351" t="e">
        <f t="shared" si="39"/>
        <v>#N/A</v>
      </c>
      <c r="AS179" s="2351" t="e">
        <f t="shared" si="40"/>
        <v>#N/A</v>
      </c>
      <c r="AT179" s="123" t="e">
        <f t="shared" si="58"/>
        <v>#N/A</v>
      </c>
      <c r="AU179" t="e">
        <f t="shared" si="36"/>
        <v>#N/A</v>
      </c>
      <c r="AV179" t="e">
        <f t="shared" si="37"/>
        <v>#N/A</v>
      </c>
      <c r="BA179" s="123"/>
      <c r="BB179" s="123"/>
      <c r="BC179" s="123"/>
      <c r="BD179" s="2997"/>
      <c r="BE179" s="123"/>
      <c r="BF179" s="2998"/>
      <c r="BG179" s="2999"/>
      <c r="BH179" s="3005"/>
      <c r="BI179" s="3000"/>
      <c r="BJ179" s="3001"/>
      <c r="BK179" s="3002"/>
      <c r="BL179" s="3003"/>
      <c r="BM179" s="3004"/>
    </row>
    <row r="180" spans="1:65" ht="62.4" x14ac:dyDescent="0.25">
      <c r="A180" s="2851"/>
      <c r="B180" s="2564" t="s">
        <v>811</v>
      </c>
      <c r="C180" s="2564" t="s">
        <v>812</v>
      </c>
      <c r="D180" s="918"/>
      <c r="E180" s="918"/>
      <c r="F180" s="918" t="s">
        <v>27</v>
      </c>
      <c r="G180" s="918"/>
      <c r="H180" s="1945" t="s">
        <v>9044</v>
      </c>
      <c r="I180" s="1851" t="s">
        <v>9045</v>
      </c>
      <c r="J180" s="1839" t="str">
        <f>"7-DaHall 1-"&amp;R180&amp;"-"&amp;Q180&amp;"-"&amp;S180</f>
        <v>7-DaHall 1-RPP-01-30-22</v>
      </c>
      <c r="K180" s="1840" t="str">
        <f>"7-DaHall 1-"&amp;N180&amp;"-"&amp;M180&amp;"-"&amp;O180</f>
        <v>7-DaHall 1-RPP-02-30-16</v>
      </c>
      <c r="L180" s="1946">
        <v>220</v>
      </c>
      <c r="M180" s="1845">
        <v>30</v>
      </c>
      <c r="N180" s="950" t="s">
        <v>8776</v>
      </c>
      <c r="O180" s="1846">
        <v>16</v>
      </c>
      <c r="P180" s="1852">
        <v>220</v>
      </c>
      <c r="Q180" s="1842">
        <v>30</v>
      </c>
      <c r="R180" s="896" t="s">
        <v>8775</v>
      </c>
      <c r="S180" s="1843">
        <v>22</v>
      </c>
      <c r="T180" s="950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46" t="s">
        <v>450</v>
      </c>
      <c r="Z180" s="903" t="s">
        <v>461</v>
      </c>
      <c r="AA180" s="2146" t="s">
        <v>451</v>
      </c>
      <c r="AB180" s="903" t="s">
        <v>462</v>
      </c>
      <c r="AC180" s="2146" t="s">
        <v>452</v>
      </c>
      <c r="AD180" s="903" t="s">
        <v>35</v>
      </c>
      <c r="AE180" s="2146" t="s">
        <v>30</v>
      </c>
      <c r="AF180" s="903" t="s">
        <v>36</v>
      </c>
      <c r="AG180" s="2146" t="s">
        <v>31</v>
      </c>
      <c r="AH180" s="1173">
        <f>SUM('7층_부하량(월간_AVG)'!N16:P16)</f>
        <v>0</v>
      </c>
      <c r="AI180" s="929">
        <f>SUM('7층_부하량(월간_AVG)'!N102:P102)</f>
        <v>0</v>
      </c>
      <c r="AJ180" s="1316">
        <f>AI180+AH180</f>
        <v>0</v>
      </c>
      <c r="AK180" s="2829" t="e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80" s="2817" t="e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80" s="3240">
        <f>VLOOKUP(J180&amp;K180,'7층~4층_매핑테이블'!$Y$6:$AF$2020,8,0)</f>
        <v>0</v>
      </c>
      <c r="AN180" s="3231" t="e">
        <f t="shared" si="38"/>
        <v>#N/A</v>
      </c>
      <c r="AO180" s="2593" t="s">
        <v>817</v>
      </c>
      <c r="AP180" s="2599"/>
      <c r="AR180" s="2351" t="e">
        <f t="shared" si="39"/>
        <v>#N/A</v>
      </c>
      <c r="AS180" s="2351" t="e">
        <f t="shared" si="40"/>
        <v>#N/A</v>
      </c>
      <c r="AT180" s="123" t="e">
        <f t="shared" si="58"/>
        <v>#N/A</v>
      </c>
      <c r="AU180" t="e">
        <f t="shared" si="36"/>
        <v>#N/A</v>
      </c>
      <c r="AV180" t="e">
        <f t="shared" si="37"/>
        <v>#N/A</v>
      </c>
      <c r="BA180" s="123"/>
      <c r="BB180" s="123"/>
      <c r="BC180" s="123"/>
      <c r="BD180" s="2997"/>
      <c r="BE180" s="123"/>
      <c r="BF180" s="2998"/>
      <c r="BG180" s="2999"/>
      <c r="BH180" s="3005"/>
      <c r="BI180" s="3000"/>
      <c r="BJ180" s="3001"/>
      <c r="BK180" s="3002"/>
      <c r="BL180" s="3003"/>
      <c r="BM180" s="3004"/>
    </row>
    <row r="181" spans="1:65" ht="40.5" customHeight="1" x14ac:dyDescent="0.25">
      <c r="A181" s="2851"/>
      <c r="B181" s="3411" t="s">
        <v>818</v>
      </c>
      <c r="C181" s="3411" t="s">
        <v>819</v>
      </c>
      <c r="D181" s="3411"/>
      <c r="E181" s="2564"/>
      <c r="F181" s="2564" t="s">
        <v>27</v>
      </c>
      <c r="G181" s="2564"/>
      <c r="H181" s="1825" t="s">
        <v>9046</v>
      </c>
      <c r="I181" s="1833" t="s">
        <v>9047</v>
      </c>
      <c r="J181" s="1825" t="str">
        <f t="shared" ref="J181:J182" si="59">"7-DaHall 1-"&amp;N181&amp;"-"&amp;M181&amp;"-"&amp;O181</f>
        <v>7-DaHall 1-PDU-01-30-1</v>
      </c>
      <c r="K181" s="1833" t="str">
        <f t="shared" ref="K181:K182" si="60">"7-DaHall 1-"&amp;R181&amp;"-"&amp;Q181&amp;"-"&amp;S181</f>
        <v>7-DaHall 1-PDU-02-30-1</v>
      </c>
      <c r="L181" s="1827">
        <v>220</v>
      </c>
      <c r="M181" s="1828">
        <v>30</v>
      </c>
      <c r="N181" s="703" t="s">
        <v>8749</v>
      </c>
      <c r="O181" s="1829">
        <v>1</v>
      </c>
      <c r="P181" s="1834">
        <v>220</v>
      </c>
      <c r="Q181" s="1835">
        <v>30</v>
      </c>
      <c r="R181" s="687" t="s">
        <v>8750</v>
      </c>
      <c r="S181" s="1836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46" t="s">
        <v>164</v>
      </c>
      <c r="AC181" s="903" t="s">
        <v>165</v>
      </c>
      <c r="AD181" s="2146" t="s">
        <v>110</v>
      </c>
      <c r="AE181" s="903" t="s">
        <v>111</v>
      </c>
      <c r="AF181" s="2146" t="s">
        <v>31</v>
      </c>
      <c r="AG181" s="3426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298">
        <f>AH181+AI181</f>
        <v>0</v>
      </c>
      <c r="AK181" s="2816" t="e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81" s="2817" t="e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81" s="3240">
        <f>VLOOKUP(J181&amp;K181,'7층~4층_매핑테이블'!$Y$6:$AF$2020,8,0)</f>
        <v>0</v>
      </c>
      <c r="AN181" s="3230" t="e">
        <f t="shared" si="38"/>
        <v>#N/A</v>
      </c>
      <c r="AO181" s="2214" t="s">
        <v>822</v>
      </c>
      <c r="AP181" s="2599"/>
      <c r="AR181" s="2351" t="e">
        <f t="shared" si="39"/>
        <v>#N/A</v>
      </c>
      <c r="AS181" s="2351" t="e">
        <f t="shared" si="40"/>
        <v>#N/A</v>
      </c>
      <c r="AT181" s="123" t="e">
        <f t="shared" si="58"/>
        <v>#N/A</v>
      </c>
      <c r="AU181" t="e">
        <f t="shared" si="36"/>
        <v>#N/A</v>
      </c>
      <c r="AV181" t="e">
        <f t="shared" si="37"/>
        <v>#N/A</v>
      </c>
      <c r="BA181" s="123"/>
      <c r="BB181" s="123"/>
      <c r="BC181" s="123"/>
      <c r="BD181" s="2997"/>
      <c r="BE181" s="123"/>
      <c r="BF181" s="2998"/>
      <c r="BG181" s="2999"/>
      <c r="BH181" s="3005"/>
      <c r="BI181" s="3000"/>
      <c r="BJ181" s="3001"/>
      <c r="BK181" s="3002"/>
      <c r="BL181" s="3003"/>
      <c r="BM181" s="3004"/>
    </row>
    <row r="182" spans="1:65" ht="46.8" x14ac:dyDescent="0.25">
      <c r="A182" s="2851"/>
      <c r="B182" s="3411"/>
      <c r="C182" s="3411"/>
      <c r="D182" s="3411"/>
      <c r="E182" s="2564"/>
      <c r="F182" s="2566" t="s">
        <v>27</v>
      </c>
      <c r="G182" s="2566"/>
      <c r="H182" s="1825" t="s">
        <v>9048</v>
      </c>
      <c r="I182" s="1833" t="s">
        <v>9049</v>
      </c>
      <c r="J182" s="1825" t="str">
        <f t="shared" si="59"/>
        <v>7-DaHall 1-PDU-01-30-12</v>
      </c>
      <c r="K182" s="1833" t="str">
        <f t="shared" si="60"/>
        <v>7-DaHall 1-PDU-02-30-12</v>
      </c>
      <c r="L182" s="1827">
        <v>220</v>
      </c>
      <c r="M182" s="1828">
        <v>30</v>
      </c>
      <c r="N182" s="703" t="s">
        <v>8749</v>
      </c>
      <c r="O182" s="1829">
        <v>12</v>
      </c>
      <c r="P182" s="1834">
        <v>220</v>
      </c>
      <c r="Q182" s="1835">
        <v>30</v>
      </c>
      <c r="R182" s="687" t="s">
        <v>8750</v>
      </c>
      <c r="S182" s="1836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46" t="s">
        <v>164</v>
      </c>
      <c r="AC182" s="903" t="s">
        <v>165</v>
      </c>
      <c r="AD182" s="2146" t="s">
        <v>110</v>
      </c>
      <c r="AE182" s="903" t="s">
        <v>111</v>
      </c>
      <c r="AF182" s="2146" t="s">
        <v>31</v>
      </c>
      <c r="AG182" s="3427"/>
      <c r="AH182" s="681">
        <f>SUM('7층_부하량(월간_AVG)'!N68:P68)</f>
        <v>0</v>
      </c>
      <c r="AI182" s="676">
        <f>SUM('7층_부하량(월간_AVG)'!N36:P36)</f>
        <v>0</v>
      </c>
      <c r="AJ182" s="1298">
        <f>AH182+AI182</f>
        <v>0</v>
      </c>
      <c r="AK182" s="2816" t="e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2" s="2817" t="e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2" s="3240">
        <f>VLOOKUP(J182&amp;K182,'7층~4층_매핑테이블'!$Y$6:$AF$2020,8,0)</f>
        <v>0</v>
      </c>
      <c r="AN182" s="3230" t="e">
        <f t="shared" si="38"/>
        <v>#N/A</v>
      </c>
      <c r="AO182" s="2214"/>
      <c r="AP182" s="2599"/>
      <c r="AR182" s="2351" t="e">
        <f t="shared" si="39"/>
        <v>#N/A</v>
      </c>
      <c r="AS182" s="2351" t="e">
        <f t="shared" si="40"/>
        <v>#N/A</v>
      </c>
      <c r="AT182" s="123" t="e">
        <f t="shared" si="58"/>
        <v>#N/A</v>
      </c>
      <c r="AU182" t="e">
        <f t="shared" si="36"/>
        <v>#N/A</v>
      </c>
      <c r="AV182" t="e">
        <f t="shared" si="37"/>
        <v>#N/A</v>
      </c>
      <c r="BA182" s="123"/>
      <c r="BB182" s="123"/>
      <c r="BC182" s="123"/>
      <c r="BD182" s="2997"/>
      <c r="BE182" s="123"/>
      <c r="BF182" s="2998"/>
      <c r="BG182" s="2999"/>
      <c r="BH182" s="3005"/>
      <c r="BI182" s="3000"/>
      <c r="BJ182" s="3001"/>
      <c r="BK182" s="3002"/>
      <c r="BL182" s="3003"/>
      <c r="BM182" s="3004"/>
    </row>
    <row r="183" spans="1:65" ht="40.5" customHeight="1" x14ac:dyDescent="0.25">
      <c r="A183" s="2851"/>
      <c r="B183" s="2564" t="s">
        <v>825</v>
      </c>
      <c r="C183" s="2564" t="s">
        <v>826</v>
      </c>
      <c r="D183" s="918" t="s">
        <v>827</v>
      </c>
      <c r="E183" s="918"/>
      <c r="F183" s="918"/>
      <c r="G183" s="918"/>
      <c r="H183" s="1839"/>
      <c r="I183" s="1851"/>
      <c r="J183" s="1839"/>
      <c r="K183" s="1851"/>
      <c r="L183" s="1841"/>
      <c r="M183" s="1842"/>
      <c r="N183" s="896"/>
      <c r="O183" s="1843"/>
      <c r="P183" s="1852"/>
      <c r="Q183" s="1842"/>
      <c r="R183" s="896"/>
      <c r="S183" s="1843"/>
      <c r="T183" s="896"/>
      <c r="U183" s="896"/>
      <c r="V183" s="896"/>
      <c r="W183" s="896"/>
      <c r="X183" s="3428"/>
      <c r="Y183" s="896"/>
      <c r="Z183" s="3428"/>
      <c r="AA183" s="896"/>
      <c r="AB183" s="3428"/>
      <c r="AC183" s="896"/>
      <c r="AD183" s="3428"/>
      <c r="AE183" s="897"/>
      <c r="AF183" s="2844"/>
      <c r="AG183" s="896"/>
      <c r="AH183" s="924"/>
      <c r="AI183" s="921"/>
      <c r="AJ183" s="1316">
        <f>AH183+AI183</f>
        <v>0</v>
      </c>
      <c r="AK183" s="2825"/>
      <c r="AL183" s="2826"/>
      <c r="AM183" s="3240">
        <f>VLOOKUP(J183&amp;K183,'7층~4층_매핑테이블'!$Y$6:$AF$2020,8,0)</f>
        <v>0</v>
      </c>
      <c r="AN183" s="3231">
        <f t="shared" si="38"/>
        <v>0</v>
      </c>
      <c r="AO183" s="2593" t="s">
        <v>830</v>
      </c>
      <c r="AP183" s="2599"/>
      <c r="AR183" s="2351">
        <f t="shared" si="39"/>
        <v>0</v>
      </c>
      <c r="AS183" s="2351">
        <f t="shared" si="40"/>
        <v>0</v>
      </c>
      <c r="AT183" s="123" t="str">
        <f t="shared" si="41"/>
        <v>미사용 랙</v>
      </c>
      <c r="AU183" t="str">
        <f t="shared" si="36"/>
        <v/>
      </c>
      <c r="AV183" t="str">
        <f t="shared" si="37"/>
        <v/>
      </c>
      <c r="BA183" s="123"/>
      <c r="BB183" s="123"/>
      <c r="BC183" s="123"/>
      <c r="BD183" s="2997"/>
      <c r="BE183" s="123"/>
      <c r="BF183" s="2998"/>
      <c r="BG183" s="2999"/>
      <c r="BH183" s="3005"/>
      <c r="BI183" s="3000"/>
      <c r="BJ183" s="3001"/>
      <c r="BK183" s="3002"/>
      <c r="BL183" s="3003"/>
      <c r="BM183" s="3004"/>
    </row>
    <row r="184" spans="1:65" ht="13.5" customHeight="1" x14ac:dyDescent="0.25">
      <c r="A184" s="2851"/>
      <c r="B184" s="2564"/>
      <c r="C184" s="2564"/>
      <c r="D184" s="918"/>
      <c r="E184" s="918"/>
      <c r="F184" s="918"/>
      <c r="G184" s="918"/>
      <c r="H184" s="1885"/>
      <c r="I184" s="1886"/>
      <c r="J184" s="1885"/>
      <c r="K184" s="1886"/>
      <c r="L184" s="1887"/>
      <c r="M184" s="1890"/>
      <c r="N184" s="911"/>
      <c r="O184" s="1888"/>
      <c r="P184" s="1889"/>
      <c r="Q184" s="1890"/>
      <c r="R184" s="911"/>
      <c r="S184" s="1888"/>
      <c r="T184" s="911"/>
      <c r="U184" s="911"/>
      <c r="V184" s="918"/>
      <c r="W184" s="918"/>
      <c r="X184" s="3429"/>
      <c r="Y184" s="918"/>
      <c r="Z184" s="3429"/>
      <c r="AA184" s="918"/>
      <c r="AB184" s="3429"/>
      <c r="AC184" s="1174"/>
      <c r="AD184" s="3429"/>
      <c r="AE184" s="1048"/>
      <c r="AF184" s="2844"/>
      <c r="AG184" s="1048" t="s">
        <v>36</v>
      </c>
      <c r="AH184" s="924"/>
      <c r="AI184" s="1172"/>
      <c r="AJ184" s="1316"/>
      <c r="AK184" s="2825"/>
      <c r="AL184" s="2826"/>
      <c r="AM184" s="3240"/>
      <c r="AN184" s="3231">
        <f t="shared" si="38"/>
        <v>0</v>
      </c>
      <c r="AO184" s="2593"/>
      <c r="AP184" s="2599" t="s">
        <v>831</v>
      </c>
      <c r="AR184" s="2351">
        <f t="shared" si="39"/>
        <v>0</v>
      </c>
      <c r="AS184" s="2351">
        <f t="shared" si="40"/>
        <v>0</v>
      </c>
      <c r="AT184" s="123" t="str">
        <f t="shared" si="41"/>
        <v>미사용 랙</v>
      </c>
      <c r="AU184" t="str">
        <f t="shared" si="36"/>
        <v/>
      </c>
      <c r="AV184" t="str">
        <f t="shared" si="37"/>
        <v/>
      </c>
      <c r="BA184" s="123"/>
      <c r="BB184" s="123"/>
      <c r="BC184" s="123"/>
      <c r="BD184" s="2997"/>
      <c r="BE184" s="123"/>
      <c r="BF184" s="2998"/>
      <c r="BG184" s="2999"/>
      <c r="BH184" s="3005"/>
      <c r="BI184" s="3000"/>
      <c r="BJ184" s="3001"/>
      <c r="BK184" s="3002"/>
      <c r="BL184" s="3003"/>
      <c r="BM184" s="3004"/>
    </row>
    <row r="185" spans="1:65" ht="14.25" customHeight="1" thickBot="1" x14ac:dyDescent="0.3">
      <c r="A185" s="2852"/>
      <c r="B185" s="2595" t="s">
        <v>832</v>
      </c>
      <c r="C185" s="2595" t="s">
        <v>833</v>
      </c>
      <c r="D185" s="917" t="s">
        <v>834</v>
      </c>
      <c r="E185" s="917"/>
      <c r="F185" s="917"/>
      <c r="G185" s="917"/>
      <c r="H185" s="1896"/>
      <c r="I185" s="1869"/>
      <c r="J185" s="1896"/>
      <c r="K185" s="1869"/>
      <c r="L185" s="1898"/>
      <c r="M185" s="1873"/>
      <c r="N185" s="904"/>
      <c r="O185" s="1874"/>
      <c r="P185" s="1872"/>
      <c r="Q185" s="1873"/>
      <c r="R185" s="904"/>
      <c r="S185" s="1874"/>
      <c r="T185" s="904"/>
      <c r="U185" s="904"/>
      <c r="V185" s="904"/>
      <c r="W185" s="904"/>
      <c r="X185" s="3430"/>
      <c r="Y185" s="904"/>
      <c r="Z185" s="3430"/>
      <c r="AA185" s="904"/>
      <c r="AB185" s="3430"/>
      <c r="AC185" s="904"/>
      <c r="AD185" s="3430"/>
      <c r="AE185" s="1066"/>
      <c r="AF185" s="2853"/>
      <c r="AG185" s="904"/>
      <c r="AH185" s="926"/>
      <c r="AI185" s="1067"/>
      <c r="AJ185" s="1317">
        <f>AH185+AI185</f>
        <v>0</v>
      </c>
      <c r="AK185" s="2825"/>
      <c r="AL185" s="2826"/>
      <c r="AM185" s="3240"/>
      <c r="AN185" s="3231">
        <f t="shared" si="38"/>
        <v>0</v>
      </c>
      <c r="AO185" s="698" t="s">
        <v>837</v>
      </c>
      <c r="AP185" s="679"/>
      <c r="AR185" s="2351">
        <f t="shared" si="39"/>
        <v>0</v>
      </c>
      <c r="AS185" s="2351">
        <f t="shared" si="40"/>
        <v>0</v>
      </c>
      <c r="AT185" s="123" t="str">
        <f t="shared" si="41"/>
        <v>미사용 랙</v>
      </c>
      <c r="AU185" t="str">
        <f t="shared" si="36"/>
        <v/>
      </c>
      <c r="AV185" t="str">
        <f t="shared" si="37"/>
        <v/>
      </c>
      <c r="BA185" s="123"/>
      <c r="BB185" s="123"/>
      <c r="BC185" s="123"/>
      <c r="BD185" s="2997"/>
      <c r="BE185" s="123"/>
      <c r="BF185" s="2998"/>
      <c r="BG185" s="2999"/>
      <c r="BH185" s="3005"/>
      <c r="BI185" s="3000"/>
      <c r="BJ185" s="3001"/>
      <c r="BK185" s="3002"/>
      <c r="BL185" s="3003"/>
      <c r="BM185" s="3004"/>
    </row>
    <row r="186" spans="1:65" ht="13.5" customHeight="1" x14ac:dyDescent="0.25">
      <c r="A186" s="2854" t="s">
        <v>838</v>
      </c>
      <c r="B186" s="2570" t="s">
        <v>839</v>
      </c>
      <c r="C186" s="1062"/>
      <c r="D186" s="1062"/>
      <c r="E186" s="1062"/>
      <c r="F186" s="1062"/>
      <c r="G186" s="1062"/>
      <c r="H186" s="1879"/>
      <c r="I186" s="1947"/>
      <c r="J186" s="1879"/>
      <c r="K186" s="1947"/>
      <c r="L186" s="1880"/>
      <c r="M186" s="1948"/>
      <c r="N186" s="954"/>
      <c r="O186" s="1881"/>
      <c r="P186" s="1949"/>
      <c r="Q186" s="1950"/>
      <c r="R186" s="1063"/>
      <c r="S186" s="1951"/>
      <c r="T186" s="954"/>
      <c r="U186" s="1063"/>
      <c r="V186" s="954"/>
      <c r="W186" s="1063"/>
      <c r="X186" s="954"/>
      <c r="Y186" s="1063"/>
      <c r="Z186" s="954"/>
      <c r="AA186" s="1063"/>
      <c r="AB186" s="954"/>
      <c r="AC186" s="1063"/>
      <c r="AD186" s="954"/>
      <c r="AE186" s="1063"/>
      <c r="AF186" s="954"/>
      <c r="AG186" s="1063"/>
      <c r="AH186" s="1075"/>
      <c r="AI186" s="1076"/>
      <c r="AJ186" s="1318"/>
      <c r="AK186" s="2825"/>
      <c r="AL186" s="2826"/>
      <c r="AM186" s="3240"/>
      <c r="AN186" s="3231">
        <f t="shared" si="38"/>
        <v>0</v>
      </c>
      <c r="AO186" s="1057"/>
      <c r="AP186" s="2586"/>
      <c r="AR186" s="2351">
        <f t="shared" si="39"/>
        <v>0</v>
      </c>
      <c r="AS186" s="2351">
        <f t="shared" si="40"/>
        <v>0</v>
      </c>
      <c r="AT186" s="123" t="str">
        <f t="shared" si="41"/>
        <v>미사용 랙</v>
      </c>
      <c r="AU186" t="str">
        <f t="shared" si="36"/>
        <v/>
      </c>
      <c r="AV186" t="str">
        <f t="shared" si="37"/>
        <v/>
      </c>
      <c r="BA186" s="123"/>
      <c r="BB186" s="123"/>
      <c r="BC186" s="123"/>
      <c r="BD186" s="2997"/>
      <c r="BE186" s="123"/>
      <c r="BF186" s="2998"/>
      <c r="BG186" s="2999"/>
      <c r="BH186" s="3005"/>
      <c r="BI186" s="3000"/>
      <c r="BJ186" s="3001"/>
      <c r="BK186" s="3002"/>
      <c r="BL186" s="3003"/>
      <c r="BM186" s="3004"/>
    </row>
    <row r="187" spans="1:65" ht="62.4" x14ac:dyDescent="0.25">
      <c r="A187" s="2854"/>
      <c r="B187" s="2564" t="s">
        <v>840</v>
      </c>
      <c r="C187" s="2564" t="s">
        <v>841</v>
      </c>
      <c r="D187" s="733"/>
      <c r="E187" s="733"/>
      <c r="F187" s="918" t="s">
        <v>27</v>
      </c>
      <c r="G187" s="918"/>
      <c r="H187" s="1839" t="s">
        <v>9050</v>
      </c>
      <c r="I187" s="1840" t="s">
        <v>9051</v>
      </c>
      <c r="J187" s="1839" t="str">
        <f t="shared" ref="J187" si="61">"7-DaHall 1-"&amp;N187&amp;"-"&amp;M187&amp;"-"&amp;O187</f>
        <v>7-DaHall 1-RPP-01-20-39</v>
      </c>
      <c r="K187" s="1840" t="str">
        <f t="shared" ref="K187:K193" si="62">"7-DaHall 1-"&amp;R187&amp;"-"&amp;Q187&amp;"-"&amp;S187</f>
        <v>7-DaHall 1-RPP-02-30-40</v>
      </c>
      <c r="L187" s="1841">
        <v>220</v>
      </c>
      <c r="M187" s="1842">
        <v>20</v>
      </c>
      <c r="N187" s="896" t="s">
        <v>8775</v>
      </c>
      <c r="O187" s="1843">
        <v>39</v>
      </c>
      <c r="P187" s="1844">
        <v>220</v>
      </c>
      <c r="Q187" s="1845">
        <v>30</v>
      </c>
      <c r="R187" s="950" t="s">
        <v>8776</v>
      </c>
      <c r="S187" s="1846">
        <v>40</v>
      </c>
      <c r="T187" s="896" t="s">
        <v>828</v>
      </c>
      <c r="U187" s="950" t="s">
        <v>842</v>
      </c>
      <c r="V187" s="896" t="s">
        <v>829</v>
      </c>
      <c r="W187" s="950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855" t="s">
        <v>462</v>
      </c>
      <c r="AD187" s="915" t="s">
        <v>30</v>
      </c>
      <c r="AE187" s="2855" t="s">
        <v>35</v>
      </c>
      <c r="AF187" s="2856" t="s">
        <v>31</v>
      </c>
      <c r="AG187" s="903" t="s">
        <v>36</v>
      </c>
      <c r="AH187" s="924">
        <f>SUM('7층_부하량(월간_AVG)'!D25:F25)</f>
        <v>0</v>
      </c>
      <c r="AI187" s="1172">
        <f>SUM('7층_부하량(월간_AVG)'!N114:P114)</f>
        <v>0</v>
      </c>
      <c r="AJ187" s="1316">
        <f>AH187+AI187</f>
        <v>0</v>
      </c>
      <c r="AK187" s="2816" t="e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7" s="2817" t="e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7" s="3240">
        <f>VLOOKUP(J187&amp;K187,'7층~4층_매핑테이블'!$Y$6:$AF$2020,8,0)</f>
        <v>0</v>
      </c>
      <c r="AN187" s="3230" t="e">
        <f t="shared" si="38"/>
        <v>#N/A</v>
      </c>
      <c r="AO187" s="2593" t="s">
        <v>844</v>
      </c>
      <c r="AP187" s="2599" t="s">
        <v>9052</v>
      </c>
      <c r="AR187" s="2351" t="e">
        <f t="shared" si="39"/>
        <v>#N/A</v>
      </c>
      <c r="AS187" s="2351" t="e">
        <f t="shared" si="40"/>
        <v>#N/A</v>
      </c>
      <c r="AT187" s="123" t="e">
        <f>IF(SIGN(AS187)&gt;=0,IF(AN187=0,"무부하 랙","적정함"),"사용초과")</f>
        <v>#N/A</v>
      </c>
      <c r="AU187" t="e">
        <f t="shared" si="36"/>
        <v>#N/A</v>
      </c>
      <c r="AV187" t="e">
        <f t="shared" si="37"/>
        <v>#N/A</v>
      </c>
      <c r="BA187" s="123"/>
      <c r="BB187" s="123"/>
      <c r="BC187" s="123"/>
      <c r="BD187" s="2997"/>
      <c r="BE187" s="123"/>
      <c r="BF187" s="2998"/>
      <c r="BG187" s="2999"/>
      <c r="BH187" s="3005"/>
      <c r="BI187" s="3000"/>
      <c r="BJ187" s="3001"/>
      <c r="BK187" s="3002"/>
      <c r="BL187" s="3003"/>
      <c r="BM187" s="3004"/>
    </row>
    <row r="188" spans="1:65" ht="54" customHeight="1" x14ac:dyDescent="0.25">
      <c r="A188" s="2854"/>
      <c r="B188" s="3411" t="s">
        <v>845</v>
      </c>
      <c r="C188" s="3412" t="s">
        <v>846</v>
      </c>
      <c r="D188" s="3431"/>
      <c r="E188" s="733"/>
      <c r="F188" s="951"/>
      <c r="G188" s="951" t="s">
        <v>773</v>
      </c>
      <c r="H188" s="1937" t="s">
        <v>9053</v>
      </c>
      <c r="I188" s="1938" t="s">
        <v>9054</v>
      </c>
      <c r="J188" s="1937" t="str">
        <f>"7-DaHall 1-"&amp;N188&amp;"-"&amp;M188&amp;"-"&amp;O188</f>
        <v>7-DaHall 1-B-5-35-40</v>
      </c>
      <c r="K188" s="1938" t="str">
        <f t="shared" si="62"/>
        <v>7-DaHall 1-A-5-35-41</v>
      </c>
      <c r="L188" s="1939">
        <v>48</v>
      </c>
      <c r="M188" s="1943">
        <v>35</v>
      </c>
      <c r="N188" s="915" t="s">
        <v>847</v>
      </c>
      <c r="O188" s="1940">
        <v>40</v>
      </c>
      <c r="P188" s="1941">
        <v>48</v>
      </c>
      <c r="Q188" s="1944">
        <v>35</v>
      </c>
      <c r="R188" s="916" t="s">
        <v>848</v>
      </c>
      <c r="S188" s="1942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855" t="s">
        <v>462</v>
      </c>
      <c r="AD188" s="915" t="s">
        <v>30</v>
      </c>
      <c r="AE188" s="2855" t="s">
        <v>35</v>
      </c>
      <c r="AF188" s="2856" t="s">
        <v>31</v>
      </c>
      <c r="AG188" s="903" t="s">
        <v>36</v>
      </c>
      <c r="AH188" s="925"/>
      <c r="AI188" s="2857"/>
      <c r="AJ188" s="1315"/>
      <c r="AK188" s="2825"/>
      <c r="AL188" s="2826"/>
      <c r="AM188" s="3240" t="e">
        <f>VLOOKUP(J188&amp;K188,'7층~4층_매핑테이블'!$Y$6:$AF$2020,8,0)</f>
        <v>#N/A</v>
      </c>
      <c r="AN188" s="3231">
        <f t="shared" si="38"/>
        <v>0</v>
      </c>
      <c r="AO188" s="2593" t="s">
        <v>844</v>
      </c>
      <c r="AP188" s="700" t="s">
        <v>853</v>
      </c>
      <c r="AR188" s="2351">
        <f t="shared" si="39"/>
        <v>0</v>
      </c>
      <c r="AS188" s="2351">
        <f t="shared" si="40"/>
        <v>0</v>
      </c>
      <c r="AT188" s="123" t="str">
        <f t="shared" si="41"/>
        <v>미사용 랙</v>
      </c>
      <c r="AU188" t="str">
        <f t="shared" si="36"/>
        <v/>
      </c>
      <c r="AV188" t="str">
        <f t="shared" si="37"/>
        <v/>
      </c>
      <c r="BA188" s="123"/>
      <c r="BB188" s="123"/>
      <c r="BC188" s="123"/>
      <c r="BD188" s="2997"/>
      <c r="BE188" s="123"/>
      <c r="BF188" s="2998"/>
      <c r="BG188" s="2999"/>
      <c r="BH188" s="3005"/>
      <c r="BI188" s="3000"/>
      <c r="BJ188" s="3001"/>
      <c r="BK188" s="3002"/>
      <c r="BL188" s="3003"/>
      <c r="BM188" s="3004"/>
    </row>
    <row r="189" spans="1:65" ht="63" thickBot="1" x14ac:dyDescent="0.3">
      <c r="A189" s="2854"/>
      <c r="B189" s="3411"/>
      <c r="C189" s="3412"/>
      <c r="D189" s="3431"/>
      <c r="E189" s="733"/>
      <c r="F189" s="951" t="s">
        <v>27</v>
      </c>
      <c r="G189" s="951"/>
      <c r="H189" s="1839" t="s">
        <v>9055</v>
      </c>
      <c r="I189" s="1840" t="s">
        <v>9056</v>
      </c>
      <c r="J189" s="1839" t="str">
        <f t="shared" ref="J189" si="63">"7-DaHall 1-"&amp;N189&amp;"-"&amp;M189&amp;"-"&amp;O189</f>
        <v>7-DaHall 1-RPP-01-20-35</v>
      </c>
      <c r="K189" s="1840" t="str">
        <f t="shared" si="62"/>
        <v>7-DaHall 1-RPP-02-30-34</v>
      </c>
      <c r="L189" s="1898">
        <v>220</v>
      </c>
      <c r="M189" s="1873">
        <v>20</v>
      </c>
      <c r="N189" s="904" t="s">
        <v>8775</v>
      </c>
      <c r="O189" s="1874">
        <v>35</v>
      </c>
      <c r="P189" s="1844">
        <v>220</v>
      </c>
      <c r="Q189" s="1845">
        <v>30</v>
      </c>
      <c r="R189" s="950" t="s">
        <v>8776</v>
      </c>
      <c r="S189" s="1846">
        <v>34</v>
      </c>
      <c r="T189" s="904" t="s">
        <v>835</v>
      </c>
      <c r="U189" s="950" t="s">
        <v>854</v>
      </c>
      <c r="V189" s="904" t="s">
        <v>836</v>
      </c>
      <c r="W189" s="950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855" t="s">
        <v>462</v>
      </c>
      <c r="AD189" s="915" t="s">
        <v>30</v>
      </c>
      <c r="AE189" s="2855" t="s">
        <v>35</v>
      </c>
      <c r="AF189" s="2856" t="s">
        <v>31</v>
      </c>
      <c r="AG189" s="903" t="s">
        <v>36</v>
      </c>
      <c r="AH189" s="925">
        <v>0</v>
      </c>
      <c r="AI189" s="2857">
        <f>SUM('7층_부하량(월간_AVG)'!N111:P111)</f>
        <v>0</v>
      </c>
      <c r="AJ189" s="1316">
        <f>AH189+AI189</f>
        <v>0</v>
      </c>
      <c r="AK189" s="2829" t="e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9" s="2817" t="e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9" s="3240">
        <f>VLOOKUP(J189&amp;K189,'7층~4층_매핑테이블'!$Y$6:$AF$2020,8,0)</f>
        <v>0</v>
      </c>
      <c r="AN189" s="3231" t="e">
        <f t="shared" si="38"/>
        <v>#N/A</v>
      </c>
      <c r="AO189" s="2214"/>
      <c r="AP189" s="2599" t="s">
        <v>9057</v>
      </c>
      <c r="AR189" s="2351" t="e">
        <f t="shared" si="39"/>
        <v>#N/A</v>
      </c>
      <c r="AS189" s="2351" t="e">
        <f t="shared" si="40"/>
        <v>#N/A</v>
      </c>
      <c r="AT189" s="123" t="e">
        <f>IF(SIGN(AS189)&gt;=0,IF(AN189=0,"무부하 랙","적정함"),"사용초과")</f>
        <v>#N/A</v>
      </c>
      <c r="AU189" t="e">
        <f t="shared" si="36"/>
        <v>#N/A</v>
      </c>
      <c r="AV189" t="e">
        <f t="shared" si="37"/>
        <v>#N/A</v>
      </c>
      <c r="BA189" s="123"/>
      <c r="BB189" s="123"/>
      <c r="BC189" s="123"/>
      <c r="BD189" s="2997"/>
      <c r="BE189" s="123"/>
      <c r="BF189" s="2998"/>
      <c r="BG189" s="2999"/>
      <c r="BH189" s="3005"/>
      <c r="BI189" s="3000"/>
      <c r="BJ189" s="3001"/>
      <c r="BK189" s="3002"/>
      <c r="BL189" s="3003"/>
      <c r="BM189" s="3004"/>
    </row>
    <row r="190" spans="1:65" ht="62.4" x14ac:dyDescent="0.25">
      <c r="A190" s="2854"/>
      <c r="B190" s="2564" t="s">
        <v>856</v>
      </c>
      <c r="C190" s="1155" t="s">
        <v>857</v>
      </c>
      <c r="D190" s="2564" t="s">
        <v>9254</v>
      </c>
      <c r="E190" s="2960">
        <v>2.2000000000000002</v>
      </c>
      <c r="F190" s="951" t="s">
        <v>27</v>
      </c>
      <c r="G190" s="918"/>
      <c r="H190" s="1839" t="s">
        <v>9058</v>
      </c>
      <c r="I190" s="1840" t="s">
        <v>9059</v>
      </c>
      <c r="J190" s="1839" t="str">
        <f>"7-DaHall 1-"&amp;N190&amp;"-"&amp;M190&amp;"-"&amp;O190</f>
        <v>7-DaHall 1-RPP-01-30-18</v>
      </c>
      <c r="K190" s="1840" t="str">
        <f t="shared" si="62"/>
        <v>7-DaHall 1-PDU-02-30-29</v>
      </c>
      <c r="L190" s="1841">
        <v>220</v>
      </c>
      <c r="M190" s="1842">
        <v>30</v>
      </c>
      <c r="N190" s="896" t="s">
        <v>8775</v>
      </c>
      <c r="O190" s="1843">
        <v>18</v>
      </c>
      <c r="P190" s="1844">
        <v>220</v>
      </c>
      <c r="Q190" s="1845">
        <v>30</v>
      </c>
      <c r="R190" s="950" t="s">
        <v>8750</v>
      </c>
      <c r="S190" s="1846">
        <v>29</v>
      </c>
      <c r="T190" s="896" t="s">
        <v>858</v>
      </c>
      <c r="U190" s="950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5" t="s">
        <v>31</v>
      </c>
      <c r="AG190" s="903" t="s">
        <v>36</v>
      </c>
      <c r="AH190" s="924">
        <f>SUM('7층_부하량(월간_AVG)'!N14:P14)</f>
        <v>0</v>
      </c>
      <c r="AI190" s="1172">
        <f>SUM('7층_부하량(월간_AVG)'!D45:F45)</f>
        <v>0</v>
      </c>
      <c r="AJ190" s="1316">
        <f>AH190+AI190</f>
        <v>0</v>
      </c>
      <c r="AK190" s="2829" t="e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90" s="2817" t="e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90" s="3240">
        <f>VLOOKUP(J190&amp;K190,'7층~4층_매핑테이블'!$Y$6:$AF$2020,8,0)</f>
        <v>0.95</v>
      </c>
      <c r="AN190" s="3231" t="e">
        <f t="shared" si="38"/>
        <v>#N/A</v>
      </c>
      <c r="AO190" s="2593" t="s">
        <v>844</v>
      </c>
      <c r="AP190" s="2599"/>
      <c r="AR190" s="2351" t="e">
        <f t="shared" si="39"/>
        <v>#N/A</v>
      </c>
      <c r="AS190" s="2351" t="e">
        <f t="shared" si="40"/>
        <v>#N/A</v>
      </c>
      <c r="AT190" s="123" t="e">
        <f>IF(SIGN(AS190)&gt;=0,IF(AN190=0,"무부하 랙","적정함"),"사용초과")</f>
        <v>#N/A</v>
      </c>
      <c r="AU190" t="e">
        <f t="shared" si="36"/>
        <v>#N/A</v>
      </c>
      <c r="AV190" t="e">
        <f t="shared" si="37"/>
        <v>#N/A</v>
      </c>
      <c r="BA190" s="123"/>
      <c r="BB190" s="123"/>
      <c r="BC190" s="123"/>
      <c r="BD190" s="2997"/>
      <c r="BE190" s="123"/>
      <c r="BF190" s="2998"/>
      <c r="BG190" s="2999"/>
      <c r="BH190" s="3005"/>
      <c r="BI190" s="3000"/>
      <c r="BJ190" s="3001"/>
      <c r="BK190" s="3002"/>
      <c r="BL190" s="3003"/>
      <c r="BM190" s="3004"/>
    </row>
    <row r="191" spans="1:65" ht="62.4" x14ac:dyDescent="0.25">
      <c r="A191" s="2854"/>
      <c r="B191" s="2564" t="s">
        <v>861</v>
      </c>
      <c r="C191" s="1155" t="s">
        <v>862</v>
      </c>
      <c r="D191" s="2564" t="s">
        <v>9255</v>
      </c>
      <c r="E191" s="2960">
        <v>2.2000000000000002</v>
      </c>
      <c r="F191" s="2564" t="s">
        <v>27</v>
      </c>
      <c r="G191" s="2564"/>
      <c r="H191" s="1839"/>
      <c r="I191" s="1833" t="s">
        <v>9060</v>
      </c>
      <c r="J191" s="1839"/>
      <c r="K191" s="1833" t="str">
        <f t="shared" si="62"/>
        <v>7-DaHall 1-RPP-02-30-36</v>
      </c>
      <c r="L191" s="1841"/>
      <c r="M191" s="1842"/>
      <c r="N191" s="896"/>
      <c r="O191" s="1843"/>
      <c r="P191" s="1834">
        <v>220</v>
      </c>
      <c r="Q191" s="1835">
        <v>30</v>
      </c>
      <c r="R191" s="687" t="s">
        <v>8776</v>
      </c>
      <c r="S191" s="1836">
        <v>36</v>
      </c>
      <c r="T191" s="896"/>
      <c r="U191" s="687" t="s">
        <v>863</v>
      </c>
      <c r="V191" s="896"/>
      <c r="W191" s="2578" t="s">
        <v>864</v>
      </c>
      <c r="X191" s="896"/>
      <c r="Y191" s="2578" t="s">
        <v>460</v>
      </c>
      <c r="Z191" s="896"/>
      <c r="AA191" s="2578" t="s">
        <v>461</v>
      </c>
      <c r="AB191" s="896"/>
      <c r="AC191" s="2578" t="s">
        <v>462</v>
      </c>
      <c r="AD191" s="896"/>
      <c r="AE191" s="2578" t="s">
        <v>35</v>
      </c>
      <c r="AF191" s="896"/>
      <c r="AG191" s="903" t="s">
        <v>36</v>
      </c>
      <c r="AH191" s="924"/>
      <c r="AI191" s="676">
        <f>SUM('7층_부하량(월간_AVG)'!N112:P112)</f>
        <v>0</v>
      </c>
      <c r="AJ191" s="1298">
        <f>AH191+AI191</f>
        <v>0</v>
      </c>
      <c r="AK191" s="2816"/>
      <c r="AL191" s="2817" t="e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91" s="3240">
        <f>VLOOKUP(J191&amp;K191,'7층~4층_매핑테이블'!$Y$6:$AF$2020,8,0)</f>
        <v>1.6930000000000001</v>
      </c>
      <c r="AN191" s="3230" t="e">
        <f t="shared" si="38"/>
        <v>#N/A</v>
      </c>
      <c r="AO191" s="2593" t="s">
        <v>865</v>
      </c>
      <c r="AP191" s="2599"/>
      <c r="AR191" s="2351" t="e">
        <f t="shared" si="39"/>
        <v>#N/A</v>
      </c>
      <c r="AS191" s="2351" t="e">
        <f t="shared" si="40"/>
        <v>#N/A</v>
      </c>
      <c r="AT191" s="123" t="e">
        <f>IF(SIGN(AS191)&gt;=0,IF(AN191=0,"무부하 랙","적정함"),"사용초과")</f>
        <v>#N/A</v>
      </c>
      <c r="AU191" t="e">
        <f t="shared" si="36"/>
        <v>#N/A</v>
      </c>
      <c r="AV191" t="e">
        <f t="shared" si="37"/>
        <v>#N/A</v>
      </c>
      <c r="BA191" s="123"/>
      <c r="BB191" s="123"/>
      <c r="BC191" s="123"/>
      <c r="BD191" s="2997"/>
      <c r="BE191" s="123"/>
      <c r="BF191" s="2998"/>
      <c r="BG191" s="2999"/>
      <c r="BH191" s="3005"/>
      <c r="BI191" s="3000"/>
      <c r="BJ191" s="3001"/>
      <c r="BK191" s="3002"/>
      <c r="BL191" s="3003"/>
      <c r="BM191" s="3004"/>
    </row>
    <row r="192" spans="1:65" ht="62.4" x14ac:dyDescent="0.25">
      <c r="A192" s="2854"/>
      <c r="B192" s="2564" t="s">
        <v>866</v>
      </c>
      <c r="C192" s="1155" t="s">
        <v>867</v>
      </c>
      <c r="D192" s="2569" t="s">
        <v>9255</v>
      </c>
      <c r="E192" s="2960">
        <v>1.1000000000000001</v>
      </c>
      <c r="F192" s="2564" t="s">
        <v>27</v>
      </c>
      <c r="G192" s="2564"/>
      <c r="H192" s="1825" t="s">
        <v>9061</v>
      </c>
      <c r="I192" s="1864" t="s">
        <v>9062</v>
      </c>
      <c r="J192" s="1825" t="str">
        <f>"7-DaHall 1-"&amp;N192&amp;"-"&amp;M192&amp;"-"&amp;O192</f>
        <v>7-DaHall 1-PDU-01-30-3</v>
      </c>
      <c r="K192" s="1864" t="str">
        <f t="shared" si="62"/>
        <v>7-DaHall 1-RPP-01-30-16</v>
      </c>
      <c r="L192" s="1827">
        <v>220</v>
      </c>
      <c r="M192" s="1828">
        <v>30</v>
      </c>
      <c r="N192" s="703" t="s">
        <v>8749</v>
      </c>
      <c r="O192" s="1829">
        <v>3</v>
      </c>
      <c r="P192" s="1865">
        <v>220</v>
      </c>
      <c r="Q192" s="1828">
        <v>30</v>
      </c>
      <c r="R192" s="703" t="s">
        <v>8775</v>
      </c>
      <c r="S192" s="1829">
        <v>16</v>
      </c>
      <c r="T192" s="703" t="s">
        <v>868</v>
      </c>
      <c r="U192" s="703" t="s">
        <v>869</v>
      </c>
      <c r="V192" s="923"/>
      <c r="W192" s="2594" t="s">
        <v>870</v>
      </c>
      <c r="X192" s="923"/>
      <c r="Y192" s="2594" t="s">
        <v>450</v>
      </c>
      <c r="Z192" s="923"/>
      <c r="AA192" s="2594" t="s">
        <v>451</v>
      </c>
      <c r="AB192" s="2594" t="s">
        <v>164</v>
      </c>
      <c r="AC192" s="2594" t="s">
        <v>452</v>
      </c>
      <c r="AD192" s="2594" t="s">
        <v>110</v>
      </c>
      <c r="AE192" s="2594" t="s">
        <v>30</v>
      </c>
      <c r="AF192" s="3340" t="s">
        <v>31</v>
      </c>
      <c r="AG192" s="3341"/>
      <c r="AH192" s="681">
        <f>SUM('7층_부하량(월간_AVG)'!D64:F64)</f>
        <v>0</v>
      </c>
      <c r="AI192" s="922">
        <f>SUM('7층_부하량(월간_AVG)'!N13:P13)</f>
        <v>0</v>
      </c>
      <c r="AJ192" s="1298">
        <f t="shared" ref="AJ192:AJ193" si="64">AH192+AI192</f>
        <v>0</v>
      </c>
      <c r="AK192" s="2816" t="e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2" s="2817" t="e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2" s="3240">
        <f>VLOOKUP(J192&amp;K192,'7층~4층_매핑테이블'!$Y$6:$AF$2020,8,0)</f>
        <v>0.92900000000000005</v>
      </c>
      <c r="AN192" s="3230" t="e">
        <f t="shared" si="38"/>
        <v>#N/A</v>
      </c>
      <c r="AO192" s="2593" t="s">
        <v>865</v>
      </c>
      <c r="AP192" s="2599"/>
      <c r="AR192" s="2351" t="e">
        <f t="shared" si="39"/>
        <v>#N/A</v>
      </c>
      <c r="AS192" s="2351" t="e">
        <f t="shared" si="40"/>
        <v>#N/A</v>
      </c>
      <c r="AT192" s="123" t="e">
        <f>IF(SIGN(AS192)&gt;=0,IF(AN192=0,"무부하 랙","적정함"),"사용초과")</f>
        <v>#N/A</v>
      </c>
      <c r="AU192" t="e">
        <f t="shared" si="36"/>
        <v>#N/A</v>
      </c>
      <c r="AV192" t="e">
        <f t="shared" si="37"/>
        <v>#N/A</v>
      </c>
      <c r="BA192" s="123"/>
      <c r="BB192" s="123"/>
      <c r="BC192" s="123"/>
      <c r="BD192" s="2997"/>
      <c r="BE192" s="123"/>
      <c r="BF192" s="2998"/>
      <c r="BG192" s="2999"/>
      <c r="BH192" s="3005"/>
      <c r="BI192" s="3000"/>
      <c r="BJ192" s="3001"/>
      <c r="BK192" s="3002"/>
      <c r="BL192" s="3003"/>
      <c r="BM192" s="3004"/>
    </row>
    <row r="193" spans="1:65" ht="62.4" x14ac:dyDescent="0.25">
      <c r="A193" s="2854"/>
      <c r="B193" s="2564" t="s">
        <v>871</v>
      </c>
      <c r="C193" s="2564" t="s">
        <v>872</v>
      </c>
      <c r="D193" s="2564" t="s">
        <v>9256</v>
      </c>
      <c r="E193" s="2960">
        <v>2.2000000000000002</v>
      </c>
      <c r="F193" s="2564" t="s">
        <v>27</v>
      </c>
      <c r="G193" s="2564"/>
      <c r="H193" s="1825" t="s">
        <v>9063</v>
      </c>
      <c r="I193" s="1833" t="s">
        <v>9064</v>
      </c>
      <c r="J193" s="1825" t="str">
        <f>"7-DaHall 1-"&amp;N193&amp;"-"&amp;M193&amp;"-"&amp;O193</f>
        <v>7-DaHall 1-RPP-01-30-26</v>
      </c>
      <c r="K193" s="1833" t="str">
        <f t="shared" si="62"/>
        <v>7-DaHall 1-RPP-02-30-20</v>
      </c>
      <c r="L193" s="1827">
        <v>220</v>
      </c>
      <c r="M193" s="1828">
        <v>30</v>
      </c>
      <c r="N193" s="703" t="s">
        <v>8775</v>
      </c>
      <c r="O193" s="1829">
        <v>26</v>
      </c>
      <c r="P193" s="1834">
        <v>220</v>
      </c>
      <c r="Q193" s="1835">
        <v>30</v>
      </c>
      <c r="R193" s="687" t="s">
        <v>8776</v>
      </c>
      <c r="S193" s="1836">
        <v>20</v>
      </c>
      <c r="T193" s="703" t="s">
        <v>9065</v>
      </c>
      <c r="U193" s="687" t="s">
        <v>516</v>
      </c>
      <c r="V193" s="703" t="s">
        <v>877</v>
      </c>
      <c r="W193" s="2578" t="s">
        <v>876</v>
      </c>
      <c r="X193" s="2594" t="s">
        <v>450</v>
      </c>
      <c r="Y193" s="2578" t="s">
        <v>460</v>
      </c>
      <c r="Z193" s="2594" t="s">
        <v>451</v>
      </c>
      <c r="AA193" s="2578" t="s">
        <v>461</v>
      </c>
      <c r="AB193" s="2594" t="s">
        <v>452</v>
      </c>
      <c r="AC193" s="2578" t="s">
        <v>462</v>
      </c>
      <c r="AD193" s="2594" t="s">
        <v>30</v>
      </c>
      <c r="AE193" s="2578" t="s">
        <v>35</v>
      </c>
      <c r="AF193" s="2594" t="s">
        <v>878</v>
      </c>
      <c r="AG193" s="2578" t="s">
        <v>36</v>
      </c>
      <c r="AH193" s="681">
        <f>SUM('7층_부하량(월간_AVG)'!N18:P18)</f>
        <v>0</v>
      </c>
      <c r="AI193" s="676">
        <f>SUM('7층_부하량(월간_AVG)'!N104:P104)</f>
        <v>0</v>
      </c>
      <c r="AJ193" s="1298">
        <f t="shared" si="64"/>
        <v>0</v>
      </c>
      <c r="AK193" s="2816" t="e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3" s="2817" t="e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3" s="3240">
        <f>VLOOKUP(J193&amp;K193,'7층~4층_매핑테이블'!$Y$6:$AF$2020,8,0)</f>
        <v>1.2529999999999999</v>
      </c>
      <c r="AN193" s="3230" t="e">
        <f t="shared" si="38"/>
        <v>#N/A</v>
      </c>
      <c r="AO193" s="2858" t="s">
        <v>9066</v>
      </c>
      <c r="AP193" s="688"/>
      <c r="AR193" s="2351" t="e">
        <f t="shared" si="39"/>
        <v>#N/A</v>
      </c>
      <c r="AS193" s="2351" t="e">
        <f t="shared" si="40"/>
        <v>#N/A</v>
      </c>
      <c r="AT193" s="123" t="e">
        <f>IF(SIGN(AS193)&gt;=0,IF(AN193=0,"무부하 랙","적정함"),"사용초과")</f>
        <v>#N/A</v>
      </c>
      <c r="AU193" t="e">
        <f t="shared" si="36"/>
        <v>#N/A</v>
      </c>
      <c r="AV193" t="e">
        <f t="shared" si="37"/>
        <v>#N/A</v>
      </c>
      <c r="BA193" s="123"/>
      <c r="BB193" s="123"/>
      <c r="BC193" s="123"/>
      <c r="BD193" s="2997"/>
      <c r="BE193" s="123"/>
      <c r="BF193" s="2998"/>
      <c r="BG193" s="2999"/>
      <c r="BH193" s="3005"/>
      <c r="BI193" s="3000"/>
      <c r="BJ193" s="3001"/>
      <c r="BK193" s="3002"/>
      <c r="BL193" s="3003"/>
      <c r="BM193" s="3004"/>
    </row>
    <row r="194" spans="1:65" ht="13.5" customHeight="1" x14ac:dyDescent="0.25">
      <c r="A194" s="2854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5"/>
      <c r="I194" s="1851"/>
      <c r="J194" s="1945"/>
      <c r="K194" s="1851"/>
      <c r="L194" s="1946"/>
      <c r="M194" s="1845"/>
      <c r="N194" s="950"/>
      <c r="O194" s="1846"/>
      <c r="P194" s="1852"/>
      <c r="Q194" s="1842"/>
      <c r="R194" s="896"/>
      <c r="S194" s="1843"/>
      <c r="T194" s="950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29"/>
      <c r="AI194" s="1173"/>
      <c r="AJ194" s="1316"/>
      <c r="AK194" s="2825"/>
      <c r="AL194" s="2826"/>
      <c r="AM194" s="3240"/>
      <c r="AN194" s="3231">
        <f t="shared" si="38"/>
        <v>0</v>
      </c>
      <c r="AO194" s="702"/>
      <c r="AP194" s="688"/>
      <c r="AR194" s="2351">
        <f t="shared" si="39"/>
        <v>0</v>
      </c>
      <c r="AS194" s="2351">
        <f t="shared" si="40"/>
        <v>0</v>
      </c>
      <c r="AT194" s="123" t="str">
        <f t="shared" si="41"/>
        <v>미사용 랙</v>
      </c>
      <c r="AU194" t="str">
        <f t="shared" si="36"/>
        <v/>
      </c>
      <c r="AV194" t="str">
        <f t="shared" si="37"/>
        <v/>
      </c>
      <c r="BA194" s="123"/>
      <c r="BB194" s="123"/>
      <c r="BC194" s="123"/>
      <c r="BD194" s="2997"/>
      <c r="BE194" s="123"/>
      <c r="BF194" s="2998"/>
      <c r="BG194" s="2999"/>
      <c r="BH194" s="3005"/>
      <c r="BI194" s="3000"/>
      <c r="BJ194" s="3001"/>
      <c r="BK194" s="3002"/>
      <c r="BL194" s="3003"/>
      <c r="BM194" s="3004"/>
    </row>
    <row r="195" spans="1:65" ht="40.200000000000003" customHeight="1" x14ac:dyDescent="0.25">
      <c r="A195" s="2854"/>
      <c r="B195" s="2564" t="s">
        <v>879</v>
      </c>
      <c r="C195" s="2592" t="s">
        <v>880</v>
      </c>
      <c r="D195" s="733" t="s">
        <v>881</v>
      </c>
      <c r="E195" s="733"/>
      <c r="F195" s="951"/>
      <c r="G195" s="951" t="s">
        <v>27</v>
      </c>
      <c r="H195" s="1937"/>
      <c r="I195" s="1938"/>
      <c r="J195" s="1937"/>
      <c r="K195" s="1938"/>
      <c r="L195" s="1939"/>
      <c r="M195" s="915"/>
      <c r="N195" s="915"/>
      <c r="O195" s="1940"/>
      <c r="P195" s="1941"/>
      <c r="Q195" s="1944"/>
      <c r="R195" s="916"/>
      <c r="S195" s="1942"/>
      <c r="T195" s="915" t="s">
        <v>882</v>
      </c>
      <c r="U195" s="916" t="s">
        <v>883</v>
      </c>
      <c r="V195" s="2146" t="s">
        <v>297</v>
      </c>
      <c r="W195" s="903" t="s">
        <v>298</v>
      </c>
      <c r="X195" s="2146" t="s">
        <v>435</v>
      </c>
      <c r="Y195" s="903" t="s">
        <v>436</v>
      </c>
      <c r="Z195" s="2146" t="s">
        <v>49</v>
      </c>
      <c r="AA195" s="903" t="s">
        <v>50</v>
      </c>
      <c r="AB195" s="2146" t="s">
        <v>51</v>
      </c>
      <c r="AC195" s="903" t="s">
        <v>52</v>
      </c>
      <c r="AD195" s="2146" t="s">
        <v>30</v>
      </c>
      <c r="AE195" s="903" t="s">
        <v>35</v>
      </c>
      <c r="AF195" s="2146" t="s">
        <v>31</v>
      </c>
      <c r="AG195" s="903" t="s">
        <v>36</v>
      </c>
      <c r="AH195" s="924"/>
      <c r="AI195" s="1172"/>
      <c r="AJ195" s="1315"/>
      <c r="AK195" s="2825"/>
      <c r="AL195" s="2826"/>
      <c r="AM195" s="3240"/>
      <c r="AN195" s="3231">
        <f t="shared" si="38"/>
        <v>0</v>
      </c>
      <c r="AO195" s="701" t="s">
        <v>884</v>
      </c>
      <c r="AP195" s="700" t="s">
        <v>885</v>
      </c>
      <c r="AR195" s="2351">
        <f t="shared" si="39"/>
        <v>0</v>
      </c>
      <c r="AS195" s="2351">
        <f t="shared" si="40"/>
        <v>0</v>
      </c>
      <c r="AT195" s="123" t="str">
        <f t="shared" si="41"/>
        <v>미사용 랙</v>
      </c>
      <c r="AU195" t="str">
        <f t="shared" si="36"/>
        <v/>
      </c>
      <c r="AV195" t="str">
        <f t="shared" si="37"/>
        <v/>
      </c>
      <c r="BA195" s="123"/>
      <c r="BB195" s="123"/>
      <c r="BC195" s="123"/>
      <c r="BD195" s="2997"/>
      <c r="BE195" s="123"/>
      <c r="BF195" s="2998"/>
      <c r="BG195" s="2999"/>
      <c r="BH195" s="3005"/>
      <c r="BI195" s="3000"/>
      <c r="BJ195" s="3001"/>
      <c r="BK195" s="3002"/>
      <c r="BL195" s="3003"/>
      <c r="BM195" s="3004"/>
    </row>
    <row r="196" spans="1:65" ht="54.75" customHeight="1" thickBot="1" x14ac:dyDescent="0.3">
      <c r="A196" s="2859"/>
      <c r="B196" s="2595" t="s">
        <v>886</v>
      </c>
      <c r="C196" s="2595" t="s">
        <v>887</v>
      </c>
      <c r="D196" s="2596" t="s">
        <v>888</v>
      </c>
      <c r="E196" s="2596"/>
      <c r="F196" s="2595"/>
      <c r="G196" s="2595" t="s">
        <v>27</v>
      </c>
      <c r="H196" s="1813" t="s">
        <v>9067</v>
      </c>
      <c r="I196" s="1849" t="s">
        <v>9068</v>
      </c>
      <c r="J196" s="1813" t="str">
        <f>"7-DaHall 1-"&amp;N196&amp;"-"&amp;M196&amp;"-"&amp;O196</f>
        <v>7-DaHall 1-A-1-35-51</v>
      </c>
      <c r="K196" s="1849" t="str">
        <f>"7-DaHall 1-"&amp;R196&amp;"-"&amp;Q196&amp;"-"&amp;S196</f>
        <v>7-DaHall 1-B-1-35-51</v>
      </c>
      <c r="L196" s="1815">
        <v>48</v>
      </c>
      <c r="M196" s="1816">
        <v>35</v>
      </c>
      <c r="N196" s="890" t="s">
        <v>293</v>
      </c>
      <c r="O196" s="1817">
        <v>51</v>
      </c>
      <c r="P196" s="1919">
        <v>48</v>
      </c>
      <c r="Q196" s="1952">
        <v>35</v>
      </c>
      <c r="R196" s="892" t="s">
        <v>294</v>
      </c>
      <c r="S196" s="1850">
        <v>51</v>
      </c>
      <c r="T196" s="890" t="s">
        <v>889</v>
      </c>
      <c r="U196" s="892" t="s">
        <v>890</v>
      </c>
      <c r="V196" s="2146" t="s">
        <v>297</v>
      </c>
      <c r="W196" s="903" t="s">
        <v>298</v>
      </c>
      <c r="X196" s="2146" t="s">
        <v>435</v>
      </c>
      <c r="Y196" s="903" t="s">
        <v>436</v>
      </c>
      <c r="Z196" s="2146" t="s">
        <v>49</v>
      </c>
      <c r="AA196" s="903" t="s">
        <v>50</v>
      </c>
      <c r="AB196" s="2146" t="s">
        <v>51</v>
      </c>
      <c r="AC196" s="903" t="s">
        <v>52</v>
      </c>
      <c r="AD196" s="2146" t="s">
        <v>30</v>
      </c>
      <c r="AE196" s="903" t="s">
        <v>35</v>
      </c>
      <c r="AF196" s="2146" t="s">
        <v>31</v>
      </c>
      <c r="AG196" s="903" t="s">
        <v>36</v>
      </c>
      <c r="AH196" s="690"/>
      <c r="AI196" s="678"/>
      <c r="AJ196" s="1307"/>
      <c r="AK196" s="2916"/>
      <c r="AL196" s="2819"/>
      <c r="AM196" s="3240" t="e">
        <f>VLOOKUP(J196&amp;K196,'7층~4층_매핑테이블'!$Y$6:$AF$2020,8,0)</f>
        <v>#N/A</v>
      </c>
      <c r="AN196" s="3229">
        <f t="shared" si="38"/>
        <v>0</v>
      </c>
      <c r="AO196" s="698" t="s">
        <v>884</v>
      </c>
      <c r="AP196" s="679"/>
      <c r="AR196" s="2351">
        <f t="shared" si="39"/>
        <v>0</v>
      </c>
      <c r="AS196" s="2351">
        <f t="shared" si="40"/>
        <v>0</v>
      </c>
      <c r="AT196" s="123" t="str">
        <f t="shared" si="41"/>
        <v>미사용 랙</v>
      </c>
      <c r="AU196" t="str">
        <f t="shared" si="36"/>
        <v/>
      </c>
      <c r="AV196" t="str">
        <f t="shared" si="37"/>
        <v/>
      </c>
      <c r="BA196" s="123"/>
      <c r="BB196" s="123"/>
      <c r="BC196" s="123"/>
      <c r="BD196" s="2997"/>
      <c r="BE196" s="123"/>
      <c r="BF196" s="2998"/>
      <c r="BG196" s="2999"/>
      <c r="BH196" s="3005"/>
      <c r="BI196" s="3000"/>
      <c r="BJ196" s="3001"/>
      <c r="BK196" s="3002"/>
      <c r="BL196" s="3003"/>
      <c r="BM196" s="3004"/>
    </row>
    <row r="197" spans="1:65" ht="13.5" customHeight="1" x14ac:dyDescent="0.25">
      <c r="A197" s="2860" t="s">
        <v>891</v>
      </c>
      <c r="B197" s="672" t="s">
        <v>892</v>
      </c>
      <c r="C197" s="1049"/>
      <c r="D197" s="732"/>
      <c r="E197" s="732"/>
      <c r="F197" s="1049"/>
      <c r="G197" s="1049"/>
      <c r="H197" s="1821"/>
      <c r="I197" s="1953"/>
      <c r="J197" s="1821"/>
      <c r="K197" s="1953"/>
      <c r="L197" s="1822"/>
      <c r="M197" s="1823"/>
      <c r="N197" s="895"/>
      <c r="O197" s="1824"/>
      <c r="P197" s="1954"/>
      <c r="Q197" s="1955"/>
      <c r="R197" s="1050"/>
      <c r="S197" s="1956"/>
      <c r="T197" s="895"/>
      <c r="U197" s="1050"/>
      <c r="V197" s="732"/>
      <c r="W197" s="1050"/>
      <c r="X197" s="732"/>
      <c r="Y197" s="1050"/>
      <c r="Z197" s="732"/>
      <c r="AA197" s="1050"/>
      <c r="AB197" s="732"/>
      <c r="AC197" s="1050"/>
      <c r="AD197" s="732"/>
      <c r="AE197" s="1050"/>
      <c r="AF197" s="732"/>
      <c r="AG197" s="1050"/>
      <c r="AH197" s="955"/>
      <c r="AI197" s="1068"/>
      <c r="AJ197" s="1308"/>
      <c r="AK197" s="2825"/>
      <c r="AL197" s="2826"/>
      <c r="AM197" s="3240"/>
      <c r="AN197" s="3231">
        <f t="shared" si="38"/>
        <v>0</v>
      </c>
      <c r="AO197" s="699"/>
      <c r="AP197" s="674"/>
      <c r="AR197" s="2351">
        <f t="shared" si="39"/>
        <v>0</v>
      </c>
      <c r="AS197" s="2351">
        <f t="shared" si="40"/>
        <v>0</v>
      </c>
      <c r="AT197" s="123" t="str">
        <f t="shared" si="41"/>
        <v>미사용 랙</v>
      </c>
      <c r="AU197" t="str">
        <f t="shared" si="36"/>
        <v/>
      </c>
      <c r="AV197" t="str">
        <f t="shared" si="37"/>
        <v/>
      </c>
      <c r="BA197" s="123"/>
      <c r="BB197" s="123"/>
      <c r="BC197" s="123"/>
      <c r="BD197" s="2997"/>
      <c r="BE197" s="123"/>
      <c r="BF197" s="2998"/>
      <c r="BG197" s="2999"/>
      <c r="BH197" s="3005"/>
      <c r="BI197" s="3000"/>
      <c r="BJ197" s="3001"/>
      <c r="BK197" s="3002"/>
      <c r="BL197" s="3003"/>
      <c r="BM197" s="3004"/>
    </row>
    <row r="198" spans="1:65" ht="48" customHeight="1" x14ac:dyDescent="0.25">
      <c r="A198" s="2854"/>
      <c r="B198" s="2564" t="s">
        <v>893</v>
      </c>
      <c r="C198" s="2564" t="s">
        <v>894</v>
      </c>
      <c r="D198" s="2564" t="s">
        <v>9257</v>
      </c>
      <c r="E198" s="2960">
        <v>2.2000000000000002</v>
      </c>
      <c r="F198" s="2566" t="s">
        <v>27</v>
      </c>
      <c r="G198" s="2564"/>
      <c r="H198" s="1945" t="s">
        <v>9069</v>
      </c>
      <c r="I198" s="1851" t="s">
        <v>9070</v>
      </c>
      <c r="J198" s="1825" t="str">
        <f>"7-DaHall 1-"&amp;R198&amp;"-"&amp;Q198&amp;"-"&amp;S198</f>
        <v>7-DaHall 1-RPP-01--36</v>
      </c>
      <c r="K198" s="1833" t="str">
        <f>"7-DaHall 1-"&amp;N198&amp;"-"&amp;M198&amp;"-"&amp;O198</f>
        <v>7-DaHall 1-RPP-02-30-30</v>
      </c>
      <c r="L198" s="1946">
        <v>220</v>
      </c>
      <c r="M198" s="1845">
        <v>30</v>
      </c>
      <c r="N198" s="950" t="s">
        <v>8776</v>
      </c>
      <c r="O198" s="1846">
        <v>30</v>
      </c>
      <c r="P198" s="1852"/>
      <c r="Q198" s="1842"/>
      <c r="R198" s="896" t="s">
        <v>8775</v>
      </c>
      <c r="S198" s="1843">
        <v>36</v>
      </c>
      <c r="T198" s="950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46" t="s">
        <v>450</v>
      </c>
      <c r="Z198" s="903" t="s">
        <v>461</v>
      </c>
      <c r="AA198" s="2146" t="s">
        <v>451</v>
      </c>
      <c r="AB198" s="903" t="s">
        <v>462</v>
      </c>
      <c r="AC198" s="2146" t="s">
        <v>452</v>
      </c>
      <c r="AD198" s="903" t="s">
        <v>35</v>
      </c>
      <c r="AE198" s="2146" t="s">
        <v>30</v>
      </c>
      <c r="AF198" s="903" t="s">
        <v>36</v>
      </c>
      <c r="AG198" s="2146" t="s">
        <v>31</v>
      </c>
      <c r="AH198" s="922">
        <f>SUM('7층_부하량(월간_AVG)'!N23:P23)</f>
        <v>0</v>
      </c>
      <c r="AI198" s="901">
        <f>SUM('7층_부하량(월간_AVG)'!N109:P109)</f>
        <v>0</v>
      </c>
      <c r="AJ198" s="1298">
        <f>AI198+AH198</f>
        <v>0</v>
      </c>
      <c r="AK198" s="2816" t="e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8" s="2817" t="e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8" s="3240">
        <f>VLOOKUP(J198&amp;K198,'7층~4층_매핑테이블'!$Y$6:$AF$2020,8,0)</f>
        <v>1.31</v>
      </c>
      <c r="AN198" s="3231" t="e">
        <f t="shared" si="38"/>
        <v>#N/A</v>
      </c>
      <c r="AO198" s="2593" t="s">
        <v>899</v>
      </c>
      <c r="AP198" s="2599"/>
      <c r="AR198" s="2351" t="e">
        <f t="shared" si="39"/>
        <v>#N/A</v>
      </c>
      <c r="AS198" s="2351" t="e">
        <f t="shared" si="40"/>
        <v>#N/A</v>
      </c>
      <c r="AT198" s="123" t="e">
        <f t="shared" ref="AT198:AT205" si="65">IF(SIGN(AS198)&gt;=0,IF(AN198=0,"무부하 랙","적정함"),"사용초과")</f>
        <v>#N/A</v>
      </c>
      <c r="AU198" t="e">
        <f t="shared" ref="AU198:AU221" si="66">IF(AT198="사용초과",D198,"")</f>
        <v>#N/A</v>
      </c>
      <c r="AV198" t="e">
        <f t="shared" ref="AV198:AV221" si="67">IF(AU198="","",B198)</f>
        <v>#N/A</v>
      </c>
      <c r="BA198" s="123"/>
      <c r="BB198" s="123"/>
      <c r="BC198" s="123"/>
      <c r="BD198" s="2997"/>
      <c r="BE198" s="123"/>
      <c r="BF198" s="2998"/>
      <c r="BG198" s="2999"/>
      <c r="BH198" s="3005"/>
      <c r="BI198" s="3000"/>
      <c r="BJ198" s="3001"/>
      <c r="BK198" s="3002"/>
      <c r="BL198" s="3003"/>
      <c r="BM198" s="3004"/>
    </row>
    <row r="199" spans="1:65" ht="27" customHeight="1" x14ac:dyDescent="0.25">
      <c r="A199" s="2854"/>
      <c r="B199" s="2564" t="s">
        <v>900</v>
      </c>
      <c r="C199" s="1155" t="s">
        <v>901</v>
      </c>
      <c r="D199" s="2564" t="s">
        <v>9258</v>
      </c>
      <c r="E199" s="2960">
        <v>0.55000000000000004</v>
      </c>
      <c r="F199" s="2566" t="s">
        <v>27</v>
      </c>
      <c r="G199" s="2564"/>
      <c r="H199" s="1866" t="s">
        <v>9071</v>
      </c>
      <c r="I199" s="1864" t="s">
        <v>9072</v>
      </c>
      <c r="J199" s="1825" t="str">
        <f>"7-DaHall 1-"&amp;R199&amp;"-"&amp;Q199&amp;"-"&amp;S199</f>
        <v>7-DaHall 1-RPP-01-30-14</v>
      </c>
      <c r="K199" s="1833" t="str">
        <f>"7-DaHall 1-"&amp;N199&amp;"-"&amp;M199&amp;"-"&amp;O199</f>
        <v>7-DaHall 1-RPP-02-20-27</v>
      </c>
      <c r="L199" s="1867">
        <v>220</v>
      </c>
      <c r="M199" s="1835">
        <v>20</v>
      </c>
      <c r="N199" s="687" t="s">
        <v>8776</v>
      </c>
      <c r="O199" s="1836">
        <v>27</v>
      </c>
      <c r="P199" s="1865">
        <v>220</v>
      </c>
      <c r="Q199" s="1828">
        <v>30</v>
      </c>
      <c r="R199" s="703" t="s">
        <v>8775</v>
      </c>
      <c r="S199" s="1829">
        <v>14</v>
      </c>
      <c r="T199" s="687" t="s">
        <v>902</v>
      </c>
      <c r="U199" s="703" t="s">
        <v>903</v>
      </c>
      <c r="V199" s="2578" t="s">
        <v>904</v>
      </c>
      <c r="W199" s="2594" t="s">
        <v>905</v>
      </c>
      <c r="X199" s="903" t="s">
        <v>460</v>
      </c>
      <c r="Y199" s="2146" t="s">
        <v>450</v>
      </c>
      <c r="Z199" s="903" t="s">
        <v>461</v>
      </c>
      <c r="AA199" s="2146" t="s">
        <v>451</v>
      </c>
      <c r="AB199" s="903" t="s">
        <v>462</v>
      </c>
      <c r="AC199" s="2146" t="s">
        <v>452</v>
      </c>
      <c r="AD199" s="903" t="s">
        <v>35</v>
      </c>
      <c r="AE199" s="2146" t="s">
        <v>30</v>
      </c>
      <c r="AF199" s="903" t="s">
        <v>36</v>
      </c>
      <c r="AG199" s="2146" t="s">
        <v>31</v>
      </c>
      <c r="AH199" s="922">
        <f>SUM('7층_부하량(월간_AVG)'!N12:P12)</f>
        <v>0</v>
      </c>
      <c r="AI199" s="901">
        <f>SUM('7층_부하량(월간_AVG)'!D108:F108)</f>
        <v>0</v>
      </c>
      <c r="AJ199" s="1298">
        <f>AI199+AH199</f>
        <v>0</v>
      </c>
      <c r="AK199" s="2816" t="e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9" s="2817" t="e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9" s="3240">
        <f>VLOOKUP(J199&amp;K199,'7층~4층_매핑테이블'!$Y$6:$AF$2020,8,0)</f>
        <v>2.8159999999999998</v>
      </c>
      <c r="AN199" s="3230" t="e">
        <f t="shared" si="38"/>
        <v>#N/A</v>
      </c>
      <c r="AO199" s="2593" t="s">
        <v>906</v>
      </c>
      <c r="AP199" s="2599"/>
      <c r="AR199" s="2351" t="e">
        <f t="shared" si="39"/>
        <v>#N/A</v>
      </c>
      <c r="AS199" s="2351" t="e">
        <f t="shared" si="40"/>
        <v>#N/A</v>
      </c>
      <c r="AT199" s="123" t="e">
        <f t="shared" si="65"/>
        <v>#N/A</v>
      </c>
      <c r="AU199" t="e">
        <f t="shared" si="66"/>
        <v>#N/A</v>
      </c>
      <c r="AV199" t="e">
        <f t="shared" si="67"/>
        <v>#N/A</v>
      </c>
      <c r="BA199" s="123"/>
      <c r="BB199" s="123"/>
      <c r="BC199" s="123"/>
      <c r="BD199" s="2997"/>
      <c r="BE199" s="123"/>
      <c r="BF199" s="2998"/>
      <c r="BG199" s="2999"/>
      <c r="BH199" s="3005"/>
      <c r="BI199" s="3000"/>
      <c r="BJ199" s="3001"/>
      <c r="BK199" s="3002"/>
      <c r="BL199" s="3003"/>
      <c r="BM199" s="3004"/>
    </row>
    <row r="200" spans="1:65" ht="32.1" customHeight="1" x14ac:dyDescent="0.25">
      <c r="A200" s="2854"/>
      <c r="B200" s="2564" t="s">
        <v>907</v>
      </c>
      <c r="C200" s="2564" t="s">
        <v>908</v>
      </c>
      <c r="D200" s="2566"/>
      <c r="E200" s="2960"/>
      <c r="F200" s="2566" t="s">
        <v>27</v>
      </c>
      <c r="G200" s="2564"/>
      <c r="H200" s="1839"/>
      <c r="I200" s="1840" t="s">
        <v>9073</v>
      </c>
      <c r="J200" s="1825"/>
      <c r="K200" s="1833" t="str">
        <f>"7-DaHall 1-"&amp;R200&amp;"-"&amp;Q200&amp;"-"&amp;S200</f>
        <v>7-DaHall 1-RPP-02-20-25</v>
      </c>
      <c r="L200" s="1841"/>
      <c r="M200" s="1842"/>
      <c r="N200" s="896"/>
      <c r="O200" s="1843"/>
      <c r="P200" s="1844">
        <v>220</v>
      </c>
      <c r="Q200" s="1845">
        <v>20</v>
      </c>
      <c r="R200" s="950" t="s">
        <v>8776</v>
      </c>
      <c r="S200" s="1846">
        <v>25</v>
      </c>
      <c r="T200" s="896"/>
      <c r="U200" s="950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>
        <f>SUM('7층_부하량(월간_AVG)'!D107:F107)</f>
        <v>0</v>
      </c>
      <c r="AJ200" s="1298">
        <f t="shared" ref="AJ200:AJ205" si="68">AH200+AI200</f>
        <v>0</v>
      </c>
      <c r="AK200" s="2816"/>
      <c r="AL200" s="2817" t="e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200" s="3240">
        <f>VLOOKUP(J200&amp;K200,'7층~4층_매핑테이블'!$Y$6:$AF$2020,8,0)</f>
        <v>0</v>
      </c>
      <c r="AN200" s="3231" t="e">
        <f t="shared" ref="AN200:AN265" si="69">SUBTOTAL(9,AK200:AL200)</f>
        <v>#N/A</v>
      </c>
      <c r="AO200" s="2593" t="s">
        <v>844</v>
      </c>
      <c r="AP200" s="2599"/>
      <c r="AR200" s="2351" t="e">
        <f t="shared" ref="AR200:AR265" si="70">AN200/(24*31)</f>
        <v>#N/A</v>
      </c>
      <c r="AS200" s="2351" t="e">
        <f t="shared" ref="AS200:AS265" si="71">E200-AR200</f>
        <v>#N/A</v>
      </c>
      <c r="AT200" s="123" t="e">
        <f t="shared" si="65"/>
        <v>#N/A</v>
      </c>
      <c r="AU200" t="e">
        <f t="shared" si="66"/>
        <v>#N/A</v>
      </c>
      <c r="AV200" t="e">
        <f t="shared" si="67"/>
        <v>#N/A</v>
      </c>
      <c r="BA200" s="123"/>
      <c r="BB200" s="123"/>
      <c r="BC200" s="123"/>
      <c r="BD200" s="2997"/>
      <c r="BE200" s="123"/>
      <c r="BF200" s="2998"/>
      <c r="BG200" s="2999"/>
      <c r="BH200" s="3005"/>
      <c r="BI200" s="3000"/>
      <c r="BJ200" s="3001"/>
      <c r="BK200" s="3002"/>
      <c r="BL200" s="3003"/>
      <c r="BM200" s="3004"/>
    </row>
    <row r="201" spans="1:65" ht="62.4" x14ac:dyDescent="0.25">
      <c r="A201" s="2854"/>
      <c r="B201" s="2564" t="s">
        <v>911</v>
      </c>
      <c r="C201" s="2564" t="s">
        <v>912</v>
      </c>
      <c r="D201" s="2566"/>
      <c r="E201" s="2960"/>
      <c r="F201" s="2566" t="s">
        <v>27</v>
      </c>
      <c r="G201" s="2564"/>
      <c r="H201" s="1839"/>
      <c r="I201" s="1840" t="s">
        <v>9074</v>
      </c>
      <c r="J201" s="1825"/>
      <c r="K201" s="1833" t="str">
        <f>"7-DaHall 1-"&amp;R201&amp;"-"&amp;Q201&amp;"-"&amp;S201</f>
        <v>7-DaHall 1-RPP-02-20-23</v>
      </c>
      <c r="L201" s="1841"/>
      <c r="M201" s="1842"/>
      <c r="N201" s="896"/>
      <c r="O201" s="1843"/>
      <c r="P201" s="1844">
        <v>220</v>
      </c>
      <c r="Q201" s="1845">
        <v>20</v>
      </c>
      <c r="R201" s="950" t="s">
        <v>8776</v>
      </c>
      <c r="S201" s="1846">
        <v>23</v>
      </c>
      <c r="T201" s="896"/>
      <c r="U201" s="950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>
        <f>SUM('7층_부하량(월간_AVG)'!D106:F106)</f>
        <v>0</v>
      </c>
      <c r="AJ201" s="1298">
        <f t="shared" si="68"/>
        <v>0</v>
      </c>
      <c r="AK201" s="2816"/>
      <c r="AL201" s="2817" t="e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201" s="3240">
        <f>VLOOKUP(J201&amp;K201,'7층~4층_매핑테이블'!$Y$6:$AF$2020,8,0)</f>
        <v>0</v>
      </c>
      <c r="AN201" s="3231" t="e">
        <f t="shared" si="69"/>
        <v>#N/A</v>
      </c>
      <c r="AO201" s="2593" t="s">
        <v>844</v>
      </c>
      <c r="AP201" s="2599"/>
      <c r="AR201" s="2351" t="e">
        <f t="shared" si="70"/>
        <v>#N/A</v>
      </c>
      <c r="AS201" s="2351" t="e">
        <f t="shared" si="71"/>
        <v>#N/A</v>
      </c>
      <c r="AT201" s="123" t="e">
        <f t="shared" si="65"/>
        <v>#N/A</v>
      </c>
      <c r="AU201" t="e">
        <f t="shared" si="66"/>
        <v>#N/A</v>
      </c>
      <c r="AV201" t="e">
        <f t="shared" si="67"/>
        <v>#N/A</v>
      </c>
      <c r="BA201" s="123"/>
      <c r="BB201" s="123"/>
      <c r="BC201" s="123"/>
      <c r="BD201" s="2997"/>
      <c r="BE201" s="123"/>
      <c r="BF201" s="2998"/>
      <c r="BG201" s="2999"/>
      <c r="BH201" s="3005"/>
      <c r="BI201" s="3000"/>
      <c r="BJ201" s="3001"/>
      <c r="BK201" s="3002"/>
      <c r="BL201" s="3003"/>
      <c r="BM201" s="3004"/>
    </row>
    <row r="202" spans="1:65" ht="27" customHeight="1" x14ac:dyDescent="0.25">
      <c r="A202" s="2854"/>
      <c r="B202" s="2564" t="s">
        <v>915</v>
      </c>
      <c r="C202" s="2564" t="s">
        <v>916</v>
      </c>
      <c r="D202" s="2566"/>
      <c r="E202" s="2960"/>
      <c r="F202" s="2566" t="s">
        <v>27</v>
      </c>
      <c r="G202" s="2564"/>
      <c r="H202" s="1839"/>
      <c r="I202" s="1833" t="s">
        <v>9075</v>
      </c>
      <c r="J202" s="1839"/>
      <c r="K202" s="1833" t="str">
        <f>"7-DaHall 1-"&amp;R202&amp;"-"&amp;Q202&amp;"-"&amp;S202</f>
        <v>7-DaHall 1-RPP-02-20-21</v>
      </c>
      <c r="L202" s="1841"/>
      <c r="M202" s="1842"/>
      <c r="N202" s="896"/>
      <c r="O202" s="1843"/>
      <c r="P202" s="1834">
        <v>220</v>
      </c>
      <c r="Q202" s="1835">
        <v>20</v>
      </c>
      <c r="R202" s="687" t="s">
        <v>8776</v>
      </c>
      <c r="S202" s="1836">
        <v>21</v>
      </c>
      <c r="T202" s="896"/>
      <c r="U202" s="687" t="s">
        <v>917</v>
      </c>
      <c r="V202" s="896"/>
      <c r="W202" s="2578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4"/>
      <c r="AI202" s="676">
        <f>SUM('7층_부하량(월간_AVG)'!D105:F105)</f>
        <v>0</v>
      </c>
      <c r="AJ202" s="1298">
        <f t="shared" si="68"/>
        <v>0</v>
      </c>
      <c r="AK202" s="2816"/>
      <c r="AL202" s="2817" t="e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2" s="3240">
        <f>VLOOKUP(J202&amp;K202,'7층~4층_매핑테이블'!$Y$6:$AF$2020,8,0)</f>
        <v>0</v>
      </c>
      <c r="AN202" s="3230" t="e">
        <f t="shared" si="69"/>
        <v>#N/A</v>
      </c>
      <c r="AO202" s="2593" t="s">
        <v>919</v>
      </c>
      <c r="AP202" s="2599"/>
      <c r="AR202" s="2351" t="e">
        <f t="shared" si="70"/>
        <v>#N/A</v>
      </c>
      <c r="AS202" s="2351" t="e">
        <f t="shared" si="71"/>
        <v>#N/A</v>
      </c>
      <c r="AT202" s="123" t="e">
        <f t="shared" si="65"/>
        <v>#N/A</v>
      </c>
      <c r="AU202" t="e">
        <f t="shared" si="66"/>
        <v>#N/A</v>
      </c>
      <c r="AV202" t="e">
        <f t="shared" si="67"/>
        <v>#N/A</v>
      </c>
      <c r="BA202" s="123"/>
      <c r="BB202" s="123"/>
      <c r="BC202" s="123"/>
      <c r="BD202" s="2997"/>
      <c r="BE202" s="123"/>
      <c r="BF202" s="2998"/>
      <c r="BG202" s="2999"/>
      <c r="BH202" s="3005"/>
      <c r="BI202" s="3000"/>
      <c r="BJ202" s="3001"/>
      <c r="BK202" s="3002"/>
      <c r="BL202" s="3003"/>
      <c r="BM202" s="3004"/>
    </row>
    <row r="203" spans="1:65" ht="40.5" customHeight="1" x14ac:dyDescent="0.25">
      <c r="A203" s="2854"/>
      <c r="B203" s="2564" t="s">
        <v>920</v>
      </c>
      <c r="C203" s="1155" t="s">
        <v>921</v>
      </c>
      <c r="D203" s="2564" t="s">
        <v>9259</v>
      </c>
      <c r="E203" s="2960">
        <v>2.2000000000000002</v>
      </c>
      <c r="F203" s="2566" t="s">
        <v>27</v>
      </c>
      <c r="G203" s="2564"/>
      <c r="H203" s="1825" t="s">
        <v>9076</v>
      </c>
      <c r="I203" s="1957"/>
      <c r="J203" s="1825" t="str">
        <f>"7-DaHall 1-"&amp;N203&amp;"-"&amp;M203&amp;"-"&amp;O203</f>
        <v>7-DaHall 1-RPP-01-30-4</v>
      </c>
      <c r="K203" s="1957"/>
      <c r="L203" s="1827">
        <v>220</v>
      </c>
      <c r="M203" s="1828">
        <v>30</v>
      </c>
      <c r="N203" s="703" t="s">
        <v>8775</v>
      </c>
      <c r="O203" s="1829">
        <v>4</v>
      </c>
      <c r="P203" s="1958"/>
      <c r="Q203" s="1959"/>
      <c r="R203" s="897"/>
      <c r="S203" s="1960"/>
      <c r="T203" s="703" t="s">
        <v>922</v>
      </c>
      <c r="U203" s="897"/>
      <c r="V203" s="2594" t="s">
        <v>923</v>
      </c>
      <c r="W203" s="897"/>
      <c r="X203" s="2146" t="s">
        <v>450</v>
      </c>
      <c r="Y203" s="897"/>
      <c r="Z203" s="2146" t="s">
        <v>451</v>
      </c>
      <c r="AA203" s="897"/>
      <c r="AB203" s="2146" t="s">
        <v>452</v>
      </c>
      <c r="AC203" s="897"/>
      <c r="AD203" s="2146" t="s">
        <v>30</v>
      </c>
      <c r="AE203" s="897"/>
      <c r="AF203" s="2146" t="s">
        <v>31</v>
      </c>
      <c r="AG203" s="897"/>
      <c r="AH203" s="681">
        <f>SUM('7층_부하량(월간_AVG)'!N7:P7)</f>
        <v>0</v>
      </c>
      <c r="AI203" s="921"/>
      <c r="AJ203" s="1298">
        <f t="shared" si="68"/>
        <v>0</v>
      </c>
      <c r="AK203" s="2816" t="e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3" s="2817"/>
      <c r="AM203" s="3240">
        <f>VLOOKUP(J203&amp;K203,'7층~4층_매핑테이블'!$Y$6:$AF$2020,8,0)</f>
        <v>0</v>
      </c>
      <c r="AN203" s="3230" t="e">
        <f t="shared" si="69"/>
        <v>#N/A</v>
      </c>
      <c r="AO203" s="2593" t="s">
        <v>924</v>
      </c>
      <c r="AP203" s="2599"/>
      <c r="AR203" s="2351" t="e">
        <f t="shared" si="70"/>
        <v>#N/A</v>
      </c>
      <c r="AS203" s="2351" t="e">
        <f t="shared" si="71"/>
        <v>#N/A</v>
      </c>
      <c r="AT203" s="123" t="e">
        <f t="shared" si="65"/>
        <v>#N/A</v>
      </c>
      <c r="AU203" t="e">
        <f t="shared" si="66"/>
        <v>#N/A</v>
      </c>
      <c r="AV203" t="e">
        <f t="shared" si="67"/>
        <v>#N/A</v>
      </c>
      <c r="BA203" s="123"/>
      <c r="BB203" s="123"/>
      <c r="BC203" s="123"/>
      <c r="BD203" s="2997"/>
      <c r="BE203" s="123"/>
      <c r="BF203" s="2998"/>
      <c r="BG203" s="2999"/>
      <c r="BH203" s="3005"/>
      <c r="BI203" s="3000"/>
      <c r="BJ203" s="3001"/>
      <c r="BK203" s="3002"/>
      <c r="BL203" s="3003"/>
      <c r="BM203" s="3004"/>
    </row>
    <row r="204" spans="1:65" ht="27" customHeight="1" x14ac:dyDescent="0.25">
      <c r="A204" s="2854"/>
      <c r="B204" s="2564" t="s">
        <v>925</v>
      </c>
      <c r="C204" s="2564" t="s">
        <v>926</v>
      </c>
      <c r="D204" s="2566"/>
      <c r="E204" s="2566"/>
      <c r="F204" s="2566" t="s">
        <v>27</v>
      </c>
      <c r="G204" s="2564"/>
      <c r="H204" s="1825" t="s">
        <v>9077</v>
      </c>
      <c r="I204" s="1957"/>
      <c r="J204" s="1825" t="str">
        <f>"7-DaHall 1-"&amp;N204&amp;"-"&amp;M204&amp;"-"&amp;O204</f>
        <v>7-DaHall 1-RPP-01-30-6</v>
      </c>
      <c r="K204" s="1957"/>
      <c r="L204" s="1827">
        <v>220</v>
      </c>
      <c r="M204" s="1828">
        <v>30</v>
      </c>
      <c r="N204" s="703" t="s">
        <v>8775</v>
      </c>
      <c r="O204" s="1829">
        <v>6</v>
      </c>
      <c r="P204" s="1958"/>
      <c r="Q204" s="1959"/>
      <c r="R204" s="897"/>
      <c r="S204" s="1960"/>
      <c r="T204" s="703" t="s">
        <v>927</v>
      </c>
      <c r="U204" s="897"/>
      <c r="V204" s="2594" t="s">
        <v>928</v>
      </c>
      <c r="W204" s="897"/>
      <c r="X204" s="2861"/>
      <c r="Y204" s="897"/>
      <c r="Z204" s="2861"/>
      <c r="AA204" s="897"/>
      <c r="AB204" s="2861"/>
      <c r="AC204" s="897"/>
      <c r="AD204" s="2861"/>
      <c r="AE204" s="897"/>
      <c r="AF204" s="2861"/>
      <c r="AG204" s="897"/>
      <c r="AH204" s="681">
        <f>SUM('7층_부하량(월간_AVG)'!N8:P8)</f>
        <v>0</v>
      </c>
      <c r="AI204" s="921"/>
      <c r="AJ204" s="1298">
        <f t="shared" si="68"/>
        <v>0</v>
      </c>
      <c r="AK204" s="2816" t="e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4" s="2817"/>
      <c r="AM204" s="3240">
        <f>VLOOKUP(J204&amp;K204,'7층~4층_매핑테이블'!$Y$6:$AF$2020,8,0)</f>
        <v>0</v>
      </c>
      <c r="AN204" s="3230" t="e">
        <f t="shared" si="69"/>
        <v>#N/A</v>
      </c>
      <c r="AO204" s="2593" t="s">
        <v>924</v>
      </c>
      <c r="AP204" s="2599"/>
      <c r="AR204" s="2351" t="e">
        <f t="shared" si="70"/>
        <v>#N/A</v>
      </c>
      <c r="AS204" s="2351" t="e">
        <f t="shared" si="71"/>
        <v>#N/A</v>
      </c>
      <c r="AT204" s="123" t="e">
        <f t="shared" si="65"/>
        <v>#N/A</v>
      </c>
      <c r="AU204" t="e">
        <f t="shared" si="66"/>
        <v>#N/A</v>
      </c>
      <c r="AV204" t="e">
        <f t="shared" si="67"/>
        <v>#N/A</v>
      </c>
      <c r="BA204" s="123"/>
      <c r="BB204" s="123"/>
      <c r="BC204" s="123"/>
      <c r="BD204" s="2997"/>
      <c r="BE204" s="123"/>
      <c r="BF204" s="2998"/>
      <c r="BG204" s="2999"/>
      <c r="BH204" s="3005"/>
      <c r="BI204" s="3000"/>
      <c r="BJ204" s="3001"/>
      <c r="BK204" s="3002"/>
      <c r="BL204" s="3003"/>
      <c r="BM204" s="3004"/>
    </row>
    <row r="205" spans="1:65" ht="62.4" x14ac:dyDescent="0.25">
      <c r="A205" s="2854"/>
      <c r="B205" s="2564" t="s">
        <v>929</v>
      </c>
      <c r="C205" s="2564" t="s">
        <v>930</v>
      </c>
      <c r="D205" s="2566"/>
      <c r="E205" s="2566"/>
      <c r="F205" s="733" t="s">
        <v>27</v>
      </c>
      <c r="G205" s="918"/>
      <c r="H205" s="1839"/>
      <c r="I205" s="1840" t="s">
        <v>9078</v>
      </c>
      <c r="J205" s="1839"/>
      <c r="K205" s="1840" t="str">
        <f>"7-DaHall 1-"&amp;R205&amp;"-"&amp;Q205&amp;"-"&amp;S205</f>
        <v>7-DaHall 1-RPP-02-20-19</v>
      </c>
      <c r="L205" s="1841"/>
      <c r="M205" s="1842"/>
      <c r="N205" s="896"/>
      <c r="O205" s="1843"/>
      <c r="P205" s="1844">
        <v>220</v>
      </c>
      <c r="Q205" s="1845">
        <v>20</v>
      </c>
      <c r="R205" s="950" t="s">
        <v>8776</v>
      </c>
      <c r="S205" s="1846">
        <v>19</v>
      </c>
      <c r="T205" s="896"/>
      <c r="U205" s="950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4"/>
      <c r="AI205" s="1172">
        <f>SUM('7층_부하량(월간_AVG)'!D104:F104)</f>
        <v>0</v>
      </c>
      <c r="AJ205" s="1316">
        <f t="shared" si="68"/>
        <v>0</v>
      </c>
      <c r="AK205" s="2829"/>
      <c r="AL205" s="2817" t="e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5" s="3240">
        <f>VLOOKUP(J205&amp;K205,'7층~4층_매핑테이블'!$Y$6:$AF$2020,8,0)</f>
        <v>0</v>
      </c>
      <c r="AN205" s="3231" t="e">
        <f t="shared" si="69"/>
        <v>#N/A</v>
      </c>
      <c r="AO205" s="2593" t="s">
        <v>844</v>
      </c>
      <c r="AP205" s="2599"/>
      <c r="AR205" s="2351" t="e">
        <f t="shared" si="70"/>
        <v>#N/A</v>
      </c>
      <c r="AS205" s="2351" t="e">
        <f t="shared" si="71"/>
        <v>#N/A</v>
      </c>
      <c r="AT205" s="123" t="e">
        <f t="shared" si="65"/>
        <v>#N/A</v>
      </c>
      <c r="AU205" t="e">
        <f t="shared" si="66"/>
        <v>#N/A</v>
      </c>
      <c r="AV205" t="e">
        <f t="shared" si="67"/>
        <v>#N/A</v>
      </c>
      <c r="BA205" s="123"/>
      <c r="BB205" s="123"/>
      <c r="BC205" s="123"/>
      <c r="BD205" s="2997"/>
      <c r="BE205" s="123"/>
      <c r="BF205" s="2998"/>
      <c r="BG205" s="2999"/>
      <c r="BH205" s="3005"/>
      <c r="BI205" s="3000"/>
      <c r="BJ205" s="3001"/>
      <c r="BK205" s="3002"/>
      <c r="BL205" s="3003"/>
      <c r="BM205" s="3004"/>
    </row>
    <row r="206" spans="1:65" ht="14.25" customHeight="1" thickBot="1" x14ac:dyDescent="0.3">
      <c r="A206" s="2859"/>
      <c r="B206" s="2595" t="s">
        <v>933</v>
      </c>
      <c r="C206" s="2595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1"/>
      <c r="I206" s="1962"/>
      <c r="J206" s="1961"/>
      <c r="K206" s="1962"/>
      <c r="L206" s="1963"/>
      <c r="M206" s="1964"/>
      <c r="N206" s="906"/>
      <c r="O206" s="1965"/>
      <c r="P206" s="1966"/>
      <c r="Q206" s="1964"/>
      <c r="R206" s="906"/>
      <c r="S206" s="1965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7"/>
      <c r="AI206" s="1064"/>
      <c r="AJ206" s="1319"/>
      <c r="AK206" s="2825"/>
      <c r="AL206" s="2826"/>
      <c r="AM206" s="3240"/>
      <c r="AN206" s="3231">
        <f t="shared" si="69"/>
        <v>0</v>
      </c>
      <c r="AO206" s="698" t="s">
        <v>936</v>
      </c>
      <c r="AP206" s="679"/>
      <c r="AR206" s="2351">
        <f t="shared" si="70"/>
        <v>0</v>
      </c>
      <c r="AS206" s="2351">
        <f t="shared" si="71"/>
        <v>0</v>
      </c>
      <c r="AT206" s="123" t="str">
        <f t="shared" ref="AT206:AT253" si="72">IF(SIGN(AS206)&gt;=0,IF(AN206=0,"미사용 랙","적정함"),"사용초과")</f>
        <v>미사용 랙</v>
      </c>
      <c r="AU206" t="str">
        <f t="shared" si="66"/>
        <v/>
      </c>
      <c r="AV206" t="str">
        <f t="shared" si="67"/>
        <v/>
      </c>
      <c r="BA206" s="123"/>
      <c r="BB206" s="123"/>
      <c r="BC206" s="123"/>
      <c r="BD206" s="2997"/>
      <c r="BE206" s="123"/>
      <c r="BF206" s="2998"/>
      <c r="BG206" s="2999"/>
      <c r="BH206" s="3005"/>
      <c r="BI206" s="3000"/>
      <c r="BJ206" s="3001"/>
      <c r="BK206" s="3002"/>
      <c r="BL206" s="3003"/>
      <c r="BM206" s="3004"/>
    </row>
    <row r="207" spans="1:65" ht="13.5" customHeight="1" x14ac:dyDescent="0.25">
      <c r="A207" s="2860" t="s">
        <v>937</v>
      </c>
      <c r="B207" s="2570" t="s">
        <v>938</v>
      </c>
      <c r="C207" s="1062"/>
      <c r="D207" s="1056"/>
      <c r="E207" s="1056"/>
      <c r="F207" s="1056"/>
      <c r="G207" s="1062"/>
      <c r="H207" s="1967"/>
      <c r="I207" s="1968"/>
      <c r="J207" s="1967"/>
      <c r="K207" s="1968"/>
      <c r="L207" s="1969"/>
      <c r="M207" s="1950"/>
      <c r="N207" s="1063"/>
      <c r="O207" s="1951"/>
      <c r="P207" s="1970"/>
      <c r="Q207" s="1948"/>
      <c r="R207" s="954"/>
      <c r="S207" s="1881"/>
      <c r="T207" s="1063"/>
      <c r="U207" s="954"/>
      <c r="V207" s="1063"/>
      <c r="W207" s="954"/>
      <c r="X207" s="1063"/>
      <c r="Y207" s="954"/>
      <c r="Z207" s="1063"/>
      <c r="AA207" s="954"/>
      <c r="AB207" s="1063"/>
      <c r="AC207" s="954"/>
      <c r="AD207" s="1063"/>
      <c r="AE207" s="954"/>
      <c r="AF207" s="1063"/>
      <c r="AG207" s="954"/>
      <c r="AH207" s="1069"/>
      <c r="AI207" s="1070"/>
      <c r="AJ207" s="1318"/>
      <c r="AK207" s="2825"/>
      <c r="AL207" s="2826"/>
      <c r="AM207" s="3240"/>
      <c r="AN207" s="3231">
        <f t="shared" si="69"/>
        <v>0</v>
      </c>
      <c r="AO207" s="1055"/>
      <c r="AP207" s="2587"/>
      <c r="AR207" s="2351">
        <f t="shared" si="70"/>
        <v>0</v>
      </c>
      <c r="AS207" s="2351">
        <f t="shared" si="71"/>
        <v>0</v>
      </c>
      <c r="AT207" s="123" t="str">
        <f t="shared" si="72"/>
        <v>미사용 랙</v>
      </c>
      <c r="AU207" t="str">
        <f t="shared" si="66"/>
        <v/>
      </c>
      <c r="AV207" t="str">
        <f t="shared" si="67"/>
        <v/>
      </c>
      <c r="BA207" s="123"/>
      <c r="BB207" s="123"/>
      <c r="BC207" s="123"/>
      <c r="BD207" s="2997"/>
      <c r="BE207" s="123"/>
      <c r="BF207" s="2998"/>
      <c r="BG207" s="2999"/>
      <c r="BH207" s="3005"/>
      <c r="BI207" s="3000"/>
      <c r="BJ207" s="3001"/>
      <c r="BK207" s="3002"/>
      <c r="BL207" s="3003"/>
      <c r="BM207" s="3004"/>
    </row>
    <row r="208" spans="1:65" ht="40.5" customHeight="1" x14ac:dyDescent="0.25">
      <c r="A208" s="2854"/>
      <c r="B208" s="3411" t="s">
        <v>939</v>
      </c>
      <c r="C208" s="3421" t="s">
        <v>940</v>
      </c>
      <c r="D208" s="3411" t="s">
        <v>9260</v>
      </c>
      <c r="E208" s="2564"/>
      <c r="F208" s="2564" t="s">
        <v>27</v>
      </c>
      <c r="G208" s="2564"/>
      <c r="H208" s="1971"/>
      <c r="I208" s="1864" t="s">
        <v>9079</v>
      </c>
      <c r="J208" s="1825" t="str">
        <f>"7-DaHall 1-"&amp;R208&amp;"-"&amp;Q208&amp;"-"&amp;S208</f>
        <v>7-DaHall 1-RPP-01-20-11</v>
      </c>
      <c r="K208" s="1980"/>
      <c r="L208" s="1972"/>
      <c r="M208" s="1973"/>
      <c r="N208" s="898"/>
      <c r="O208" s="1974"/>
      <c r="P208" s="1865">
        <v>220</v>
      </c>
      <c r="Q208" s="1828">
        <v>20</v>
      </c>
      <c r="R208" s="703" t="s">
        <v>8775</v>
      </c>
      <c r="S208" s="1829">
        <v>11</v>
      </c>
      <c r="T208" s="898"/>
      <c r="U208" s="703" t="s">
        <v>941</v>
      </c>
      <c r="V208" s="733"/>
      <c r="W208" s="2594" t="s">
        <v>942</v>
      </c>
      <c r="X208" s="733"/>
      <c r="Y208" s="2146" t="s">
        <v>450</v>
      </c>
      <c r="Z208" s="733"/>
      <c r="AA208" s="2146" t="s">
        <v>451</v>
      </c>
      <c r="AB208" s="733"/>
      <c r="AC208" s="2146" t="s">
        <v>452</v>
      </c>
      <c r="AD208" s="733"/>
      <c r="AE208" s="2146" t="s">
        <v>30</v>
      </c>
      <c r="AF208" s="896"/>
      <c r="AG208" s="2146" t="s">
        <v>31</v>
      </c>
      <c r="AH208" s="1053">
        <f>SUM('7층_부하량(월간_AVG)'!D11:F11)</f>
        <v>0</v>
      </c>
      <c r="AI208" s="929"/>
      <c r="AJ208" s="3424">
        <f>SUM(AI208:AI209)</f>
        <v>0</v>
      </c>
      <c r="AK208" s="2816" t="e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8" s="2817"/>
      <c r="AM208" s="3240">
        <f>VLOOKUP(J208&amp;K208,'7층~4층_매핑테이블'!$Y$6:$AF$2020,8,0)</f>
        <v>0</v>
      </c>
      <c r="AN208" s="3230" t="e">
        <f t="shared" si="69"/>
        <v>#N/A</v>
      </c>
      <c r="AO208" s="2862" t="s">
        <v>919</v>
      </c>
      <c r="AP208" s="969" t="s">
        <v>9080</v>
      </c>
      <c r="AR208" s="2351" t="e">
        <f t="shared" si="70"/>
        <v>#N/A</v>
      </c>
      <c r="AS208" s="2351" t="e">
        <f t="shared" si="71"/>
        <v>#N/A</v>
      </c>
      <c r="AT208" s="123" t="e">
        <f>IF(SIGN(AS208)&gt;=0,IF(AN208=0,"무부하 랙","적정함"),"사용초과")</f>
        <v>#N/A</v>
      </c>
      <c r="AU208" t="e">
        <f t="shared" si="66"/>
        <v>#N/A</v>
      </c>
      <c r="AV208" t="e">
        <f t="shared" si="67"/>
        <v>#N/A</v>
      </c>
      <c r="BA208" s="123"/>
      <c r="BB208" s="123"/>
      <c r="BC208" s="123"/>
      <c r="BD208" s="2997"/>
      <c r="BE208" s="123"/>
      <c r="BF208" s="2998"/>
      <c r="BG208" s="2999"/>
      <c r="BH208" s="3005"/>
      <c r="BI208" s="3000"/>
      <c r="BJ208" s="3001"/>
      <c r="BK208" s="3002"/>
      <c r="BL208" s="3003"/>
      <c r="BM208" s="3004"/>
    </row>
    <row r="209" spans="1:65" ht="48" customHeight="1" x14ac:dyDescent="0.25">
      <c r="A209" s="2854"/>
      <c r="B209" s="3411"/>
      <c r="C209" s="3421"/>
      <c r="D209" s="3411"/>
      <c r="E209" s="2961">
        <v>2.2000000000000002</v>
      </c>
      <c r="F209" s="2564" t="s">
        <v>27</v>
      </c>
      <c r="G209" s="2564"/>
      <c r="H209" s="1866" t="s">
        <v>9081</v>
      </c>
      <c r="I209" s="1864" t="s">
        <v>9082</v>
      </c>
      <c r="J209" s="1825" t="str">
        <f>"7-DaHall 1-"&amp;R209&amp;"-"&amp;Q209&amp;"-"&amp;S209</f>
        <v>7-DaHall 1-RPP-01-30-38</v>
      </c>
      <c r="K209" s="1833" t="str">
        <f>"7-DaHall 1-"&amp;N209&amp;"-"&amp;M209&amp;"-"&amp;O209</f>
        <v>7-DaHall 1-RPP-02-30-32</v>
      </c>
      <c r="L209" s="1867">
        <v>220</v>
      </c>
      <c r="M209" s="1835">
        <v>30</v>
      </c>
      <c r="N209" s="687" t="s">
        <v>8776</v>
      </c>
      <c r="O209" s="1836">
        <v>32</v>
      </c>
      <c r="P209" s="1865">
        <v>220</v>
      </c>
      <c r="Q209" s="1828">
        <v>30</v>
      </c>
      <c r="R209" s="703" t="s">
        <v>8775</v>
      </c>
      <c r="S209" s="1829">
        <v>38</v>
      </c>
      <c r="T209" s="687" t="s">
        <v>943</v>
      </c>
      <c r="U209" s="703" t="s">
        <v>944</v>
      </c>
      <c r="V209" s="2578" t="s">
        <v>945</v>
      </c>
      <c r="W209" s="2594" t="s">
        <v>946</v>
      </c>
      <c r="X209" s="903" t="s">
        <v>460</v>
      </c>
      <c r="Y209" s="2146" t="s">
        <v>450</v>
      </c>
      <c r="Z209" s="903" t="s">
        <v>461</v>
      </c>
      <c r="AA209" s="2146" t="s">
        <v>451</v>
      </c>
      <c r="AB209" s="903" t="s">
        <v>519</v>
      </c>
      <c r="AC209" s="2146" t="s">
        <v>452</v>
      </c>
      <c r="AD209" s="903" t="s">
        <v>35</v>
      </c>
      <c r="AE209" s="2146" t="s">
        <v>30</v>
      </c>
      <c r="AF209" s="903" t="s">
        <v>36</v>
      </c>
      <c r="AG209" s="2146" t="s">
        <v>31</v>
      </c>
      <c r="AH209" s="1053">
        <f>SUM('7층_부하량(월간_AVG)'!N24:P24)</f>
        <v>0</v>
      </c>
      <c r="AI209" s="901">
        <f>SUM('7층_부하량(월간_AVG)'!N110:P110)</f>
        <v>0</v>
      </c>
      <c r="AJ209" s="3425"/>
      <c r="AK209" s="2816" t="e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9" s="2817" t="e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9" s="3240">
        <f>VLOOKUP(J209&amp;K209,'7층~4층_매핑테이블'!$Y$6:$AF$2020,8,0)</f>
        <v>1.2310000000000001</v>
      </c>
      <c r="AN209" s="3230" t="e">
        <f t="shared" si="69"/>
        <v>#N/A</v>
      </c>
      <c r="AO209" s="2863"/>
      <c r="AP209" s="2599"/>
      <c r="AR209" s="2351" t="e">
        <f t="shared" si="70"/>
        <v>#N/A</v>
      </c>
      <c r="AS209" s="2351" t="e">
        <f t="shared" si="71"/>
        <v>#N/A</v>
      </c>
      <c r="AT209" s="123" t="e">
        <f>IF(SIGN(AS209)&gt;=0,IF(AN209=0,"무부하 랙","적정함"),"사용초과")</f>
        <v>#N/A</v>
      </c>
      <c r="AU209" t="e">
        <f t="shared" si="66"/>
        <v>#N/A</v>
      </c>
      <c r="AV209" t="e">
        <f t="shared" si="67"/>
        <v>#N/A</v>
      </c>
      <c r="BA209" s="123"/>
      <c r="BB209" s="123"/>
      <c r="BC209" s="123"/>
      <c r="BD209" s="2997"/>
      <c r="BE209" s="123"/>
      <c r="BF209" s="2998"/>
      <c r="BG209" s="2999"/>
      <c r="BH209" s="3005"/>
      <c r="BI209" s="3000"/>
      <c r="BJ209" s="3001"/>
      <c r="BK209" s="3002"/>
      <c r="BL209" s="3003"/>
      <c r="BM209" s="3004"/>
    </row>
    <row r="210" spans="1:65" ht="27" customHeight="1" x14ac:dyDescent="0.25">
      <c r="A210" s="2854"/>
      <c r="B210" s="2564" t="s">
        <v>947</v>
      </c>
      <c r="C210" s="2566" t="s">
        <v>948</v>
      </c>
      <c r="D210" s="2566"/>
      <c r="E210" s="2960"/>
      <c r="F210" s="2564" t="s">
        <v>27</v>
      </c>
      <c r="G210" s="2564"/>
      <c r="H210" s="1945" t="s">
        <v>9083</v>
      </c>
      <c r="I210" s="1851" t="s">
        <v>9084</v>
      </c>
      <c r="J210" s="1825" t="str">
        <f>"7-DaHall 1-"&amp;R210&amp;"-"&amp;Q210&amp;"-"&amp;S210</f>
        <v>7-DaHall 1-RPP-01-30-34</v>
      </c>
      <c r="K210" s="1833" t="str">
        <f>"7-DaHall 1-"&amp;N210&amp;"-"&amp;M210&amp;"-"&amp;O210</f>
        <v>7-DaHall 1-RPP-02-30-28</v>
      </c>
      <c r="L210" s="1946">
        <v>220</v>
      </c>
      <c r="M210" s="1845">
        <v>30</v>
      </c>
      <c r="N210" s="950" t="s">
        <v>8776</v>
      </c>
      <c r="O210" s="1846">
        <v>28</v>
      </c>
      <c r="P210" s="1852">
        <v>220</v>
      </c>
      <c r="Q210" s="1842">
        <v>30</v>
      </c>
      <c r="R210" s="896" t="s">
        <v>8775</v>
      </c>
      <c r="S210" s="1843">
        <v>34</v>
      </c>
      <c r="T210" s="950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46" t="s">
        <v>450</v>
      </c>
      <c r="Z210" s="903" t="s">
        <v>461</v>
      </c>
      <c r="AA210" s="2146" t="s">
        <v>451</v>
      </c>
      <c r="AB210" s="903" t="s">
        <v>519</v>
      </c>
      <c r="AC210" s="2146" t="s">
        <v>452</v>
      </c>
      <c r="AD210" s="903" t="s">
        <v>35</v>
      </c>
      <c r="AE210" s="2146" t="s">
        <v>30</v>
      </c>
      <c r="AF210" s="903" t="s">
        <v>36</v>
      </c>
      <c r="AG210" s="2146" t="s">
        <v>31</v>
      </c>
      <c r="AH210" s="1053">
        <f>SUM('7층_부하량(월간_AVG)'!N22:P22)</f>
        <v>0</v>
      </c>
      <c r="AI210" s="901">
        <f>SUM('7층_부하량(월간_AVG)'!N108:P108)</f>
        <v>0</v>
      </c>
      <c r="AJ210" s="1298">
        <f>AI210+AH210</f>
        <v>0</v>
      </c>
      <c r="AK210" s="2816" t="e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10" s="2817" t="e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10" s="3240">
        <f>VLOOKUP(J210&amp;K210,'7층~4층_매핑테이블'!$Y$6:$AF$2020,8,0)</f>
        <v>0</v>
      </c>
      <c r="AN210" s="3231" t="e">
        <f t="shared" si="69"/>
        <v>#N/A</v>
      </c>
      <c r="AO210" s="2593" t="s">
        <v>952</v>
      </c>
      <c r="AP210" s="2599"/>
      <c r="AR210" s="2351" t="e">
        <f t="shared" si="70"/>
        <v>#N/A</v>
      </c>
      <c r="AS210" s="2351" t="e">
        <f t="shared" si="71"/>
        <v>#N/A</v>
      </c>
      <c r="AT210" s="123" t="e">
        <f>IF(SIGN(AS210)&gt;=0,IF(AN210=0,"무부하 랙","적정함"),"사용초과")</f>
        <v>#N/A</v>
      </c>
      <c r="AU210" t="e">
        <f t="shared" si="66"/>
        <v>#N/A</v>
      </c>
      <c r="AV210" t="e">
        <f t="shared" si="67"/>
        <v>#N/A</v>
      </c>
      <c r="BA210" s="123"/>
      <c r="BB210" s="123"/>
      <c r="BC210" s="123"/>
      <c r="BD210" s="2997"/>
      <c r="BE210" s="123"/>
      <c r="BF210" s="2998"/>
      <c r="BG210" s="2999"/>
      <c r="BH210" s="3005"/>
      <c r="BI210" s="3000"/>
      <c r="BJ210" s="3001"/>
      <c r="BK210" s="3002"/>
      <c r="BL210" s="3003"/>
      <c r="BM210" s="3004"/>
    </row>
    <row r="211" spans="1:65" ht="40.200000000000003" customHeight="1" x14ac:dyDescent="0.25">
      <c r="A211" s="2854"/>
      <c r="B211" s="3411" t="s">
        <v>953</v>
      </c>
      <c r="C211" s="3421" t="s">
        <v>954</v>
      </c>
      <c r="D211" s="3411" t="s">
        <v>9261</v>
      </c>
      <c r="E211" s="2960">
        <v>1.1000000000000001</v>
      </c>
      <c r="F211" s="3411" t="s">
        <v>773</v>
      </c>
      <c r="G211" s="2564"/>
      <c r="H211" s="1825" t="s">
        <v>9085</v>
      </c>
      <c r="I211" s="1833" t="s">
        <v>9086</v>
      </c>
      <c r="J211" s="1825" t="str">
        <f>"7-DaHall 1-"&amp;N211&amp;"-"&amp;M211&amp;"-"&amp;O211</f>
        <v>7-DaHall 1-PDU-01-30-6</v>
      </c>
      <c r="K211" s="1833" t="str">
        <f t="shared" ref="K211:K214" si="73">"7-DaHall 1-"&amp;R211&amp;"-"&amp;Q211&amp;"-"&amp;S211</f>
        <v>7-DaHall 1-PDU-02-30-6</v>
      </c>
      <c r="L211" s="1827">
        <v>220</v>
      </c>
      <c r="M211" s="1828">
        <v>30</v>
      </c>
      <c r="N211" s="703" t="s">
        <v>8749</v>
      </c>
      <c r="O211" s="1829">
        <v>6</v>
      </c>
      <c r="P211" s="1834">
        <v>220</v>
      </c>
      <c r="Q211" s="1835">
        <v>30</v>
      </c>
      <c r="R211" s="687" t="s">
        <v>8750</v>
      </c>
      <c r="S211" s="1836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864" t="s">
        <v>164</v>
      </c>
      <c r="AC211" s="1048" t="s">
        <v>165</v>
      </c>
      <c r="AD211" s="2864" t="s">
        <v>110</v>
      </c>
      <c r="AE211" s="903" t="s">
        <v>111</v>
      </c>
      <c r="AF211" s="2146" t="s">
        <v>31</v>
      </c>
      <c r="AG211" s="903" t="s">
        <v>36</v>
      </c>
      <c r="AH211" s="681">
        <f>SUM('7층_부하량(월간_AVG)'!N65:P65)</f>
        <v>0</v>
      </c>
      <c r="AI211" s="1052">
        <f>SUM('7층_부하량(월간_AVG)'!N33:P33)</f>
        <v>0</v>
      </c>
      <c r="AJ211" s="3409">
        <f>AH211+AI211+AH212+AI212</f>
        <v>0</v>
      </c>
      <c r="AK211" s="2816" t="e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11" s="2817" t="e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11" s="3240">
        <f>VLOOKUP(J211&amp;K211,'7층~4층_매핑테이블'!$Y$6:$AF$2020,8,0)</f>
        <v>0</v>
      </c>
      <c r="AN211" s="3230" t="e">
        <f t="shared" si="69"/>
        <v>#N/A</v>
      </c>
      <c r="AO211" s="2214" t="s">
        <v>884</v>
      </c>
      <c r="AP211" s="969" t="s">
        <v>9087</v>
      </c>
      <c r="AR211" s="2351" t="e">
        <f t="shared" si="70"/>
        <v>#N/A</v>
      </c>
      <c r="AS211" s="2351" t="e">
        <f t="shared" si="71"/>
        <v>#N/A</v>
      </c>
      <c r="AT211" s="123" t="e">
        <f>IF(SIGN(AS211)&gt;=0,IF(AN211=0,"무부하 랙","적정함"),"사용초과")</f>
        <v>#N/A</v>
      </c>
      <c r="AU211" t="e">
        <f t="shared" si="66"/>
        <v>#N/A</v>
      </c>
      <c r="AV211" t="e">
        <f t="shared" si="67"/>
        <v>#N/A</v>
      </c>
      <c r="BA211" s="123"/>
      <c r="BB211" s="123"/>
      <c r="BC211" s="123"/>
      <c r="BD211" s="2997"/>
      <c r="BE211" s="123"/>
      <c r="BF211" s="2998"/>
      <c r="BG211" s="2999"/>
      <c r="BH211" s="3005"/>
      <c r="BI211" s="3000"/>
      <c r="BJ211" s="3001"/>
      <c r="BK211" s="3002"/>
      <c r="BL211" s="3003"/>
      <c r="BM211" s="3004"/>
    </row>
    <row r="212" spans="1:65" ht="40.5" customHeight="1" x14ac:dyDescent="0.25">
      <c r="A212" s="2854"/>
      <c r="B212" s="3411"/>
      <c r="C212" s="3421"/>
      <c r="D212" s="3423"/>
      <c r="E212" s="2566"/>
      <c r="F212" s="3411"/>
      <c r="G212" s="2564"/>
      <c r="H212" s="1825" t="s">
        <v>9088</v>
      </c>
      <c r="I212" s="1833" t="s">
        <v>9089</v>
      </c>
      <c r="J212" s="1825" t="str">
        <f>"7-DaHall 1-"&amp;N212&amp;"-"&amp;M212&amp;"-"&amp;O212</f>
        <v>7-DaHall 1-PDU-01-30-54</v>
      </c>
      <c r="K212" s="1833" t="str">
        <f t="shared" si="73"/>
        <v>7-DaHall 1-PDU-02-30-53</v>
      </c>
      <c r="L212" s="1827">
        <v>220</v>
      </c>
      <c r="M212" s="1828">
        <v>30</v>
      </c>
      <c r="N212" s="703" t="s">
        <v>8749</v>
      </c>
      <c r="O212" s="1829">
        <v>54</v>
      </c>
      <c r="P212" s="1834">
        <v>220</v>
      </c>
      <c r="Q212" s="1835">
        <v>30</v>
      </c>
      <c r="R212" s="687" t="s">
        <v>8750</v>
      </c>
      <c r="S212" s="1836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864" t="s">
        <v>164</v>
      </c>
      <c r="AC212" s="1048" t="s">
        <v>165</v>
      </c>
      <c r="AD212" s="2864" t="s">
        <v>110</v>
      </c>
      <c r="AE212" s="903" t="s">
        <v>111</v>
      </c>
      <c r="AF212" s="2146" t="s">
        <v>31</v>
      </c>
      <c r="AG212" s="903" t="s">
        <v>36</v>
      </c>
      <c r="AH212" s="681">
        <f>SUM('7층_부하량(월간_AVG)'!N89:P89)</f>
        <v>0</v>
      </c>
      <c r="AI212" s="1052">
        <f>SUM('7층_부하량(월간_AVG)'!D57:F57)</f>
        <v>0</v>
      </c>
      <c r="AJ212" s="3410"/>
      <c r="AK212" s="2842"/>
      <c r="AL212" s="2843"/>
      <c r="AM212" s="3240">
        <f>VLOOKUP(J212&amp;K212,'7층~4층_매핑테이블'!$Y$6:$AF$2020,8,0)</f>
        <v>0.11499999999999999</v>
      </c>
      <c r="AN212" s="3230">
        <f t="shared" si="69"/>
        <v>0</v>
      </c>
      <c r="AO212" s="2593"/>
      <c r="AP212" s="2599"/>
      <c r="AR212" s="2351">
        <f t="shared" si="70"/>
        <v>0</v>
      </c>
      <c r="AS212" s="2351">
        <f t="shared" si="71"/>
        <v>0</v>
      </c>
      <c r="AT212" s="123" t="str">
        <f t="shared" si="72"/>
        <v>미사용 랙</v>
      </c>
      <c r="AU212" t="str">
        <f t="shared" si="66"/>
        <v/>
      </c>
      <c r="AV212" t="str">
        <f t="shared" si="67"/>
        <v/>
      </c>
      <c r="BA212" s="123"/>
      <c r="BB212" s="123"/>
      <c r="BC212" s="123"/>
      <c r="BD212" s="2997"/>
      <c r="BE212" s="123"/>
      <c r="BF212" s="2998"/>
      <c r="BG212" s="2999"/>
      <c r="BH212" s="3005"/>
      <c r="BI212" s="3000"/>
      <c r="BJ212" s="3001"/>
      <c r="BK212" s="3002"/>
      <c r="BL212" s="3003"/>
      <c r="BM212" s="3004"/>
    </row>
    <row r="213" spans="1:65" ht="40.200000000000003" customHeight="1" x14ac:dyDescent="0.25">
      <c r="A213" s="2854"/>
      <c r="B213" s="2564" t="s">
        <v>959</v>
      </c>
      <c r="C213" s="2565" t="s">
        <v>960</v>
      </c>
      <c r="D213" s="2564" t="s">
        <v>9261</v>
      </c>
      <c r="E213" s="2960">
        <v>1.1000000000000001</v>
      </c>
      <c r="F213" s="2564" t="s">
        <v>27</v>
      </c>
      <c r="G213" s="2564"/>
      <c r="H213" s="1825" t="s">
        <v>9090</v>
      </c>
      <c r="I213" s="1833" t="s">
        <v>9091</v>
      </c>
      <c r="J213" s="1825" t="str">
        <f>"7-DaHall 1-"&amp;N213&amp;"-"&amp;M213&amp;"-"&amp;O213</f>
        <v>7-DaHall 1-RPP-03-50-2</v>
      </c>
      <c r="K213" s="1833" t="str">
        <f t="shared" si="73"/>
        <v>7-DaHall 1-RPP-04-50-2</v>
      </c>
      <c r="L213" s="1827">
        <v>220</v>
      </c>
      <c r="M213" s="1828">
        <v>50</v>
      </c>
      <c r="N213" s="703" t="s">
        <v>9092</v>
      </c>
      <c r="O213" s="1829">
        <v>2</v>
      </c>
      <c r="P213" s="1834">
        <v>220</v>
      </c>
      <c r="Q213" s="1835">
        <v>50</v>
      </c>
      <c r="R213" s="687" t="s">
        <v>9093</v>
      </c>
      <c r="S213" s="1836">
        <v>2</v>
      </c>
      <c r="T213" s="703" t="s">
        <v>961</v>
      </c>
      <c r="U213" s="687" t="s">
        <v>962</v>
      </c>
      <c r="V213" s="2594" t="s">
        <v>963</v>
      </c>
      <c r="W213" s="2578" t="s">
        <v>964</v>
      </c>
      <c r="X213" s="2594" t="s">
        <v>965</v>
      </c>
      <c r="Y213" s="2578" t="s">
        <v>966</v>
      </c>
      <c r="Z213" s="2594" t="s">
        <v>967</v>
      </c>
      <c r="AA213" s="2578" t="s">
        <v>968</v>
      </c>
      <c r="AB213" s="2594" t="s">
        <v>51</v>
      </c>
      <c r="AC213" s="903" t="s">
        <v>462</v>
      </c>
      <c r="AD213" s="2594" t="s">
        <v>30</v>
      </c>
      <c r="AE213" s="903" t="s">
        <v>35</v>
      </c>
      <c r="AF213" s="2146" t="s">
        <v>31</v>
      </c>
      <c r="AG213" s="903" t="s">
        <v>36</v>
      </c>
      <c r="AH213" s="681">
        <f>SUM('7층_부하량(월간_AVG)'!N120:P120)</f>
        <v>0</v>
      </c>
      <c r="AI213" s="1052">
        <f>SUM('7층_부하량(월간_AVG)'!N128:P128)</f>
        <v>0</v>
      </c>
      <c r="AJ213" s="1298">
        <f>AH213+AI213</f>
        <v>0</v>
      </c>
      <c r="AK213" s="2816" t="e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3" s="2817" t="e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3" s="3240">
        <f>VLOOKUP(J213&amp;K213,'7층~4층_매핑테이블'!$Y$6:$AF$2020,8,0)</f>
        <v>0.64</v>
      </c>
      <c r="AN213" s="3230" t="e">
        <f t="shared" si="69"/>
        <v>#N/A</v>
      </c>
      <c r="AO213" s="2593" t="s">
        <v>969</v>
      </c>
      <c r="AP213" s="2599"/>
      <c r="AR213" s="2351" t="e">
        <f t="shared" si="70"/>
        <v>#N/A</v>
      </c>
      <c r="AS213" s="2351" t="e">
        <f t="shared" si="71"/>
        <v>#N/A</v>
      </c>
      <c r="AT213" s="123" t="e">
        <f>IF(SIGN(AS213)&gt;=0,IF(AN213=0,"무부하 랙","적정함"),"사용초과")</f>
        <v>#N/A</v>
      </c>
      <c r="AU213" t="e">
        <f t="shared" si="66"/>
        <v>#N/A</v>
      </c>
      <c r="AV213" t="e">
        <f t="shared" si="67"/>
        <v>#N/A</v>
      </c>
      <c r="BA213" s="123"/>
      <c r="BB213" s="123"/>
      <c r="BC213" s="123"/>
      <c r="BD213" s="2997"/>
      <c r="BE213" s="123"/>
      <c r="BF213" s="2998"/>
      <c r="BG213" s="2999"/>
      <c r="BH213" s="3005"/>
      <c r="BI213" s="3000"/>
      <c r="BJ213" s="3001"/>
      <c r="BK213" s="3002"/>
      <c r="BL213" s="3003"/>
      <c r="BM213" s="3004"/>
    </row>
    <row r="214" spans="1:65" ht="62.4" x14ac:dyDescent="0.25">
      <c r="A214" s="2854"/>
      <c r="B214" s="2564" t="s">
        <v>970</v>
      </c>
      <c r="C214" s="2565" t="s">
        <v>971</v>
      </c>
      <c r="D214" s="2564" t="s">
        <v>9262</v>
      </c>
      <c r="E214" s="2960">
        <v>2.2000000000000002</v>
      </c>
      <c r="F214" s="2564" t="s">
        <v>27</v>
      </c>
      <c r="G214" s="2564"/>
      <c r="H214" s="1839"/>
      <c r="I214" s="1833" t="s">
        <v>9094</v>
      </c>
      <c r="J214" s="1839"/>
      <c r="K214" s="1833" t="str">
        <f t="shared" si="73"/>
        <v>7-DaHall 1-RPP-02-30-14</v>
      </c>
      <c r="L214" s="1841"/>
      <c r="M214" s="1842"/>
      <c r="N214" s="896"/>
      <c r="O214" s="1843"/>
      <c r="P214" s="1834">
        <v>220</v>
      </c>
      <c r="Q214" s="1835">
        <v>30</v>
      </c>
      <c r="R214" s="687" t="s">
        <v>8776</v>
      </c>
      <c r="S214" s="1836">
        <v>14</v>
      </c>
      <c r="T214" s="896"/>
      <c r="U214" s="687" t="s">
        <v>972</v>
      </c>
      <c r="V214" s="896"/>
      <c r="W214" s="2578" t="s">
        <v>973</v>
      </c>
      <c r="X214" s="896"/>
      <c r="Y214" s="2578" t="s">
        <v>460</v>
      </c>
      <c r="Z214" s="896"/>
      <c r="AA214" s="2578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4"/>
      <c r="AI214" s="1052">
        <f>SUM('7층_부하량(월간_AVG)'!N101:P101)</f>
        <v>0</v>
      </c>
      <c r="AJ214" s="1298">
        <f>AH214+AI214</f>
        <v>0</v>
      </c>
      <c r="AK214" s="2816"/>
      <c r="AL214" s="2817" t="e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4" s="3240">
        <f>VLOOKUP(J214&amp;K214,'7층~4층_매핑테이블'!$Y$6:$AF$2020,8,0)</f>
        <v>3.3119999999999998</v>
      </c>
      <c r="AN214" s="3230" t="e">
        <f t="shared" si="69"/>
        <v>#N/A</v>
      </c>
      <c r="AO214" s="2593" t="s">
        <v>974</v>
      </c>
      <c r="AP214" s="2599"/>
      <c r="AR214" s="2351" t="e">
        <f t="shared" si="70"/>
        <v>#N/A</v>
      </c>
      <c r="AS214" s="2351" t="e">
        <f t="shared" si="71"/>
        <v>#N/A</v>
      </c>
      <c r="AT214" s="123" t="e">
        <f>IF(SIGN(AS214)&gt;=0,IF(AN214=0,"무부하 랙","적정함"),"사용초과")</f>
        <v>#N/A</v>
      </c>
      <c r="AU214" t="e">
        <f t="shared" si="66"/>
        <v>#N/A</v>
      </c>
      <c r="AV214" t="e">
        <f t="shared" si="67"/>
        <v>#N/A</v>
      </c>
      <c r="BA214" s="123"/>
      <c r="BB214" s="123"/>
      <c r="BC214" s="123"/>
      <c r="BD214" s="2997"/>
      <c r="BE214" s="123"/>
      <c r="BF214" s="2998"/>
      <c r="BG214" s="2999"/>
      <c r="BH214" s="3005"/>
      <c r="BI214" s="3000"/>
      <c r="BJ214" s="3001"/>
      <c r="BK214" s="3002"/>
      <c r="BL214" s="3003"/>
      <c r="BM214" s="3004"/>
    </row>
    <row r="215" spans="1:65" ht="37.5" customHeight="1" x14ac:dyDescent="0.25">
      <c r="A215" s="2854"/>
      <c r="B215" s="2564" t="s">
        <v>975</v>
      </c>
      <c r="C215" s="2566" t="s">
        <v>976</v>
      </c>
      <c r="D215" s="939"/>
      <c r="E215" s="2960"/>
      <c r="F215" s="2564" t="s">
        <v>27</v>
      </c>
      <c r="G215" s="2564"/>
      <c r="H215" s="3416"/>
      <c r="I215" s="3417"/>
      <c r="J215" s="3397"/>
      <c r="K215" s="3398"/>
      <c r="L215" s="1975"/>
      <c r="M215" s="1976"/>
      <c r="N215" s="1977"/>
      <c r="O215" s="1978"/>
      <c r="P215" s="1979"/>
      <c r="Q215" s="1976"/>
      <c r="R215" s="1977"/>
      <c r="S215" s="1978"/>
      <c r="T215" s="3418" t="s">
        <v>977</v>
      </c>
      <c r="U215" s="3419"/>
      <c r="V215" s="1176"/>
      <c r="W215" s="1176"/>
      <c r="X215" s="1176"/>
      <c r="Y215" s="1176"/>
      <c r="Z215" s="1176"/>
      <c r="AA215" s="1176"/>
      <c r="AB215" s="1176"/>
      <c r="AC215" s="1176"/>
      <c r="AD215" s="1176"/>
      <c r="AE215" s="1176"/>
      <c r="AF215" s="1177"/>
      <c r="AG215" s="1177"/>
      <c r="AH215" s="681"/>
      <c r="AI215" s="1052"/>
      <c r="AJ215" s="1298">
        <f>AH215+AI215</f>
        <v>0</v>
      </c>
      <c r="AK215" s="2816"/>
      <c r="AL215" s="2817"/>
      <c r="AM215" s="3240">
        <f>VLOOKUP(J215&amp;K215,'7층~4층_매핑테이블'!$Y$6:$AF$2020,8,0)</f>
        <v>0</v>
      </c>
      <c r="AN215" s="3231">
        <f t="shared" si="69"/>
        <v>0</v>
      </c>
      <c r="AO215" s="2593" t="s">
        <v>936</v>
      </c>
      <c r="AP215" s="689" t="s">
        <v>978</v>
      </c>
      <c r="AR215" s="2351">
        <f t="shared" si="70"/>
        <v>0</v>
      </c>
      <c r="AS215" s="2351">
        <f t="shared" si="71"/>
        <v>0</v>
      </c>
      <c r="AT215" s="123" t="str">
        <f>IF(SIGN(AS215)&gt;=0,IF(AN215=0,"무부하 랙","적정함"),"사용초과")</f>
        <v>무부하 랙</v>
      </c>
      <c r="AU215" t="str">
        <f t="shared" si="66"/>
        <v/>
      </c>
      <c r="AV215" t="str">
        <f t="shared" si="67"/>
        <v/>
      </c>
      <c r="BA215" s="123"/>
      <c r="BB215" s="123"/>
      <c r="BC215" s="123"/>
      <c r="BD215" s="2997"/>
      <c r="BE215" s="123"/>
      <c r="BF215" s="2998"/>
      <c r="BG215" s="2999"/>
      <c r="BH215" s="3005"/>
      <c r="BI215" s="3000"/>
      <c r="BJ215" s="3001"/>
      <c r="BK215" s="3002"/>
      <c r="BL215" s="3003"/>
      <c r="BM215" s="3004"/>
    </row>
    <row r="216" spans="1:65" ht="46.8" x14ac:dyDescent="0.25">
      <c r="A216" s="2854"/>
      <c r="B216" s="2564" t="s">
        <v>979</v>
      </c>
      <c r="C216" s="2566" t="s">
        <v>980</v>
      </c>
      <c r="D216" s="2566"/>
      <c r="E216" s="2960"/>
      <c r="F216" s="2564" t="s">
        <v>27</v>
      </c>
      <c r="G216" s="2564"/>
      <c r="H216" s="1839" t="s">
        <v>9095</v>
      </c>
      <c r="I216" s="1840" t="s">
        <v>9096</v>
      </c>
      <c r="J216" s="1825" t="str">
        <f>"7-DaHall 1-"&amp;N216&amp;"-"&amp;M216&amp;"-"&amp;O216</f>
        <v>7-DaHall 1-PDU-01-30-4</v>
      </c>
      <c r="K216" s="1833" t="str">
        <f>"7-DaHall 1-"&amp;R216&amp;"-"&amp;Q216&amp;"-"&amp;S216</f>
        <v>7-DaHall 1-PDU-02-30-4</v>
      </c>
      <c r="L216" s="1841">
        <v>220</v>
      </c>
      <c r="M216" s="1842">
        <v>30</v>
      </c>
      <c r="N216" s="896" t="s">
        <v>8749</v>
      </c>
      <c r="O216" s="1843">
        <v>4</v>
      </c>
      <c r="P216" s="1844">
        <v>220</v>
      </c>
      <c r="Q216" s="1845">
        <v>30</v>
      </c>
      <c r="R216" s="950" t="s">
        <v>8750</v>
      </c>
      <c r="S216" s="1846">
        <v>4</v>
      </c>
      <c r="T216" s="896" t="s">
        <v>981</v>
      </c>
      <c r="U216" s="950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>
        <f>SUM('7층_부하량(월간_AVG)'!N64:P64)</f>
        <v>0</v>
      </c>
      <c r="AI216" s="1052">
        <f>SUM('7층_부하량(월간_AVG)'!N32:P32)</f>
        <v>0</v>
      </c>
      <c r="AJ216" s="1298">
        <f t="shared" ref="AJ216" si="74">AH216+AI216</f>
        <v>0</v>
      </c>
      <c r="AK216" s="2816" t="e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6" s="2817" t="e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6" s="3240">
        <f>VLOOKUP(J216&amp;K216,'7층~4층_매핑테이블'!$Y$6:$AF$2020,8,0)</f>
        <v>0</v>
      </c>
      <c r="AN216" s="3231" t="e">
        <f t="shared" si="69"/>
        <v>#N/A</v>
      </c>
      <c r="AO216" s="2593" t="s">
        <v>844</v>
      </c>
      <c r="AP216" s="2599"/>
      <c r="AR216" s="2351" t="e">
        <f t="shared" si="70"/>
        <v>#N/A</v>
      </c>
      <c r="AS216" s="2351" t="e">
        <f t="shared" si="71"/>
        <v>#N/A</v>
      </c>
      <c r="AT216" s="123" t="e">
        <f>IF(SIGN(AS216)&gt;=0,IF(AN216=0,"무부하 랙","적정함"),"사용초과")</f>
        <v>#N/A</v>
      </c>
      <c r="AU216" t="e">
        <f t="shared" si="66"/>
        <v>#N/A</v>
      </c>
      <c r="AV216" t="e">
        <f t="shared" si="67"/>
        <v>#N/A</v>
      </c>
      <c r="BA216" s="123"/>
      <c r="BB216" s="123"/>
      <c r="BC216" s="123"/>
      <c r="BD216" s="2997"/>
      <c r="BE216" s="123"/>
      <c r="BF216" s="2998"/>
      <c r="BG216" s="2999"/>
      <c r="BH216" s="3005"/>
      <c r="BI216" s="3000"/>
      <c r="BJ216" s="3001"/>
      <c r="BK216" s="3002"/>
      <c r="BL216" s="3003"/>
      <c r="BM216" s="3004"/>
    </row>
    <row r="217" spans="1:65" ht="13.5" customHeight="1" x14ac:dyDescent="0.25">
      <c r="A217" s="2854"/>
      <c r="B217" s="2564"/>
      <c r="C217" s="2566" t="s">
        <v>984</v>
      </c>
      <c r="D217" s="2564"/>
      <c r="E217" s="2564"/>
      <c r="F217" s="2564"/>
      <c r="G217" s="2564"/>
      <c r="H217" s="1971"/>
      <c r="I217" s="1980"/>
      <c r="J217" s="1971"/>
      <c r="K217" s="1980"/>
      <c r="L217" s="1972"/>
      <c r="M217" s="1973"/>
      <c r="N217" s="898"/>
      <c r="O217" s="1974"/>
      <c r="P217" s="1981"/>
      <c r="Q217" s="1973"/>
      <c r="R217" s="898"/>
      <c r="S217" s="1974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3"/>
      <c r="AI217" s="1334"/>
      <c r="AJ217" s="1335"/>
      <c r="AK217" s="2825"/>
      <c r="AL217" s="2826"/>
      <c r="AM217" s="3240"/>
      <c r="AN217" s="3231">
        <f t="shared" si="69"/>
        <v>0</v>
      </c>
      <c r="AO217" s="2597"/>
      <c r="AP217" s="2599"/>
      <c r="AR217" s="2351">
        <f t="shared" si="70"/>
        <v>0</v>
      </c>
      <c r="AS217" s="2351">
        <f t="shared" si="71"/>
        <v>0</v>
      </c>
      <c r="AT217" s="123" t="str">
        <f t="shared" si="72"/>
        <v>미사용 랙</v>
      </c>
      <c r="AU217" t="str">
        <f t="shared" si="66"/>
        <v/>
      </c>
      <c r="AV217" t="str">
        <f t="shared" si="67"/>
        <v/>
      </c>
      <c r="BA217" s="123"/>
      <c r="BB217" s="123"/>
      <c r="BC217" s="123"/>
      <c r="BD217" s="2997"/>
      <c r="BE217" s="123"/>
      <c r="BF217" s="2998"/>
      <c r="BG217" s="2999"/>
      <c r="BH217" s="3005"/>
      <c r="BI217" s="3000"/>
      <c r="BJ217" s="3001"/>
      <c r="BK217" s="3002"/>
      <c r="BL217" s="3003"/>
      <c r="BM217" s="3004"/>
    </row>
    <row r="218" spans="1:65" ht="14.25" customHeight="1" thickBot="1" x14ac:dyDescent="0.3">
      <c r="A218" s="2859"/>
      <c r="B218" s="2595"/>
      <c r="C218" s="2596" t="s">
        <v>984</v>
      </c>
      <c r="D218" s="2595"/>
      <c r="E218" s="2595"/>
      <c r="F218" s="2595"/>
      <c r="G218" s="2595"/>
      <c r="H218" s="1982"/>
      <c r="I218" s="1983"/>
      <c r="J218" s="1982"/>
      <c r="K218" s="1983"/>
      <c r="L218" s="1984"/>
      <c r="M218" s="1985"/>
      <c r="N218" s="914"/>
      <c r="O218" s="1986"/>
      <c r="P218" s="1987"/>
      <c r="Q218" s="1985"/>
      <c r="R218" s="914"/>
      <c r="S218" s="1986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6"/>
      <c r="AI218" s="1337"/>
      <c r="AJ218" s="1338"/>
      <c r="AK218" s="2825"/>
      <c r="AL218" s="2826"/>
      <c r="AM218" s="3240"/>
      <c r="AN218" s="3231">
        <f t="shared" si="69"/>
        <v>0</v>
      </c>
      <c r="AO218" s="2598"/>
      <c r="AP218" s="679"/>
      <c r="AR218" s="2351">
        <f t="shared" si="70"/>
        <v>0</v>
      </c>
      <c r="AS218" s="2351">
        <f t="shared" si="71"/>
        <v>0</v>
      </c>
      <c r="AT218" s="123" t="str">
        <f t="shared" si="72"/>
        <v>미사용 랙</v>
      </c>
      <c r="AU218" t="str">
        <f t="shared" si="66"/>
        <v/>
      </c>
      <c r="AV218" t="str">
        <f t="shared" si="67"/>
        <v/>
      </c>
      <c r="BA218" s="123"/>
      <c r="BB218" s="123"/>
      <c r="BC218" s="123"/>
      <c r="BD218" s="2997"/>
      <c r="BE218" s="123"/>
      <c r="BF218" s="2998"/>
      <c r="BG218" s="2999"/>
      <c r="BH218" s="3005"/>
      <c r="BI218" s="3000"/>
      <c r="BJ218" s="3001"/>
      <c r="BK218" s="3002"/>
      <c r="BL218" s="3003"/>
      <c r="BM218" s="3004"/>
    </row>
    <row r="219" spans="1:65" ht="13.5" customHeight="1" x14ac:dyDescent="0.25">
      <c r="A219" s="2860" t="s">
        <v>985</v>
      </c>
      <c r="B219" s="672" t="s">
        <v>986</v>
      </c>
      <c r="C219" s="732"/>
      <c r="D219" s="1049"/>
      <c r="E219" s="1049"/>
      <c r="F219" s="1049"/>
      <c r="G219" s="1049"/>
      <c r="H219" s="1988"/>
      <c r="I219" s="1989"/>
      <c r="J219" s="1988"/>
      <c r="K219" s="1989"/>
      <c r="L219" s="1990"/>
      <c r="M219" s="1991"/>
      <c r="N219" s="905"/>
      <c r="O219" s="1992"/>
      <c r="P219" s="1993"/>
      <c r="Q219" s="1991"/>
      <c r="R219" s="905"/>
      <c r="S219" s="1992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7"/>
      <c r="AI219" s="1078"/>
      <c r="AJ219" s="1320"/>
      <c r="AK219" s="2825"/>
      <c r="AL219" s="2826"/>
      <c r="AM219" s="3240"/>
      <c r="AN219" s="3231">
        <f t="shared" si="69"/>
        <v>0</v>
      </c>
      <c r="AO219" s="2591"/>
      <c r="AP219" s="2587"/>
      <c r="AR219" s="2351">
        <f t="shared" si="70"/>
        <v>0</v>
      </c>
      <c r="AS219" s="2351">
        <f t="shared" si="71"/>
        <v>0</v>
      </c>
      <c r="AT219" s="123" t="str">
        <f t="shared" si="72"/>
        <v>미사용 랙</v>
      </c>
      <c r="AU219" t="str">
        <f t="shared" si="66"/>
        <v/>
      </c>
      <c r="AV219" t="str">
        <f t="shared" si="67"/>
        <v/>
      </c>
      <c r="BA219" s="123"/>
      <c r="BB219" s="123"/>
      <c r="BC219" s="123"/>
      <c r="BD219" s="2997"/>
      <c r="BE219" s="123"/>
      <c r="BF219" s="2998"/>
      <c r="BG219" s="2999"/>
      <c r="BH219" s="3005"/>
      <c r="BI219" s="3000"/>
      <c r="BJ219" s="3001"/>
      <c r="BK219" s="3002"/>
      <c r="BL219" s="3003"/>
      <c r="BM219" s="3004"/>
    </row>
    <row r="220" spans="1:65" ht="40.200000000000003" customHeight="1" x14ac:dyDescent="0.25">
      <c r="A220" s="2854"/>
      <c r="B220" s="2564" t="s">
        <v>987</v>
      </c>
      <c r="C220" s="2565" t="s">
        <v>988</v>
      </c>
      <c r="D220" s="2564" t="s">
        <v>9263</v>
      </c>
      <c r="E220" s="2960">
        <v>2.2000000000000002</v>
      </c>
      <c r="F220" s="2564" t="s">
        <v>27</v>
      </c>
      <c r="G220" s="2564"/>
      <c r="H220" s="1825" t="s">
        <v>9097</v>
      </c>
      <c r="I220" s="1833" t="s">
        <v>9098</v>
      </c>
      <c r="J220" s="1825" t="str">
        <f>"7-DaHall 1-"&amp;N220&amp;"-"&amp;M220&amp;"-"&amp;O220</f>
        <v>7-DaHall 1-RPP-01-20-23</v>
      </c>
      <c r="K220" s="1833" t="str">
        <f>"7-DaHall 1-"&amp;R220&amp;"-"&amp;Q220&amp;"-"&amp;S220</f>
        <v>7-DaHall 1-RPP-02-30-12</v>
      </c>
      <c r="L220" s="1827">
        <v>220</v>
      </c>
      <c r="M220" s="1828">
        <v>20</v>
      </c>
      <c r="N220" s="703" t="s">
        <v>8775</v>
      </c>
      <c r="O220" s="1829">
        <v>23</v>
      </c>
      <c r="P220" s="1834">
        <v>220</v>
      </c>
      <c r="Q220" s="1835">
        <v>30</v>
      </c>
      <c r="R220" s="687" t="s">
        <v>8776</v>
      </c>
      <c r="S220" s="1836">
        <v>12</v>
      </c>
      <c r="T220" s="703" t="s">
        <v>989</v>
      </c>
      <c r="U220" s="687" t="s">
        <v>990</v>
      </c>
      <c r="V220" s="2594" t="s">
        <v>991</v>
      </c>
      <c r="W220" s="2578" t="s">
        <v>992</v>
      </c>
      <c r="X220" s="2146" t="s">
        <v>450</v>
      </c>
      <c r="Y220" s="903" t="s">
        <v>460</v>
      </c>
      <c r="Z220" s="2146" t="s">
        <v>451</v>
      </c>
      <c r="AA220" s="903" t="s">
        <v>461</v>
      </c>
      <c r="AB220" s="2146" t="s">
        <v>993</v>
      </c>
      <c r="AC220" s="903" t="s">
        <v>994</v>
      </c>
      <c r="AD220" s="2146" t="s">
        <v>30</v>
      </c>
      <c r="AE220" s="903" t="s">
        <v>35</v>
      </c>
      <c r="AF220" s="2146" t="s">
        <v>31</v>
      </c>
      <c r="AG220" s="903" t="s">
        <v>36</v>
      </c>
      <c r="AH220" s="681">
        <f>SUM('7층_부하량(월간_AVG)'!D17:F17)</f>
        <v>0</v>
      </c>
      <c r="AI220" s="1052">
        <f>SUM('7층_부하량(월간_AVG)'!N100:P100)</f>
        <v>0</v>
      </c>
      <c r="AJ220" s="2913">
        <f>AH220+AI220</f>
        <v>0</v>
      </c>
      <c r="AK220" s="2816" t="e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20" s="2817" t="e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20" s="3240">
        <f>VLOOKUP(J220&amp;K220,'7층~4층_매핑테이블'!$Y$6:$AF$2020,8,0)</f>
        <v>1.288</v>
      </c>
      <c r="AN220" s="3230" t="e">
        <f t="shared" si="69"/>
        <v>#N/A</v>
      </c>
      <c r="AO220" s="2070" t="s">
        <v>995</v>
      </c>
      <c r="AP220" s="2585"/>
      <c r="AR220" s="2351" t="e">
        <f t="shared" si="70"/>
        <v>#N/A</v>
      </c>
      <c r="AS220" s="2351" t="e">
        <f t="shared" si="71"/>
        <v>#N/A</v>
      </c>
      <c r="AT220" s="123" t="e">
        <f>IF(SIGN(AS220)&gt;=0,IF(AN220=0,"무부하 랙","적정함"),"사용초과")</f>
        <v>#N/A</v>
      </c>
      <c r="AU220" t="e">
        <f t="shared" si="66"/>
        <v>#N/A</v>
      </c>
      <c r="AV220" t="e">
        <f t="shared" si="67"/>
        <v>#N/A</v>
      </c>
      <c r="BA220" s="123"/>
      <c r="BB220" s="123"/>
      <c r="BC220" s="123"/>
      <c r="BD220" s="2997"/>
      <c r="BE220" s="123"/>
      <c r="BF220" s="2998"/>
      <c r="BG220" s="2999"/>
      <c r="BH220" s="3005"/>
      <c r="BI220" s="3000"/>
      <c r="BJ220" s="3001"/>
      <c r="BK220" s="3002"/>
      <c r="BL220" s="3003"/>
      <c r="BM220" s="3004"/>
    </row>
    <row r="221" spans="1:65" ht="40.200000000000003" customHeight="1" x14ac:dyDescent="0.25">
      <c r="A221" s="2854"/>
      <c r="B221" s="2564" t="s">
        <v>996</v>
      </c>
      <c r="C221" s="2565" t="s">
        <v>997</v>
      </c>
      <c r="D221" s="2564" t="s">
        <v>9263</v>
      </c>
      <c r="E221" s="2960">
        <v>2.2000000000000002</v>
      </c>
      <c r="F221" s="2564" t="s">
        <v>27</v>
      </c>
      <c r="G221" s="2564"/>
      <c r="H221" s="1825" t="s">
        <v>9099</v>
      </c>
      <c r="I221" s="1833" t="s">
        <v>9100</v>
      </c>
      <c r="J221" s="1825" t="str">
        <f>"7-DaHall 1-"&amp;N221&amp;"-"&amp;M221&amp;"-"&amp;O221</f>
        <v>7-DaHall 1-RPP-01-20-37</v>
      </c>
      <c r="K221" s="1833" t="str">
        <f>"7-DaHall 1-"&amp;R221&amp;"-"&amp;Q221&amp;"-"&amp;S221</f>
        <v>7-DaHall 1-RPP-02-30-8</v>
      </c>
      <c r="L221" s="1827">
        <v>220</v>
      </c>
      <c r="M221" s="1828">
        <v>20</v>
      </c>
      <c r="N221" s="703" t="s">
        <v>8775</v>
      </c>
      <c r="O221" s="1829">
        <v>37</v>
      </c>
      <c r="P221" s="1834">
        <v>220</v>
      </c>
      <c r="Q221" s="1835">
        <v>30</v>
      </c>
      <c r="R221" s="687" t="s">
        <v>8776</v>
      </c>
      <c r="S221" s="1836">
        <v>8</v>
      </c>
      <c r="T221" s="703" t="s">
        <v>998</v>
      </c>
      <c r="U221" s="703" t="s">
        <v>999</v>
      </c>
      <c r="V221" s="2594" t="s">
        <v>1000</v>
      </c>
      <c r="W221" s="2578" t="s">
        <v>1001</v>
      </c>
      <c r="X221" s="2146" t="s">
        <v>450</v>
      </c>
      <c r="Y221" s="903" t="s">
        <v>460</v>
      </c>
      <c r="Z221" s="2146" t="s">
        <v>451</v>
      </c>
      <c r="AA221" s="903" t="s">
        <v>461</v>
      </c>
      <c r="AB221" s="2146" t="s">
        <v>993</v>
      </c>
      <c r="AC221" s="903" t="s">
        <v>994</v>
      </c>
      <c r="AD221" s="2146" t="s">
        <v>30</v>
      </c>
      <c r="AE221" s="903" t="s">
        <v>35</v>
      </c>
      <c r="AF221" s="2146" t="s">
        <v>31</v>
      </c>
      <c r="AG221" s="903" t="s">
        <v>36</v>
      </c>
      <c r="AH221" s="681">
        <f>SUM('7층_부하량(월간_AVG)'!D24:F24)</f>
        <v>0</v>
      </c>
      <c r="AI221" s="1052">
        <f>SUM('7층_부하량(월간_AVG)'!N98:P98)</f>
        <v>0</v>
      </c>
      <c r="AJ221" s="1298">
        <f>AH221+AI221</f>
        <v>0</v>
      </c>
      <c r="AK221" s="2816" t="e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21" s="2817" t="e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21" s="3240">
        <f>VLOOKUP(J221&amp;K221,'7층~4층_매핑테이블'!$Y$6:$AF$2020,8,0)</f>
        <v>2.8010000000000002</v>
      </c>
      <c r="AN221" s="3230" t="e">
        <f t="shared" si="69"/>
        <v>#N/A</v>
      </c>
      <c r="AO221" s="2070" t="s">
        <v>995</v>
      </c>
      <c r="AP221" s="2599"/>
      <c r="AR221" s="2351" t="e">
        <f t="shared" si="70"/>
        <v>#N/A</v>
      </c>
      <c r="AS221" s="2351" t="e">
        <f t="shared" si="71"/>
        <v>#N/A</v>
      </c>
      <c r="AT221" s="123" t="e">
        <f>IF(SIGN(AS221)&gt;=0,IF(AN221=0,"무부하 랙","적정함"),"사용초과")</f>
        <v>#N/A</v>
      </c>
      <c r="AU221" t="e">
        <f t="shared" si="66"/>
        <v>#N/A</v>
      </c>
      <c r="AV221" t="e">
        <f t="shared" si="67"/>
        <v>#N/A</v>
      </c>
      <c r="BA221" s="123"/>
      <c r="BB221" s="123"/>
      <c r="BC221" s="123"/>
      <c r="BD221" s="2997"/>
      <c r="BE221" s="123"/>
      <c r="BF221" s="2998"/>
      <c r="BG221" s="2999"/>
      <c r="BH221" s="3005"/>
      <c r="BI221" s="3000"/>
      <c r="BJ221" s="3001"/>
      <c r="BK221" s="3002"/>
      <c r="BL221" s="3003"/>
      <c r="BM221" s="3004"/>
    </row>
    <row r="222" spans="1:65" ht="48" customHeight="1" x14ac:dyDescent="0.25">
      <c r="A222" s="2854"/>
      <c r="B222" s="2564" t="s">
        <v>1002</v>
      </c>
      <c r="C222" s="737" t="s">
        <v>1003</v>
      </c>
      <c r="D222" s="2564" t="s">
        <v>9263</v>
      </c>
      <c r="E222" s="2960">
        <v>2.2000000000000002</v>
      </c>
      <c r="F222" s="2564" t="s">
        <v>27</v>
      </c>
      <c r="G222" s="2564"/>
      <c r="H222" s="1825" t="s">
        <v>9101</v>
      </c>
      <c r="I222" s="1833" t="s">
        <v>9102</v>
      </c>
      <c r="J222" s="1825" t="str">
        <f>"7-DaHall 1-"&amp;N222&amp;"-"&amp;M222&amp;"-"&amp;O222</f>
        <v>7-DaHall 1-PDU-01-30-10</v>
      </c>
      <c r="K222" s="1833" t="str">
        <f>"7-DaHall 1-"&amp;R222&amp;"-"&amp;Q222&amp;"-"&amp;S222</f>
        <v>7-DaHall 1-PDU-02-30-10</v>
      </c>
      <c r="L222" s="1865">
        <v>220</v>
      </c>
      <c r="M222" s="1828">
        <v>30</v>
      </c>
      <c r="N222" s="703" t="s">
        <v>8749</v>
      </c>
      <c r="O222" s="1829">
        <v>10</v>
      </c>
      <c r="P222" s="1867">
        <v>220</v>
      </c>
      <c r="Q222" s="1835">
        <v>30</v>
      </c>
      <c r="R222" s="687" t="s">
        <v>8750</v>
      </c>
      <c r="S222" s="1836">
        <v>10</v>
      </c>
      <c r="T222" s="703" t="s">
        <v>1004</v>
      </c>
      <c r="U222" s="687" t="s">
        <v>1005</v>
      </c>
      <c r="V222" s="2566"/>
      <c r="W222" s="2566"/>
      <c r="X222" s="2566"/>
      <c r="Y222" s="2566"/>
      <c r="Z222" s="2566"/>
      <c r="AA222" s="2566"/>
      <c r="AB222" s="2146" t="s">
        <v>164</v>
      </c>
      <c r="AC222" s="903" t="s">
        <v>165</v>
      </c>
      <c r="AD222" s="2146" t="s">
        <v>1006</v>
      </c>
      <c r="AE222" s="903" t="s">
        <v>111</v>
      </c>
      <c r="AF222" s="2146" t="s">
        <v>31</v>
      </c>
      <c r="AG222" s="903" t="s">
        <v>36</v>
      </c>
      <c r="AH222" s="681">
        <f>SUM('7층_부하량(월간_AVG)'!N67:P67)</f>
        <v>0</v>
      </c>
      <c r="AI222" s="1052">
        <f>SUM('7층_부하량(월간_AVG)'!N35:P35)</f>
        <v>0</v>
      </c>
      <c r="AJ222" s="1298">
        <f>AH222+AI222</f>
        <v>0</v>
      </c>
      <c r="AK222" s="2816" t="e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2" s="2817" t="e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2" s="3240">
        <f>VLOOKUP(J222&amp;K222,'7층~4층_매핑테이블'!$Y$6:$AF$2020,8,0)</f>
        <v>1.4900000000000002</v>
      </c>
      <c r="AN222" s="3231" t="e">
        <f t="shared" si="69"/>
        <v>#N/A</v>
      </c>
      <c r="AO222" s="2070" t="s">
        <v>995</v>
      </c>
      <c r="AP222" s="2599"/>
      <c r="AR222" s="2351" t="e">
        <f t="shared" si="70"/>
        <v>#N/A</v>
      </c>
      <c r="AS222" s="2351" t="e">
        <f t="shared" si="71"/>
        <v>#N/A</v>
      </c>
      <c r="AT222" s="123" t="e">
        <f>IF(SIGN(AS222)&gt;=0,IF(AN222=0,"무부하 랙","적정함"),"사용초과")</f>
        <v>#N/A</v>
      </c>
      <c r="AU222" t="e">
        <f t="shared" ref="AU222:AU282" si="75">IF(AT222="사용초과",D222,"")</f>
        <v>#N/A</v>
      </c>
      <c r="AV222" t="e">
        <f t="shared" ref="AV222:AV282" si="76">IF(AU222="","",B222)</f>
        <v>#N/A</v>
      </c>
      <c r="BA222" s="123"/>
      <c r="BB222" s="123"/>
      <c r="BC222" s="123"/>
      <c r="BD222" s="2997"/>
      <c r="BE222" s="123"/>
      <c r="BF222" s="2998"/>
      <c r="BG222" s="2999"/>
      <c r="BH222" s="3005"/>
      <c r="BI222" s="3000"/>
      <c r="BJ222" s="3001"/>
      <c r="BK222" s="3002"/>
      <c r="BL222" s="3003"/>
      <c r="BM222" s="3004"/>
    </row>
    <row r="223" spans="1:65" ht="46.8" x14ac:dyDescent="0.25">
      <c r="A223" s="2854"/>
      <c r="B223" s="2564" t="s">
        <v>1007</v>
      </c>
      <c r="C223" s="737"/>
      <c r="D223" s="2564" t="s">
        <v>9263</v>
      </c>
      <c r="E223" s="2960">
        <v>2.2000000000000002</v>
      </c>
      <c r="F223" s="2564" t="s">
        <v>27</v>
      </c>
      <c r="G223" s="2564"/>
      <c r="H223" s="1825" t="s">
        <v>4417</v>
      </c>
      <c r="I223" s="1833" t="s">
        <v>4350</v>
      </c>
      <c r="J223" s="1825" t="str">
        <f>"7-DaHall 1-"&amp;N223&amp;"-"&amp;M223&amp;"-"&amp;O223</f>
        <v>7-DaHall 1-PDU-01-30-42</v>
      </c>
      <c r="K223" s="1833" t="str">
        <f>"7-DaHall 1-"&amp;R223&amp;"-"&amp;Q223&amp;"-"&amp;S223</f>
        <v>7-DaHall 1-PDU-02-30-42</v>
      </c>
      <c r="L223" s="1865">
        <v>220</v>
      </c>
      <c r="M223" s="1828">
        <v>30</v>
      </c>
      <c r="N223" s="703" t="s">
        <v>8749</v>
      </c>
      <c r="O223" s="1829">
        <v>42</v>
      </c>
      <c r="P223" s="1867">
        <v>220</v>
      </c>
      <c r="Q223" s="1835">
        <v>30</v>
      </c>
      <c r="R223" s="687" t="s">
        <v>8750</v>
      </c>
      <c r="S223" s="1836">
        <v>42</v>
      </c>
      <c r="T223" s="703" t="s">
        <v>1008</v>
      </c>
      <c r="U223" s="687" t="s">
        <v>1009</v>
      </c>
      <c r="V223" s="2071"/>
      <c r="W223" s="2071"/>
      <c r="X223" s="2071"/>
      <c r="Y223" s="2071"/>
      <c r="Z223" s="2071"/>
      <c r="AA223" s="2071"/>
      <c r="AB223" s="2146" t="s">
        <v>164</v>
      </c>
      <c r="AC223" s="903" t="s">
        <v>165</v>
      </c>
      <c r="AD223" s="2146" t="s">
        <v>1006</v>
      </c>
      <c r="AE223" s="903" t="s">
        <v>111</v>
      </c>
      <c r="AF223" s="2146" t="s">
        <v>31</v>
      </c>
      <c r="AG223" s="903" t="s">
        <v>36</v>
      </c>
      <c r="AH223" s="681">
        <f>SUM('7층_부하량(월간_AVG)'!N83:P83)</f>
        <v>0</v>
      </c>
      <c r="AI223" s="1052">
        <f>SUM('7층_부하량(월간_AVG)'!N51:P51)</f>
        <v>0</v>
      </c>
      <c r="AJ223" s="1298">
        <f>AH223+AI223</f>
        <v>0</v>
      </c>
      <c r="AK223" s="2816" t="e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3" s="2817" t="e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3" s="3240">
        <f>VLOOKUP(J223&amp;K223,'7층~4층_매핑테이블'!$Y$6:$AF$2020,8,0)</f>
        <v>1.6989999999999998</v>
      </c>
      <c r="AN223" s="3231" t="e">
        <f t="shared" si="69"/>
        <v>#N/A</v>
      </c>
      <c r="AO223" s="2070" t="s">
        <v>995</v>
      </c>
      <c r="AP223" s="2599"/>
      <c r="AR223" s="2351" t="e">
        <f t="shared" si="70"/>
        <v>#N/A</v>
      </c>
      <c r="AS223" s="2351" t="e">
        <f t="shared" si="71"/>
        <v>#N/A</v>
      </c>
      <c r="AT223" s="123" t="e">
        <f>IF(SIGN(AS223)&gt;=0,IF(AN223=0,"무부하 랙","적정함"),"사용초과")</f>
        <v>#N/A</v>
      </c>
      <c r="AU223" t="e">
        <f t="shared" si="75"/>
        <v>#N/A</v>
      </c>
      <c r="AV223" t="e">
        <f t="shared" si="76"/>
        <v>#N/A</v>
      </c>
      <c r="BA223" s="123"/>
      <c r="BB223" s="123"/>
      <c r="BC223" s="123"/>
      <c r="BD223" s="2997"/>
      <c r="BE223" s="123"/>
      <c r="BF223" s="2998"/>
      <c r="BG223" s="2999"/>
      <c r="BH223" s="3005"/>
      <c r="BI223" s="3000"/>
      <c r="BJ223" s="3001"/>
      <c r="BK223" s="3002"/>
      <c r="BL223" s="3003"/>
      <c r="BM223" s="3004"/>
    </row>
    <row r="224" spans="1:65" ht="13.5" customHeight="1" x14ac:dyDescent="0.25">
      <c r="A224" s="2854"/>
      <c r="B224" s="2564" t="s">
        <v>1010</v>
      </c>
      <c r="C224" s="733" t="s">
        <v>1011</v>
      </c>
      <c r="D224" s="733" t="s">
        <v>1012</v>
      </c>
      <c r="E224" s="733"/>
      <c r="F224" s="918"/>
      <c r="G224" s="918"/>
      <c r="H224" s="1885"/>
      <c r="I224" s="1886"/>
      <c r="J224" s="1885"/>
      <c r="K224" s="1886"/>
      <c r="L224" s="1887"/>
      <c r="M224" s="911"/>
      <c r="N224" s="911"/>
      <c r="O224" s="1888"/>
      <c r="P224" s="1889"/>
      <c r="Q224" s="1890"/>
      <c r="R224" s="911"/>
      <c r="S224" s="1888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6"/>
      <c r="AI224" s="1079"/>
      <c r="AJ224" s="1312"/>
      <c r="AK224" s="2825"/>
      <c r="AL224" s="2826"/>
      <c r="AM224" s="3240"/>
      <c r="AN224" s="3231">
        <f t="shared" si="69"/>
        <v>0</v>
      </c>
      <c r="AO224" s="2593" t="s">
        <v>1013</v>
      </c>
      <c r="AP224" s="2599"/>
      <c r="AR224" s="2351">
        <f t="shared" si="70"/>
        <v>0</v>
      </c>
      <c r="AS224" s="2351">
        <f t="shared" si="71"/>
        <v>0</v>
      </c>
      <c r="AT224" s="123" t="str">
        <f t="shared" si="72"/>
        <v>미사용 랙</v>
      </c>
      <c r="AU224" t="str">
        <f t="shared" si="75"/>
        <v/>
      </c>
      <c r="AV224" t="str">
        <f t="shared" si="76"/>
        <v/>
      </c>
      <c r="BA224" s="123"/>
      <c r="BB224" s="123"/>
      <c r="BC224" s="123"/>
      <c r="BD224" s="2997"/>
      <c r="BE224" s="123"/>
      <c r="BF224" s="2998"/>
      <c r="BG224" s="2999"/>
      <c r="BH224" s="3005"/>
      <c r="BI224" s="3000"/>
      <c r="BJ224" s="3001"/>
      <c r="BK224" s="3002"/>
      <c r="BL224" s="3003"/>
      <c r="BM224" s="3004"/>
    </row>
    <row r="225" spans="1:65" ht="13.5" customHeight="1" x14ac:dyDescent="0.25">
      <c r="A225" s="2854"/>
      <c r="B225" s="2564" t="s">
        <v>1014</v>
      </c>
      <c r="C225" s="733" t="s">
        <v>1015</v>
      </c>
      <c r="D225" s="733" t="s">
        <v>1016</v>
      </c>
      <c r="E225" s="733"/>
      <c r="F225" s="918"/>
      <c r="G225" s="918"/>
      <c r="H225" s="1885"/>
      <c r="I225" s="1886"/>
      <c r="J225" s="1885"/>
      <c r="K225" s="1886"/>
      <c r="L225" s="1887"/>
      <c r="M225" s="911"/>
      <c r="N225" s="911"/>
      <c r="O225" s="1888"/>
      <c r="P225" s="1889"/>
      <c r="Q225" s="1890"/>
      <c r="R225" s="911"/>
      <c r="S225" s="1888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6"/>
      <c r="AI225" s="1079"/>
      <c r="AJ225" s="1312"/>
      <c r="AK225" s="2825"/>
      <c r="AL225" s="2826"/>
      <c r="AM225" s="3240"/>
      <c r="AN225" s="3231">
        <f t="shared" si="69"/>
        <v>0</v>
      </c>
      <c r="AO225" s="2593" t="s">
        <v>1013</v>
      </c>
      <c r="AP225" s="2599"/>
      <c r="AR225" s="2351">
        <f t="shared" si="70"/>
        <v>0</v>
      </c>
      <c r="AS225" s="2351">
        <f t="shared" si="71"/>
        <v>0</v>
      </c>
      <c r="AT225" s="123" t="str">
        <f t="shared" si="72"/>
        <v>미사용 랙</v>
      </c>
      <c r="AU225" t="str">
        <f t="shared" si="75"/>
        <v/>
      </c>
      <c r="AV225" t="str">
        <f t="shared" si="76"/>
        <v/>
      </c>
      <c r="BA225" s="123"/>
      <c r="BB225" s="123"/>
      <c r="BC225" s="123"/>
      <c r="BD225" s="2997"/>
      <c r="BE225" s="123"/>
      <c r="BF225" s="2998"/>
      <c r="BG225" s="2999"/>
      <c r="BH225" s="3005"/>
      <c r="BI225" s="3000"/>
      <c r="BJ225" s="3001"/>
      <c r="BK225" s="3002"/>
      <c r="BL225" s="3003"/>
      <c r="BM225" s="3004"/>
    </row>
    <row r="226" spans="1:65" ht="46.8" x14ac:dyDescent="0.25">
      <c r="A226" s="2854"/>
      <c r="B226" s="2564" t="s">
        <v>1017</v>
      </c>
      <c r="C226" s="2566" t="s">
        <v>1018</v>
      </c>
      <c r="D226" s="2564" t="s">
        <v>9249</v>
      </c>
      <c r="E226" s="2960">
        <v>2.2000000000000002</v>
      </c>
      <c r="F226" s="2564" t="s">
        <v>27</v>
      </c>
      <c r="G226" s="2564"/>
      <c r="H226" s="1825" t="s">
        <v>9103</v>
      </c>
      <c r="I226" s="1833" t="s">
        <v>9104</v>
      </c>
      <c r="J226" s="1825" t="str">
        <f>"7-DaHall 1-"&amp;N226&amp;"-"&amp;M226&amp;"-"&amp;O226</f>
        <v>7-DaHall 1-PDU-01-30-34</v>
      </c>
      <c r="K226" s="1833" t="str">
        <f>"7-DaHall 1-"&amp;R226&amp;"-"&amp;Q226&amp;"-"&amp;S226</f>
        <v>7-DaHall 1-PDU-02-30-34</v>
      </c>
      <c r="L226" s="1827">
        <v>220</v>
      </c>
      <c r="M226" s="1828">
        <v>30</v>
      </c>
      <c r="N226" s="703" t="s">
        <v>8749</v>
      </c>
      <c r="O226" s="1829">
        <v>34</v>
      </c>
      <c r="P226" s="1834">
        <v>220</v>
      </c>
      <c r="Q226" s="1835">
        <v>30</v>
      </c>
      <c r="R226" s="687" t="s">
        <v>8750</v>
      </c>
      <c r="S226" s="1836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594" t="s">
        <v>164</v>
      </c>
      <c r="AC226" s="2578" t="s">
        <v>165</v>
      </c>
      <c r="AD226" s="2594" t="s">
        <v>110</v>
      </c>
      <c r="AE226" s="2578" t="s">
        <v>111</v>
      </c>
      <c r="AF226" s="2146" t="s">
        <v>31</v>
      </c>
      <c r="AG226" s="903" t="s">
        <v>36</v>
      </c>
      <c r="AH226" s="681">
        <f>SUM('7층_부하량(월간_AVG)'!N79:P79)</f>
        <v>0</v>
      </c>
      <c r="AI226" s="1052">
        <f>SUM('7층_부하량(월간_AVG)'!N47:P47)</f>
        <v>0</v>
      </c>
      <c r="AJ226" s="1298">
        <f>AH226+AI226</f>
        <v>0</v>
      </c>
      <c r="AK226" s="2816" t="e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6" s="2817" t="e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6" s="3240">
        <f>VLOOKUP(J226&amp;K226,'7층~4층_매핑테이블'!$Y$6:$AF$2020,8,0)</f>
        <v>0</v>
      </c>
      <c r="AN226" s="3230" t="e">
        <f t="shared" si="69"/>
        <v>#N/A</v>
      </c>
      <c r="AO226" s="2597" t="s">
        <v>1021</v>
      </c>
      <c r="AP226" s="2599"/>
      <c r="AR226" s="2351" t="e">
        <f t="shared" si="70"/>
        <v>#N/A</v>
      </c>
      <c r="AS226" s="2351" t="e">
        <f t="shared" si="71"/>
        <v>#N/A</v>
      </c>
      <c r="AT226" s="123" t="e">
        <f>IF(SIGN(AS226)&gt;=0,IF(AN226=0,"무부하 랙","적정함"),"사용초과")</f>
        <v>#N/A</v>
      </c>
      <c r="AU226" t="e">
        <f t="shared" si="75"/>
        <v>#N/A</v>
      </c>
      <c r="AV226" t="e">
        <f t="shared" si="76"/>
        <v>#N/A</v>
      </c>
      <c r="BA226" s="123"/>
      <c r="BB226" s="123"/>
      <c r="BC226" s="123"/>
      <c r="BD226" s="2997"/>
      <c r="BE226" s="123"/>
      <c r="BF226" s="2998"/>
      <c r="BG226" s="2999"/>
      <c r="BH226" s="3005"/>
      <c r="BI226" s="3000"/>
      <c r="BJ226" s="3001"/>
      <c r="BK226" s="3002"/>
      <c r="BL226" s="3003"/>
      <c r="BM226" s="3004"/>
    </row>
    <row r="227" spans="1:65" ht="54" customHeight="1" x14ac:dyDescent="0.25">
      <c r="A227" s="2854"/>
      <c r="B227" s="3411" t="s">
        <v>1022</v>
      </c>
      <c r="C227" s="3421" t="s">
        <v>1023</v>
      </c>
      <c r="D227" s="3423" t="s">
        <v>9249</v>
      </c>
      <c r="E227" s="2566"/>
      <c r="F227" s="2564"/>
      <c r="G227" s="2564" t="s">
        <v>27</v>
      </c>
      <c r="H227" s="1805" t="s">
        <v>9105</v>
      </c>
      <c r="I227" s="1837" t="s">
        <v>9106</v>
      </c>
      <c r="J227" s="1805" t="str">
        <f>"7-DaHall 1-"&amp;N227&amp;"-"&amp;M227&amp;"-"&amp;O227</f>
        <v>7-DaHall 1-B-5-100-48</v>
      </c>
      <c r="K227" s="1837" t="str">
        <f>"7-DaHall 1-"&amp;R227&amp;"-"&amp;Q227&amp;"-"&amp;S227</f>
        <v>7-DaHall 1-B-1-100-41</v>
      </c>
      <c r="L227" s="1807">
        <v>48</v>
      </c>
      <c r="M227" s="1808">
        <v>100</v>
      </c>
      <c r="N227" s="2594" t="s">
        <v>847</v>
      </c>
      <c r="O227" s="1809">
        <v>48</v>
      </c>
      <c r="P227" s="1847">
        <v>48</v>
      </c>
      <c r="Q227" s="1848">
        <v>100</v>
      </c>
      <c r="R227" s="2578" t="s">
        <v>294</v>
      </c>
      <c r="S227" s="1838">
        <v>41</v>
      </c>
      <c r="T227" s="2594" t="s">
        <v>1024</v>
      </c>
      <c r="U227" s="2578" t="s">
        <v>1025</v>
      </c>
      <c r="V227" s="2594" t="s">
        <v>851</v>
      </c>
      <c r="W227" s="2578" t="s">
        <v>298</v>
      </c>
      <c r="X227" s="2594" t="s">
        <v>47</v>
      </c>
      <c r="Y227" s="2578" t="s">
        <v>436</v>
      </c>
      <c r="Z227" s="2594" t="s">
        <v>49</v>
      </c>
      <c r="AA227" s="2578" t="s">
        <v>50</v>
      </c>
      <c r="AB227" s="2559" t="s">
        <v>51</v>
      </c>
      <c r="AC227" s="2561" t="s">
        <v>52</v>
      </c>
      <c r="AD227" s="2559" t="s">
        <v>30</v>
      </c>
      <c r="AE227" s="2561" t="s">
        <v>35</v>
      </c>
      <c r="AF227" s="2146" t="s">
        <v>31</v>
      </c>
      <c r="AG227" s="903" t="s">
        <v>36</v>
      </c>
      <c r="AH227" s="675"/>
      <c r="AI227" s="1052"/>
      <c r="AJ227" s="2915"/>
      <c r="AK227" s="2916"/>
      <c r="AL227" s="2819"/>
      <c r="AM227" s="3240" t="e">
        <f>VLOOKUP(J227&amp;K227,'7층~4층_매핑테이블'!$Y$6:$AF$2020,8,0)</f>
        <v>#N/A</v>
      </c>
      <c r="AN227" s="3229">
        <f t="shared" si="69"/>
        <v>0</v>
      </c>
      <c r="AO227" s="2597" t="s">
        <v>1021</v>
      </c>
      <c r="AP227" s="2599" t="s">
        <v>1026</v>
      </c>
      <c r="AR227" s="2351">
        <f t="shared" si="70"/>
        <v>0</v>
      </c>
      <c r="AS227" s="2351">
        <f t="shared" si="71"/>
        <v>0</v>
      </c>
      <c r="AT227" s="123" t="str">
        <f t="shared" si="72"/>
        <v>미사용 랙</v>
      </c>
      <c r="AU227" t="str">
        <f t="shared" si="75"/>
        <v/>
      </c>
      <c r="AV227" t="str">
        <f t="shared" si="76"/>
        <v/>
      </c>
      <c r="BA227" s="123"/>
      <c r="BB227" s="123"/>
      <c r="BC227" s="123"/>
      <c r="BD227" s="2997"/>
      <c r="BE227" s="123"/>
      <c r="BF227" s="2998"/>
      <c r="BG227" s="2999"/>
      <c r="BH227" s="3005"/>
      <c r="BI227" s="3000"/>
      <c r="BJ227" s="3001"/>
      <c r="BK227" s="3002"/>
      <c r="BL227" s="3003"/>
      <c r="BM227" s="3004"/>
    </row>
    <row r="228" spans="1:65" ht="47.4" thickBot="1" x14ac:dyDescent="0.3">
      <c r="A228" s="2859"/>
      <c r="B228" s="3420"/>
      <c r="C228" s="3422"/>
      <c r="D228" s="3420"/>
      <c r="E228" s="2962">
        <v>2.2000000000000002</v>
      </c>
      <c r="F228" s="2595" t="s">
        <v>27</v>
      </c>
      <c r="G228" s="2595"/>
      <c r="H228" s="1994" t="s">
        <v>9107</v>
      </c>
      <c r="I228" s="1995" t="s">
        <v>9108</v>
      </c>
      <c r="J228" s="1994" t="str">
        <f>"7-DaHall 1-"&amp;N228&amp;"-"&amp;M228&amp;"-"&amp;O228</f>
        <v>7-DaHall 1-PDU-01-30-15</v>
      </c>
      <c r="K228" s="1995" t="str">
        <f>"7-DaHall 1-"&amp;R228&amp;"-"&amp;Q228&amp;"-"&amp;S228</f>
        <v>7-DaHall 1-PDU-02-30-15</v>
      </c>
      <c r="L228" s="1996">
        <v>220</v>
      </c>
      <c r="M228" s="1997">
        <v>30</v>
      </c>
      <c r="N228" s="894" t="s">
        <v>8749</v>
      </c>
      <c r="O228" s="1998">
        <v>15</v>
      </c>
      <c r="P228" s="1999">
        <v>220</v>
      </c>
      <c r="Q228" s="2000">
        <v>30</v>
      </c>
      <c r="R228" s="907" t="s">
        <v>8750</v>
      </c>
      <c r="S228" s="2001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46" t="s">
        <v>31</v>
      </c>
      <c r="AG228" s="903" t="s">
        <v>36</v>
      </c>
      <c r="AH228" s="690">
        <f>SUM('7층_부하량(월간_AVG)'!D70:F70)</f>
        <v>0</v>
      </c>
      <c r="AI228" s="1054">
        <f>SUM('7층_부하량(월간_AVG)'!D38:F38)</f>
        <v>0</v>
      </c>
      <c r="AJ228" s="1298">
        <f>AH228+AI228</f>
        <v>0</v>
      </c>
      <c r="AK228" s="2816" t="e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8" s="2817" t="e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8" s="3240">
        <f>VLOOKUP(J228&amp;K228,'7층~4층_매핑테이블'!$Y$6:$AF$2020,8,0)</f>
        <v>0.252</v>
      </c>
      <c r="AN228" s="3230" t="e">
        <f t="shared" si="69"/>
        <v>#N/A</v>
      </c>
      <c r="AO228" s="2865"/>
      <c r="AP228" s="679"/>
      <c r="AR228" s="2351" t="e">
        <f t="shared" si="70"/>
        <v>#N/A</v>
      </c>
      <c r="AS228" s="2351" t="e">
        <f t="shared" si="71"/>
        <v>#N/A</v>
      </c>
      <c r="AT228" s="123" t="e">
        <f>IF(SIGN(AS228)&gt;=0,IF(AN228=0,"무부하 랙","적정함"),"사용초과")</f>
        <v>#N/A</v>
      </c>
      <c r="AU228" t="e">
        <f t="shared" si="75"/>
        <v>#N/A</v>
      </c>
      <c r="AV228" t="e">
        <f t="shared" si="76"/>
        <v>#N/A</v>
      </c>
      <c r="BA228" s="123"/>
      <c r="BB228" s="123"/>
      <c r="BC228" s="123"/>
      <c r="BD228" s="2997"/>
      <c r="BE228" s="123"/>
      <c r="BF228" s="2998"/>
      <c r="BG228" s="2999"/>
      <c r="BH228" s="3005"/>
      <c r="BI228" s="3000"/>
      <c r="BJ228" s="3001"/>
      <c r="BK228" s="3002"/>
      <c r="BL228" s="3003"/>
      <c r="BM228" s="3004"/>
    </row>
    <row r="229" spans="1:65" ht="13.5" customHeight="1" x14ac:dyDescent="0.25">
      <c r="A229" s="2860" t="s">
        <v>1029</v>
      </c>
      <c r="B229" s="672" t="s">
        <v>1030</v>
      </c>
      <c r="C229" s="732"/>
      <c r="D229" s="732"/>
      <c r="E229" s="732"/>
      <c r="F229" s="1049"/>
      <c r="G229" s="1049"/>
      <c r="H229" s="2002"/>
      <c r="I229" s="1953"/>
      <c r="J229" s="2002"/>
      <c r="K229" s="1953"/>
      <c r="L229" s="2003"/>
      <c r="M229" s="1955"/>
      <c r="N229" s="1050"/>
      <c r="O229" s="1956"/>
      <c r="P229" s="1954"/>
      <c r="Q229" s="1955"/>
      <c r="R229" s="1050"/>
      <c r="S229" s="1956"/>
      <c r="T229" s="1050"/>
      <c r="U229" s="1050"/>
      <c r="V229" s="1050"/>
      <c r="W229" s="1050"/>
      <c r="X229" s="1050"/>
      <c r="Y229" s="1071"/>
      <c r="Z229" s="1050"/>
      <c r="AA229" s="1071"/>
      <c r="AB229" s="1050"/>
      <c r="AC229" s="1071"/>
      <c r="AD229" s="1050"/>
      <c r="AE229" s="1071"/>
      <c r="AF229" s="1050"/>
      <c r="AG229" s="1050"/>
      <c r="AH229" s="1072"/>
      <c r="AI229" s="1068"/>
      <c r="AJ229" s="1308"/>
      <c r="AK229" s="2825"/>
      <c r="AL229" s="2826"/>
      <c r="AM229" s="3240"/>
      <c r="AN229" s="3231">
        <f t="shared" si="69"/>
        <v>0</v>
      </c>
      <c r="AO229" s="699"/>
      <c r="AP229" s="674"/>
      <c r="AR229" s="2351">
        <f t="shared" si="70"/>
        <v>0</v>
      </c>
      <c r="AS229" s="2351">
        <f t="shared" si="71"/>
        <v>0</v>
      </c>
      <c r="AT229" s="123" t="str">
        <f t="shared" si="72"/>
        <v>미사용 랙</v>
      </c>
      <c r="AU229" t="str">
        <f t="shared" si="75"/>
        <v/>
      </c>
      <c r="AV229" t="str">
        <f t="shared" si="76"/>
        <v/>
      </c>
      <c r="BA229" s="123"/>
      <c r="BB229" s="123"/>
      <c r="BC229" s="123"/>
      <c r="BD229" s="2997"/>
      <c r="BE229" s="123"/>
      <c r="BF229" s="2998"/>
      <c r="BG229" s="2999"/>
      <c r="BH229" s="3005"/>
      <c r="BI229" s="3000"/>
      <c r="BJ229" s="3001"/>
      <c r="BK229" s="3002"/>
      <c r="BL229" s="3003"/>
      <c r="BM229" s="3004"/>
    </row>
    <row r="230" spans="1:65" ht="32.1" customHeight="1" x14ac:dyDescent="0.25">
      <c r="A230" s="2854"/>
      <c r="B230" s="2564" t="s">
        <v>1031</v>
      </c>
      <c r="C230" s="2565" t="s">
        <v>1032</v>
      </c>
      <c r="D230" s="2564" t="s">
        <v>9249</v>
      </c>
      <c r="E230" s="2960">
        <v>1.6</v>
      </c>
      <c r="F230" s="2564" t="s">
        <v>773</v>
      </c>
      <c r="G230" s="2564"/>
      <c r="H230" s="1825" t="s">
        <v>9109</v>
      </c>
      <c r="I230" s="1833" t="s">
        <v>9110</v>
      </c>
      <c r="J230" s="1825" t="str">
        <f>"7-DaHall 1-"&amp;N230&amp;"-"&amp;M230&amp;"-"&amp;O230</f>
        <v>7-DaHall 1-PDU-01-30-35</v>
      </c>
      <c r="K230" s="1833" t="str">
        <f>"7-DaHall 1-"&amp;R230&amp;"-"&amp;Q230&amp;"-"&amp;S230</f>
        <v>7-DaHall 1-PDU-02-30-35</v>
      </c>
      <c r="L230" s="1827">
        <v>220</v>
      </c>
      <c r="M230" s="1828">
        <v>30</v>
      </c>
      <c r="N230" s="703" t="s">
        <v>8749</v>
      </c>
      <c r="O230" s="1829">
        <v>35</v>
      </c>
      <c r="P230" s="1834">
        <v>220</v>
      </c>
      <c r="Q230" s="1835">
        <v>30</v>
      </c>
      <c r="R230" s="687" t="s">
        <v>8750</v>
      </c>
      <c r="S230" s="1836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46" t="s">
        <v>164</v>
      </c>
      <c r="AC230" s="903" t="s">
        <v>165</v>
      </c>
      <c r="AD230" s="2146" t="s">
        <v>110</v>
      </c>
      <c r="AE230" s="903" t="s">
        <v>111</v>
      </c>
      <c r="AF230" s="2146" t="s">
        <v>31</v>
      </c>
      <c r="AG230" s="903" t="s">
        <v>36</v>
      </c>
      <c r="AH230" s="681">
        <f>SUM('7층_부하량(월간_AVG)'!D80:F80)</f>
        <v>0</v>
      </c>
      <c r="AI230" s="676">
        <f>SUM('7층_부하량(월간_AVG)'!D48:F48)</f>
        <v>0</v>
      </c>
      <c r="AJ230" s="1298">
        <f>AH230+AI230</f>
        <v>0</v>
      </c>
      <c r="AK230" s="2816" t="e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30" s="2817" t="e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30" s="3240">
        <f>VLOOKUP(J230&amp;K230,'7층~4층_매핑테이블'!$Y$6:$AF$2020,8,0)</f>
        <v>3.0030000000000001</v>
      </c>
      <c r="AN230" s="3230" t="e">
        <f t="shared" si="69"/>
        <v>#N/A</v>
      </c>
      <c r="AO230" s="2593" t="s">
        <v>1035</v>
      </c>
      <c r="AP230" s="2599" t="s">
        <v>1036</v>
      </c>
      <c r="AR230" s="2351" t="e">
        <f t="shared" si="70"/>
        <v>#N/A</v>
      </c>
      <c r="AS230" s="2351" t="e">
        <f t="shared" si="71"/>
        <v>#N/A</v>
      </c>
      <c r="AT230" s="123" t="e">
        <f>IF(SIGN(AS230)&gt;=0,IF(AN230=0,"무부하 랙","적정함"),"사용초과")</f>
        <v>#N/A</v>
      </c>
      <c r="AU230" t="e">
        <f t="shared" si="75"/>
        <v>#N/A</v>
      </c>
      <c r="AV230" t="e">
        <f t="shared" si="76"/>
        <v>#N/A</v>
      </c>
      <c r="BA230" s="123"/>
      <c r="BB230" s="123"/>
      <c r="BC230" s="123"/>
      <c r="BD230" s="2997"/>
      <c r="BE230" s="123"/>
      <c r="BF230" s="2998"/>
      <c r="BG230" s="2999"/>
      <c r="BH230" s="3005"/>
      <c r="BI230" s="3000"/>
      <c r="BJ230" s="3001"/>
      <c r="BK230" s="3002"/>
      <c r="BL230" s="3003"/>
      <c r="BM230" s="3004"/>
    </row>
    <row r="231" spans="1:65" ht="46.8" x14ac:dyDescent="0.25">
      <c r="A231" s="2854"/>
      <c r="B231" s="2564" t="s">
        <v>1037</v>
      </c>
      <c r="C231" s="2565" t="s">
        <v>1038</v>
      </c>
      <c r="D231" s="2564" t="s">
        <v>9249</v>
      </c>
      <c r="E231" s="2960">
        <v>1.6</v>
      </c>
      <c r="F231" s="2564" t="s">
        <v>773</v>
      </c>
      <c r="G231" s="2564"/>
      <c r="H231" s="1825" t="s">
        <v>9111</v>
      </c>
      <c r="I231" s="1833" t="s">
        <v>9112</v>
      </c>
      <c r="J231" s="1825" t="str">
        <f>"7-DaHall 1-"&amp;N231&amp;"-"&amp;M231&amp;"-"&amp;O231</f>
        <v>7-DaHall 1-PDU-01-30-33</v>
      </c>
      <c r="K231" s="1833" t="str">
        <f>"7-DaHall 1-"&amp;R231&amp;"-"&amp;Q231&amp;"-"&amp;S231</f>
        <v>7-DaHall 1-PDU-02-30-33</v>
      </c>
      <c r="L231" s="1827">
        <v>220</v>
      </c>
      <c r="M231" s="1828">
        <v>30</v>
      </c>
      <c r="N231" s="703" t="s">
        <v>8749</v>
      </c>
      <c r="O231" s="1829">
        <v>33</v>
      </c>
      <c r="P231" s="1834">
        <v>220</v>
      </c>
      <c r="Q231" s="1835">
        <v>30</v>
      </c>
      <c r="R231" s="687" t="s">
        <v>8750</v>
      </c>
      <c r="S231" s="1836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46" t="s">
        <v>164</v>
      </c>
      <c r="AC231" s="903" t="s">
        <v>165</v>
      </c>
      <c r="AD231" s="2146" t="s">
        <v>110</v>
      </c>
      <c r="AE231" s="903" t="s">
        <v>111</v>
      </c>
      <c r="AF231" s="2146" t="s">
        <v>31</v>
      </c>
      <c r="AG231" s="903" t="s">
        <v>36</v>
      </c>
      <c r="AH231" s="681">
        <f>SUM('7층_부하량(월간_AVG)'!D79:F79)</f>
        <v>0</v>
      </c>
      <c r="AI231" s="676">
        <f>SUM('7층_부하량(월간_AVG)'!D47:F47)</f>
        <v>0</v>
      </c>
      <c r="AJ231" s="1298">
        <f>AH231+AI231</f>
        <v>0</v>
      </c>
      <c r="AK231" s="2816" t="e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31" s="2817" t="e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31" s="3240">
        <f>VLOOKUP(J231&amp;K231,'7층~4층_매핑테이블'!$Y$6:$AF$2020,8,0)</f>
        <v>3.8090000000000002</v>
      </c>
      <c r="AN231" s="3230" t="e">
        <f t="shared" si="69"/>
        <v>#N/A</v>
      </c>
      <c r="AO231" s="2593" t="s">
        <v>1035</v>
      </c>
      <c r="AP231" s="2599" t="s">
        <v>1036</v>
      </c>
      <c r="AR231" s="2351" t="e">
        <f t="shared" si="70"/>
        <v>#N/A</v>
      </c>
      <c r="AS231" s="2351" t="e">
        <f t="shared" si="71"/>
        <v>#N/A</v>
      </c>
      <c r="AT231" s="123" t="e">
        <f>IF(SIGN(AS231)&gt;=0,IF(AN231=0,"무부하 랙","적정함"),"사용초과")</f>
        <v>#N/A</v>
      </c>
      <c r="AU231" t="e">
        <f t="shared" si="75"/>
        <v>#N/A</v>
      </c>
      <c r="AV231" t="e">
        <f t="shared" si="76"/>
        <v>#N/A</v>
      </c>
      <c r="BA231" s="123"/>
      <c r="BB231" s="123"/>
      <c r="BC231" s="123"/>
      <c r="BD231" s="2997"/>
      <c r="BE231" s="123"/>
      <c r="BF231" s="2998"/>
      <c r="BG231" s="2999"/>
      <c r="BH231" s="3005"/>
      <c r="BI231" s="3000"/>
      <c r="BJ231" s="3001"/>
      <c r="BK231" s="3002"/>
      <c r="BL231" s="3003"/>
      <c r="BM231" s="3004"/>
    </row>
    <row r="232" spans="1:65" ht="46.8" x14ac:dyDescent="0.25">
      <c r="A232" s="2854"/>
      <c r="B232" s="2564" t="s">
        <v>1041</v>
      </c>
      <c r="C232" s="2565" t="s">
        <v>1042</v>
      </c>
      <c r="D232" s="2564" t="s">
        <v>9249</v>
      </c>
      <c r="E232" s="2960">
        <v>1.6</v>
      </c>
      <c r="F232" s="2564" t="s">
        <v>773</v>
      </c>
      <c r="G232" s="2564"/>
      <c r="H232" s="1825" t="s">
        <v>9113</v>
      </c>
      <c r="I232" s="1833" t="s">
        <v>9114</v>
      </c>
      <c r="J232" s="1825" t="str">
        <f>"7-DaHall 1-"&amp;N232&amp;"-"&amp;M232&amp;"-"&amp;O232</f>
        <v>7-DaHall 1-PDU-01-30-31</v>
      </c>
      <c r="K232" s="1833" t="str">
        <f>"7-DaHall 1-"&amp;R232&amp;"-"&amp;Q232&amp;"-"&amp;S232</f>
        <v>7-DaHall 1-PDU-02-30-31</v>
      </c>
      <c r="L232" s="1827">
        <v>220</v>
      </c>
      <c r="M232" s="1828">
        <v>30</v>
      </c>
      <c r="N232" s="703" t="s">
        <v>8749</v>
      </c>
      <c r="O232" s="1829">
        <v>31</v>
      </c>
      <c r="P232" s="1834">
        <v>220</v>
      </c>
      <c r="Q232" s="1835">
        <v>30</v>
      </c>
      <c r="R232" s="687" t="s">
        <v>8750</v>
      </c>
      <c r="S232" s="1836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46" t="s">
        <v>164</v>
      </c>
      <c r="AC232" s="903" t="s">
        <v>165</v>
      </c>
      <c r="AD232" s="2146" t="s">
        <v>110</v>
      </c>
      <c r="AE232" s="903" t="s">
        <v>111</v>
      </c>
      <c r="AF232" s="2146" t="s">
        <v>31</v>
      </c>
      <c r="AG232" s="903" t="s">
        <v>36</v>
      </c>
      <c r="AH232" s="681">
        <f>SUM('7층_부하량(월간_AVG)'!D78:F78)</f>
        <v>0</v>
      </c>
      <c r="AI232" s="676">
        <f>SUM('7층_부하량(월간_AVG)'!D46:F46)</f>
        <v>0</v>
      </c>
      <c r="AJ232" s="1298">
        <f>AH232+AI232</f>
        <v>0</v>
      </c>
      <c r="AK232" s="2816" t="e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2" s="2817" t="e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2" s="3240">
        <f>VLOOKUP(J232&amp;K232,'7층~4층_매핑테이블'!$Y$6:$AF$2020,8,0)</f>
        <v>1.6709999999999998</v>
      </c>
      <c r="AN232" s="3230" t="e">
        <f t="shared" si="69"/>
        <v>#N/A</v>
      </c>
      <c r="AO232" s="2593" t="s">
        <v>1035</v>
      </c>
      <c r="AP232" s="2599" t="s">
        <v>1036</v>
      </c>
      <c r="AR232" s="2351" t="e">
        <f t="shared" si="70"/>
        <v>#N/A</v>
      </c>
      <c r="AS232" s="2351" t="e">
        <f t="shared" si="71"/>
        <v>#N/A</v>
      </c>
      <c r="AT232" s="123" t="e">
        <f>IF(SIGN(AS232)&gt;=0,IF(AN232=0,"무부하 랙","적정함"),"사용초과")</f>
        <v>#N/A</v>
      </c>
      <c r="AU232" t="e">
        <f t="shared" si="75"/>
        <v>#N/A</v>
      </c>
      <c r="AV232" t="e">
        <f t="shared" si="76"/>
        <v>#N/A</v>
      </c>
      <c r="BA232" s="123"/>
      <c r="BB232" s="123"/>
      <c r="BC232" s="123"/>
      <c r="BD232" s="2997"/>
      <c r="BE232" s="123"/>
      <c r="BF232" s="2998"/>
      <c r="BG232" s="2999"/>
      <c r="BH232" s="3005"/>
      <c r="BI232" s="3000"/>
      <c r="BJ232" s="3001"/>
      <c r="BK232" s="3002"/>
      <c r="BL232" s="3003"/>
      <c r="BM232" s="3004"/>
    </row>
    <row r="233" spans="1:65" ht="46.8" x14ac:dyDescent="0.25">
      <c r="A233" s="2854"/>
      <c r="B233" s="2564" t="s">
        <v>1045</v>
      </c>
      <c r="C233" s="2566" t="s">
        <v>1046</v>
      </c>
      <c r="D233" s="2564" t="s">
        <v>9249</v>
      </c>
      <c r="E233" s="2960">
        <v>2.2000000000000002</v>
      </c>
      <c r="F233" s="2564" t="s">
        <v>773</v>
      </c>
      <c r="G233" s="2564"/>
      <c r="H233" s="1825" t="s">
        <v>4412</v>
      </c>
      <c r="I233" s="1833" t="s">
        <v>4345</v>
      </c>
      <c r="J233" s="1825" t="str">
        <f>"7-DaHall 1-"&amp;N233&amp;"-"&amp;M233&amp;"-"&amp;O233</f>
        <v>7-DaHall 1-PDU-01-30-39</v>
      </c>
      <c r="K233" s="1833" t="str">
        <f>"7-DaHall 1-"&amp;R233&amp;"-"&amp;Q233&amp;"-"&amp;S233</f>
        <v>7-DaHall 1-PDU-02-30-39</v>
      </c>
      <c r="L233" s="1827">
        <v>220</v>
      </c>
      <c r="M233" s="1828">
        <v>30</v>
      </c>
      <c r="N233" s="703" t="s">
        <v>8749</v>
      </c>
      <c r="O233" s="1829">
        <v>39</v>
      </c>
      <c r="P233" s="1834">
        <v>220</v>
      </c>
      <c r="Q233" s="1835">
        <v>30</v>
      </c>
      <c r="R233" s="687" t="s">
        <v>8750</v>
      </c>
      <c r="S233" s="1836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46" t="s">
        <v>164</v>
      </c>
      <c r="AC233" s="903" t="s">
        <v>165</v>
      </c>
      <c r="AD233" s="2146" t="s">
        <v>110</v>
      </c>
      <c r="AE233" s="903" t="s">
        <v>111</v>
      </c>
      <c r="AF233" s="2146" t="s">
        <v>31</v>
      </c>
      <c r="AG233" s="903" t="s">
        <v>36</v>
      </c>
      <c r="AH233" s="681">
        <f>SUM('7층_부하량(월간_AVG)'!D82:F82)</f>
        <v>0</v>
      </c>
      <c r="AI233" s="676">
        <f>SUM('7층_부하량(월간_AVG)'!D50:F50)</f>
        <v>0</v>
      </c>
      <c r="AJ233" s="1298">
        <f>AH233+AI233</f>
        <v>0</v>
      </c>
      <c r="AK233" s="2816" t="e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3" s="2817" t="e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3" s="3240">
        <f>VLOOKUP(J233&amp;K233,'7층~4층_매핑테이블'!$Y$6:$AF$2020,8,0)</f>
        <v>0.56800000000000006</v>
      </c>
      <c r="AN233" s="3230" t="e">
        <f t="shared" si="69"/>
        <v>#N/A</v>
      </c>
      <c r="AO233" s="2593" t="s">
        <v>1035</v>
      </c>
      <c r="AP233" s="2599"/>
      <c r="AR233" s="2351" t="e">
        <f t="shared" si="70"/>
        <v>#N/A</v>
      </c>
      <c r="AS233" s="2351" t="e">
        <f t="shared" si="71"/>
        <v>#N/A</v>
      </c>
      <c r="AT233" s="123" t="e">
        <f>IF(SIGN(AS233)&gt;=0,IF(AN233=0,"무부하 랙","적정함"),"사용초과")</f>
        <v>#N/A</v>
      </c>
      <c r="AU233" t="e">
        <f t="shared" si="75"/>
        <v>#N/A</v>
      </c>
      <c r="AV233" t="e">
        <f t="shared" si="76"/>
        <v>#N/A</v>
      </c>
      <c r="BA233" s="123"/>
      <c r="BB233" s="123"/>
      <c r="BC233" s="123"/>
      <c r="BD233" s="2997"/>
      <c r="BE233" s="123"/>
      <c r="BF233" s="2998"/>
      <c r="BG233" s="2999"/>
      <c r="BH233" s="3005"/>
      <c r="BI233" s="3000"/>
      <c r="BJ233" s="3001"/>
      <c r="BK233" s="3002"/>
      <c r="BL233" s="3003"/>
      <c r="BM233" s="3004"/>
    </row>
    <row r="234" spans="1:65" ht="13.5" customHeight="1" x14ac:dyDescent="0.25">
      <c r="A234" s="2854"/>
      <c r="B234" s="2564" t="s">
        <v>1049</v>
      </c>
      <c r="C234" s="733" t="s">
        <v>1050</v>
      </c>
      <c r="D234" s="733" t="s">
        <v>1051</v>
      </c>
      <c r="E234" s="733"/>
      <c r="F234" s="918"/>
      <c r="G234" s="918"/>
      <c r="H234" s="1971"/>
      <c r="I234" s="1980"/>
      <c r="J234" s="1971"/>
      <c r="K234" s="1980"/>
      <c r="L234" s="1972"/>
      <c r="M234" s="898"/>
      <c r="N234" s="898"/>
      <c r="O234" s="1974"/>
      <c r="P234" s="1981"/>
      <c r="Q234" s="1973"/>
      <c r="R234" s="898"/>
      <c r="S234" s="1974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6"/>
      <c r="AI234" s="957"/>
      <c r="AJ234" s="1312"/>
      <c r="AK234" s="2825"/>
      <c r="AL234" s="2826"/>
      <c r="AM234" s="3240"/>
      <c r="AN234" s="3231">
        <f t="shared" si="69"/>
        <v>0</v>
      </c>
      <c r="AO234" s="2593" t="s">
        <v>1013</v>
      </c>
      <c r="AP234" s="2599"/>
      <c r="AR234" s="2351">
        <f t="shared" si="70"/>
        <v>0</v>
      </c>
      <c r="AS234" s="2351">
        <f t="shared" si="71"/>
        <v>0</v>
      </c>
      <c r="AT234" s="123" t="str">
        <f t="shared" si="72"/>
        <v>미사용 랙</v>
      </c>
      <c r="AU234" t="str">
        <f t="shared" si="75"/>
        <v/>
      </c>
      <c r="AV234" t="str">
        <f t="shared" si="76"/>
        <v/>
      </c>
      <c r="BA234" s="123"/>
      <c r="BB234" s="123"/>
      <c r="BC234" s="123"/>
      <c r="BD234" s="2997"/>
      <c r="BE234" s="123"/>
      <c r="BF234" s="2998"/>
      <c r="BG234" s="2999"/>
      <c r="BH234" s="3005"/>
      <c r="BI234" s="3000"/>
      <c r="BJ234" s="3001"/>
      <c r="BK234" s="3002"/>
      <c r="BL234" s="3003"/>
      <c r="BM234" s="3004"/>
    </row>
    <row r="235" spans="1:65" ht="13.5" customHeight="1" x14ac:dyDescent="0.25">
      <c r="A235" s="2854"/>
      <c r="B235" s="2564" t="s">
        <v>1052</v>
      </c>
      <c r="C235" s="733" t="s">
        <v>1053</v>
      </c>
      <c r="D235" s="733" t="s">
        <v>1054</v>
      </c>
      <c r="E235" s="733"/>
      <c r="F235" s="918"/>
      <c r="G235" s="918"/>
      <c r="H235" s="1971"/>
      <c r="I235" s="1980"/>
      <c r="J235" s="1971"/>
      <c r="K235" s="1980"/>
      <c r="L235" s="1972"/>
      <c r="M235" s="898"/>
      <c r="N235" s="898"/>
      <c r="O235" s="1974"/>
      <c r="P235" s="1981"/>
      <c r="Q235" s="1973"/>
      <c r="R235" s="898"/>
      <c r="S235" s="1974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6"/>
      <c r="AI235" s="957"/>
      <c r="AJ235" s="1312"/>
      <c r="AK235" s="2825"/>
      <c r="AL235" s="2826"/>
      <c r="AM235" s="3240"/>
      <c r="AN235" s="3231">
        <f t="shared" si="69"/>
        <v>0</v>
      </c>
      <c r="AO235" s="2593" t="s">
        <v>1013</v>
      </c>
      <c r="AP235" s="2599"/>
      <c r="AR235" s="2351">
        <f t="shared" si="70"/>
        <v>0</v>
      </c>
      <c r="AS235" s="2351">
        <f t="shared" si="71"/>
        <v>0</v>
      </c>
      <c r="AT235" s="123" t="str">
        <f t="shared" si="72"/>
        <v>미사용 랙</v>
      </c>
      <c r="AU235" t="str">
        <f t="shared" si="75"/>
        <v/>
      </c>
      <c r="AV235" t="str">
        <f t="shared" si="76"/>
        <v/>
      </c>
      <c r="BA235" s="123"/>
      <c r="BB235" s="123"/>
      <c r="BC235" s="123"/>
      <c r="BD235" s="2997"/>
      <c r="BE235" s="123"/>
      <c r="BF235" s="2998"/>
      <c r="BG235" s="2999"/>
      <c r="BH235" s="3005"/>
      <c r="BI235" s="3000"/>
      <c r="BJ235" s="3001"/>
      <c r="BK235" s="3002"/>
      <c r="BL235" s="3003"/>
      <c r="BM235" s="3004"/>
    </row>
    <row r="236" spans="1:65" ht="13.5" customHeight="1" x14ac:dyDescent="0.25">
      <c r="A236" s="2854"/>
      <c r="B236" s="2564" t="s">
        <v>1055</v>
      </c>
      <c r="C236" s="733" t="s">
        <v>1056</v>
      </c>
      <c r="D236" s="733" t="s">
        <v>1057</v>
      </c>
      <c r="E236" s="733"/>
      <c r="F236" s="918"/>
      <c r="G236" s="918"/>
      <c r="H236" s="1971"/>
      <c r="I236" s="1980"/>
      <c r="J236" s="1971"/>
      <c r="K236" s="1980"/>
      <c r="L236" s="1972"/>
      <c r="M236" s="898"/>
      <c r="N236" s="898"/>
      <c r="O236" s="1974"/>
      <c r="P236" s="1981"/>
      <c r="Q236" s="1973"/>
      <c r="R236" s="898"/>
      <c r="S236" s="1974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6"/>
      <c r="AI236" s="957"/>
      <c r="AJ236" s="1312"/>
      <c r="AK236" s="2825"/>
      <c r="AL236" s="2826"/>
      <c r="AM236" s="3240"/>
      <c r="AN236" s="3231">
        <f t="shared" si="69"/>
        <v>0</v>
      </c>
      <c r="AO236" s="2593" t="s">
        <v>1013</v>
      </c>
      <c r="AP236" s="2599"/>
      <c r="AR236" s="2351">
        <f t="shared" si="70"/>
        <v>0</v>
      </c>
      <c r="AS236" s="2351">
        <f t="shared" si="71"/>
        <v>0</v>
      </c>
      <c r="AT236" s="123" t="str">
        <f t="shared" si="72"/>
        <v>미사용 랙</v>
      </c>
      <c r="AU236" t="str">
        <f t="shared" si="75"/>
        <v/>
      </c>
      <c r="AV236" t="str">
        <f t="shared" si="76"/>
        <v/>
      </c>
      <c r="BA236" s="123"/>
      <c r="BB236" s="123"/>
      <c r="BC236" s="123"/>
      <c r="BD236" s="2997"/>
      <c r="BE236" s="123"/>
      <c r="BF236" s="2998"/>
      <c r="BG236" s="2999"/>
      <c r="BH236" s="3005"/>
      <c r="BI236" s="3000"/>
      <c r="BJ236" s="3001"/>
      <c r="BK236" s="3002"/>
      <c r="BL236" s="3003"/>
      <c r="BM236" s="3004"/>
    </row>
    <row r="237" spans="1:65" ht="14.25" customHeight="1" thickBot="1" x14ac:dyDescent="0.3">
      <c r="A237" s="2859"/>
      <c r="B237" s="2595" t="s">
        <v>1058</v>
      </c>
      <c r="C237" s="908" t="s">
        <v>1059</v>
      </c>
      <c r="D237" s="908" t="s">
        <v>1060</v>
      </c>
      <c r="E237" s="908"/>
      <c r="F237" s="917"/>
      <c r="G237" s="917"/>
      <c r="H237" s="1982"/>
      <c r="I237" s="1983"/>
      <c r="J237" s="1982"/>
      <c r="K237" s="1983"/>
      <c r="L237" s="1984"/>
      <c r="M237" s="914"/>
      <c r="N237" s="914"/>
      <c r="O237" s="1986"/>
      <c r="P237" s="1987"/>
      <c r="Q237" s="1985"/>
      <c r="R237" s="914"/>
      <c r="S237" s="1986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3"/>
      <c r="AI237" s="1074"/>
      <c r="AJ237" s="1321"/>
      <c r="AK237" s="2825"/>
      <c r="AL237" s="2826"/>
      <c r="AM237" s="3240"/>
      <c r="AN237" s="3231">
        <f t="shared" si="69"/>
        <v>0</v>
      </c>
      <c r="AO237" s="698" t="s">
        <v>1013</v>
      </c>
      <c r="AP237" s="679"/>
      <c r="AR237" s="2351">
        <f t="shared" si="70"/>
        <v>0</v>
      </c>
      <c r="AS237" s="2351">
        <f t="shared" si="71"/>
        <v>0</v>
      </c>
      <c r="AT237" s="123" t="str">
        <f t="shared" si="72"/>
        <v>미사용 랙</v>
      </c>
      <c r="AU237" t="str">
        <f t="shared" si="75"/>
        <v/>
      </c>
      <c r="AV237" t="str">
        <f t="shared" si="76"/>
        <v/>
      </c>
      <c r="BA237" s="123"/>
      <c r="BB237" s="123"/>
      <c r="BC237" s="123"/>
      <c r="BD237" s="2997"/>
      <c r="BE237" s="123"/>
      <c r="BF237" s="2998"/>
      <c r="BG237" s="2999"/>
      <c r="BH237" s="3005"/>
      <c r="BI237" s="3000"/>
      <c r="BJ237" s="3001"/>
      <c r="BK237" s="3002"/>
      <c r="BL237" s="3003"/>
      <c r="BM237" s="3004"/>
    </row>
    <row r="238" spans="1:65" ht="13.5" customHeight="1" x14ac:dyDescent="0.25">
      <c r="A238" s="2860" t="s">
        <v>1061</v>
      </c>
      <c r="B238" s="672" t="s">
        <v>1062</v>
      </c>
      <c r="C238" s="732"/>
      <c r="D238" s="732"/>
      <c r="E238" s="732"/>
      <c r="F238" s="1049"/>
      <c r="G238" s="1049"/>
      <c r="H238" s="1821"/>
      <c r="I238" s="1953"/>
      <c r="J238" s="1821"/>
      <c r="K238" s="1953"/>
      <c r="L238" s="1822"/>
      <c r="M238" s="895"/>
      <c r="N238" s="895"/>
      <c r="O238" s="1824"/>
      <c r="P238" s="1954"/>
      <c r="Q238" s="1955"/>
      <c r="R238" s="1050"/>
      <c r="S238" s="1956"/>
      <c r="T238" s="895"/>
      <c r="U238" s="1050"/>
      <c r="V238" s="732"/>
      <c r="W238" s="732"/>
      <c r="X238" s="732"/>
      <c r="Y238" s="732"/>
      <c r="Z238" s="732"/>
      <c r="AA238" s="732"/>
      <c r="AB238" s="895"/>
      <c r="AC238" s="1050"/>
      <c r="AD238" s="895"/>
      <c r="AE238" s="1050"/>
      <c r="AF238" s="895"/>
      <c r="AG238" s="1050"/>
      <c r="AH238" s="955"/>
      <c r="AI238" s="1068"/>
      <c r="AJ238" s="1308"/>
      <c r="AK238" s="2825"/>
      <c r="AL238" s="2826"/>
      <c r="AM238" s="3240"/>
      <c r="AN238" s="3231">
        <f t="shared" si="69"/>
        <v>0</v>
      </c>
      <c r="AO238" s="699"/>
      <c r="AP238" s="674"/>
      <c r="AR238" s="2351">
        <f t="shared" si="70"/>
        <v>0</v>
      </c>
      <c r="AS238" s="2351">
        <f t="shared" si="71"/>
        <v>0</v>
      </c>
      <c r="AT238" s="123" t="str">
        <f t="shared" si="72"/>
        <v>미사용 랙</v>
      </c>
      <c r="AU238" t="str">
        <f t="shared" si="75"/>
        <v/>
      </c>
      <c r="AV238" t="str">
        <f t="shared" si="76"/>
        <v/>
      </c>
      <c r="BA238" s="123"/>
      <c r="BB238" s="123"/>
      <c r="BC238" s="123"/>
      <c r="BD238" s="2997"/>
      <c r="BE238" s="123"/>
      <c r="BF238" s="2998"/>
      <c r="BG238" s="2999"/>
      <c r="BH238" s="3005"/>
      <c r="BI238" s="3000"/>
      <c r="BJ238" s="3001"/>
      <c r="BK238" s="3002"/>
      <c r="BL238" s="3003"/>
      <c r="BM238" s="3004"/>
    </row>
    <row r="239" spans="1:65" ht="48" customHeight="1" x14ac:dyDescent="0.25">
      <c r="A239" s="2854"/>
      <c r="B239" s="2564" t="s">
        <v>1063</v>
      </c>
      <c r="C239" s="2565" t="s">
        <v>1064</v>
      </c>
      <c r="D239" s="2564" t="s">
        <v>9264</v>
      </c>
      <c r="E239" s="2960">
        <v>2.2000000000000002</v>
      </c>
      <c r="F239" s="2564" t="s">
        <v>27</v>
      </c>
      <c r="G239" s="2564"/>
      <c r="H239" s="1825" t="s">
        <v>9115</v>
      </c>
      <c r="I239" s="1833" t="s">
        <v>9116</v>
      </c>
      <c r="J239" s="1825" t="str">
        <f t="shared" ref="J239:J248" si="77">"7-DaHall 1-"&amp;N239&amp;"-"&amp;M239&amp;"-"&amp;O239</f>
        <v>7-DaHall 1-RPP-03-50-8</v>
      </c>
      <c r="K239" s="1833" t="str">
        <f t="shared" ref="K239:K252" si="78">"7-DaHall 1-"&amp;R239&amp;"-"&amp;Q239&amp;"-"&amp;S239</f>
        <v>7-DaHall 1-RPP-04-50-8</v>
      </c>
      <c r="L239" s="1827">
        <v>220</v>
      </c>
      <c r="M239" s="1828">
        <v>50</v>
      </c>
      <c r="N239" s="703" t="s">
        <v>9092</v>
      </c>
      <c r="O239" s="1829">
        <v>8</v>
      </c>
      <c r="P239" s="1834">
        <v>220</v>
      </c>
      <c r="Q239" s="1835">
        <v>50</v>
      </c>
      <c r="R239" s="687" t="s">
        <v>9093</v>
      </c>
      <c r="S239" s="1836">
        <v>8</v>
      </c>
      <c r="T239" s="703" t="s">
        <v>1065</v>
      </c>
      <c r="U239" s="687" t="s">
        <v>1066</v>
      </c>
      <c r="V239" s="2594" t="s">
        <v>1067</v>
      </c>
      <c r="W239" s="2578" t="s">
        <v>1068</v>
      </c>
      <c r="X239" s="2146" t="s">
        <v>965</v>
      </c>
      <c r="Y239" s="903" t="s">
        <v>966</v>
      </c>
      <c r="Z239" s="2146" t="s">
        <v>967</v>
      </c>
      <c r="AA239" s="903" t="s">
        <v>968</v>
      </c>
      <c r="AB239" s="2146" t="s">
        <v>51</v>
      </c>
      <c r="AC239" s="903" t="s">
        <v>52</v>
      </c>
      <c r="AD239" s="2146" t="s">
        <v>30</v>
      </c>
      <c r="AE239" s="903" t="s">
        <v>35</v>
      </c>
      <c r="AF239" s="2146" t="s">
        <v>31</v>
      </c>
      <c r="AG239" s="903" t="s">
        <v>36</v>
      </c>
      <c r="AH239" s="681">
        <f>SUM('7층_부하량(월간_AVG)'!N123:P123)</f>
        <v>0</v>
      </c>
      <c r="AI239" s="676">
        <f>SUM('7층_부하량(월간_AVG)'!N131:P131)</f>
        <v>0</v>
      </c>
      <c r="AJ239" s="1298">
        <f>AH239+AI239</f>
        <v>0</v>
      </c>
      <c r="AK239" s="2816" t="e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9" s="2817" t="e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9" s="3240">
        <f>VLOOKUP(J239&amp;K239,'7층~4층_매핑테이블'!$Y$6:$AF$2020,8,0)</f>
        <v>0.87</v>
      </c>
      <c r="AN239" s="3230" t="e">
        <f t="shared" si="69"/>
        <v>#N/A</v>
      </c>
      <c r="AO239" s="2593" t="s">
        <v>1069</v>
      </c>
      <c r="AP239" s="2599"/>
      <c r="AR239" s="2351" t="e">
        <f t="shared" si="70"/>
        <v>#N/A</v>
      </c>
      <c r="AS239" s="2351" t="e">
        <f t="shared" si="71"/>
        <v>#N/A</v>
      </c>
      <c r="AT239" s="123" t="e">
        <f>IF(SIGN(AS239)&gt;=0,IF(AN239=0,"무부하 랙","적정함"),"사용초과")</f>
        <v>#N/A</v>
      </c>
      <c r="AU239" t="e">
        <f t="shared" si="75"/>
        <v>#N/A</v>
      </c>
      <c r="AV239" t="e">
        <f t="shared" si="76"/>
        <v>#N/A</v>
      </c>
      <c r="BA239" s="123"/>
      <c r="BB239" s="123"/>
      <c r="BC239" s="123"/>
      <c r="BD239" s="2997"/>
      <c r="BE239" s="123"/>
      <c r="BF239" s="2998"/>
      <c r="BG239" s="2999"/>
      <c r="BH239" s="3005"/>
      <c r="BI239" s="3000"/>
      <c r="BJ239" s="3001"/>
      <c r="BK239" s="3002"/>
      <c r="BL239" s="3003"/>
      <c r="BM239" s="3004"/>
    </row>
    <row r="240" spans="1:65" ht="62.4" x14ac:dyDescent="0.25">
      <c r="A240" s="2854"/>
      <c r="B240" s="2564" t="s">
        <v>1070</v>
      </c>
      <c r="C240" s="2565" t="s">
        <v>1071</v>
      </c>
      <c r="D240" s="2564" t="s">
        <v>9264</v>
      </c>
      <c r="E240" s="2960">
        <v>2.2000000000000002</v>
      </c>
      <c r="F240" s="2564" t="s">
        <v>27</v>
      </c>
      <c r="G240" s="2564"/>
      <c r="H240" s="1825" t="s">
        <v>9117</v>
      </c>
      <c r="I240" s="1833" t="s">
        <v>9118</v>
      </c>
      <c r="J240" s="1825" t="str">
        <f t="shared" si="77"/>
        <v>7-DaHall 1-RPP-03-50-6</v>
      </c>
      <c r="K240" s="1833" t="str">
        <f t="shared" si="78"/>
        <v>7-DaHall 1-RPP-04-50-6</v>
      </c>
      <c r="L240" s="1827">
        <v>220</v>
      </c>
      <c r="M240" s="1828">
        <v>50</v>
      </c>
      <c r="N240" s="703" t="s">
        <v>9092</v>
      </c>
      <c r="O240" s="1829">
        <v>6</v>
      </c>
      <c r="P240" s="1834">
        <v>220</v>
      </c>
      <c r="Q240" s="1835">
        <v>50</v>
      </c>
      <c r="R240" s="687" t="s">
        <v>9093</v>
      </c>
      <c r="S240" s="1836">
        <v>6</v>
      </c>
      <c r="T240" s="703" t="s">
        <v>1072</v>
      </c>
      <c r="U240" s="687" t="s">
        <v>1073</v>
      </c>
      <c r="V240" s="2594" t="s">
        <v>1074</v>
      </c>
      <c r="W240" s="2578" t="s">
        <v>1075</v>
      </c>
      <c r="X240" s="2146" t="s">
        <v>965</v>
      </c>
      <c r="Y240" s="903" t="s">
        <v>966</v>
      </c>
      <c r="Z240" s="2146" t="s">
        <v>967</v>
      </c>
      <c r="AA240" s="903" t="s">
        <v>968</v>
      </c>
      <c r="AB240" s="2146" t="s">
        <v>51</v>
      </c>
      <c r="AC240" s="903" t="s">
        <v>52</v>
      </c>
      <c r="AD240" s="2146" t="s">
        <v>30</v>
      </c>
      <c r="AE240" s="903" t="s">
        <v>35</v>
      </c>
      <c r="AF240" s="2146" t="s">
        <v>31</v>
      </c>
      <c r="AG240" s="903" t="s">
        <v>36</v>
      </c>
      <c r="AH240" s="681">
        <f>SUM('7층_부하량(월간_AVG)'!N122:P122)</f>
        <v>0</v>
      </c>
      <c r="AI240" s="676">
        <f>SUM('7층_부하량(월간_AVG)'!N130:P130)</f>
        <v>0</v>
      </c>
      <c r="AJ240" s="1298">
        <f>AH240+AI240</f>
        <v>0</v>
      </c>
      <c r="AK240" s="2816" t="e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40" s="2817" t="e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40" s="3240">
        <f>VLOOKUP(J240&amp;K240,'7층~4층_매핑테이블'!$Y$6:$AF$2020,8,0)</f>
        <v>0.63300000000000001</v>
      </c>
      <c r="AN240" s="3230" t="e">
        <f t="shared" si="69"/>
        <v>#N/A</v>
      </c>
      <c r="AO240" s="2593" t="s">
        <v>1069</v>
      </c>
      <c r="AP240" s="2599"/>
      <c r="AR240" s="2351" t="e">
        <f t="shared" si="70"/>
        <v>#N/A</v>
      </c>
      <c r="AS240" s="2351" t="e">
        <f t="shared" si="71"/>
        <v>#N/A</v>
      </c>
      <c r="AT240" s="123" t="e">
        <f>IF(SIGN(AS240)&gt;=0,IF(AN240=0,"무부하 랙","적정함"),"사용초과")</f>
        <v>#N/A</v>
      </c>
      <c r="AU240" t="e">
        <f t="shared" si="75"/>
        <v>#N/A</v>
      </c>
      <c r="AV240" t="e">
        <f t="shared" si="76"/>
        <v>#N/A</v>
      </c>
      <c r="BA240" s="123"/>
      <c r="BB240" s="123"/>
      <c r="BC240" s="123"/>
      <c r="BD240" s="2997"/>
      <c r="BE240" s="123"/>
      <c r="BF240" s="2998"/>
      <c r="BG240" s="2999"/>
      <c r="BH240" s="3005"/>
      <c r="BI240" s="3000"/>
      <c r="BJ240" s="3001"/>
      <c r="BK240" s="3002"/>
      <c r="BL240" s="3003"/>
      <c r="BM240" s="3004"/>
    </row>
    <row r="241" spans="1:65" ht="62.4" x14ac:dyDescent="0.25">
      <c r="A241" s="2854"/>
      <c r="B241" s="2564" t="s">
        <v>1076</v>
      </c>
      <c r="C241" s="2565" t="s">
        <v>1077</v>
      </c>
      <c r="D241" s="2564" t="s">
        <v>9264</v>
      </c>
      <c r="E241" s="2960">
        <v>2.2000000000000002</v>
      </c>
      <c r="F241" s="2564" t="s">
        <v>27</v>
      </c>
      <c r="G241" s="2564"/>
      <c r="H241" s="1825" t="s">
        <v>9119</v>
      </c>
      <c r="I241" s="1833" t="s">
        <v>9120</v>
      </c>
      <c r="J241" s="1825" t="str">
        <f t="shared" si="77"/>
        <v>7-DaHall 1-RPP-03-50-10</v>
      </c>
      <c r="K241" s="1833" t="str">
        <f t="shared" si="78"/>
        <v>7-DaHall 1-RPP-04-50-10</v>
      </c>
      <c r="L241" s="1827">
        <v>220</v>
      </c>
      <c r="M241" s="1828">
        <v>50</v>
      </c>
      <c r="N241" s="703" t="s">
        <v>9092</v>
      </c>
      <c r="O241" s="1829">
        <v>10</v>
      </c>
      <c r="P241" s="1834">
        <v>220</v>
      </c>
      <c r="Q241" s="1835">
        <v>50</v>
      </c>
      <c r="R241" s="687" t="s">
        <v>9093</v>
      </c>
      <c r="S241" s="1836">
        <v>10</v>
      </c>
      <c r="T241" s="703" t="s">
        <v>1078</v>
      </c>
      <c r="U241" s="687" t="s">
        <v>1079</v>
      </c>
      <c r="V241" s="2594" t="s">
        <v>1080</v>
      </c>
      <c r="W241" s="2578" t="s">
        <v>1081</v>
      </c>
      <c r="X241" s="2146" t="s">
        <v>965</v>
      </c>
      <c r="Y241" s="903" t="s">
        <v>966</v>
      </c>
      <c r="Z241" s="2146" t="s">
        <v>967</v>
      </c>
      <c r="AA241" s="903" t="s">
        <v>968</v>
      </c>
      <c r="AB241" s="2146" t="s">
        <v>51</v>
      </c>
      <c r="AC241" s="903" t="s">
        <v>52</v>
      </c>
      <c r="AD241" s="2146" t="s">
        <v>30</v>
      </c>
      <c r="AE241" s="903" t="s">
        <v>35</v>
      </c>
      <c r="AF241" s="2146" t="s">
        <v>31</v>
      </c>
      <c r="AG241" s="903" t="s">
        <v>36</v>
      </c>
      <c r="AH241" s="681">
        <f>SUM('7층_부하량(월간_AVG)'!N124:P124)</f>
        <v>0</v>
      </c>
      <c r="AI241" s="676">
        <f>SUM('7층_부하량(월간_AVG)'!N132:P132)</f>
        <v>0</v>
      </c>
      <c r="AJ241" s="1298">
        <f>AH241+AI241</f>
        <v>0</v>
      </c>
      <c r="AK241" s="2816" t="e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41" s="2817" t="e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41" s="3240">
        <f>VLOOKUP(J241&amp;K241,'7층~4층_매핑테이블'!$Y$6:$AF$2020,8,0)</f>
        <v>1.0720000000000001</v>
      </c>
      <c r="AN241" s="3230" t="e">
        <f t="shared" si="69"/>
        <v>#N/A</v>
      </c>
      <c r="AO241" s="2593" t="s">
        <v>1069</v>
      </c>
      <c r="AP241" s="2599"/>
      <c r="AR241" s="2351" t="e">
        <f t="shared" si="70"/>
        <v>#N/A</v>
      </c>
      <c r="AS241" s="2351" t="e">
        <f t="shared" si="71"/>
        <v>#N/A</v>
      </c>
      <c r="AT241" s="123" t="e">
        <f>IF(SIGN(AS241)&gt;=0,IF(AN241=0,"무부하 랙","적정함"),"사용초과")</f>
        <v>#N/A</v>
      </c>
      <c r="AU241" t="e">
        <f t="shared" si="75"/>
        <v>#N/A</v>
      </c>
      <c r="AV241" t="e">
        <f t="shared" si="76"/>
        <v>#N/A</v>
      </c>
      <c r="BA241" s="123"/>
      <c r="BB241" s="123"/>
      <c r="BC241" s="123"/>
      <c r="BD241" s="2997"/>
      <c r="BE241" s="123"/>
      <c r="BF241" s="2998"/>
      <c r="BG241" s="2999"/>
      <c r="BH241" s="3005"/>
      <c r="BI241" s="3000"/>
      <c r="BJ241" s="3001"/>
      <c r="BK241" s="3002"/>
      <c r="BL241" s="3003"/>
      <c r="BM241" s="3004"/>
    </row>
    <row r="242" spans="1:65" ht="62.4" x14ac:dyDescent="0.25">
      <c r="A242" s="2854"/>
      <c r="B242" s="2564" t="s">
        <v>1082</v>
      </c>
      <c r="C242" s="2565" t="s">
        <v>1083</v>
      </c>
      <c r="D242" s="2564" t="s">
        <v>9264</v>
      </c>
      <c r="E242" s="2960">
        <v>2.2000000000000002</v>
      </c>
      <c r="F242" s="2564" t="s">
        <v>27</v>
      </c>
      <c r="G242" s="2564"/>
      <c r="H242" s="1825" t="s">
        <v>9121</v>
      </c>
      <c r="I242" s="1833" t="s">
        <v>9122</v>
      </c>
      <c r="J242" s="1825" t="str">
        <f t="shared" si="77"/>
        <v>7-DaHall 1-RPP-03-50-9</v>
      </c>
      <c r="K242" s="1833" t="str">
        <f t="shared" si="78"/>
        <v>7-DaHall 1-RPP-04-50-9</v>
      </c>
      <c r="L242" s="1827">
        <v>220</v>
      </c>
      <c r="M242" s="1828">
        <v>50</v>
      </c>
      <c r="N242" s="703" t="s">
        <v>9092</v>
      </c>
      <c r="O242" s="1829">
        <v>9</v>
      </c>
      <c r="P242" s="1834">
        <v>220</v>
      </c>
      <c r="Q242" s="1835">
        <v>50</v>
      </c>
      <c r="R242" s="687" t="s">
        <v>9093</v>
      </c>
      <c r="S242" s="1836">
        <v>9</v>
      </c>
      <c r="T242" s="703" t="s">
        <v>1084</v>
      </c>
      <c r="U242" s="687" t="s">
        <v>1085</v>
      </c>
      <c r="V242" s="2594" t="s">
        <v>1086</v>
      </c>
      <c r="W242" s="2578" t="s">
        <v>1087</v>
      </c>
      <c r="X242" s="2146" t="s">
        <v>965</v>
      </c>
      <c r="Y242" s="903" t="s">
        <v>966</v>
      </c>
      <c r="Z242" s="2146" t="s">
        <v>967</v>
      </c>
      <c r="AA242" s="903" t="s">
        <v>968</v>
      </c>
      <c r="AB242" s="2146" t="s">
        <v>51</v>
      </c>
      <c r="AC242" s="903" t="s">
        <v>52</v>
      </c>
      <c r="AD242" s="2146" t="s">
        <v>30</v>
      </c>
      <c r="AE242" s="903" t="s">
        <v>35</v>
      </c>
      <c r="AF242" s="2146" t="s">
        <v>31</v>
      </c>
      <c r="AG242" s="903" t="s">
        <v>36</v>
      </c>
      <c r="AH242" s="681">
        <f>SUM('7층_부하량(월간_AVG)'!D124:F124)</f>
        <v>0</v>
      </c>
      <c r="AI242" s="676">
        <f>SUM('7층_부하량(월간_AVG)'!D132:F132)</f>
        <v>0</v>
      </c>
      <c r="AJ242" s="1298">
        <f>AH242+AI242</f>
        <v>0</v>
      </c>
      <c r="AK242" s="2816" t="e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2" s="2817" t="e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2" s="3240">
        <f>VLOOKUP(J242&amp;K242,'7층~4층_매핑테이블'!$Y$6:$AF$2020,8,0)</f>
        <v>0.94299999999999995</v>
      </c>
      <c r="AN242" s="3230" t="e">
        <f t="shared" si="69"/>
        <v>#N/A</v>
      </c>
      <c r="AO242" s="2593" t="s">
        <v>1069</v>
      </c>
      <c r="AP242" s="2599"/>
      <c r="AR242" s="2351" t="e">
        <f t="shared" si="70"/>
        <v>#N/A</v>
      </c>
      <c r="AS242" s="2351" t="e">
        <f t="shared" si="71"/>
        <v>#N/A</v>
      </c>
      <c r="AT242" s="123" t="e">
        <f>IF(SIGN(AS242)&gt;=0,IF(AN242=0,"무부하 랙","적정함"),"사용초과")</f>
        <v>#N/A</v>
      </c>
      <c r="AU242" t="e">
        <f t="shared" si="75"/>
        <v>#N/A</v>
      </c>
      <c r="AV242" t="e">
        <f t="shared" si="76"/>
        <v>#N/A</v>
      </c>
      <c r="BA242" s="123"/>
      <c r="BB242" s="123"/>
      <c r="BC242" s="123"/>
      <c r="BD242" s="2997"/>
      <c r="BE242" s="123"/>
      <c r="BF242" s="2998"/>
      <c r="BG242" s="2999"/>
      <c r="BH242" s="3005"/>
      <c r="BI242" s="3000"/>
      <c r="BJ242" s="3001"/>
      <c r="BK242" s="3002"/>
      <c r="BL242" s="3003"/>
      <c r="BM242" s="3004"/>
    </row>
    <row r="243" spans="1:65" ht="54" customHeight="1" x14ac:dyDescent="0.25">
      <c r="A243" s="2854"/>
      <c r="B243" s="3411" t="s">
        <v>1088</v>
      </c>
      <c r="C243" s="3421" t="s">
        <v>1089</v>
      </c>
      <c r="D243" s="3423" t="s">
        <v>9264</v>
      </c>
      <c r="E243" s="2566"/>
      <c r="F243" s="2564"/>
      <c r="G243" s="2564" t="s">
        <v>27</v>
      </c>
      <c r="H243" s="1805" t="s">
        <v>9123</v>
      </c>
      <c r="I243" s="1837" t="s">
        <v>9124</v>
      </c>
      <c r="J243" s="1805" t="str">
        <f t="shared" si="77"/>
        <v>7-DaHall 1-B-5-35-42</v>
      </c>
      <c r="K243" s="1837" t="str">
        <f t="shared" si="78"/>
        <v>7-DaHall 1-A-5-35-42</v>
      </c>
      <c r="L243" s="1807">
        <v>48</v>
      </c>
      <c r="M243" s="1808">
        <v>35</v>
      </c>
      <c r="N243" s="2594" t="s">
        <v>847</v>
      </c>
      <c r="O243" s="1809">
        <v>42</v>
      </c>
      <c r="P243" s="1847">
        <v>48</v>
      </c>
      <c r="Q243" s="1848">
        <v>35</v>
      </c>
      <c r="R243" s="2578" t="s">
        <v>848</v>
      </c>
      <c r="S243" s="1838">
        <v>42</v>
      </c>
      <c r="T243" s="2594" t="s">
        <v>1090</v>
      </c>
      <c r="U243" s="2578" t="s">
        <v>1091</v>
      </c>
      <c r="V243" s="2146" t="s">
        <v>851</v>
      </c>
      <c r="W243" s="903" t="s">
        <v>852</v>
      </c>
      <c r="X243" s="2146" t="s">
        <v>47</v>
      </c>
      <c r="Y243" s="903" t="s">
        <v>436</v>
      </c>
      <c r="Z243" s="2146" t="s">
        <v>49</v>
      </c>
      <c r="AA243" s="903" t="s">
        <v>50</v>
      </c>
      <c r="AB243" s="2146" t="s">
        <v>51</v>
      </c>
      <c r="AC243" s="903" t="s">
        <v>52</v>
      </c>
      <c r="AD243" s="2146" t="s">
        <v>30</v>
      </c>
      <c r="AE243" s="903" t="s">
        <v>35</v>
      </c>
      <c r="AF243" s="2146" t="s">
        <v>31</v>
      </c>
      <c r="AG243" s="903" t="s">
        <v>36</v>
      </c>
      <c r="AH243" s="694"/>
      <c r="AI243" s="686"/>
      <c r="AJ243" s="3414"/>
      <c r="AK243" s="3415"/>
      <c r="AL243" s="2819"/>
      <c r="AM243" s="3240" t="e">
        <f>VLOOKUP(J243&amp;K243,'7층~4층_매핑테이블'!$Y$6:$AF$2020,8,0)</f>
        <v>#N/A</v>
      </c>
      <c r="AN243" s="3229">
        <f t="shared" si="69"/>
        <v>0</v>
      </c>
      <c r="AO243" s="2214" t="s">
        <v>1069</v>
      </c>
      <c r="AP243" s="1158" t="s">
        <v>1026</v>
      </c>
      <c r="AR243" s="2351">
        <f t="shared" si="70"/>
        <v>0</v>
      </c>
      <c r="AS243" s="2351">
        <f t="shared" si="71"/>
        <v>0</v>
      </c>
      <c r="AT243" s="123" t="str">
        <f t="shared" si="72"/>
        <v>미사용 랙</v>
      </c>
      <c r="AU243" t="str">
        <f t="shared" si="75"/>
        <v/>
      </c>
      <c r="AV243" t="str">
        <f t="shared" si="76"/>
        <v/>
      </c>
      <c r="BA243" s="123"/>
      <c r="BB243" s="123"/>
      <c r="BC243" s="123"/>
      <c r="BD243" s="2997"/>
      <c r="BE243" s="123"/>
      <c r="BF243" s="2998"/>
      <c r="BG243" s="2999"/>
      <c r="BH243" s="3005"/>
      <c r="BI243" s="3000"/>
      <c r="BJ243" s="3001"/>
      <c r="BK243" s="3002"/>
      <c r="BL243" s="3003"/>
      <c r="BM243" s="3004"/>
    </row>
    <row r="244" spans="1:65" ht="54" customHeight="1" x14ac:dyDescent="0.25">
      <c r="A244" s="2854"/>
      <c r="B244" s="3411"/>
      <c r="C244" s="3421"/>
      <c r="D244" s="3423"/>
      <c r="E244" s="2566"/>
      <c r="F244" s="2564"/>
      <c r="G244" s="2564" t="s">
        <v>27</v>
      </c>
      <c r="H244" s="1805" t="s">
        <v>9125</v>
      </c>
      <c r="I244" s="1837" t="s">
        <v>9126</v>
      </c>
      <c r="J244" s="1805" t="str">
        <f t="shared" si="77"/>
        <v>7-DaHall 1-B-5-35-43</v>
      </c>
      <c r="K244" s="1837" t="str">
        <f t="shared" si="78"/>
        <v>7-DaHall 1-A-5-35-43</v>
      </c>
      <c r="L244" s="1807">
        <v>48</v>
      </c>
      <c r="M244" s="1808">
        <v>35</v>
      </c>
      <c r="N244" s="2594" t="s">
        <v>847</v>
      </c>
      <c r="O244" s="1809">
        <v>43</v>
      </c>
      <c r="P244" s="1847">
        <v>48</v>
      </c>
      <c r="Q244" s="1848">
        <v>35</v>
      </c>
      <c r="R244" s="2578" t="s">
        <v>848</v>
      </c>
      <c r="S244" s="1838">
        <v>43</v>
      </c>
      <c r="T244" s="2594" t="s">
        <v>1092</v>
      </c>
      <c r="U244" s="2578" t="s">
        <v>1093</v>
      </c>
      <c r="V244" s="2146" t="s">
        <v>851</v>
      </c>
      <c r="W244" s="903" t="s">
        <v>852</v>
      </c>
      <c r="X244" s="2146" t="s">
        <v>47</v>
      </c>
      <c r="Y244" s="903" t="s">
        <v>436</v>
      </c>
      <c r="Z244" s="2146" t="s">
        <v>49</v>
      </c>
      <c r="AA244" s="903" t="s">
        <v>50</v>
      </c>
      <c r="AB244" s="2146" t="s">
        <v>51</v>
      </c>
      <c r="AC244" s="903" t="s">
        <v>52</v>
      </c>
      <c r="AD244" s="2146" t="s">
        <v>30</v>
      </c>
      <c r="AE244" s="903" t="s">
        <v>35</v>
      </c>
      <c r="AF244" s="2146" t="s">
        <v>31</v>
      </c>
      <c r="AG244" s="903" t="s">
        <v>36</v>
      </c>
      <c r="AH244" s="694"/>
      <c r="AI244" s="686"/>
      <c r="AJ244" s="3414"/>
      <c r="AK244" s="3415"/>
      <c r="AL244" s="2819"/>
      <c r="AM244" s="3240" t="e">
        <f>VLOOKUP(J244&amp;K244,'7층~4층_매핑테이블'!$Y$6:$AF$2020,8,0)</f>
        <v>#N/A</v>
      </c>
      <c r="AN244" s="3229">
        <f t="shared" si="69"/>
        <v>0</v>
      </c>
      <c r="AO244" s="2214" t="s">
        <v>9127</v>
      </c>
      <c r="AP244" s="1158" t="s">
        <v>1026</v>
      </c>
      <c r="AR244" s="2351">
        <f t="shared" si="70"/>
        <v>0</v>
      </c>
      <c r="AS244" s="2351">
        <f t="shared" si="71"/>
        <v>0</v>
      </c>
      <c r="AT244" s="123" t="str">
        <f t="shared" si="72"/>
        <v>미사용 랙</v>
      </c>
      <c r="AU244" t="str">
        <f t="shared" si="75"/>
        <v/>
      </c>
      <c r="AV244" t="str">
        <f t="shared" si="76"/>
        <v/>
      </c>
      <c r="BA244" s="123"/>
      <c r="BB244" s="123"/>
      <c r="BC244" s="123"/>
      <c r="BD244" s="2997"/>
      <c r="BE244" s="123"/>
      <c r="BF244" s="2998"/>
      <c r="BG244" s="2999"/>
      <c r="BH244" s="3005"/>
      <c r="BI244" s="3000"/>
      <c r="BJ244" s="3001"/>
      <c r="BK244" s="3002"/>
      <c r="BL244" s="3003"/>
      <c r="BM244" s="3004"/>
    </row>
    <row r="245" spans="1:65" ht="40.5" customHeight="1" x14ac:dyDescent="0.25">
      <c r="A245" s="2854"/>
      <c r="B245" s="3411"/>
      <c r="C245" s="3421"/>
      <c r="D245" s="3411"/>
      <c r="E245" s="2960">
        <v>2.2000000000000002</v>
      </c>
      <c r="F245" s="2564" t="s">
        <v>27</v>
      </c>
      <c r="G245" s="2564"/>
      <c r="H245" s="1825" t="s">
        <v>9128</v>
      </c>
      <c r="I245" s="1833" t="s">
        <v>9129</v>
      </c>
      <c r="J245" s="1825" t="str">
        <f t="shared" si="77"/>
        <v>7-DaHall 1-RPP-03-50-7</v>
      </c>
      <c r="K245" s="1833" t="str">
        <f t="shared" si="78"/>
        <v>7-DaHall 1-RPP-04-50-7</v>
      </c>
      <c r="L245" s="1827">
        <v>220</v>
      </c>
      <c r="M245" s="1828">
        <v>50</v>
      </c>
      <c r="N245" s="703" t="s">
        <v>9092</v>
      </c>
      <c r="O245" s="1829">
        <v>7</v>
      </c>
      <c r="P245" s="1834">
        <v>220</v>
      </c>
      <c r="Q245" s="1835">
        <v>50</v>
      </c>
      <c r="R245" s="687" t="s">
        <v>9093</v>
      </c>
      <c r="S245" s="1836">
        <v>7</v>
      </c>
      <c r="T245" s="703" t="s">
        <v>1094</v>
      </c>
      <c r="U245" s="687" t="s">
        <v>1095</v>
      </c>
      <c r="V245" s="2594" t="s">
        <v>1096</v>
      </c>
      <c r="W245" s="2578" t="s">
        <v>1097</v>
      </c>
      <c r="X245" s="2146" t="s">
        <v>965</v>
      </c>
      <c r="Y245" s="903" t="s">
        <v>966</v>
      </c>
      <c r="Z245" s="2146" t="s">
        <v>967</v>
      </c>
      <c r="AA245" s="903" t="s">
        <v>968</v>
      </c>
      <c r="AB245" s="2146" t="s">
        <v>51</v>
      </c>
      <c r="AC245" s="903" t="s">
        <v>52</v>
      </c>
      <c r="AD245" s="2146" t="s">
        <v>30</v>
      </c>
      <c r="AE245" s="903" t="s">
        <v>35</v>
      </c>
      <c r="AF245" s="2146" t="s">
        <v>31</v>
      </c>
      <c r="AG245" s="903" t="s">
        <v>36</v>
      </c>
      <c r="AH245" s="681">
        <f>SUM('7층_부하량(월간_AVG)'!D123:F123)</f>
        <v>0</v>
      </c>
      <c r="AI245" s="676">
        <f>SUM('7층_부하량(월간_AVG)'!D131:F131)</f>
        <v>0</v>
      </c>
      <c r="AJ245" s="1298">
        <f>AH245+AI245</f>
        <v>0</v>
      </c>
      <c r="AK245" s="2816" t="e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5" s="2817" t="e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5" s="3240">
        <f>VLOOKUP(J245&amp;K245,'7층~4층_매핑테이블'!$Y$6:$AF$2020,8,0)</f>
        <v>1.4470000000000001</v>
      </c>
      <c r="AN245" s="3230" t="e">
        <f t="shared" si="69"/>
        <v>#N/A</v>
      </c>
      <c r="AO245" s="2214" t="s">
        <v>9127</v>
      </c>
      <c r="AP245" s="2599" t="s">
        <v>1026</v>
      </c>
      <c r="AR245" s="2351" t="e">
        <f t="shared" si="70"/>
        <v>#N/A</v>
      </c>
      <c r="AS245" s="2351" t="e">
        <f t="shared" si="71"/>
        <v>#N/A</v>
      </c>
      <c r="AT245" s="123" t="e">
        <f t="shared" ref="AT245:AT252" si="79">IF(SIGN(AS245)&gt;=0,IF(AN245=0,"무부하 랙","적정함"),"사용초과")</f>
        <v>#N/A</v>
      </c>
      <c r="AU245" t="e">
        <f t="shared" si="75"/>
        <v>#N/A</v>
      </c>
      <c r="AV245" t="e">
        <f t="shared" si="76"/>
        <v>#N/A</v>
      </c>
      <c r="BA245" s="123"/>
      <c r="BB245" s="123"/>
      <c r="BC245" s="123"/>
      <c r="BD245" s="2997"/>
      <c r="BE245" s="123"/>
      <c r="BF245" s="2998"/>
      <c r="BG245" s="2999"/>
      <c r="BH245" s="3005"/>
      <c r="BI245" s="3000"/>
      <c r="BJ245" s="3001"/>
      <c r="BK245" s="3002"/>
      <c r="BL245" s="3003"/>
      <c r="BM245" s="3004"/>
    </row>
    <row r="246" spans="1:65" ht="62.4" x14ac:dyDescent="0.25">
      <c r="A246" s="2854"/>
      <c r="B246" s="2564" t="s">
        <v>1098</v>
      </c>
      <c r="C246" s="2565" t="s">
        <v>1099</v>
      </c>
      <c r="D246" s="2564" t="s">
        <v>9264</v>
      </c>
      <c r="E246" s="2960">
        <v>2.2000000000000002</v>
      </c>
      <c r="F246" s="2564" t="s">
        <v>27</v>
      </c>
      <c r="G246" s="2564"/>
      <c r="H246" s="1825" t="s">
        <v>9130</v>
      </c>
      <c r="I246" s="1833" t="s">
        <v>9131</v>
      </c>
      <c r="J246" s="1825" t="str">
        <f t="shared" si="77"/>
        <v>7-DaHall 1-RPP-03-50-5</v>
      </c>
      <c r="K246" s="1833" t="str">
        <f t="shared" si="78"/>
        <v>7-DaHall 1-RPP-04-50-5</v>
      </c>
      <c r="L246" s="1827">
        <v>220</v>
      </c>
      <c r="M246" s="1828">
        <v>50</v>
      </c>
      <c r="N246" s="703" t="s">
        <v>9092</v>
      </c>
      <c r="O246" s="1829">
        <v>5</v>
      </c>
      <c r="P246" s="1834">
        <v>220</v>
      </c>
      <c r="Q246" s="1835">
        <v>50</v>
      </c>
      <c r="R246" s="687" t="s">
        <v>9093</v>
      </c>
      <c r="S246" s="1836">
        <v>5</v>
      </c>
      <c r="T246" s="703" t="s">
        <v>1100</v>
      </c>
      <c r="U246" s="687" t="s">
        <v>1101</v>
      </c>
      <c r="V246" s="2594" t="s">
        <v>1102</v>
      </c>
      <c r="W246" s="2578" t="s">
        <v>1103</v>
      </c>
      <c r="X246" s="2146" t="s">
        <v>965</v>
      </c>
      <c r="Y246" s="903" t="s">
        <v>966</v>
      </c>
      <c r="Z246" s="2146" t="s">
        <v>967</v>
      </c>
      <c r="AA246" s="903" t="s">
        <v>968</v>
      </c>
      <c r="AB246" s="2146" t="s">
        <v>51</v>
      </c>
      <c r="AC246" s="903" t="s">
        <v>52</v>
      </c>
      <c r="AD246" s="2146" t="s">
        <v>30</v>
      </c>
      <c r="AE246" s="903" t="s">
        <v>35</v>
      </c>
      <c r="AF246" s="2146" t="s">
        <v>31</v>
      </c>
      <c r="AG246" s="903" t="s">
        <v>36</v>
      </c>
      <c r="AH246" s="681">
        <f>SUM('7층_부하량(월간_AVG)'!D122:F122)</f>
        <v>0</v>
      </c>
      <c r="AI246" s="676">
        <f>SUM('7층_부하량(월간_AVG)'!D130:F130)</f>
        <v>0</v>
      </c>
      <c r="AJ246" s="1298">
        <f>AH246+AI246</f>
        <v>0</v>
      </c>
      <c r="AK246" s="2816" t="e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6" s="2817" t="e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6" s="3240">
        <f>VLOOKUP(J246&amp;K246,'7층~4층_매핑테이블'!$Y$6:$AF$2020,8,0)</f>
        <v>1.649</v>
      </c>
      <c r="AN246" s="3230" t="e">
        <f t="shared" si="69"/>
        <v>#N/A</v>
      </c>
      <c r="AO246" s="2593" t="s">
        <v>1069</v>
      </c>
      <c r="AP246" s="2599"/>
      <c r="AR246" s="2351" t="e">
        <f t="shared" si="70"/>
        <v>#N/A</v>
      </c>
      <c r="AS246" s="2351" t="e">
        <f t="shared" si="71"/>
        <v>#N/A</v>
      </c>
      <c r="AT246" s="123" t="e">
        <f t="shared" si="79"/>
        <v>#N/A</v>
      </c>
      <c r="AU246" t="e">
        <f t="shared" si="75"/>
        <v>#N/A</v>
      </c>
      <c r="AV246" t="e">
        <f t="shared" si="76"/>
        <v>#N/A</v>
      </c>
      <c r="BA246" s="123"/>
      <c r="BB246" s="123"/>
      <c r="BC246" s="123"/>
      <c r="BD246" s="2997"/>
      <c r="BE246" s="123"/>
      <c r="BF246" s="2998"/>
      <c r="BG246" s="2999"/>
      <c r="BH246" s="3005"/>
      <c r="BI246" s="3000"/>
      <c r="BJ246" s="3001"/>
      <c r="BK246" s="3002"/>
      <c r="BL246" s="3003"/>
      <c r="BM246" s="3004"/>
    </row>
    <row r="247" spans="1:65" ht="62.4" x14ac:dyDescent="0.25">
      <c r="A247" s="2854"/>
      <c r="B247" s="2564" t="s">
        <v>1104</v>
      </c>
      <c r="C247" s="2565" t="s">
        <v>1105</v>
      </c>
      <c r="D247" s="2564" t="s">
        <v>9264</v>
      </c>
      <c r="E247" s="2958">
        <v>2.2000000000000002</v>
      </c>
      <c r="F247" s="2564" t="s">
        <v>27</v>
      </c>
      <c r="G247" s="2564"/>
      <c r="H247" s="1825" t="s">
        <v>9132</v>
      </c>
      <c r="I247" s="1833" t="s">
        <v>9133</v>
      </c>
      <c r="J247" s="1825" t="str">
        <f t="shared" si="77"/>
        <v>7-DaHall 1-RPP-03-50-3</v>
      </c>
      <c r="K247" s="1833" t="str">
        <f t="shared" si="78"/>
        <v>7-DaHall 1-RPP-04-50-3</v>
      </c>
      <c r="L247" s="1827">
        <v>220</v>
      </c>
      <c r="M247" s="1828">
        <v>50</v>
      </c>
      <c r="N247" s="703" t="s">
        <v>9092</v>
      </c>
      <c r="O247" s="1829">
        <v>3</v>
      </c>
      <c r="P247" s="1834">
        <v>220</v>
      </c>
      <c r="Q247" s="1835">
        <v>50</v>
      </c>
      <c r="R247" s="687" t="s">
        <v>9093</v>
      </c>
      <c r="S247" s="1836">
        <v>3</v>
      </c>
      <c r="T247" s="703" t="s">
        <v>1106</v>
      </c>
      <c r="U247" s="687" t="s">
        <v>1107</v>
      </c>
      <c r="V247" s="2594" t="s">
        <v>1108</v>
      </c>
      <c r="W247" s="2578" t="s">
        <v>1109</v>
      </c>
      <c r="X247" s="2146" t="s">
        <v>965</v>
      </c>
      <c r="Y247" s="903" t="s">
        <v>966</v>
      </c>
      <c r="Z247" s="2146" t="s">
        <v>967</v>
      </c>
      <c r="AA247" s="903" t="s">
        <v>968</v>
      </c>
      <c r="AB247" s="2146" t="s">
        <v>51</v>
      </c>
      <c r="AC247" s="903" t="s">
        <v>52</v>
      </c>
      <c r="AD247" s="2146" t="s">
        <v>30</v>
      </c>
      <c r="AE247" s="903" t="s">
        <v>35</v>
      </c>
      <c r="AF247" s="2146" t="s">
        <v>31</v>
      </c>
      <c r="AG247" s="903" t="s">
        <v>36</v>
      </c>
      <c r="AH247" s="681">
        <f>SUM('7층_부하량(월간_AVG)'!D121:F121)</f>
        <v>0</v>
      </c>
      <c r="AI247" s="676">
        <f>SUM('7층_부하량(월간_AVG)'!D129:F129)</f>
        <v>0</v>
      </c>
      <c r="AJ247" s="1298">
        <f>AH247+AI247</f>
        <v>0</v>
      </c>
      <c r="AK247" s="2816" t="e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7" s="2817" t="e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7" s="3240">
        <f>VLOOKUP(J247&amp;K247,'7층~4층_매핑테이블'!$Y$6:$AF$2020,8,0)</f>
        <v>1.2389999999999999</v>
      </c>
      <c r="AN247" s="3230" t="e">
        <f t="shared" si="69"/>
        <v>#N/A</v>
      </c>
      <c r="AO247" s="2593" t="s">
        <v>1069</v>
      </c>
      <c r="AP247" s="2599"/>
      <c r="AR247" s="2351" t="e">
        <f t="shared" si="70"/>
        <v>#N/A</v>
      </c>
      <c r="AS247" s="2351" t="e">
        <f t="shared" si="71"/>
        <v>#N/A</v>
      </c>
      <c r="AT247" s="123" t="e">
        <f t="shared" si="79"/>
        <v>#N/A</v>
      </c>
      <c r="AU247" t="e">
        <f t="shared" si="75"/>
        <v>#N/A</v>
      </c>
      <c r="AV247" t="e">
        <f t="shared" si="76"/>
        <v>#N/A</v>
      </c>
      <c r="BA247" s="123"/>
      <c r="BB247" s="123"/>
      <c r="BC247" s="123"/>
      <c r="BD247" s="2997"/>
      <c r="BE247" s="123"/>
      <c r="BF247" s="2998"/>
      <c r="BG247" s="2999"/>
      <c r="BH247" s="3005"/>
      <c r="BI247" s="3000"/>
      <c r="BJ247" s="3001"/>
      <c r="BK247" s="3002"/>
      <c r="BL247" s="3003"/>
      <c r="BM247" s="3004"/>
    </row>
    <row r="248" spans="1:65" ht="63" thickBot="1" x14ac:dyDescent="0.3">
      <c r="A248" s="2854"/>
      <c r="B248" s="2569" t="s">
        <v>1110</v>
      </c>
      <c r="C248" s="3054" t="s">
        <v>1111</v>
      </c>
      <c r="D248" s="2569" t="s">
        <v>9264</v>
      </c>
      <c r="E248" s="3055">
        <v>2.2000000000000002</v>
      </c>
      <c r="F248" s="2569" t="s">
        <v>27</v>
      </c>
      <c r="G248" s="2569"/>
      <c r="H248" s="1921" t="s">
        <v>9134</v>
      </c>
      <c r="I248" s="1922" t="s">
        <v>9135</v>
      </c>
      <c r="J248" s="1921" t="str">
        <f t="shared" si="77"/>
        <v>7-DaHall 1-RPP-03-50-1</v>
      </c>
      <c r="K248" s="1922" t="str">
        <f t="shared" si="78"/>
        <v>7-DaHall 1-RPP-04-50-1</v>
      </c>
      <c r="L248" s="3056">
        <v>220</v>
      </c>
      <c r="M248" s="3057">
        <v>50</v>
      </c>
      <c r="N248" s="1059" t="s">
        <v>9092</v>
      </c>
      <c r="O248" s="3058">
        <v>1</v>
      </c>
      <c r="P248" s="2264">
        <v>220</v>
      </c>
      <c r="Q248" s="1927">
        <v>50</v>
      </c>
      <c r="R248" s="1058" t="s">
        <v>9093</v>
      </c>
      <c r="S248" s="1928">
        <v>1</v>
      </c>
      <c r="T248" s="1059" t="s">
        <v>1112</v>
      </c>
      <c r="U248" s="1058" t="s">
        <v>1113</v>
      </c>
      <c r="V248" s="2558" t="s">
        <v>1114</v>
      </c>
      <c r="W248" s="2560" t="s">
        <v>1115</v>
      </c>
      <c r="X248" s="2146" t="s">
        <v>965</v>
      </c>
      <c r="Y248" s="903" t="s">
        <v>966</v>
      </c>
      <c r="Z248" s="2146" t="s">
        <v>967</v>
      </c>
      <c r="AA248" s="903" t="s">
        <v>968</v>
      </c>
      <c r="AB248" s="2146" t="s">
        <v>51</v>
      </c>
      <c r="AC248" s="903" t="s">
        <v>52</v>
      </c>
      <c r="AD248" s="2146" t="s">
        <v>30</v>
      </c>
      <c r="AE248" s="903" t="s">
        <v>35</v>
      </c>
      <c r="AF248" s="2146" t="s">
        <v>31</v>
      </c>
      <c r="AG248" s="903" t="s">
        <v>36</v>
      </c>
      <c r="AH248" s="1065">
        <f>SUM('7층_부하량(월간_AVG)'!D120:F120)</f>
        <v>0</v>
      </c>
      <c r="AI248" s="1061">
        <f>SUM('7층_부하량(월간_AVG)'!D128:F128)</f>
        <v>0</v>
      </c>
      <c r="AJ248" s="2913">
        <f t="shared" ref="AJ248:AJ282" si="80">AH248+AI248</f>
        <v>0</v>
      </c>
      <c r="AK248" s="3059" t="e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8" s="3060" t="e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8" s="3240">
        <f>VLOOKUP(J248&amp;K248,'7층~4층_매핑테이블'!$Y$6:$AF$2020,8,0)</f>
        <v>1.3460000000000001</v>
      </c>
      <c r="AN248" s="3232" t="e">
        <f t="shared" si="69"/>
        <v>#N/A</v>
      </c>
      <c r="AO248" s="1051" t="s">
        <v>1069</v>
      </c>
      <c r="AP248" s="2585"/>
      <c r="AR248" s="2351" t="e">
        <f t="shared" si="70"/>
        <v>#N/A</v>
      </c>
      <c r="AS248" s="2351" t="e">
        <f t="shared" si="71"/>
        <v>#N/A</v>
      </c>
      <c r="AT248" s="123" t="e">
        <f t="shared" si="79"/>
        <v>#N/A</v>
      </c>
      <c r="AU248" t="e">
        <f t="shared" si="75"/>
        <v>#N/A</v>
      </c>
      <c r="AV248" t="e">
        <f t="shared" si="76"/>
        <v>#N/A</v>
      </c>
      <c r="BA248" s="123"/>
      <c r="BB248" s="123"/>
      <c r="BC248" s="123"/>
      <c r="BD248" s="2997"/>
      <c r="BE248" s="123"/>
      <c r="BF248" s="2998"/>
      <c r="BG248" s="2999"/>
      <c r="BH248" s="3005"/>
      <c r="BI248" s="3000"/>
      <c r="BJ248" s="3001"/>
      <c r="BK248" s="3002"/>
      <c r="BL248" s="3003"/>
      <c r="BM248" s="3004"/>
    </row>
    <row r="249" spans="1:65" x14ac:dyDescent="0.25">
      <c r="A249" s="3075"/>
      <c r="B249" s="882" t="s">
        <v>9304</v>
      </c>
      <c r="C249" s="3076"/>
      <c r="D249" s="3094" t="s">
        <v>9299</v>
      </c>
      <c r="E249" s="3077"/>
      <c r="F249" s="672"/>
      <c r="G249" s="672"/>
      <c r="H249" s="1929"/>
      <c r="I249" s="1930"/>
      <c r="J249" s="1929"/>
      <c r="K249" s="1930"/>
      <c r="L249" s="2006"/>
      <c r="M249" s="2007"/>
      <c r="N249" s="893"/>
      <c r="O249" s="2008"/>
      <c r="P249" s="2005"/>
      <c r="Q249" s="1935"/>
      <c r="R249" s="704"/>
      <c r="S249" s="1936"/>
      <c r="T249" s="893"/>
      <c r="U249" s="704"/>
      <c r="V249" s="893"/>
      <c r="W249" s="704"/>
      <c r="X249" s="3078"/>
      <c r="Y249" s="3079"/>
      <c r="Z249" s="3078"/>
      <c r="AA249" s="3079"/>
      <c r="AB249" s="3078"/>
      <c r="AC249" s="3079"/>
      <c r="AD249" s="3078"/>
      <c r="AE249" s="3079"/>
      <c r="AF249" s="3078"/>
      <c r="AG249" s="3079"/>
      <c r="AH249" s="3080"/>
      <c r="AI249" s="3081"/>
      <c r="AJ249" s="3082"/>
      <c r="AK249" s="3083"/>
      <c r="AL249" s="3084"/>
      <c r="AM249" s="3240"/>
      <c r="AN249" s="3233"/>
      <c r="AO249" s="699"/>
      <c r="AP249" s="674"/>
      <c r="AR249" s="2351"/>
      <c r="AS249" s="2351"/>
      <c r="AT249" s="123"/>
      <c r="AU249" t="str">
        <f t="shared" si="75"/>
        <v/>
      </c>
      <c r="AV249" t="str">
        <f t="shared" si="76"/>
        <v/>
      </c>
      <c r="BA249" s="123"/>
      <c r="BB249" s="123"/>
      <c r="BC249" s="123"/>
      <c r="BD249" s="2997"/>
      <c r="BE249" s="123"/>
      <c r="BF249" s="2998"/>
      <c r="BG249" s="2999"/>
      <c r="BH249" s="3005"/>
      <c r="BI249" s="3000"/>
      <c r="BJ249" s="3001"/>
      <c r="BK249" s="3002"/>
      <c r="BL249" s="3003"/>
      <c r="BM249" s="3004"/>
    </row>
    <row r="250" spans="1:65" ht="16.2" thickBot="1" x14ac:dyDescent="0.3">
      <c r="A250" s="3085"/>
      <c r="B250" s="2598" t="s">
        <v>9305</v>
      </c>
      <c r="C250" s="2596"/>
      <c r="D250" s="3095" t="s">
        <v>9299</v>
      </c>
      <c r="E250" s="3086"/>
      <c r="F250" s="2595"/>
      <c r="G250" s="2595"/>
      <c r="H250" s="1994"/>
      <c r="I250" s="1995"/>
      <c r="J250" s="1994"/>
      <c r="K250" s="1995"/>
      <c r="L250" s="1996"/>
      <c r="M250" s="1997"/>
      <c r="N250" s="894"/>
      <c r="O250" s="1998"/>
      <c r="P250" s="1999"/>
      <c r="Q250" s="2000"/>
      <c r="R250" s="907"/>
      <c r="S250" s="2001"/>
      <c r="T250" s="894"/>
      <c r="U250" s="907"/>
      <c r="V250" s="894"/>
      <c r="W250" s="907"/>
      <c r="X250" s="3087"/>
      <c r="Y250" s="3088"/>
      <c r="Z250" s="3087"/>
      <c r="AA250" s="3088"/>
      <c r="AB250" s="3087"/>
      <c r="AC250" s="3088"/>
      <c r="AD250" s="3087"/>
      <c r="AE250" s="3088"/>
      <c r="AF250" s="3087"/>
      <c r="AG250" s="3088"/>
      <c r="AH250" s="3089"/>
      <c r="AI250" s="3090"/>
      <c r="AJ250" s="3091"/>
      <c r="AK250" s="3092"/>
      <c r="AL250" s="3093"/>
      <c r="AM250" s="3240"/>
      <c r="AN250" s="3234"/>
      <c r="AO250" s="698"/>
      <c r="AP250" s="679"/>
      <c r="AR250" s="2351"/>
      <c r="AS250" s="2351"/>
      <c r="AT250" s="123"/>
      <c r="AU250" t="str">
        <f t="shared" si="75"/>
        <v/>
      </c>
      <c r="AV250" t="str">
        <f t="shared" si="76"/>
        <v/>
      </c>
      <c r="BA250" s="123"/>
      <c r="BB250" s="123"/>
      <c r="BC250" s="123"/>
      <c r="BD250" s="2997"/>
      <c r="BE250" s="123"/>
      <c r="BF250" s="2998"/>
      <c r="BG250" s="2999"/>
      <c r="BH250" s="3005"/>
      <c r="BI250" s="3000"/>
      <c r="BJ250" s="3001"/>
      <c r="BK250" s="3002"/>
      <c r="BL250" s="3003"/>
      <c r="BM250" s="3004"/>
    </row>
    <row r="251" spans="1:65" ht="47.4" thickBot="1" x14ac:dyDescent="0.3">
      <c r="A251" s="3061"/>
      <c r="B251" s="3062"/>
      <c r="C251" s="3063"/>
      <c r="D251" s="2577" t="s">
        <v>1116</v>
      </c>
      <c r="E251" s="2963">
        <v>2.2000000000000002</v>
      </c>
      <c r="F251" s="2570" t="s">
        <v>27</v>
      </c>
      <c r="G251" s="2570"/>
      <c r="H251" s="3064"/>
      <c r="I251" s="3065" t="s">
        <v>9136</v>
      </c>
      <c r="J251" s="3064"/>
      <c r="K251" s="3065" t="str">
        <f t="shared" si="78"/>
        <v>7-DaHall 1-PDU-02-30-49</v>
      </c>
      <c r="L251" s="3066"/>
      <c r="M251" s="3067"/>
      <c r="N251" s="909"/>
      <c r="O251" s="3068"/>
      <c r="P251" s="1934">
        <v>220</v>
      </c>
      <c r="Q251" s="3069">
        <v>30</v>
      </c>
      <c r="R251" s="2111" t="s">
        <v>8750</v>
      </c>
      <c r="S251" s="3070">
        <v>49</v>
      </c>
      <c r="T251" s="1044"/>
      <c r="U251" s="2111" t="s">
        <v>1117</v>
      </c>
      <c r="V251" s="1056"/>
      <c r="W251" s="1056"/>
      <c r="X251" s="1056"/>
      <c r="Y251" s="1056"/>
      <c r="Z251" s="1056"/>
      <c r="AA251" s="1056"/>
      <c r="AB251" s="1056"/>
      <c r="AC251" s="2868" t="s">
        <v>783</v>
      </c>
      <c r="AD251" s="1056"/>
      <c r="AE251" s="2868" t="s">
        <v>289</v>
      </c>
      <c r="AF251" s="3071"/>
      <c r="AG251" s="2868" t="s">
        <v>36</v>
      </c>
      <c r="AH251" s="3072"/>
      <c r="AI251" s="1302">
        <f>SUM('7층_부하량(월간_AVG)'!D55:F55)</f>
        <v>0</v>
      </c>
      <c r="AJ251" s="2914">
        <f t="shared" si="80"/>
        <v>0</v>
      </c>
      <c r="AK251" s="3073"/>
      <c r="AL251" s="3074" t="e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51" s="3240">
        <f>VLOOKUP(J251&amp;K251,'7층~4층_매핑테이블'!$Y$6:$AF$2020,8,0)</f>
        <v>0.158</v>
      </c>
      <c r="AN251" s="3235" t="e">
        <f t="shared" si="69"/>
        <v>#N/A</v>
      </c>
      <c r="AO251" s="1057"/>
      <c r="AP251" s="2586"/>
      <c r="AR251" s="2351" t="e">
        <f t="shared" si="70"/>
        <v>#N/A</v>
      </c>
      <c r="AS251" s="2351" t="e">
        <f t="shared" si="71"/>
        <v>#N/A</v>
      </c>
      <c r="AT251" s="123" t="e">
        <f t="shared" si="79"/>
        <v>#N/A</v>
      </c>
      <c r="AU251" t="e">
        <f t="shared" si="75"/>
        <v>#N/A</v>
      </c>
      <c r="AV251" t="e">
        <f t="shared" si="76"/>
        <v>#N/A</v>
      </c>
      <c r="BA251" s="123"/>
      <c r="BB251" s="123"/>
      <c r="BC251" s="123"/>
      <c r="BD251" s="2997"/>
      <c r="BE251" s="123"/>
      <c r="BF251" s="2998"/>
      <c r="BG251" s="2999"/>
      <c r="BH251" s="3005"/>
      <c r="BI251" s="3000"/>
      <c r="BJ251" s="3001"/>
      <c r="BK251" s="3002"/>
      <c r="BL251" s="3003"/>
      <c r="BM251" s="3004"/>
    </row>
    <row r="252" spans="1:65" ht="46.8" x14ac:dyDescent="0.25">
      <c r="A252" s="2257"/>
      <c r="B252" s="2258"/>
      <c r="C252" s="2259"/>
      <c r="D252" s="2878" t="s">
        <v>1118</v>
      </c>
      <c r="E252" s="2958">
        <v>2.2000000000000002</v>
      </c>
      <c r="F252" s="2569" t="s">
        <v>27</v>
      </c>
      <c r="G252" s="2569"/>
      <c r="H252" s="2260"/>
      <c r="I252" s="1833" t="s">
        <v>9137</v>
      </c>
      <c r="J252" s="2260"/>
      <c r="K252" s="1833" t="str">
        <f t="shared" si="78"/>
        <v>7-DaHall 1-PDU-02-30-51</v>
      </c>
      <c r="L252" s="2261"/>
      <c r="M252" s="1959"/>
      <c r="N252" s="2262"/>
      <c r="O252" s="2263"/>
      <c r="P252" s="2264">
        <v>220</v>
      </c>
      <c r="Q252" s="1927">
        <v>30</v>
      </c>
      <c r="R252" s="1058" t="s">
        <v>8750</v>
      </c>
      <c r="S252" s="1928">
        <v>51</v>
      </c>
      <c r="T252" s="1059"/>
      <c r="U252" s="1058" t="s">
        <v>1119</v>
      </c>
      <c r="V252" s="1060"/>
      <c r="W252" s="1060"/>
      <c r="X252" s="1060"/>
      <c r="Y252" s="1060"/>
      <c r="Z252" s="1060"/>
      <c r="AA252" s="1060"/>
      <c r="AB252" s="1060"/>
      <c r="AC252" s="2849" t="s">
        <v>783</v>
      </c>
      <c r="AD252" s="732"/>
      <c r="AE252" s="2849" t="s">
        <v>289</v>
      </c>
      <c r="AF252" s="2256"/>
      <c r="AG252" s="2849" t="s">
        <v>36</v>
      </c>
      <c r="AH252" s="2265"/>
      <c r="AI252" s="1061">
        <f>SUM('7층_부하량(월간_AVG)'!D56:F56)</f>
        <v>0</v>
      </c>
      <c r="AJ252" s="2913">
        <f t="shared" si="80"/>
        <v>0</v>
      </c>
      <c r="AK252" s="2816"/>
      <c r="AL252" s="2817" t="e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52" s="3240">
        <f>VLOOKUP(J252&amp;K252,'7층~4층_매핑테이블'!$Y$6:$AF$2020,8,0)</f>
        <v>0.108</v>
      </c>
      <c r="AN252" s="3230" t="e">
        <f t="shared" si="69"/>
        <v>#N/A</v>
      </c>
      <c r="AO252" s="1051"/>
      <c r="AP252" s="2585"/>
      <c r="AR252" s="2351" t="e">
        <f t="shared" si="70"/>
        <v>#N/A</v>
      </c>
      <c r="AS252" s="2351" t="e">
        <f t="shared" si="71"/>
        <v>#N/A</v>
      </c>
      <c r="AT252" s="123" t="e">
        <f t="shared" si="79"/>
        <v>#N/A</v>
      </c>
      <c r="AU252" t="e">
        <f t="shared" si="75"/>
        <v>#N/A</v>
      </c>
      <c r="AV252" t="e">
        <f t="shared" si="76"/>
        <v>#N/A</v>
      </c>
      <c r="BA252" s="123"/>
      <c r="BB252" s="123"/>
      <c r="BC252" s="123"/>
      <c r="BD252" s="2997"/>
      <c r="BE252" s="123"/>
      <c r="BF252" s="2998"/>
      <c r="BG252" s="2999"/>
      <c r="BH252" s="3005"/>
      <c r="BI252" s="3000"/>
      <c r="BJ252" s="3001"/>
      <c r="BK252" s="3002"/>
      <c r="BL252" s="3003"/>
      <c r="BM252" s="3004"/>
    </row>
    <row r="253" spans="1:65" ht="27.75" customHeight="1" thickBot="1" x14ac:dyDescent="0.3">
      <c r="A253" s="2266"/>
      <c r="B253" s="2267"/>
      <c r="C253" s="2268"/>
      <c r="D253" s="734" t="s">
        <v>1120</v>
      </c>
      <c r="E253" s="734"/>
      <c r="F253" s="2595"/>
      <c r="G253" s="2595"/>
      <c r="H253" s="1994" t="s">
        <v>9138</v>
      </c>
      <c r="I253" s="1851"/>
      <c r="J253" s="1994" t="str">
        <f t="shared" ref="J253:J266" si="81">"7-DaHall 1-"&amp;N253&amp;"-"&amp;M253&amp;"-"&amp;O253</f>
        <v>7-DaHall 1-PDU-03-225-2</v>
      </c>
      <c r="K253" s="1851"/>
      <c r="L253" s="1996">
        <v>220</v>
      </c>
      <c r="M253" s="1997">
        <v>225</v>
      </c>
      <c r="N253" s="894" t="s">
        <v>8741</v>
      </c>
      <c r="O253" s="1998">
        <v>2</v>
      </c>
      <c r="P253" s="1852"/>
      <c r="Q253" s="1842"/>
      <c r="R253" s="896"/>
      <c r="S253" s="1843"/>
      <c r="T253" s="894"/>
      <c r="U253" s="907"/>
      <c r="V253" s="2596"/>
      <c r="W253" s="2596"/>
      <c r="X253" s="2596"/>
      <c r="Y253" s="2596"/>
      <c r="Z253" s="2596"/>
      <c r="AA253" s="2596"/>
      <c r="AB253" s="2596"/>
      <c r="AC253" s="892"/>
      <c r="AD253" s="2596"/>
      <c r="AE253" s="892"/>
      <c r="AF253" s="2244"/>
      <c r="AG253" s="892"/>
      <c r="AH253" s="690">
        <f>SUM('7층_부하량(월간_AVG)'!N138:P138)</f>
        <v>0</v>
      </c>
      <c r="AI253" s="930"/>
      <c r="AJ253" s="1322">
        <f t="shared" si="80"/>
        <v>0</v>
      </c>
      <c r="AK253" s="2842"/>
      <c r="AL253" s="2843"/>
      <c r="AM253" s="3240">
        <f>VLOOKUP(J253&amp;K253,'7층~4층_매핑테이블'!$Y$6:$AF$2020,8,0)</f>
        <v>3.02</v>
      </c>
      <c r="AN253" s="3230">
        <f t="shared" si="69"/>
        <v>0</v>
      </c>
      <c r="AO253" s="698"/>
      <c r="AP253" s="679"/>
      <c r="AR253" s="2351">
        <f t="shared" si="70"/>
        <v>0</v>
      </c>
      <c r="AS253" s="2351">
        <f t="shared" si="71"/>
        <v>0</v>
      </c>
      <c r="AT253" s="123" t="str">
        <f t="shared" si="72"/>
        <v>미사용 랙</v>
      </c>
      <c r="AU253" t="str">
        <f t="shared" si="75"/>
        <v/>
      </c>
      <c r="AV253" t="str">
        <f t="shared" si="76"/>
        <v/>
      </c>
      <c r="BA253" s="123"/>
      <c r="BB253" s="123"/>
      <c r="BC253" s="123"/>
      <c r="BD253" s="2997"/>
      <c r="BE253" s="123"/>
      <c r="BF253" s="2998"/>
      <c r="BG253" s="2999"/>
      <c r="BH253" s="3005"/>
      <c r="BI253" s="3000"/>
      <c r="BJ253" s="3001"/>
      <c r="BK253" s="3002"/>
      <c r="BL253" s="3003"/>
      <c r="BM253" s="3004"/>
    </row>
    <row r="254" spans="1:65" ht="27" customHeight="1" x14ac:dyDescent="0.25">
      <c r="A254" s="2866" t="s">
        <v>1121</v>
      </c>
      <c r="B254" s="1046"/>
      <c r="C254" s="2570"/>
      <c r="D254" s="2570"/>
      <c r="E254" s="2570"/>
      <c r="F254" s="2570" t="s">
        <v>773</v>
      </c>
      <c r="G254" s="2570"/>
      <c r="H254" s="2004" t="s">
        <v>9139</v>
      </c>
      <c r="I254" s="1968"/>
      <c r="J254" s="2004" t="str">
        <f t="shared" si="81"/>
        <v>7-DaHall 1-RPP-01-20-1</v>
      </c>
      <c r="K254" s="1968"/>
      <c r="L254" s="1931">
        <v>220</v>
      </c>
      <c r="M254" s="1932">
        <v>20</v>
      </c>
      <c r="N254" s="1044" t="s">
        <v>8775</v>
      </c>
      <c r="O254" s="1933">
        <v>1</v>
      </c>
      <c r="P254" s="1970"/>
      <c r="Q254" s="1948"/>
      <c r="R254" s="954"/>
      <c r="S254" s="1881"/>
      <c r="T254" s="1044" t="s">
        <v>1122</v>
      </c>
      <c r="U254" s="954"/>
      <c r="V254" s="2559" t="s">
        <v>1123</v>
      </c>
      <c r="W254" s="909"/>
      <c r="X254" s="2844" t="s">
        <v>450</v>
      </c>
      <c r="Y254" s="909"/>
      <c r="Z254" s="2844" t="s">
        <v>451</v>
      </c>
      <c r="AA254" s="909"/>
      <c r="AB254" s="2844" t="s">
        <v>452</v>
      </c>
      <c r="AC254" s="909"/>
      <c r="AD254" s="2844" t="s">
        <v>30</v>
      </c>
      <c r="AE254" s="909"/>
      <c r="AF254" s="2844" t="s">
        <v>31</v>
      </c>
      <c r="AG254" s="909"/>
      <c r="AH254" s="1045">
        <f>SUM('7층_부하량(월간_AVG)'!D6:F6)</f>
        <v>0</v>
      </c>
      <c r="AI254" s="1047"/>
      <c r="AJ254" s="1323">
        <f t="shared" si="80"/>
        <v>0</v>
      </c>
      <c r="AK254" s="2816" t="e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4" s="2817"/>
      <c r="AM254" s="3240">
        <f>VLOOKUP(J254&amp;K254,'7층~4층_매핑테이블'!$Y$6:$AF$2020,8,0)</f>
        <v>0</v>
      </c>
      <c r="AN254" s="3230" t="e">
        <f t="shared" si="69"/>
        <v>#N/A</v>
      </c>
      <c r="AO254" s="2589" t="s">
        <v>1124</v>
      </c>
      <c r="AP254" s="2586"/>
      <c r="AR254" s="2351" t="e">
        <f t="shared" si="70"/>
        <v>#N/A</v>
      </c>
      <c r="AS254" s="2351" t="e">
        <f t="shared" si="71"/>
        <v>#N/A</v>
      </c>
      <c r="AT254" s="123" t="e">
        <f t="shared" ref="AT254:AT282" si="82">IF(SIGN(AS254)&gt;=0,IF(AN254=0,"무부하 랙","적정함"),"사용초과")</f>
        <v>#N/A</v>
      </c>
      <c r="AU254" t="e">
        <f t="shared" si="75"/>
        <v>#N/A</v>
      </c>
      <c r="AV254" t="e">
        <f t="shared" si="76"/>
        <v>#N/A</v>
      </c>
      <c r="BA254" s="123"/>
      <c r="BB254" s="123"/>
      <c r="BC254" s="123"/>
      <c r="BD254" s="2997"/>
      <c r="BE254" s="123"/>
      <c r="BF254" s="2998"/>
      <c r="BG254" s="2999"/>
      <c r="BH254" s="3005"/>
      <c r="BI254" s="3000"/>
      <c r="BJ254" s="3001"/>
      <c r="BK254" s="3002"/>
      <c r="BL254" s="3003"/>
      <c r="BM254" s="3004"/>
    </row>
    <row r="255" spans="1:65" ht="62.4" x14ac:dyDescent="0.25">
      <c r="A255" s="2867"/>
      <c r="B255" s="1042"/>
      <c r="C255" s="2564"/>
      <c r="D255" s="2564"/>
      <c r="E255" s="2564"/>
      <c r="F255" s="2564" t="s">
        <v>27</v>
      </c>
      <c r="G255" s="2564"/>
      <c r="H255" s="1825" t="s">
        <v>9140</v>
      </c>
      <c r="I255" s="1851"/>
      <c r="J255" s="1825" t="str">
        <f t="shared" si="81"/>
        <v>7-DaHall 1-RPP-01-30-2</v>
      </c>
      <c r="K255" s="1851"/>
      <c r="L255" s="1827">
        <v>220</v>
      </c>
      <c r="M255" s="1828">
        <v>30</v>
      </c>
      <c r="N255" s="703" t="s">
        <v>8775</v>
      </c>
      <c r="O255" s="1829">
        <v>2</v>
      </c>
      <c r="P255" s="1852"/>
      <c r="Q255" s="1842"/>
      <c r="R255" s="896"/>
      <c r="S255" s="1843"/>
      <c r="T255" s="703" t="s">
        <v>1125</v>
      </c>
      <c r="U255" s="896"/>
      <c r="V255" s="2594" t="s">
        <v>1126</v>
      </c>
      <c r="W255" s="897"/>
      <c r="X255" s="2844" t="s">
        <v>450</v>
      </c>
      <c r="Y255" s="909"/>
      <c r="Z255" s="2844" t="s">
        <v>451</v>
      </c>
      <c r="AA255" s="909"/>
      <c r="AB255" s="2844" t="s">
        <v>452</v>
      </c>
      <c r="AC255" s="909"/>
      <c r="AD255" s="2844" t="s">
        <v>30</v>
      </c>
      <c r="AE255" s="909"/>
      <c r="AF255" s="2844" t="s">
        <v>31</v>
      </c>
      <c r="AG255" s="897"/>
      <c r="AH255" s="681">
        <f>SUM('7층_부하량(월간_AVG)'!N6:P6)</f>
        <v>0</v>
      </c>
      <c r="AI255" s="930"/>
      <c r="AJ255" s="1324">
        <f t="shared" si="80"/>
        <v>0</v>
      </c>
      <c r="AK255" s="2816" t="e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5" s="2817"/>
      <c r="AM255" s="3240">
        <f>VLOOKUP(J255&amp;K255,'7층~4층_매핑테이블'!$Y$6:$AF$2020,8,0)</f>
        <v>0</v>
      </c>
      <c r="AN255" s="3230" t="e">
        <f t="shared" si="69"/>
        <v>#N/A</v>
      </c>
      <c r="AO255" s="959" t="s">
        <v>1127</v>
      </c>
      <c r="AP255" s="2599"/>
      <c r="AR255" s="2351" t="e">
        <f t="shared" si="70"/>
        <v>#N/A</v>
      </c>
      <c r="AS255" s="2351" t="e">
        <f t="shared" si="71"/>
        <v>#N/A</v>
      </c>
      <c r="AT255" s="123" t="e">
        <f t="shared" si="82"/>
        <v>#N/A</v>
      </c>
      <c r="AU255" t="e">
        <f t="shared" si="75"/>
        <v>#N/A</v>
      </c>
      <c r="AV255" t="e">
        <f t="shared" si="76"/>
        <v>#N/A</v>
      </c>
      <c r="BA255" s="123"/>
      <c r="BB255" s="123"/>
      <c r="BC255" s="123"/>
      <c r="BD255" s="2997"/>
      <c r="BE255" s="123"/>
      <c r="BF255" s="2998"/>
      <c r="BG255" s="2999"/>
      <c r="BH255" s="3005"/>
      <c r="BI255" s="3000"/>
      <c r="BJ255" s="3001"/>
      <c r="BK255" s="3002"/>
      <c r="BL255" s="3003"/>
      <c r="BM255" s="3004"/>
    </row>
    <row r="256" spans="1:65" ht="62.4" x14ac:dyDescent="0.25">
      <c r="A256" s="2867"/>
      <c r="B256" s="1042"/>
      <c r="C256" s="2564"/>
      <c r="D256" s="2564"/>
      <c r="E256" s="2564"/>
      <c r="F256" s="2564" t="s">
        <v>27</v>
      </c>
      <c r="G256" s="2564"/>
      <c r="H256" s="1825" t="s">
        <v>9141</v>
      </c>
      <c r="I256" s="1851"/>
      <c r="J256" s="1825" t="str">
        <f t="shared" si="81"/>
        <v>7-DaHall 1-RPP-01-20-3</v>
      </c>
      <c r="K256" s="1851"/>
      <c r="L256" s="1827">
        <v>220</v>
      </c>
      <c r="M256" s="1828">
        <v>20</v>
      </c>
      <c r="N256" s="703" t="s">
        <v>8775</v>
      </c>
      <c r="O256" s="1829">
        <v>3</v>
      </c>
      <c r="P256" s="1852"/>
      <c r="Q256" s="1842"/>
      <c r="R256" s="896"/>
      <c r="S256" s="1843"/>
      <c r="T256" s="703" t="s">
        <v>1128</v>
      </c>
      <c r="U256" s="896"/>
      <c r="V256" s="2594" t="s">
        <v>1129</v>
      </c>
      <c r="W256" s="897"/>
      <c r="X256" s="2844" t="s">
        <v>450</v>
      </c>
      <c r="Y256" s="909"/>
      <c r="Z256" s="2844" t="s">
        <v>451</v>
      </c>
      <c r="AA256" s="909"/>
      <c r="AB256" s="2844" t="s">
        <v>452</v>
      </c>
      <c r="AC256" s="909"/>
      <c r="AD256" s="2844" t="s">
        <v>30</v>
      </c>
      <c r="AE256" s="909"/>
      <c r="AF256" s="2844" t="s">
        <v>31</v>
      </c>
      <c r="AG256" s="897"/>
      <c r="AH256" s="681">
        <f>SUM('7층_부하량(월간_AVG)'!D7:F7)</f>
        <v>0</v>
      </c>
      <c r="AI256" s="930"/>
      <c r="AJ256" s="1324">
        <f t="shared" si="80"/>
        <v>0</v>
      </c>
      <c r="AK256" s="2816" t="e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6" s="2817"/>
      <c r="AM256" s="3240">
        <f>VLOOKUP(J256&amp;K256,'7층~4층_매핑테이블'!$Y$6:$AF$2020,8,0)</f>
        <v>0</v>
      </c>
      <c r="AN256" s="3230" t="e">
        <f t="shared" si="69"/>
        <v>#N/A</v>
      </c>
      <c r="AO256" s="2597" t="s">
        <v>1130</v>
      </c>
      <c r="AP256" s="2599"/>
      <c r="AR256" s="2351" t="e">
        <f t="shared" si="70"/>
        <v>#N/A</v>
      </c>
      <c r="AS256" s="2351" t="e">
        <f t="shared" si="71"/>
        <v>#N/A</v>
      </c>
      <c r="AT256" s="123" t="e">
        <f t="shared" si="82"/>
        <v>#N/A</v>
      </c>
      <c r="AU256" t="e">
        <f t="shared" si="75"/>
        <v>#N/A</v>
      </c>
      <c r="AV256" t="e">
        <f t="shared" si="76"/>
        <v>#N/A</v>
      </c>
      <c r="BA256" s="123"/>
      <c r="BB256" s="123"/>
      <c r="BC256" s="123"/>
      <c r="BD256" s="2997"/>
      <c r="BE256" s="123"/>
      <c r="BF256" s="2998"/>
      <c r="BG256" s="2999"/>
      <c r="BH256" s="3005"/>
      <c r="BI256" s="3000"/>
      <c r="BJ256" s="3001"/>
      <c r="BK256" s="3002"/>
      <c r="BL256" s="3003"/>
      <c r="BM256" s="3004"/>
    </row>
    <row r="257" spans="1:65" ht="62.4" x14ac:dyDescent="0.25">
      <c r="A257" s="2867"/>
      <c r="B257" s="1042"/>
      <c r="C257" s="2564"/>
      <c r="D257" s="2564"/>
      <c r="E257" s="2564"/>
      <c r="F257" s="2564" t="s">
        <v>27</v>
      </c>
      <c r="G257" s="2564"/>
      <c r="H257" s="1825" t="s">
        <v>9142</v>
      </c>
      <c r="I257" s="1851"/>
      <c r="J257" s="1825" t="str">
        <f t="shared" si="81"/>
        <v>7-DaHall 1-RPP-01-20-5</v>
      </c>
      <c r="K257" s="1851"/>
      <c r="L257" s="1827">
        <v>220</v>
      </c>
      <c r="M257" s="1828">
        <v>20</v>
      </c>
      <c r="N257" s="703" t="s">
        <v>8775</v>
      </c>
      <c r="O257" s="1829">
        <v>5</v>
      </c>
      <c r="P257" s="1852"/>
      <c r="Q257" s="1842"/>
      <c r="R257" s="896"/>
      <c r="S257" s="1843"/>
      <c r="T257" s="703" t="s">
        <v>1131</v>
      </c>
      <c r="U257" s="896"/>
      <c r="V257" s="2594" t="s">
        <v>1132</v>
      </c>
      <c r="W257" s="897"/>
      <c r="X257" s="2844" t="s">
        <v>450</v>
      </c>
      <c r="Y257" s="909"/>
      <c r="Z257" s="2844" t="s">
        <v>451</v>
      </c>
      <c r="AA257" s="909"/>
      <c r="AB257" s="2844" t="s">
        <v>452</v>
      </c>
      <c r="AC257" s="909"/>
      <c r="AD257" s="2844" t="s">
        <v>30</v>
      </c>
      <c r="AE257" s="909"/>
      <c r="AF257" s="2844" t="s">
        <v>31</v>
      </c>
      <c r="AG257" s="897"/>
      <c r="AH257" s="681">
        <f>SUM('7층_부하량(월간_AVG)'!D8:F8)</f>
        <v>0</v>
      </c>
      <c r="AI257" s="930"/>
      <c r="AJ257" s="1324">
        <f t="shared" si="80"/>
        <v>0</v>
      </c>
      <c r="AK257" s="2816" t="e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7" s="2817"/>
      <c r="AM257" s="3240">
        <f>VLOOKUP(J257&amp;K257,'7층~4층_매핑테이블'!$Y$6:$AF$2020,8,0)</f>
        <v>0</v>
      </c>
      <c r="AN257" s="3230" t="e">
        <f t="shared" si="69"/>
        <v>#N/A</v>
      </c>
      <c r="AO257" s="2597" t="s">
        <v>1130</v>
      </c>
      <c r="AP257" s="2599"/>
      <c r="AR257" s="2351" t="e">
        <f t="shared" si="70"/>
        <v>#N/A</v>
      </c>
      <c r="AS257" s="2351" t="e">
        <f t="shared" si="71"/>
        <v>#N/A</v>
      </c>
      <c r="AT257" s="123" t="e">
        <f t="shared" si="82"/>
        <v>#N/A</v>
      </c>
      <c r="AU257" t="e">
        <f t="shared" si="75"/>
        <v>#N/A</v>
      </c>
      <c r="AV257" t="e">
        <f t="shared" si="76"/>
        <v>#N/A</v>
      </c>
      <c r="BA257" s="123"/>
      <c r="BB257" s="123"/>
      <c r="BC257" s="123"/>
      <c r="BD257" s="2997"/>
      <c r="BE257" s="123"/>
      <c r="BF257" s="2998"/>
      <c r="BG257" s="2999"/>
      <c r="BH257" s="3005"/>
      <c r="BI257" s="3000"/>
      <c r="BJ257" s="3001"/>
      <c r="BK257" s="3002"/>
      <c r="BL257" s="3003"/>
      <c r="BM257" s="3004"/>
    </row>
    <row r="258" spans="1:65" ht="62.4" x14ac:dyDescent="0.25">
      <c r="A258" s="2867"/>
      <c r="B258" s="1042"/>
      <c r="C258" s="2564"/>
      <c r="D258" s="2564"/>
      <c r="E258" s="2564"/>
      <c r="F258" s="2564" t="s">
        <v>27</v>
      </c>
      <c r="G258" s="2564"/>
      <c r="H258" s="1825" t="s">
        <v>9143</v>
      </c>
      <c r="I258" s="1851"/>
      <c r="J258" s="1825" t="str">
        <f t="shared" si="81"/>
        <v>7-DaHall 1-RPP-01-20-9</v>
      </c>
      <c r="K258" s="1851"/>
      <c r="L258" s="1827">
        <v>220</v>
      </c>
      <c r="M258" s="1828">
        <v>20</v>
      </c>
      <c r="N258" s="703" t="s">
        <v>8775</v>
      </c>
      <c r="O258" s="1829">
        <v>9</v>
      </c>
      <c r="P258" s="1852"/>
      <c r="Q258" s="1842"/>
      <c r="R258" s="896"/>
      <c r="S258" s="1843"/>
      <c r="T258" s="703" t="s">
        <v>1133</v>
      </c>
      <c r="U258" s="896"/>
      <c r="V258" s="2594" t="s">
        <v>1134</v>
      </c>
      <c r="W258" s="897"/>
      <c r="X258" s="2844" t="s">
        <v>450</v>
      </c>
      <c r="Y258" s="909"/>
      <c r="Z258" s="2844" t="s">
        <v>451</v>
      </c>
      <c r="AA258" s="909"/>
      <c r="AB258" s="2844" t="s">
        <v>452</v>
      </c>
      <c r="AC258" s="909"/>
      <c r="AD258" s="2844" t="s">
        <v>30</v>
      </c>
      <c r="AE258" s="909"/>
      <c r="AF258" s="2844" t="s">
        <v>31</v>
      </c>
      <c r="AG258" s="897"/>
      <c r="AH258" s="681">
        <f>SUM('7층_부하량(월간_AVG)'!D10:F10)</f>
        <v>0</v>
      </c>
      <c r="AI258" s="930"/>
      <c r="AJ258" s="1324">
        <f t="shared" si="80"/>
        <v>0</v>
      </c>
      <c r="AK258" s="2816" t="e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8" s="2817"/>
      <c r="AM258" s="3240">
        <f>VLOOKUP(J258&amp;K258,'7층~4층_매핑테이블'!$Y$6:$AF$2020,8,0)</f>
        <v>0</v>
      </c>
      <c r="AN258" s="3230" t="e">
        <f t="shared" si="69"/>
        <v>#N/A</v>
      </c>
      <c r="AO258" s="2597" t="s">
        <v>1135</v>
      </c>
      <c r="AP258" s="2599"/>
      <c r="AR258" s="2351" t="e">
        <f t="shared" si="70"/>
        <v>#N/A</v>
      </c>
      <c r="AS258" s="2351" t="e">
        <f t="shared" si="71"/>
        <v>#N/A</v>
      </c>
      <c r="AT258" s="123" t="e">
        <f t="shared" si="82"/>
        <v>#N/A</v>
      </c>
      <c r="AU258" t="e">
        <f t="shared" si="75"/>
        <v>#N/A</v>
      </c>
      <c r="AV258" t="e">
        <f t="shared" si="76"/>
        <v>#N/A</v>
      </c>
      <c r="BA258" s="123"/>
      <c r="BB258" s="123"/>
      <c r="BC258" s="123"/>
      <c r="BD258" s="2997"/>
      <c r="BE258" s="123"/>
      <c r="BF258" s="2998"/>
      <c r="BG258" s="2999"/>
      <c r="BH258" s="3005"/>
      <c r="BI258" s="3000"/>
      <c r="BJ258" s="3001"/>
      <c r="BK258" s="3002"/>
      <c r="BL258" s="3003"/>
      <c r="BM258" s="3004"/>
    </row>
    <row r="259" spans="1:65" ht="62.4" x14ac:dyDescent="0.25">
      <c r="A259" s="2867"/>
      <c r="B259" s="1042"/>
      <c r="C259" s="2564"/>
      <c r="D259" s="2564"/>
      <c r="E259" s="2564"/>
      <c r="F259" s="2564" t="s">
        <v>27</v>
      </c>
      <c r="G259" s="2564"/>
      <c r="H259" s="1825" t="s">
        <v>9144</v>
      </c>
      <c r="I259" s="1851"/>
      <c r="J259" s="1825" t="str">
        <f t="shared" si="81"/>
        <v>7-DaHall 1-RPP-01-20-13</v>
      </c>
      <c r="K259" s="1851"/>
      <c r="L259" s="1827">
        <v>220</v>
      </c>
      <c r="M259" s="1828">
        <v>20</v>
      </c>
      <c r="N259" s="703" t="s">
        <v>8775</v>
      </c>
      <c r="O259" s="1829">
        <v>13</v>
      </c>
      <c r="P259" s="1852"/>
      <c r="Q259" s="1842"/>
      <c r="R259" s="896"/>
      <c r="S259" s="1843"/>
      <c r="T259" s="703" t="s">
        <v>1136</v>
      </c>
      <c r="U259" s="896"/>
      <c r="V259" s="2594" t="s">
        <v>1137</v>
      </c>
      <c r="W259" s="897"/>
      <c r="X259" s="2844" t="s">
        <v>450</v>
      </c>
      <c r="Y259" s="909"/>
      <c r="Z259" s="2844" t="s">
        <v>451</v>
      </c>
      <c r="AA259" s="909"/>
      <c r="AB259" s="2844" t="s">
        <v>452</v>
      </c>
      <c r="AC259" s="909"/>
      <c r="AD259" s="2844" t="s">
        <v>30</v>
      </c>
      <c r="AE259" s="909"/>
      <c r="AF259" s="2844" t="s">
        <v>31</v>
      </c>
      <c r="AG259" s="897"/>
      <c r="AH259" s="681">
        <f>SUM('7층_부하량(월간_AVG)'!D12:F12)</f>
        <v>0</v>
      </c>
      <c r="AI259" s="930"/>
      <c r="AJ259" s="1324">
        <f t="shared" si="80"/>
        <v>0</v>
      </c>
      <c r="AK259" s="2816" t="e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9" s="2817"/>
      <c r="AM259" s="3240">
        <f>VLOOKUP(J259&amp;K259,'7층~4층_매핑테이블'!$Y$6:$AF$2020,8,0)</f>
        <v>0</v>
      </c>
      <c r="AN259" s="3230" t="e">
        <f t="shared" si="69"/>
        <v>#N/A</v>
      </c>
      <c r="AO259" s="2597" t="s">
        <v>1138</v>
      </c>
      <c r="AP259" s="2599"/>
      <c r="AR259" s="2351" t="e">
        <f t="shared" si="70"/>
        <v>#N/A</v>
      </c>
      <c r="AS259" s="2351" t="e">
        <f t="shared" si="71"/>
        <v>#N/A</v>
      </c>
      <c r="AT259" s="123" t="e">
        <f t="shared" si="82"/>
        <v>#N/A</v>
      </c>
      <c r="AU259" t="e">
        <f t="shared" si="75"/>
        <v>#N/A</v>
      </c>
      <c r="AV259" t="e">
        <f t="shared" si="76"/>
        <v>#N/A</v>
      </c>
      <c r="BA259" s="123"/>
      <c r="BB259" s="123"/>
      <c r="BC259" s="123"/>
      <c r="BD259" s="2997"/>
      <c r="BE259" s="123"/>
      <c r="BF259" s="2998"/>
      <c r="BG259" s="2999"/>
      <c r="BH259" s="3005"/>
      <c r="BI259" s="3000"/>
      <c r="BJ259" s="3001"/>
      <c r="BK259" s="3002"/>
      <c r="BL259" s="3003"/>
      <c r="BM259" s="3004"/>
    </row>
    <row r="260" spans="1:65" ht="62.4" x14ac:dyDescent="0.25">
      <c r="A260" s="2867"/>
      <c r="B260" s="1042"/>
      <c r="C260" s="2564"/>
      <c r="D260" s="2564"/>
      <c r="E260" s="2564"/>
      <c r="F260" s="2564" t="s">
        <v>27</v>
      </c>
      <c r="G260" s="2564"/>
      <c r="H260" s="1825" t="s">
        <v>9145</v>
      </c>
      <c r="I260" s="1851"/>
      <c r="J260" s="1825" t="str">
        <f t="shared" si="81"/>
        <v>7-DaHall 1-RPP-01-20-15</v>
      </c>
      <c r="K260" s="1851"/>
      <c r="L260" s="1827">
        <v>220</v>
      </c>
      <c r="M260" s="1828">
        <v>20</v>
      </c>
      <c r="N260" s="703" t="s">
        <v>8775</v>
      </c>
      <c r="O260" s="1829">
        <v>15</v>
      </c>
      <c r="P260" s="1852"/>
      <c r="Q260" s="1842"/>
      <c r="R260" s="896"/>
      <c r="S260" s="1843"/>
      <c r="T260" s="703" t="s">
        <v>1139</v>
      </c>
      <c r="U260" s="896"/>
      <c r="V260" s="2594" t="s">
        <v>1140</v>
      </c>
      <c r="W260" s="897"/>
      <c r="X260" s="2844" t="s">
        <v>450</v>
      </c>
      <c r="Y260" s="909"/>
      <c r="Z260" s="2844" t="s">
        <v>451</v>
      </c>
      <c r="AA260" s="909"/>
      <c r="AB260" s="2844" t="s">
        <v>452</v>
      </c>
      <c r="AC260" s="909"/>
      <c r="AD260" s="2844" t="s">
        <v>30</v>
      </c>
      <c r="AE260" s="909"/>
      <c r="AF260" s="2844" t="s">
        <v>31</v>
      </c>
      <c r="AG260" s="897"/>
      <c r="AH260" s="681">
        <f>SUM('7층_부하량(월간_AVG)'!D13:F13)</f>
        <v>0</v>
      </c>
      <c r="AI260" s="930"/>
      <c r="AJ260" s="1324">
        <f t="shared" si="80"/>
        <v>0</v>
      </c>
      <c r="AK260" s="2816" t="e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60" s="2817"/>
      <c r="AM260" s="3240">
        <f>VLOOKUP(J260&amp;K260,'7층~4층_매핑테이블'!$Y$6:$AF$2020,8,0)</f>
        <v>0</v>
      </c>
      <c r="AN260" s="3230" t="e">
        <f t="shared" si="69"/>
        <v>#N/A</v>
      </c>
      <c r="AO260" s="2597" t="s">
        <v>1141</v>
      </c>
      <c r="AP260" s="2599"/>
      <c r="AR260" s="2351" t="e">
        <f t="shared" si="70"/>
        <v>#N/A</v>
      </c>
      <c r="AS260" s="2351" t="e">
        <f t="shared" si="71"/>
        <v>#N/A</v>
      </c>
      <c r="AT260" s="123" t="e">
        <f t="shared" si="82"/>
        <v>#N/A</v>
      </c>
      <c r="AU260" t="e">
        <f t="shared" si="75"/>
        <v>#N/A</v>
      </c>
      <c r="AV260" t="e">
        <f t="shared" si="76"/>
        <v>#N/A</v>
      </c>
      <c r="BA260" s="123"/>
      <c r="BB260" s="123"/>
      <c r="BC260" s="123"/>
      <c r="BD260" s="2997"/>
      <c r="BE260" s="123"/>
      <c r="BF260" s="2998"/>
      <c r="BG260" s="2999"/>
      <c r="BH260" s="3005"/>
      <c r="BI260" s="3000"/>
      <c r="BJ260" s="3001"/>
      <c r="BK260" s="3002"/>
      <c r="BL260" s="3003"/>
      <c r="BM260" s="3004"/>
    </row>
    <row r="261" spans="1:65" ht="62.4" x14ac:dyDescent="0.25">
      <c r="A261" s="2867"/>
      <c r="B261" s="1042"/>
      <c r="C261" s="2564"/>
      <c r="D261" s="2564"/>
      <c r="E261" s="2564"/>
      <c r="F261" s="2564" t="s">
        <v>27</v>
      </c>
      <c r="G261" s="2564"/>
      <c r="H261" s="1825" t="s">
        <v>9146</v>
      </c>
      <c r="I261" s="1851"/>
      <c r="J261" s="1825" t="str">
        <f t="shared" si="81"/>
        <v>7-DaHall 1-RPP-01-20-17</v>
      </c>
      <c r="K261" s="1851"/>
      <c r="L261" s="1827">
        <v>220</v>
      </c>
      <c r="M261" s="1828">
        <v>20</v>
      </c>
      <c r="N261" s="703" t="s">
        <v>8775</v>
      </c>
      <c r="O261" s="1829">
        <v>17</v>
      </c>
      <c r="P261" s="1852"/>
      <c r="Q261" s="1842"/>
      <c r="R261" s="896"/>
      <c r="S261" s="1843"/>
      <c r="T261" s="703" t="s">
        <v>1142</v>
      </c>
      <c r="U261" s="896"/>
      <c r="V261" s="2594" t="s">
        <v>1143</v>
      </c>
      <c r="W261" s="897"/>
      <c r="X261" s="2844" t="s">
        <v>450</v>
      </c>
      <c r="Y261" s="909"/>
      <c r="Z261" s="2844" t="s">
        <v>451</v>
      </c>
      <c r="AA261" s="909"/>
      <c r="AB261" s="2844" t="s">
        <v>452</v>
      </c>
      <c r="AC261" s="909"/>
      <c r="AD261" s="2844" t="s">
        <v>30</v>
      </c>
      <c r="AE261" s="909"/>
      <c r="AF261" s="2844" t="s">
        <v>31</v>
      </c>
      <c r="AG261" s="897"/>
      <c r="AH261" s="681">
        <f>SUM('7층_부하량(월간_AVG)'!D14:F14)</f>
        <v>0</v>
      </c>
      <c r="AI261" s="930"/>
      <c r="AJ261" s="1324">
        <f t="shared" si="80"/>
        <v>0</v>
      </c>
      <c r="AK261" s="2816" t="e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61" s="2817"/>
      <c r="AM261" s="3240">
        <f>VLOOKUP(J261&amp;K261,'7층~4층_매핑테이블'!$Y$6:$AF$2020,8,0)</f>
        <v>0</v>
      </c>
      <c r="AN261" s="3230" t="e">
        <f t="shared" si="69"/>
        <v>#N/A</v>
      </c>
      <c r="AO261" s="1329" t="s">
        <v>1144</v>
      </c>
      <c r="AP261" s="2599"/>
      <c r="AR261" s="2351" t="e">
        <f t="shared" si="70"/>
        <v>#N/A</v>
      </c>
      <c r="AS261" s="2351" t="e">
        <f t="shared" si="71"/>
        <v>#N/A</v>
      </c>
      <c r="AT261" s="123" t="e">
        <f t="shared" si="82"/>
        <v>#N/A</v>
      </c>
      <c r="AU261" t="e">
        <f t="shared" si="75"/>
        <v>#N/A</v>
      </c>
      <c r="AV261" t="e">
        <f t="shared" si="76"/>
        <v>#N/A</v>
      </c>
      <c r="BA261" s="123"/>
      <c r="BB261" s="123"/>
      <c r="BC261" s="123"/>
      <c r="BD261" s="2997"/>
      <c r="BE261" s="123"/>
      <c r="BF261" s="2998"/>
      <c r="BG261" s="2999"/>
      <c r="BH261" s="3005"/>
      <c r="BI261" s="3000"/>
      <c r="BJ261" s="3001"/>
      <c r="BK261" s="3002"/>
      <c r="BL261" s="3003"/>
      <c r="BM261" s="3004"/>
    </row>
    <row r="262" spans="1:65" ht="62.4" x14ac:dyDescent="0.25">
      <c r="A262" s="2867"/>
      <c r="B262" s="1042"/>
      <c r="C262" s="2564"/>
      <c r="D262" s="2564"/>
      <c r="E262" s="2564"/>
      <c r="F262" s="2564" t="s">
        <v>27</v>
      </c>
      <c r="G262" s="2564"/>
      <c r="H262" s="1825" t="s">
        <v>9147</v>
      </c>
      <c r="I262" s="1851"/>
      <c r="J262" s="1825" t="str">
        <f t="shared" si="81"/>
        <v>7-DaHall 1-RPP-01-20-27</v>
      </c>
      <c r="K262" s="1851"/>
      <c r="L262" s="1827">
        <v>220</v>
      </c>
      <c r="M262" s="1828">
        <v>20</v>
      </c>
      <c r="N262" s="703" t="s">
        <v>8775</v>
      </c>
      <c r="O262" s="1829">
        <v>27</v>
      </c>
      <c r="P262" s="1852"/>
      <c r="Q262" s="1842"/>
      <c r="R262" s="896"/>
      <c r="S262" s="1843"/>
      <c r="T262" s="703" t="s">
        <v>1145</v>
      </c>
      <c r="U262" s="896"/>
      <c r="V262" s="2594" t="s">
        <v>1146</v>
      </c>
      <c r="W262" s="897"/>
      <c r="X262" s="2844" t="s">
        <v>450</v>
      </c>
      <c r="Y262" s="909"/>
      <c r="Z262" s="2844" t="s">
        <v>451</v>
      </c>
      <c r="AA262" s="909"/>
      <c r="AB262" s="2844" t="s">
        <v>452</v>
      </c>
      <c r="AC262" s="909"/>
      <c r="AD262" s="2844" t="s">
        <v>30</v>
      </c>
      <c r="AE262" s="909"/>
      <c r="AF262" s="2844" t="s">
        <v>31</v>
      </c>
      <c r="AG262" s="897"/>
      <c r="AH262" s="681">
        <f>SUM('7층_부하량(월간_AVG)'!D19:F19)</f>
        <v>0</v>
      </c>
      <c r="AI262" s="930"/>
      <c r="AJ262" s="1324">
        <f t="shared" si="80"/>
        <v>0</v>
      </c>
      <c r="AK262" s="2816" t="e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62" s="2817"/>
      <c r="AM262" s="3240">
        <f>VLOOKUP(J262&amp;K262,'7층~4층_매핑테이블'!$Y$6:$AF$2020,8,0)</f>
        <v>0.61899999999999999</v>
      </c>
      <c r="AN262" s="3230" t="e">
        <f t="shared" si="69"/>
        <v>#N/A</v>
      </c>
      <c r="AO262" s="1329" t="s">
        <v>1147</v>
      </c>
      <c r="AP262" s="2599"/>
      <c r="AR262" s="2351" t="e">
        <f t="shared" si="70"/>
        <v>#N/A</v>
      </c>
      <c r="AS262" s="2351" t="e">
        <f t="shared" si="71"/>
        <v>#N/A</v>
      </c>
      <c r="AT262" s="123" t="e">
        <f t="shared" si="82"/>
        <v>#N/A</v>
      </c>
      <c r="AU262" t="e">
        <f t="shared" si="75"/>
        <v>#N/A</v>
      </c>
      <c r="AV262" t="e">
        <f t="shared" si="76"/>
        <v>#N/A</v>
      </c>
      <c r="BA262" s="123"/>
      <c r="BB262" s="123"/>
      <c r="BC262" s="123"/>
      <c r="BD262" s="2997"/>
      <c r="BE262" s="123"/>
      <c r="BF262" s="2998"/>
      <c r="BG262" s="2999"/>
      <c r="BH262" s="3005"/>
      <c r="BI262" s="3000"/>
      <c r="BJ262" s="3001"/>
      <c r="BK262" s="3002"/>
      <c r="BL262" s="3003"/>
      <c r="BM262" s="3004"/>
    </row>
    <row r="263" spans="1:65" ht="62.4" x14ac:dyDescent="0.25">
      <c r="A263" s="2867"/>
      <c r="B263" s="1042"/>
      <c r="C263" s="2564"/>
      <c r="D263" s="2564"/>
      <c r="E263" s="2564"/>
      <c r="F263" s="2564" t="s">
        <v>27</v>
      </c>
      <c r="G263" s="2564"/>
      <c r="H263" s="1825" t="s">
        <v>9148</v>
      </c>
      <c r="I263" s="1851"/>
      <c r="J263" s="1825" t="str">
        <f t="shared" si="81"/>
        <v>7-DaHall 1-RPP-01-30-28</v>
      </c>
      <c r="K263" s="1851"/>
      <c r="L263" s="1827">
        <v>220</v>
      </c>
      <c r="M263" s="1828">
        <v>30</v>
      </c>
      <c r="N263" s="703" t="s">
        <v>8775</v>
      </c>
      <c r="O263" s="1829">
        <v>28</v>
      </c>
      <c r="P263" s="1852"/>
      <c r="Q263" s="1842"/>
      <c r="R263" s="896"/>
      <c r="S263" s="1843"/>
      <c r="T263" s="703" t="s">
        <v>1148</v>
      </c>
      <c r="U263" s="896"/>
      <c r="V263" s="2594" t="s">
        <v>1149</v>
      </c>
      <c r="W263" s="897"/>
      <c r="X263" s="2844" t="s">
        <v>450</v>
      </c>
      <c r="Y263" s="909"/>
      <c r="Z263" s="2844" t="s">
        <v>451</v>
      </c>
      <c r="AA263" s="909"/>
      <c r="AB263" s="2844" t="s">
        <v>452</v>
      </c>
      <c r="AC263" s="909"/>
      <c r="AD263" s="2844" t="s">
        <v>30</v>
      </c>
      <c r="AE263" s="909"/>
      <c r="AF263" s="2844" t="s">
        <v>31</v>
      </c>
      <c r="AG263" s="897"/>
      <c r="AH263" s="681">
        <f>SUM('7층_부하량(월간_AVG)'!N19:P19)</f>
        <v>0</v>
      </c>
      <c r="AI263" s="930"/>
      <c r="AJ263" s="1324">
        <f t="shared" si="80"/>
        <v>0</v>
      </c>
      <c r="AK263" s="2816" t="e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3" s="2817"/>
      <c r="AM263" s="3240">
        <f>VLOOKUP(J263&amp;K263,'7층~4층_매핑테이블'!$Y$6:$AF$2020,8,0)</f>
        <v>0.55400000000000005</v>
      </c>
      <c r="AN263" s="3230" t="e">
        <f t="shared" si="69"/>
        <v>#N/A</v>
      </c>
      <c r="AO263" s="1329" t="s">
        <v>1150</v>
      </c>
      <c r="AP263" s="2599"/>
      <c r="AR263" s="2351" t="e">
        <f t="shared" si="70"/>
        <v>#N/A</v>
      </c>
      <c r="AS263" s="2351" t="e">
        <f t="shared" si="71"/>
        <v>#N/A</v>
      </c>
      <c r="AT263" s="123" t="e">
        <f t="shared" si="82"/>
        <v>#N/A</v>
      </c>
      <c r="AU263" t="e">
        <f t="shared" si="75"/>
        <v>#N/A</v>
      </c>
      <c r="AV263" t="e">
        <f t="shared" si="76"/>
        <v>#N/A</v>
      </c>
      <c r="BA263" s="123"/>
      <c r="BB263" s="123"/>
      <c r="BC263" s="123"/>
      <c r="BD263" s="2997"/>
      <c r="BE263" s="123"/>
      <c r="BF263" s="2998"/>
      <c r="BG263" s="2999"/>
      <c r="BH263" s="3005"/>
      <c r="BI263" s="3000"/>
      <c r="BJ263" s="3001"/>
      <c r="BK263" s="3002"/>
      <c r="BL263" s="3003"/>
      <c r="BM263" s="3004"/>
    </row>
    <row r="264" spans="1:65" ht="62.4" x14ac:dyDescent="0.25">
      <c r="A264" s="2867"/>
      <c r="B264" s="1042"/>
      <c r="C264" s="2564"/>
      <c r="D264" s="2564"/>
      <c r="E264" s="2564"/>
      <c r="F264" s="2564" t="s">
        <v>27</v>
      </c>
      <c r="G264" s="2564"/>
      <c r="H264" s="1825" t="s">
        <v>9149</v>
      </c>
      <c r="I264" s="1851"/>
      <c r="J264" s="1825" t="str">
        <f t="shared" si="81"/>
        <v>7-DaHall 1-RPP-01-20-29</v>
      </c>
      <c r="K264" s="1851"/>
      <c r="L264" s="1827">
        <v>220</v>
      </c>
      <c r="M264" s="1828">
        <v>20</v>
      </c>
      <c r="N264" s="703" t="s">
        <v>8775</v>
      </c>
      <c r="O264" s="1829">
        <v>29</v>
      </c>
      <c r="P264" s="1852"/>
      <c r="Q264" s="1842"/>
      <c r="R264" s="896"/>
      <c r="S264" s="1843"/>
      <c r="T264" s="703" t="s">
        <v>1151</v>
      </c>
      <c r="U264" s="896"/>
      <c r="V264" s="2594" t="s">
        <v>1152</v>
      </c>
      <c r="W264" s="897"/>
      <c r="X264" s="2844" t="s">
        <v>450</v>
      </c>
      <c r="Y264" s="909"/>
      <c r="Z264" s="2844" t="s">
        <v>451</v>
      </c>
      <c r="AA264" s="909"/>
      <c r="AB264" s="2844" t="s">
        <v>452</v>
      </c>
      <c r="AC264" s="909"/>
      <c r="AD264" s="2844" t="s">
        <v>30</v>
      </c>
      <c r="AE264" s="909"/>
      <c r="AF264" s="2844" t="s">
        <v>31</v>
      </c>
      <c r="AG264" s="897"/>
      <c r="AH264" s="681">
        <f>SUM('7층_부하량(월간_AVG)'!D20:F20)</f>
        <v>0</v>
      </c>
      <c r="AI264" s="930"/>
      <c r="AJ264" s="1324">
        <f t="shared" si="80"/>
        <v>0</v>
      </c>
      <c r="AK264" s="2816" t="e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4" s="2817"/>
      <c r="AM264" s="3240">
        <f>VLOOKUP(J264&amp;K264,'7층~4층_매핑테이블'!$Y$6:$AF$2020,8,0)</f>
        <v>0.71299999999999997</v>
      </c>
      <c r="AN264" s="3230" t="e">
        <f t="shared" si="69"/>
        <v>#N/A</v>
      </c>
      <c r="AO264" s="1329" t="s">
        <v>1153</v>
      </c>
      <c r="AP264" s="2599"/>
      <c r="AR264" s="2351" t="e">
        <f t="shared" si="70"/>
        <v>#N/A</v>
      </c>
      <c r="AS264" s="2351" t="e">
        <f t="shared" si="71"/>
        <v>#N/A</v>
      </c>
      <c r="AT264" s="123" t="e">
        <f t="shared" si="82"/>
        <v>#N/A</v>
      </c>
      <c r="AU264" t="e">
        <f t="shared" si="75"/>
        <v>#N/A</v>
      </c>
      <c r="AV264" t="e">
        <f t="shared" si="76"/>
        <v>#N/A</v>
      </c>
      <c r="BA264" s="123"/>
      <c r="BB264" s="123"/>
      <c r="BC264" s="123"/>
      <c r="BD264" s="2997"/>
      <c r="BE264" s="123"/>
      <c r="BF264" s="2998"/>
      <c r="BG264" s="2999"/>
      <c r="BH264" s="3005"/>
      <c r="BI264" s="3000"/>
      <c r="BJ264" s="3001"/>
      <c r="BK264" s="3002"/>
      <c r="BL264" s="3003"/>
      <c r="BM264" s="3004"/>
    </row>
    <row r="265" spans="1:65" ht="62.4" x14ac:dyDescent="0.25">
      <c r="A265" s="2867"/>
      <c r="B265" s="1042"/>
      <c r="C265" s="2564"/>
      <c r="D265" s="2564"/>
      <c r="E265" s="2564"/>
      <c r="F265" s="2564" t="s">
        <v>27</v>
      </c>
      <c r="G265" s="2564"/>
      <c r="H265" s="1825" t="s">
        <v>9150</v>
      </c>
      <c r="I265" s="1851"/>
      <c r="J265" s="1825" t="str">
        <f t="shared" si="81"/>
        <v>7-DaHall 1-RPP-01-30-30</v>
      </c>
      <c r="K265" s="1851"/>
      <c r="L265" s="1827">
        <v>220</v>
      </c>
      <c r="M265" s="1828">
        <v>30</v>
      </c>
      <c r="N265" s="703" t="s">
        <v>8775</v>
      </c>
      <c r="O265" s="1829">
        <v>30</v>
      </c>
      <c r="P265" s="1852"/>
      <c r="Q265" s="1842"/>
      <c r="R265" s="896"/>
      <c r="S265" s="1843"/>
      <c r="T265" s="703" t="s">
        <v>1154</v>
      </c>
      <c r="U265" s="896"/>
      <c r="V265" s="2594" t="s">
        <v>1155</v>
      </c>
      <c r="W265" s="897"/>
      <c r="X265" s="2844" t="s">
        <v>450</v>
      </c>
      <c r="Y265" s="909"/>
      <c r="Z265" s="2844" t="s">
        <v>451</v>
      </c>
      <c r="AA265" s="909"/>
      <c r="AB265" s="2844" t="s">
        <v>452</v>
      </c>
      <c r="AC265" s="909"/>
      <c r="AD265" s="2844" t="s">
        <v>30</v>
      </c>
      <c r="AE265" s="909"/>
      <c r="AF265" s="2844" t="s">
        <v>31</v>
      </c>
      <c r="AG265" s="897"/>
      <c r="AH265" s="681">
        <f>SUM('7층_부하량(월간_AVG)'!N20:P20)</f>
        <v>0</v>
      </c>
      <c r="AI265" s="930"/>
      <c r="AJ265" s="1324">
        <f t="shared" si="80"/>
        <v>0</v>
      </c>
      <c r="AK265" s="2816" t="e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5" s="2817"/>
      <c r="AM265" s="3240">
        <f>VLOOKUP(J265&amp;K265,'7층~4층_매핑테이블'!$Y$6:$AF$2020,8,0)</f>
        <v>0.97199999999999998</v>
      </c>
      <c r="AN265" s="3230" t="e">
        <f t="shared" si="69"/>
        <v>#N/A</v>
      </c>
      <c r="AO265" s="1329" t="s">
        <v>1156</v>
      </c>
      <c r="AP265" s="2599"/>
      <c r="AR265" s="2351" t="e">
        <f t="shared" si="70"/>
        <v>#N/A</v>
      </c>
      <c r="AS265" s="2351" t="e">
        <f t="shared" si="71"/>
        <v>#N/A</v>
      </c>
      <c r="AT265" s="123" t="e">
        <f t="shared" si="82"/>
        <v>#N/A</v>
      </c>
      <c r="AU265" t="e">
        <f t="shared" si="75"/>
        <v>#N/A</v>
      </c>
      <c r="AV265" t="e">
        <f t="shared" si="76"/>
        <v>#N/A</v>
      </c>
      <c r="BA265" s="123"/>
      <c r="BB265" s="123"/>
      <c r="BC265" s="123"/>
      <c r="BD265" s="2997"/>
      <c r="BE265" s="123"/>
      <c r="BF265" s="2998"/>
      <c r="BG265" s="2999"/>
      <c r="BH265" s="3005"/>
      <c r="BI265" s="3000"/>
      <c r="BJ265" s="3001"/>
      <c r="BK265" s="3002"/>
      <c r="BL265" s="3003"/>
      <c r="BM265" s="3004"/>
    </row>
    <row r="266" spans="1:65" ht="63" thickBot="1" x14ac:dyDescent="0.3">
      <c r="A266" s="2867"/>
      <c r="B266" s="1042"/>
      <c r="C266" s="2564"/>
      <c r="D266" s="2564"/>
      <c r="E266" s="2564"/>
      <c r="F266" s="2564" t="s">
        <v>27</v>
      </c>
      <c r="G266" s="2564"/>
      <c r="H266" s="1825" t="s">
        <v>9151</v>
      </c>
      <c r="I266" s="1851"/>
      <c r="J266" s="1825" t="str">
        <f t="shared" si="81"/>
        <v>7-DaHall 1-RPP-01-20-31</v>
      </c>
      <c r="K266" s="1851"/>
      <c r="L266" s="1827">
        <v>220</v>
      </c>
      <c r="M266" s="1828">
        <v>20</v>
      </c>
      <c r="N266" s="703" t="s">
        <v>8775</v>
      </c>
      <c r="O266" s="1829">
        <v>31</v>
      </c>
      <c r="P266" s="1852"/>
      <c r="Q266" s="1842"/>
      <c r="R266" s="896"/>
      <c r="S266" s="1843"/>
      <c r="T266" s="703" t="s">
        <v>1157</v>
      </c>
      <c r="U266" s="896"/>
      <c r="V266" s="2594" t="s">
        <v>1158</v>
      </c>
      <c r="W266" s="897"/>
      <c r="X266" s="2844" t="s">
        <v>450</v>
      </c>
      <c r="Y266" s="909"/>
      <c r="Z266" s="2844" t="s">
        <v>451</v>
      </c>
      <c r="AA266" s="909"/>
      <c r="AB266" s="2844" t="s">
        <v>452</v>
      </c>
      <c r="AC266" s="909"/>
      <c r="AD266" s="2844" t="s">
        <v>30</v>
      </c>
      <c r="AE266" s="909"/>
      <c r="AF266" s="2844" t="s">
        <v>31</v>
      </c>
      <c r="AG266" s="897"/>
      <c r="AH266" s="681">
        <f>SUM('7층_부하량(월간_AVG)'!D21:F21)</f>
        <v>0</v>
      </c>
      <c r="AI266" s="930"/>
      <c r="AJ266" s="1324">
        <f t="shared" si="80"/>
        <v>0</v>
      </c>
      <c r="AK266" s="2816" t="e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6" s="2817"/>
      <c r="AM266" s="3240">
        <f>VLOOKUP(J266&amp;K266,'7층~4층_매핑테이블'!$Y$6:$AF$2020,8,0)</f>
        <v>0.92900000000000005</v>
      </c>
      <c r="AN266" s="3230" t="e">
        <f t="shared" ref="AN266:AN282" si="83">SUBTOTAL(9,AK266:AL266)</f>
        <v>#N/A</v>
      </c>
      <c r="AO266" s="1329" t="s">
        <v>1159</v>
      </c>
      <c r="AP266" s="2599"/>
      <c r="AR266" s="2351" t="e">
        <f t="shared" ref="AR266:AR282" si="84">AN266/(24*31)</f>
        <v>#N/A</v>
      </c>
      <c r="AS266" s="2351" t="e">
        <f t="shared" ref="AS266:AS282" si="85">E266-AR266</f>
        <v>#N/A</v>
      </c>
      <c r="AT266" s="123" t="e">
        <f t="shared" si="82"/>
        <v>#N/A</v>
      </c>
      <c r="AU266" t="e">
        <f t="shared" si="75"/>
        <v>#N/A</v>
      </c>
      <c r="AV266" t="e">
        <f t="shared" si="76"/>
        <v>#N/A</v>
      </c>
      <c r="BA266" s="123"/>
      <c r="BB266" s="123"/>
      <c r="BC266" s="123"/>
      <c r="BD266" s="2997"/>
      <c r="BE266" s="123"/>
      <c r="BF266" s="2998"/>
      <c r="BG266" s="2999"/>
      <c r="BH266" s="3005"/>
      <c r="BI266" s="3000"/>
      <c r="BJ266" s="3001"/>
      <c r="BK266" s="3002"/>
      <c r="BL266" s="3003"/>
      <c r="BM266" s="3004"/>
    </row>
    <row r="267" spans="1:65" ht="27" customHeight="1" x14ac:dyDescent="0.25">
      <c r="A267" s="2867"/>
      <c r="B267" s="1042"/>
      <c r="C267" s="672"/>
      <c r="D267" s="672"/>
      <c r="E267" s="672"/>
      <c r="F267" s="672" t="s">
        <v>27</v>
      </c>
      <c r="G267" s="672"/>
      <c r="H267" s="1988"/>
      <c r="I267" s="1930" t="s">
        <v>9152</v>
      </c>
      <c r="J267" s="1988"/>
      <c r="K267" s="1930" t="str">
        <f>"7-DaHall 1-"&amp;R267&amp;"-"&amp;Q267&amp;"-"&amp;S267</f>
        <v>7-DaHall 1-PDU-02-30-50</v>
      </c>
      <c r="L267" s="1990"/>
      <c r="M267" s="1991"/>
      <c r="N267" s="905"/>
      <c r="O267" s="1992"/>
      <c r="P267" s="2005">
        <v>220</v>
      </c>
      <c r="Q267" s="1935">
        <v>30</v>
      </c>
      <c r="R267" s="704" t="s">
        <v>8750</v>
      </c>
      <c r="S267" s="1936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849" t="s">
        <v>165</v>
      </c>
      <c r="AD267" s="732"/>
      <c r="AE267" s="2849" t="s">
        <v>111</v>
      </c>
      <c r="AF267" s="895"/>
      <c r="AG267" s="2849" t="s">
        <v>36</v>
      </c>
      <c r="AH267" s="936"/>
      <c r="AI267" s="931">
        <f>SUM('7층_부하량(월간_AVG)'!N55:P55)</f>
        <v>0</v>
      </c>
      <c r="AJ267" s="1326">
        <f t="shared" si="80"/>
        <v>0</v>
      </c>
      <c r="AK267" s="2816"/>
      <c r="AL267" s="2817" t="e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7" s="3240">
        <f>VLOOKUP(J267&amp;K267,'7층~4층_매핑테이블'!$Y$6:$AF$2020,8,0)</f>
        <v>0.53200000000000003</v>
      </c>
      <c r="AN267" s="3230" t="e">
        <f t="shared" si="83"/>
        <v>#N/A</v>
      </c>
      <c r="AO267" s="1330" t="s">
        <v>1161</v>
      </c>
      <c r="AP267" s="674"/>
      <c r="AR267" s="2351" t="e">
        <f t="shared" si="84"/>
        <v>#N/A</v>
      </c>
      <c r="AS267" s="2351" t="e">
        <f t="shared" si="85"/>
        <v>#N/A</v>
      </c>
      <c r="AT267" s="123" t="e">
        <f t="shared" si="82"/>
        <v>#N/A</v>
      </c>
      <c r="AU267" t="e">
        <f t="shared" si="75"/>
        <v>#N/A</v>
      </c>
      <c r="AV267" t="e">
        <f t="shared" si="76"/>
        <v>#N/A</v>
      </c>
      <c r="BA267" s="123"/>
      <c r="BB267" s="123"/>
      <c r="BC267" s="123"/>
      <c r="BD267" s="2997"/>
      <c r="BE267" s="123"/>
      <c r="BF267" s="2998"/>
      <c r="BG267" s="2999"/>
      <c r="BH267" s="3005"/>
      <c r="BI267" s="3000"/>
      <c r="BJ267" s="3001"/>
      <c r="BK267" s="3002"/>
      <c r="BL267" s="3003"/>
      <c r="BM267" s="3004"/>
    </row>
    <row r="268" spans="1:65" ht="46.8" x14ac:dyDescent="0.25">
      <c r="A268" s="2867"/>
      <c r="B268" s="1042"/>
      <c r="C268" s="2564"/>
      <c r="D268" s="2564"/>
      <c r="E268" s="2564"/>
      <c r="F268" s="2564" t="s">
        <v>27</v>
      </c>
      <c r="G268" s="2564"/>
      <c r="H268" s="1885"/>
      <c r="I268" s="1833" t="s">
        <v>9153</v>
      </c>
      <c r="J268" s="1885"/>
      <c r="K268" s="1833" t="str">
        <f>"7-DaHall 1-"&amp;R268&amp;"-"&amp;Q268&amp;"-"&amp;S268</f>
        <v>7-DaHall 1-PDU-02-30-52</v>
      </c>
      <c r="L268" s="1887"/>
      <c r="M268" s="1890"/>
      <c r="N268" s="911"/>
      <c r="O268" s="1888"/>
      <c r="P268" s="1834">
        <v>220</v>
      </c>
      <c r="Q268" s="1835">
        <v>30</v>
      </c>
      <c r="R268" s="687" t="s">
        <v>8750</v>
      </c>
      <c r="S268" s="1836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868" t="s">
        <v>165</v>
      </c>
      <c r="AD268" s="896"/>
      <c r="AE268" s="2868" t="s">
        <v>111</v>
      </c>
      <c r="AF268" s="896"/>
      <c r="AG268" s="2868" t="s">
        <v>9154</v>
      </c>
      <c r="AH268" s="933"/>
      <c r="AI268" s="901">
        <f>SUM('7층_부하량(월간_AVG)'!N56:P56)</f>
        <v>0</v>
      </c>
      <c r="AJ268" s="1324">
        <f t="shared" si="80"/>
        <v>0</v>
      </c>
      <c r="AK268" s="2816"/>
      <c r="AL268" s="2817" t="e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8" s="3240">
        <f>VLOOKUP(J268&amp;K268,'7층~4층_매핑테이블'!$Y$6:$AF$2020,8,0)</f>
        <v>0</v>
      </c>
      <c r="AN268" s="3230" t="e">
        <f t="shared" si="83"/>
        <v>#N/A</v>
      </c>
      <c r="AO268" s="2597" t="s">
        <v>1163</v>
      </c>
      <c r="AP268" s="2599"/>
      <c r="AR268" s="2351" t="e">
        <f t="shared" si="84"/>
        <v>#N/A</v>
      </c>
      <c r="AS268" s="2351" t="e">
        <f t="shared" si="85"/>
        <v>#N/A</v>
      </c>
      <c r="AT268" s="123" t="e">
        <f t="shared" si="82"/>
        <v>#N/A</v>
      </c>
      <c r="AU268" t="e">
        <f t="shared" si="75"/>
        <v>#N/A</v>
      </c>
      <c r="AV268" t="e">
        <f t="shared" si="76"/>
        <v>#N/A</v>
      </c>
      <c r="BA268" s="123"/>
      <c r="BB268" s="123"/>
      <c r="BC268" s="123"/>
      <c r="BD268" s="2997"/>
      <c r="BE268" s="123"/>
      <c r="BF268" s="2998"/>
      <c r="BG268" s="2999"/>
      <c r="BH268" s="3005"/>
      <c r="BI268" s="3000"/>
      <c r="BJ268" s="3001"/>
      <c r="BK268" s="3002"/>
      <c r="BL268" s="3003"/>
      <c r="BM268" s="3004"/>
    </row>
    <row r="269" spans="1:65" ht="47.4" thickBot="1" x14ac:dyDescent="0.3">
      <c r="A269" s="2867"/>
      <c r="B269" s="1042"/>
      <c r="C269" s="2595"/>
      <c r="D269" s="2595"/>
      <c r="E269" s="2595"/>
      <c r="F269" s="2595" t="s">
        <v>27</v>
      </c>
      <c r="G269" s="2595"/>
      <c r="H269" s="1961"/>
      <c r="I269" s="1995" t="s">
        <v>9155</v>
      </c>
      <c r="J269" s="1961"/>
      <c r="K269" s="1995" t="str">
        <f>"7-DaHall 1-"&amp;R269&amp;"-"&amp;Q269&amp;"-"&amp;S269</f>
        <v>7-DaHall 1-PDU-02-30-54</v>
      </c>
      <c r="L269" s="1963"/>
      <c r="M269" s="1964"/>
      <c r="N269" s="906"/>
      <c r="O269" s="1965"/>
      <c r="P269" s="1999">
        <v>220</v>
      </c>
      <c r="Q269" s="2000">
        <v>30</v>
      </c>
      <c r="R269" s="907" t="s">
        <v>8750</v>
      </c>
      <c r="S269" s="2001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869" t="s">
        <v>165</v>
      </c>
      <c r="AD269" s="910"/>
      <c r="AE269" s="2869" t="s">
        <v>111</v>
      </c>
      <c r="AF269" s="910"/>
      <c r="AG269" s="2869" t="s">
        <v>9154</v>
      </c>
      <c r="AH269" s="937"/>
      <c r="AI269" s="928">
        <f>SUM('7층_부하량(월간_AVG)'!N57:P57)</f>
        <v>0</v>
      </c>
      <c r="AJ269" s="1325">
        <f t="shared" si="80"/>
        <v>0</v>
      </c>
      <c r="AK269" s="2816"/>
      <c r="AL269" s="2817" t="e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9" s="3240">
        <f>VLOOKUP(J269&amp;K269,'7층~4층_매핑테이블'!$Y$6:$AF$2020,8,0)</f>
        <v>0</v>
      </c>
      <c r="AN269" s="3230" t="e">
        <f t="shared" si="83"/>
        <v>#N/A</v>
      </c>
      <c r="AO269" s="2598" t="s">
        <v>1165</v>
      </c>
      <c r="AP269" s="679"/>
      <c r="AR269" s="2351" t="e">
        <f t="shared" si="84"/>
        <v>#N/A</v>
      </c>
      <c r="AS269" s="2351" t="e">
        <f t="shared" si="85"/>
        <v>#N/A</v>
      </c>
      <c r="AT269" s="123" t="e">
        <f t="shared" si="82"/>
        <v>#N/A</v>
      </c>
      <c r="AU269" t="e">
        <f t="shared" si="75"/>
        <v>#N/A</v>
      </c>
      <c r="AV269" t="e">
        <f t="shared" si="76"/>
        <v>#N/A</v>
      </c>
      <c r="BA269" s="123"/>
      <c r="BB269" s="123"/>
      <c r="BC269" s="123"/>
      <c r="BD269" s="2997"/>
      <c r="BE269" s="123"/>
      <c r="BF269" s="2998"/>
      <c r="BG269" s="2999"/>
      <c r="BH269" s="3005"/>
      <c r="BI269" s="3000"/>
      <c r="BJ269" s="3001"/>
      <c r="BK269" s="3002"/>
      <c r="BL269" s="3003"/>
      <c r="BM269" s="3004"/>
    </row>
    <row r="270" spans="1:65" ht="27" customHeight="1" thickBot="1" x14ac:dyDescent="0.3">
      <c r="A270" s="2867"/>
      <c r="B270" s="1042"/>
      <c r="C270" s="672"/>
      <c r="D270" s="672"/>
      <c r="E270" s="672"/>
      <c r="F270" s="672" t="s">
        <v>27</v>
      </c>
      <c r="G270" s="672"/>
      <c r="H270" s="1929" t="s">
        <v>9156</v>
      </c>
      <c r="I270" s="1989"/>
      <c r="J270" s="1929" t="str">
        <f>"7-DaHall 1-"&amp;N270&amp;"-"&amp;M270&amp;"-"&amp;O270</f>
        <v>7-DaHall 1-PDU-01-30-52</v>
      </c>
      <c r="K270" s="1989"/>
      <c r="L270" s="2006">
        <v>220</v>
      </c>
      <c r="M270" s="2007">
        <v>30</v>
      </c>
      <c r="N270" s="893" t="s">
        <v>8749</v>
      </c>
      <c r="O270" s="2008">
        <v>52</v>
      </c>
      <c r="P270" s="1993"/>
      <c r="Q270" s="1991"/>
      <c r="R270" s="905"/>
      <c r="S270" s="1992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576" t="s">
        <v>164</v>
      </c>
      <c r="AC270" s="732"/>
      <c r="AD270" s="2576" t="s">
        <v>110</v>
      </c>
      <c r="AE270" s="732"/>
      <c r="AF270" s="2576" t="s">
        <v>31</v>
      </c>
      <c r="AG270" s="895"/>
      <c r="AH270" s="680">
        <f>SUM('7층_부하량(월간_AVG)'!N88:P88)</f>
        <v>0</v>
      </c>
      <c r="AI270" s="935"/>
      <c r="AJ270" s="1326">
        <f t="shared" si="80"/>
        <v>0</v>
      </c>
      <c r="AK270" s="2816" t="e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70" s="2817"/>
      <c r="AM270" s="3240">
        <f>VLOOKUP(J270&amp;K270,'7층~4층_매핑테이블'!$Y$6:$AF$2020,8,0)</f>
        <v>0</v>
      </c>
      <c r="AN270" s="3230" t="e">
        <f t="shared" si="83"/>
        <v>#N/A</v>
      </c>
      <c r="AO270" s="882" t="s">
        <v>1167</v>
      </c>
      <c r="AP270" s="674"/>
      <c r="AR270" s="2351" t="e">
        <f t="shared" si="84"/>
        <v>#N/A</v>
      </c>
      <c r="AS270" s="2351" t="e">
        <f t="shared" si="85"/>
        <v>#N/A</v>
      </c>
      <c r="AT270" s="123" t="e">
        <f t="shared" si="82"/>
        <v>#N/A</v>
      </c>
      <c r="AU270" t="e">
        <f t="shared" si="75"/>
        <v>#N/A</v>
      </c>
      <c r="AV270" t="e">
        <f t="shared" si="76"/>
        <v>#N/A</v>
      </c>
      <c r="BA270" s="123"/>
      <c r="BB270" s="123"/>
      <c r="BC270" s="123"/>
      <c r="BD270" s="2997"/>
      <c r="BE270" s="123"/>
      <c r="BF270" s="2998"/>
      <c r="BG270" s="2999"/>
      <c r="BH270" s="3005"/>
      <c r="BI270" s="3000"/>
      <c r="BJ270" s="3001"/>
      <c r="BK270" s="3002"/>
      <c r="BL270" s="3003"/>
      <c r="BM270" s="3004"/>
    </row>
    <row r="271" spans="1:65" ht="27" customHeight="1" x14ac:dyDescent="0.25">
      <c r="A271" s="2867"/>
      <c r="B271" s="1042"/>
      <c r="C271" s="672"/>
      <c r="D271" s="672"/>
      <c r="E271" s="672"/>
      <c r="F271" s="672" t="s">
        <v>27</v>
      </c>
      <c r="G271" s="672"/>
      <c r="H271" s="1988"/>
      <c r="I271" s="1930" t="s">
        <v>9157</v>
      </c>
      <c r="J271" s="1988"/>
      <c r="K271" s="1930" t="str">
        <f t="shared" ref="K271:K282" si="86">"7-DaHall 1-"&amp;R271&amp;"-"&amp;Q271&amp;"-"&amp;S271</f>
        <v>7-DaHall 1-RPP-02-20-1</v>
      </c>
      <c r="L271" s="1990"/>
      <c r="M271" s="1991"/>
      <c r="N271" s="905"/>
      <c r="O271" s="1992"/>
      <c r="P271" s="2005">
        <v>220</v>
      </c>
      <c r="Q271" s="1935">
        <v>20</v>
      </c>
      <c r="R271" s="704" t="s">
        <v>8776</v>
      </c>
      <c r="S271" s="1936">
        <v>1</v>
      </c>
      <c r="T271" s="905"/>
      <c r="U271" s="704" t="s">
        <v>1168</v>
      </c>
      <c r="V271" s="895"/>
      <c r="W271" s="899" t="s">
        <v>1169</v>
      </c>
      <c r="X271" s="895"/>
      <c r="Y271" s="2849" t="s">
        <v>460</v>
      </c>
      <c r="Z271" s="895"/>
      <c r="AA271" s="2849" t="s">
        <v>461</v>
      </c>
      <c r="AB271" s="895"/>
      <c r="AC271" s="2849" t="s">
        <v>462</v>
      </c>
      <c r="AD271" s="895"/>
      <c r="AE271" s="2849" t="s">
        <v>35</v>
      </c>
      <c r="AF271" s="895"/>
      <c r="AG271" s="2849" t="s">
        <v>36</v>
      </c>
      <c r="AH271" s="927"/>
      <c r="AI271" s="931">
        <f>SUM('7층_부하량(월간_AVG)'!D95:F95)</f>
        <v>0</v>
      </c>
      <c r="AJ271" s="1326">
        <f t="shared" si="80"/>
        <v>0</v>
      </c>
      <c r="AK271" s="2816"/>
      <c r="AL271" s="2817" t="e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71" s="3240">
        <f>VLOOKUP(J271&amp;K271,'7층~4층_매핑테이블'!$Y$6:$AF$2020,8,0)</f>
        <v>0.216</v>
      </c>
      <c r="AN271" s="3230" t="e">
        <f t="shared" si="83"/>
        <v>#N/A</v>
      </c>
      <c r="AO271" s="882" t="s">
        <v>1170</v>
      </c>
      <c r="AP271" s="674"/>
      <c r="AR271" s="2351" t="e">
        <f t="shared" si="84"/>
        <v>#N/A</v>
      </c>
      <c r="AS271" s="2351" t="e">
        <f t="shared" si="85"/>
        <v>#N/A</v>
      </c>
      <c r="AT271" s="123" t="e">
        <f t="shared" si="82"/>
        <v>#N/A</v>
      </c>
      <c r="AU271" t="e">
        <f t="shared" si="75"/>
        <v>#N/A</v>
      </c>
      <c r="AV271" t="e">
        <f t="shared" si="76"/>
        <v>#N/A</v>
      </c>
      <c r="BA271" s="123"/>
      <c r="BB271" s="123"/>
      <c r="BC271" s="123"/>
      <c r="BD271" s="2997"/>
      <c r="BE271" s="123"/>
      <c r="BF271" s="2998"/>
      <c r="BG271" s="2999"/>
      <c r="BH271" s="3005"/>
      <c r="BI271" s="3000"/>
      <c r="BJ271" s="3001"/>
      <c r="BK271" s="3002"/>
      <c r="BL271" s="3003"/>
      <c r="BM271" s="3004"/>
    </row>
    <row r="272" spans="1:65" ht="62.4" x14ac:dyDescent="0.25">
      <c r="A272" s="2867"/>
      <c r="B272" s="1042"/>
      <c r="C272" s="2564"/>
      <c r="D272" s="2564"/>
      <c r="E272" s="2564"/>
      <c r="F272" s="2564" t="s">
        <v>27</v>
      </c>
      <c r="G272" s="2564"/>
      <c r="H272" s="1885"/>
      <c r="I272" s="1833" t="s">
        <v>9158</v>
      </c>
      <c r="J272" s="1885"/>
      <c r="K272" s="1833" t="str">
        <f t="shared" si="86"/>
        <v>7-DaHall 1-RPP-02-30-2</v>
      </c>
      <c r="L272" s="1887"/>
      <c r="M272" s="1890"/>
      <c r="N272" s="911"/>
      <c r="O272" s="1888"/>
      <c r="P272" s="1834">
        <v>220</v>
      </c>
      <c r="Q272" s="1835">
        <v>30</v>
      </c>
      <c r="R272" s="687" t="s">
        <v>8776</v>
      </c>
      <c r="S272" s="1836">
        <v>2</v>
      </c>
      <c r="T272" s="911"/>
      <c r="U272" s="687" t="s">
        <v>1171</v>
      </c>
      <c r="V272" s="896"/>
      <c r="W272" s="2578" t="s">
        <v>1172</v>
      </c>
      <c r="X272" s="896"/>
      <c r="Y272" s="2868" t="s">
        <v>9159</v>
      </c>
      <c r="Z272" s="896"/>
      <c r="AA272" s="2868" t="s">
        <v>9160</v>
      </c>
      <c r="AB272" s="896"/>
      <c r="AC272" s="2868" t="s">
        <v>9161</v>
      </c>
      <c r="AD272" s="896"/>
      <c r="AE272" s="2868" t="s">
        <v>9162</v>
      </c>
      <c r="AF272" s="896"/>
      <c r="AG272" s="2868" t="s">
        <v>9154</v>
      </c>
      <c r="AH272" s="933"/>
      <c r="AI272" s="901">
        <f>SUM('7층_부하량(월간_AVG)'!N95:P95)</f>
        <v>0</v>
      </c>
      <c r="AJ272" s="1324">
        <f t="shared" si="80"/>
        <v>0</v>
      </c>
      <c r="AK272" s="2816"/>
      <c r="AL272" s="2817" t="e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72" s="3240">
        <f>VLOOKUP(J272&amp;K272,'7층~4층_매핑테이블'!$Y$6:$AF$2020,8,0)</f>
        <v>3.573</v>
      </c>
      <c r="AN272" s="3230" t="e">
        <f t="shared" si="83"/>
        <v>#N/A</v>
      </c>
      <c r="AO272" s="2597" t="s">
        <v>1173</v>
      </c>
      <c r="AP272" s="2599"/>
      <c r="AR272" s="2351" t="e">
        <f t="shared" si="84"/>
        <v>#N/A</v>
      </c>
      <c r="AS272" s="2351" t="e">
        <f t="shared" si="85"/>
        <v>#N/A</v>
      </c>
      <c r="AT272" s="123" t="e">
        <f t="shared" si="82"/>
        <v>#N/A</v>
      </c>
      <c r="AU272" t="e">
        <f t="shared" si="75"/>
        <v>#N/A</v>
      </c>
      <c r="AV272" t="e">
        <f t="shared" si="76"/>
        <v>#N/A</v>
      </c>
      <c r="BA272" s="123"/>
      <c r="BB272" s="123"/>
      <c r="BC272" s="123"/>
      <c r="BD272" s="2997"/>
      <c r="BE272" s="123"/>
      <c r="BF272" s="2998"/>
      <c r="BG272" s="2999"/>
      <c r="BH272" s="3005"/>
      <c r="BI272" s="3000"/>
      <c r="BJ272" s="3001"/>
      <c r="BK272" s="3002"/>
      <c r="BL272" s="3003"/>
      <c r="BM272" s="3004"/>
    </row>
    <row r="273" spans="1:65" ht="62.4" x14ac:dyDescent="0.25">
      <c r="A273" s="2867"/>
      <c r="B273" s="1042"/>
      <c r="C273" s="2564"/>
      <c r="D273" s="2564"/>
      <c r="E273" s="2564"/>
      <c r="F273" s="2564" t="s">
        <v>27</v>
      </c>
      <c r="G273" s="2564"/>
      <c r="H273" s="1885"/>
      <c r="I273" s="1833" t="s">
        <v>9163</v>
      </c>
      <c r="J273" s="1885"/>
      <c r="K273" s="1833" t="str">
        <f t="shared" si="86"/>
        <v>7-DaHall 1-RPP-02-20-3</v>
      </c>
      <c r="L273" s="1887"/>
      <c r="M273" s="1890"/>
      <c r="N273" s="911"/>
      <c r="O273" s="1888"/>
      <c r="P273" s="1834">
        <v>220</v>
      </c>
      <c r="Q273" s="1835">
        <v>20</v>
      </c>
      <c r="R273" s="687" t="s">
        <v>8776</v>
      </c>
      <c r="S273" s="1836">
        <v>3</v>
      </c>
      <c r="T273" s="911"/>
      <c r="U273" s="687" t="s">
        <v>1174</v>
      </c>
      <c r="V273" s="896"/>
      <c r="W273" s="2578" t="s">
        <v>1175</v>
      </c>
      <c r="X273" s="896"/>
      <c r="Y273" s="2868" t="s">
        <v>9159</v>
      </c>
      <c r="Z273" s="896"/>
      <c r="AA273" s="2868" t="s">
        <v>9160</v>
      </c>
      <c r="AB273" s="896"/>
      <c r="AC273" s="2868" t="s">
        <v>9161</v>
      </c>
      <c r="AD273" s="896"/>
      <c r="AE273" s="2868" t="s">
        <v>9162</v>
      </c>
      <c r="AF273" s="896"/>
      <c r="AG273" s="2868" t="s">
        <v>9154</v>
      </c>
      <c r="AH273" s="933"/>
      <c r="AI273" s="901">
        <f>SUM('7층_부하량(월간_AVG)'!D96:F96)</f>
        <v>0</v>
      </c>
      <c r="AJ273" s="1324">
        <f t="shared" si="80"/>
        <v>0</v>
      </c>
      <c r="AK273" s="2816"/>
      <c r="AL273" s="2817" t="e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73" s="3240">
        <f>VLOOKUP(J273&amp;K273,'7층~4층_매핑테이블'!$Y$6:$AF$2020,8,0)</f>
        <v>0.129</v>
      </c>
      <c r="AN273" s="3230" t="e">
        <f t="shared" si="83"/>
        <v>#N/A</v>
      </c>
      <c r="AO273" s="2597" t="s">
        <v>1176</v>
      </c>
      <c r="AP273" s="2599"/>
      <c r="AR273" s="2351" t="e">
        <f t="shared" si="84"/>
        <v>#N/A</v>
      </c>
      <c r="AS273" s="2351" t="e">
        <f t="shared" si="85"/>
        <v>#N/A</v>
      </c>
      <c r="AT273" s="123" t="e">
        <f t="shared" si="82"/>
        <v>#N/A</v>
      </c>
      <c r="AU273" t="e">
        <f t="shared" si="75"/>
        <v>#N/A</v>
      </c>
      <c r="AV273" t="e">
        <f t="shared" si="76"/>
        <v>#N/A</v>
      </c>
      <c r="BA273" s="123"/>
      <c r="BB273" s="123"/>
      <c r="BC273" s="123"/>
      <c r="BD273" s="2997"/>
      <c r="BE273" s="123"/>
      <c r="BF273" s="2998"/>
      <c r="BG273" s="2999"/>
      <c r="BH273" s="3005"/>
      <c r="BI273" s="3000"/>
      <c r="BJ273" s="3001"/>
      <c r="BK273" s="3002"/>
      <c r="BL273" s="3003"/>
      <c r="BM273" s="3004"/>
    </row>
    <row r="274" spans="1:65" ht="62.4" x14ac:dyDescent="0.25">
      <c r="A274" s="2867"/>
      <c r="B274" s="1042"/>
      <c r="C274" s="2564"/>
      <c r="D274" s="2564"/>
      <c r="E274" s="2564"/>
      <c r="F274" s="2564" t="s">
        <v>27</v>
      </c>
      <c r="G274" s="2564"/>
      <c r="H274" s="1885"/>
      <c r="I274" s="1833" t="s">
        <v>9164</v>
      </c>
      <c r="J274" s="1885"/>
      <c r="K274" s="1833" t="str">
        <f t="shared" si="86"/>
        <v>7-DaHall 1-RPP-02-30-6</v>
      </c>
      <c r="L274" s="1887"/>
      <c r="M274" s="1890"/>
      <c r="N274" s="911"/>
      <c r="O274" s="1888"/>
      <c r="P274" s="1834">
        <v>220</v>
      </c>
      <c r="Q274" s="1835">
        <v>30</v>
      </c>
      <c r="R274" s="687" t="s">
        <v>8776</v>
      </c>
      <c r="S274" s="1836">
        <v>6</v>
      </c>
      <c r="T274" s="911"/>
      <c r="U274" s="687" t="s">
        <v>1177</v>
      </c>
      <c r="V274" s="896"/>
      <c r="W274" s="2578" t="s">
        <v>1178</v>
      </c>
      <c r="X274" s="896"/>
      <c r="Y274" s="2868" t="s">
        <v>9159</v>
      </c>
      <c r="Z274" s="896"/>
      <c r="AA274" s="2868" t="s">
        <v>9160</v>
      </c>
      <c r="AB274" s="896"/>
      <c r="AC274" s="2868" t="s">
        <v>9161</v>
      </c>
      <c r="AD274" s="896"/>
      <c r="AE274" s="2868" t="s">
        <v>9162</v>
      </c>
      <c r="AF274" s="896"/>
      <c r="AG274" s="2868" t="s">
        <v>9154</v>
      </c>
      <c r="AH274" s="933"/>
      <c r="AI274" s="901">
        <f>SUM('7층_부하량(월간_AVG)'!N97:P97)</f>
        <v>0</v>
      </c>
      <c r="AJ274" s="1324">
        <f t="shared" si="80"/>
        <v>0</v>
      </c>
      <c r="AK274" s="2816"/>
      <c r="AL274" s="2817" t="e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4" s="3240">
        <f>VLOOKUP(J274&amp;K274,'7층~4층_매핑테이블'!$Y$6:$AF$2020,8,0)</f>
        <v>0</v>
      </c>
      <c r="AN274" s="3230" t="e">
        <f t="shared" si="83"/>
        <v>#N/A</v>
      </c>
      <c r="AO274" s="2597" t="s">
        <v>1179</v>
      </c>
      <c r="AP274" s="2599"/>
      <c r="AR274" s="2351" t="e">
        <f t="shared" si="84"/>
        <v>#N/A</v>
      </c>
      <c r="AS274" s="2351" t="e">
        <f t="shared" si="85"/>
        <v>#N/A</v>
      </c>
      <c r="AT274" s="123" t="e">
        <f t="shared" si="82"/>
        <v>#N/A</v>
      </c>
      <c r="AU274" t="e">
        <f t="shared" si="75"/>
        <v>#N/A</v>
      </c>
      <c r="AV274" t="e">
        <f t="shared" si="76"/>
        <v>#N/A</v>
      </c>
      <c r="BA274" s="123"/>
      <c r="BB274" s="123"/>
      <c r="BC274" s="123"/>
      <c r="BD274" s="2997"/>
      <c r="BE274" s="123"/>
      <c r="BF274" s="2998"/>
      <c r="BG274" s="2999"/>
      <c r="BH274" s="3005"/>
      <c r="BI274" s="3000"/>
      <c r="BJ274" s="3001"/>
      <c r="BK274" s="3002"/>
      <c r="BL274" s="3003"/>
      <c r="BM274" s="3004"/>
    </row>
    <row r="275" spans="1:65" ht="62.4" x14ac:dyDescent="0.25">
      <c r="A275" s="2867"/>
      <c r="B275" s="1042"/>
      <c r="C275" s="2564"/>
      <c r="D275" s="2564"/>
      <c r="E275" s="2564"/>
      <c r="F275" s="2564" t="s">
        <v>27</v>
      </c>
      <c r="G275" s="2564"/>
      <c r="H275" s="1839"/>
      <c r="I275" s="1833" t="s">
        <v>9165</v>
      </c>
      <c r="J275" s="1839"/>
      <c r="K275" s="1833" t="str">
        <f t="shared" si="86"/>
        <v>7-DaHall 1-RPP-02-20-7</v>
      </c>
      <c r="L275" s="1841"/>
      <c r="M275" s="1842"/>
      <c r="N275" s="896"/>
      <c r="O275" s="1843"/>
      <c r="P275" s="1834">
        <v>220</v>
      </c>
      <c r="Q275" s="1835">
        <v>20</v>
      </c>
      <c r="R275" s="687" t="s">
        <v>8776</v>
      </c>
      <c r="S275" s="1836">
        <v>7</v>
      </c>
      <c r="T275" s="896"/>
      <c r="U275" s="687" t="s">
        <v>1180</v>
      </c>
      <c r="V275" s="896"/>
      <c r="W275" s="2578" t="s">
        <v>1181</v>
      </c>
      <c r="X275" s="896"/>
      <c r="Y275" s="2868" t="s">
        <v>9159</v>
      </c>
      <c r="Z275" s="896"/>
      <c r="AA275" s="2868" t="s">
        <v>9160</v>
      </c>
      <c r="AB275" s="896"/>
      <c r="AC275" s="2868" t="s">
        <v>9161</v>
      </c>
      <c r="AD275" s="896"/>
      <c r="AE275" s="2868" t="s">
        <v>9162</v>
      </c>
      <c r="AF275" s="896"/>
      <c r="AG275" s="2868" t="s">
        <v>9154</v>
      </c>
      <c r="AH275" s="924"/>
      <c r="AI275" s="901">
        <f>SUM('7층_부하량(월간_AVG)'!D98:F98)</f>
        <v>0</v>
      </c>
      <c r="AJ275" s="1324">
        <f t="shared" si="80"/>
        <v>0</v>
      </c>
      <c r="AK275" s="2816"/>
      <c r="AL275" s="2817" t="e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5" s="3240">
        <f>VLOOKUP(J275&amp;K275,'7층~4층_매핑테이블'!$Y$6:$AF$2020,8,0)</f>
        <v>0.223</v>
      </c>
      <c r="AN275" s="3230" t="e">
        <f t="shared" si="83"/>
        <v>#N/A</v>
      </c>
      <c r="AO275" s="1329" t="s">
        <v>1182</v>
      </c>
      <c r="AP275" s="2599"/>
      <c r="AR275" s="2351" t="e">
        <f t="shared" si="84"/>
        <v>#N/A</v>
      </c>
      <c r="AS275" s="2351" t="e">
        <f t="shared" si="85"/>
        <v>#N/A</v>
      </c>
      <c r="AT275" s="123" t="e">
        <f t="shared" si="82"/>
        <v>#N/A</v>
      </c>
      <c r="AU275" t="e">
        <f t="shared" si="75"/>
        <v>#N/A</v>
      </c>
      <c r="AV275" t="e">
        <f t="shared" si="76"/>
        <v>#N/A</v>
      </c>
      <c r="BA275" s="123"/>
      <c r="BB275" s="123"/>
      <c r="BC275" s="123"/>
      <c r="BD275" s="2997"/>
      <c r="BE275" s="123"/>
      <c r="BF275" s="2998"/>
      <c r="BG275" s="2999"/>
      <c r="BH275" s="3005"/>
      <c r="BI275" s="3000"/>
      <c r="BJ275" s="3001"/>
      <c r="BK275" s="3002"/>
      <c r="BL275" s="3003"/>
      <c r="BM275" s="3004"/>
    </row>
    <row r="276" spans="1:65" ht="62.4" x14ac:dyDescent="0.25">
      <c r="A276" s="2867"/>
      <c r="B276" s="1042"/>
      <c r="C276" s="2564"/>
      <c r="D276" s="2564"/>
      <c r="E276" s="2564"/>
      <c r="F276" s="2564" t="s">
        <v>27</v>
      </c>
      <c r="G276" s="2564"/>
      <c r="H276" s="1885"/>
      <c r="I276" s="1833" t="s">
        <v>9166</v>
      </c>
      <c r="J276" s="1885"/>
      <c r="K276" s="1833" t="str">
        <f t="shared" si="86"/>
        <v>7-DaHall 1-RPP-02-20-11</v>
      </c>
      <c r="L276" s="1887"/>
      <c r="M276" s="1890"/>
      <c r="N276" s="911"/>
      <c r="O276" s="1888"/>
      <c r="P276" s="1834">
        <v>220</v>
      </c>
      <c r="Q276" s="1835">
        <v>20</v>
      </c>
      <c r="R276" s="687" t="s">
        <v>8776</v>
      </c>
      <c r="S276" s="1836">
        <v>11</v>
      </c>
      <c r="T276" s="911"/>
      <c r="U276" s="687" t="s">
        <v>1183</v>
      </c>
      <c r="V276" s="896"/>
      <c r="W276" s="2578" t="s">
        <v>1184</v>
      </c>
      <c r="X276" s="896"/>
      <c r="Y276" s="2868" t="s">
        <v>9159</v>
      </c>
      <c r="Z276" s="896"/>
      <c r="AA276" s="2868" t="s">
        <v>9160</v>
      </c>
      <c r="AB276" s="896"/>
      <c r="AC276" s="2868" t="s">
        <v>9161</v>
      </c>
      <c r="AD276" s="896"/>
      <c r="AE276" s="2868" t="s">
        <v>9162</v>
      </c>
      <c r="AF276" s="896"/>
      <c r="AG276" s="2868" t="s">
        <v>9154</v>
      </c>
      <c r="AH276" s="933"/>
      <c r="AI276" s="901">
        <f>SUM('7층_부하량(월간_AVG)'!D100:F100)</f>
        <v>0</v>
      </c>
      <c r="AJ276" s="1324">
        <f t="shared" si="80"/>
        <v>0</v>
      </c>
      <c r="AK276" s="2816"/>
      <c r="AL276" s="2817" t="e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6" s="3240">
        <f>VLOOKUP(J276&amp;K276,'7층~4층_매핑테이블'!$Y$6:$AF$2020,8,0)</f>
        <v>0</v>
      </c>
      <c r="AN276" s="3230" t="e">
        <f t="shared" si="83"/>
        <v>#N/A</v>
      </c>
      <c r="AO276" s="2597" t="s">
        <v>1185</v>
      </c>
      <c r="AP276" s="2599"/>
      <c r="AR276" s="2351" t="e">
        <f t="shared" si="84"/>
        <v>#N/A</v>
      </c>
      <c r="AS276" s="2351" t="e">
        <f t="shared" si="85"/>
        <v>#N/A</v>
      </c>
      <c r="AT276" s="123" t="e">
        <f t="shared" si="82"/>
        <v>#N/A</v>
      </c>
      <c r="AU276" t="e">
        <f t="shared" si="75"/>
        <v>#N/A</v>
      </c>
      <c r="AV276" t="e">
        <f t="shared" si="76"/>
        <v>#N/A</v>
      </c>
      <c r="BA276" s="123"/>
      <c r="BB276" s="123"/>
      <c r="BC276" s="123"/>
      <c r="BD276" s="2997"/>
      <c r="BE276" s="123"/>
      <c r="BF276" s="2998"/>
      <c r="BG276" s="2999"/>
      <c r="BH276" s="3005"/>
      <c r="BI276" s="3000"/>
      <c r="BJ276" s="3001"/>
      <c r="BK276" s="3002"/>
      <c r="BL276" s="3003"/>
      <c r="BM276" s="3004"/>
    </row>
    <row r="277" spans="1:65" ht="62.4" x14ac:dyDescent="0.25">
      <c r="A277" s="2867"/>
      <c r="B277" s="1042"/>
      <c r="C277" s="2564"/>
      <c r="D277" s="2564"/>
      <c r="E277" s="2564"/>
      <c r="F277" s="2564" t="s">
        <v>27</v>
      </c>
      <c r="G277" s="2564"/>
      <c r="H277" s="1885"/>
      <c r="I277" s="1833" t="s">
        <v>9167</v>
      </c>
      <c r="J277" s="1885"/>
      <c r="K277" s="1833" t="str">
        <f t="shared" si="86"/>
        <v>7-DaHall 1-RPP-02-30-22</v>
      </c>
      <c r="L277" s="1887"/>
      <c r="M277" s="1890"/>
      <c r="N277" s="911"/>
      <c r="O277" s="1888"/>
      <c r="P277" s="1834">
        <v>220</v>
      </c>
      <c r="Q277" s="1835">
        <v>30</v>
      </c>
      <c r="R277" s="687" t="s">
        <v>8776</v>
      </c>
      <c r="S277" s="1836">
        <v>22</v>
      </c>
      <c r="T277" s="911"/>
      <c r="U277" s="687" t="s">
        <v>1186</v>
      </c>
      <c r="V277" s="896"/>
      <c r="W277" s="2578" t="s">
        <v>1187</v>
      </c>
      <c r="X277" s="896"/>
      <c r="Y277" s="2868" t="s">
        <v>9159</v>
      </c>
      <c r="Z277" s="896"/>
      <c r="AA277" s="2868" t="s">
        <v>9160</v>
      </c>
      <c r="AB277" s="896"/>
      <c r="AC277" s="2868" t="s">
        <v>9161</v>
      </c>
      <c r="AD277" s="896"/>
      <c r="AE277" s="2868" t="s">
        <v>9162</v>
      </c>
      <c r="AF277" s="896"/>
      <c r="AG277" s="2868" t="s">
        <v>9154</v>
      </c>
      <c r="AH277" s="933"/>
      <c r="AI277" s="901">
        <f>SUM('7층_부하량(월간_AVG)'!N105:P105)</f>
        <v>0</v>
      </c>
      <c r="AJ277" s="1324">
        <f t="shared" si="80"/>
        <v>0</v>
      </c>
      <c r="AK277" s="2816"/>
      <c r="AL277" s="2817" t="e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7" s="3240">
        <f>VLOOKUP(J277&amp;K277,'7층~4층_매핑테이블'!$Y$6:$AF$2020,8,0)</f>
        <v>0</v>
      </c>
      <c r="AN277" s="3230" t="e">
        <f t="shared" si="83"/>
        <v>#N/A</v>
      </c>
      <c r="AO277" s="2597" t="s">
        <v>1188</v>
      </c>
      <c r="AP277" s="2599"/>
      <c r="AR277" s="2351" t="e">
        <f t="shared" si="84"/>
        <v>#N/A</v>
      </c>
      <c r="AS277" s="2351" t="e">
        <f t="shared" si="85"/>
        <v>#N/A</v>
      </c>
      <c r="AT277" s="123" t="e">
        <f t="shared" si="82"/>
        <v>#N/A</v>
      </c>
      <c r="AU277" t="e">
        <f t="shared" si="75"/>
        <v>#N/A</v>
      </c>
      <c r="AV277" t="e">
        <f t="shared" si="76"/>
        <v>#N/A</v>
      </c>
      <c r="BA277" s="123"/>
      <c r="BB277" s="123"/>
      <c r="BC277" s="123"/>
      <c r="BD277" s="2997"/>
      <c r="BE277" s="123"/>
      <c r="BF277" s="2998"/>
      <c r="BG277" s="2999"/>
      <c r="BH277" s="3005"/>
      <c r="BI277" s="3000"/>
      <c r="BJ277" s="3001"/>
      <c r="BK277" s="3002"/>
      <c r="BL277" s="3003"/>
      <c r="BM277" s="3004"/>
    </row>
    <row r="278" spans="1:65" ht="62.4" x14ac:dyDescent="0.25">
      <c r="A278" s="2867"/>
      <c r="B278" s="1042"/>
      <c r="C278" s="2564"/>
      <c r="D278" s="2564"/>
      <c r="E278" s="2564"/>
      <c r="F278" s="2564" t="s">
        <v>27</v>
      </c>
      <c r="G278" s="2564"/>
      <c r="H278" s="1839"/>
      <c r="I278" s="1833" t="s">
        <v>9168</v>
      </c>
      <c r="J278" s="1839"/>
      <c r="K278" s="1833" t="str">
        <f t="shared" si="86"/>
        <v>7-DaHall 1-RPP-02-30-24</v>
      </c>
      <c r="L278" s="1841"/>
      <c r="M278" s="1842"/>
      <c r="N278" s="896"/>
      <c r="O278" s="1843"/>
      <c r="P278" s="1834">
        <v>220</v>
      </c>
      <c r="Q278" s="1835">
        <v>30</v>
      </c>
      <c r="R278" s="687" t="s">
        <v>8776</v>
      </c>
      <c r="S278" s="1836">
        <v>24</v>
      </c>
      <c r="T278" s="896"/>
      <c r="U278" s="687" t="s">
        <v>1189</v>
      </c>
      <c r="V278" s="896"/>
      <c r="W278" s="2578" t="s">
        <v>1190</v>
      </c>
      <c r="X278" s="896"/>
      <c r="Y278" s="2868" t="s">
        <v>9159</v>
      </c>
      <c r="Z278" s="896"/>
      <c r="AA278" s="2868" t="s">
        <v>9160</v>
      </c>
      <c r="AB278" s="896"/>
      <c r="AC278" s="2868" t="s">
        <v>9161</v>
      </c>
      <c r="AD278" s="896"/>
      <c r="AE278" s="2868" t="s">
        <v>9162</v>
      </c>
      <c r="AF278" s="896"/>
      <c r="AG278" s="2868" t="s">
        <v>9154</v>
      </c>
      <c r="AH278" s="924"/>
      <c r="AI278" s="901">
        <f>SUM('7층_부하량(월간_AVG)'!N106:P106)</f>
        <v>0</v>
      </c>
      <c r="AJ278" s="1324">
        <f t="shared" si="80"/>
        <v>0</v>
      </c>
      <c r="AK278" s="2816"/>
      <c r="AL278" s="2817" t="e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8" s="3240">
        <f>VLOOKUP(J278&amp;K278,'7층~4층_매핑테이블'!$Y$6:$AF$2020,8,0)</f>
        <v>0.626</v>
      </c>
      <c r="AN278" s="3230" t="e">
        <f t="shared" si="83"/>
        <v>#N/A</v>
      </c>
      <c r="AO278" s="1329" t="s">
        <v>1191</v>
      </c>
      <c r="AP278" s="2599"/>
      <c r="AR278" s="2351" t="e">
        <f t="shared" si="84"/>
        <v>#N/A</v>
      </c>
      <c r="AS278" s="2351" t="e">
        <f t="shared" si="85"/>
        <v>#N/A</v>
      </c>
      <c r="AT278" s="123" t="e">
        <f t="shared" si="82"/>
        <v>#N/A</v>
      </c>
      <c r="AU278" t="e">
        <f t="shared" si="75"/>
        <v>#N/A</v>
      </c>
      <c r="AV278" t="e">
        <f t="shared" si="76"/>
        <v>#N/A</v>
      </c>
      <c r="BA278" s="123"/>
      <c r="BB278" s="123"/>
      <c r="BC278" s="123"/>
      <c r="BD278" s="2997"/>
      <c r="BE278" s="123"/>
      <c r="BF278" s="2998"/>
      <c r="BG278" s="2999"/>
      <c r="BH278" s="3005"/>
      <c r="BI278" s="3000"/>
      <c r="BJ278" s="3001"/>
      <c r="BK278" s="3002"/>
      <c r="BL278" s="3003"/>
      <c r="BM278" s="3004"/>
    </row>
    <row r="279" spans="1:65" ht="62.4" x14ac:dyDescent="0.25">
      <c r="A279" s="2867"/>
      <c r="B279" s="1042"/>
      <c r="C279" s="2564"/>
      <c r="D279" s="2564"/>
      <c r="E279" s="2564"/>
      <c r="F279" s="2564" t="s">
        <v>27</v>
      </c>
      <c r="G279" s="2564"/>
      <c r="H279" s="1839"/>
      <c r="I279" s="1833" t="s">
        <v>9169</v>
      </c>
      <c r="J279" s="1839"/>
      <c r="K279" s="1833" t="str">
        <f t="shared" si="86"/>
        <v>7-DaHall 1-RPP-02-20-35</v>
      </c>
      <c r="L279" s="1841"/>
      <c r="M279" s="1842"/>
      <c r="N279" s="896"/>
      <c r="O279" s="1843"/>
      <c r="P279" s="1834">
        <v>220</v>
      </c>
      <c r="Q279" s="1835">
        <v>20</v>
      </c>
      <c r="R279" s="687" t="s">
        <v>8776</v>
      </c>
      <c r="S279" s="1836">
        <v>35</v>
      </c>
      <c r="T279" s="896"/>
      <c r="U279" s="687" t="s">
        <v>1192</v>
      </c>
      <c r="V279" s="896"/>
      <c r="W279" s="2578" t="s">
        <v>1193</v>
      </c>
      <c r="X279" s="896"/>
      <c r="Y279" s="2868" t="s">
        <v>9159</v>
      </c>
      <c r="Z279" s="896"/>
      <c r="AA279" s="2868" t="s">
        <v>9160</v>
      </c>
      <c r="AB279" s="896"/>
      <c r="AC279" s="2868" t="s">
        <v>9161</v>
      </c>
      <c r="AD279" s="896"/>
      <c r="AE279" s="2868" t="s">
        <v>9162</v>
      </c>
      <c r="AF279" s="896"/>
      <c r="AG279" s="2868" t="s">
        <v>9154</v>
      </c>
      <c r="AH279" s="924"/>
      <c r="AI279" s="901">
        <f>SUM('7층_부하량(월간_AVG)'!D112:F112)</f>
        <v>0</v>
      </c>
      <c r="AJ279" s="1324">
        <f t="shared" si="80"/>
        <v>0</v>
      </c>
      <c r="AK279" s="2816"/>
      <c r="AL279" s="2817" t="e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9" s="3240">
        <f>VLOOKUP(J279&amp;K279,'7층~4층_매핑테이블'!$Y$6:$AF$2020,8,0)</f>
        <v>0.46800000000000003</v>
      </c>
      <c r="AN279" s="3230" t="e">
        <f t="shared" si="83"/>
        <v>#N/A</v>
      </c>
      <c r="AO279" s="1329" t="s">
        <v>1194</v>
      </c>
      <c r="AP279" s="2599"/>
      <c r="AR279" s="2351" t="e">
        <f t="shared" si="84"/>
        <v>#N/A</v>
      </c>
      <c r="AS279" s="2351" t="e">
        <f t="shared" si="85"/>
        <v>#N/A</v>
      </c>
      <c r="AT279" s="123" t="e">
        <f t="shared" si="82"/>
        <v>#N/A</v>
      </c>
      <c r="AU279" t="e">
        <f t="shared" si="75"/>
        <v>#N/A</v>
      </c>
      <c r="AV279" t="e">
        <f t="shared" si="76"/>
        <v>#N/A</v>
      </c>
      <c r="BA279" s="123"/>
      <c r="BB279" s="123"/>
      <c r="BC279" s="123"/>
      <c r="BD279" s="2997"/>
      <c r="BE279" s="123"/>
      <c r="BF279" s="2998"/>
      <c r="BG279" s="2999"/>
      <c r="BH279" s="3005"/>
      <c r="BI279" s="3000"/>
      <c r="BJ279" s="3001"/>
      <c r="BK279" s="3002"/>
      <c r="BL279" s="3003"/>
      <c r="BM279" s="3004"/>
    </row>
    <row r="280" spans="1:65" ht="62.4" x14ac:dyDescent="0.25">
      <c r="A280" s="2867"/>
      <c r="B280" s="1042"/>
      <c r="C280" s="2564"/>
      <c r="D280" s="2564"/>
      <c r="E280" s="2564"/>
      <c r="F280" s="2564" t="s">
        <v>27</v>
      </c>
      <c r="G280" s="2564"/>
      <c r="H280" s="1839"/>
      <c r="I280" s="1833" t="s">
        <v>9170</v>
      </c>
      <c r="J280" s="1839"/>
      <c r="K280" s="1833" t="str">
        <f t="shared" si="86"/>
        <v>7-DaHall 1-RPP-02-20-37</v>
      </c>
      <c r="L280" s="1841"/>
      <c r="M280" s="1842"/>
      <c r="N280" s="896"/>
      <c r="O280" s="1843"/>
      <c r="P280" s="1834">
        <v>220</v>
      </c>
      <c r="Q280" s="1835">
        <v>20</v>
      </c>
      <c r="R280" s="687" t="s">
        <v>8776</v>
      </c>
      <c r="S280" s="1836">
        <v>37</v>
      </c>
      <c r="T280" s="896"/>
      <c r="U280" s="687" t="s">
        <v>1195</v>
      </c>
      <c r="V280" s="896"/>
      <c r="W280" s="2578" t="s">
        <v>1196</v>
      </c>
      <c r="X280" s="896"/>
      <c r="Y280" s="2868" t="s">
        <v>9159</v>
      </c>
      <c r="Z280" s="896"/>
      <c r="AA280" s="2868" t="s">
        <v>9160</v>
      </c>
      <c r="AB280" s="896"/>
      <c r="AC280" s="2868" t="s">
        <v>9161</v>
      </c>
      <c r="AD280" s="896"/>
      <c r="AE280" s="2868" t="s">
        <v>9162</v>
      </c>
      <c r="AF280" s="896"/>
      <c r="AG280" s="2868" t="s">
        <v>9154</v>
      </c>
      <c r="AH280" s="924"/>
      <c r="AI280" s="901">
        <f>SUM('7층_부하량(월간_AVG)'!D113:F113)</f>
        <v>0</v>
      </c>
      <c r="AJ280" s="1324">
        <f t="shared" si="80"/>
        <v>0</v>
      </c>
      <c r="AK280" s="2816"/>
      <c r="AL280" s="2817" t="e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80" s="3240">
        <f>VLOOKUP(J280&amp;K280,'7층~4층_매핑테이블'!$Y$6:$AF$2020,8,0)</f>
        <v>1.0149999999999999</v>
      </c>
      <c r="AN280" s="3230" t="e">
        <f t="shared" si="83"/>
        <v>#N/A</v>
      </c>
      <c r="AO280" s="1329" t="s">
        <v>1197</v>
      </c>
      <c r="AP280" s="2599"/>
      <c r="AR280" s="2351" t="e">
        <f t="shared" si="84"/>
        <v>#N/A</v>
      </c>
      <c r="AS280" s="2351" t="e">
        <f t="shared" si="85"/>
        <v>#N/A</v>
      </c>
      <c r="AT280" s="123" t="e">
        <f t="shared" si="82"/>
        <v>#N/A</v>
      </c>
      <c r="AU280" t="e">
        <f t="shared" si="75"/>
        <v>#N/A</v>
      </c>
      <c r="AV280" t="e">
        <f t="shared" si="76"/>
        <v>#N/A</v>
      </c>
      <c r="BA280" s="123"/>
      <c r="BB280" s="123"/>
      <c r="BC280" s="123"/>
      <c r="BD280" s="2997"/>
      <c r="BE280" s="123"/>
      <c r="BF280" s="2998"/>
      <c r="BG280" s="2999"/>
      <c r="BH280" s="3005"/>
      <c r="BI280" s="3000"/>
      <c r="BJ280" s="3001"/>
      <c r="BK280" s="3002"/>
      <c r="BL280" s="3003"/>
      <c r="BM280" s="3004"/>
    </row>
    <row r="281" spans="1:65" ht="62.4" x14ac:dyDescent="0.25">
      <c r="A281" s="2867"/>
      <c r="B281" s="1042"/>
      <c r="C281" s="2564"/>
      <c r="D281" s="2564"/>
      <c r="E281" s="2564"/>
      <c r="F281" s="705" t="s">
        <v>27</v>
      </c>
      <c r="G281" s="705"/>
      <c r="H281" s="2009"/>
      <c r="I281" s="2010" t="s">
        <v>9171</v>
      </c>
      <c r="J281" s="2009"/>
      <c r="K281" s="2010" t="str">
        <f t="shared" si="86"/>
        <v>7-DaHall 1-RPP-02-20-38</v>
      </c>
      <c r="L281" s="2011"/>
      <c r="M281" s="2012"/>
      <c r="N281" s="912"/>
      <c r="O281" s="2013"/>
      <c r="P281" s="2014">
        <v>220</v>
      </c>
      <c r="Q281" s="2015">
        <v>20</v>
      </c>
      <c r="R281" s="913" t="s">
        <v>8776</v>
      </c>
      <c r="S281" s="2016">
        <v>38</v>
      </c>
      <c r="T281" s="912"/>
      <c r="U281" s="913" t="s">
        <v>457</v>
      </c>
      <c r="V281" s="896"/>
      <c r="W281" s="2578" t="s">
        <v>459</v>
      </c>
      <c r="X281" s="896"/>
      <c r="Y281" s="2868" t="s">
        <v>9159</v>
      </c>
      <c r="Z281" s="896"/>
      <c r="AA281" s="2868" t="s">
        <v>9160</v>
      </c>
      <c r="AB281" s="896"/>
      <c r="AC281" s="2868" t="s">
        <v>9161</v>
      </c>
      <c r="AD281" s="896"/>
      <c r="AE281" s="2868" t="s">
        <v>9162</v>
      </c>
      <c r="AF281" s="896"/>
      <c r="AG281" s="2868" t="s">
        <v>9154</v>
      </c>
      <c r="AH281" s="934"/>
      <c r="AI281" s="932"/>
      <c r="AJ281" s="1327">
        <f t="shared" si="80"/>
        <v>0</v>
      </c>
      <c r="AK281" s="2816"/>
      <c r="AL281" s="2817" t="e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81" s="3240">
        <f>VLOOKUP(J281&amp;K281,'7층~4층_매핑테이블'!$Y$6:$AF$2020,8,0)</f>
        <v>1.087</v>
      </c>
      <c r="AN281" s="3230" t="e">
        <f t="shared" si="83"/>
        <v>#N/A</v>
      </c>
      <c r="AO281" s="1331" t="s">
        <v>1198</v>
      </c>
      <c r="AP281" s="2599"/>
      <c r="AR281" s="2351" t="e">
        <f t="shared" si="84"/>
        <v>#N/A</v>
      </c>
      <c r="AS281" s="2351" t="e">
        <f t="shared" si="85"/>
        <v>#N/A</v>
      </c>
      <c r="AT281" s="123" t="e">
        <f t="shared" si="82"/>
        <v>#N/A</v>
      </c>
      <c r="AU281" t="e">
        <f t="shared" si="75"/>
        <v>#N/A</v>
      </c>
      <c r="AV281" t="e">
        <f t="shared" si="76"/>
        <v>#N/A</v>
      </c>
      <c r="BA281" s="123"/>
      <c r="BB281" s="123"/>
      <c r="BC281" s="123"/>
      <c r="BD281" s="2997"/>
      <c r="BE281" s="123"/>
      <c r="BF281" s="2998"/>
      <c r="BG281" s="2999"/>
      <c r="BH281" s="3005"/>
      <c r="BI281" s="3000"/>
      <c r="BJ281" s="3001"/>
      <c r="BK281" s="3002"/>
      <c r="BL281" s="3003"/>
      <c r="BM281" s="3004"/>
    </row>
    <row r="282" spans="1:65" ht="63" thickBot="1" x14ac:dyDescent="0.3">
      <c r="A282" s="2870"/>
      <c r="B282" s="1043"/>
      <c r="C282" s="2595"/>
      <c r="D282" s="2595"/>
      <c r="E282" s="2595"/>
      <c r="F282" s="2595" t="s">
        <v>27</v>
      </c>
      <c r="G282" s="2595"/>
      <c r="H282" s="2017"/>
      <c r="I282" s="2018" t="s">
        <v>9172</v>
      </c>
      <c r="J282" s="2017"/>
      <c r="K282" s="2018" t="str">
        <f t="shared" si="86"/>
        <v>7-DaHall 1-RPP-02-20-39</v>
      </c>
      <c r="L282" s="2019"/>
      <c r="M282" s="2020"/>
      <c r="N282" s="2021"/>
      <c r="O282" s="2022"/>
      <c r="P282" s="1926">
        <v>220</v>
      </c>
      <c r="Q282" s="2023">
        <v>20</v>
      </c>
      <c r="R282" s="2871" t="s">
        <v>8776</v>
      </c>
      <c r="S282" s="2024">
        <v>39</v>
      </c>
      <c r="T282" s="904"/>
      <c r="U282" s="907" t="s">
        <v>1199</v>
      </c>
      <c r="V282" s="904"/>
      <c r="W282" s="892" t="s">
        <v>1200</v>
      </c>
      <c r="X282" s="904"/>
      <c r="Y282" s="2869" t="s">
        <v>9159</v>
      </c>
      <c r="Z282" s="904"/>
      <c r="AA282" s="2869" t="s">
        <v>9160</v>
      </c>
      <c r="AB282" s="904"/>
      <c r="AC282" s="2869" t="s">
        <v>9161</v>
      </c>
      <c r="AD282" s="904"/>
      <c r="AE282" s="2869" t="s">
        <v>9162</v>
      </c>
      <c r="AF282" s="904"/>
      <c r="AG282" s="2869" t="s">
        <v>9154</v>
      </c>
      <c r="AH282" s="926"/>
      <c r="AI282" s="928">
        <f>SUM('7층_부하량(월간_AVG)'!D114:F114)</f>
        <v>0</v>
      </c>
      <c r="AJ282" s="1325">
        <f t="shared" si="80"/>
        <v>0</v>
      </c>
      <c r="AK282" s="2872"/>
      <c r="AL282" s="2873" t="e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82" s="3226">
        <f>VLOOKUP(J282&amp;K282,'7층~4층_매핑테이블'!$Y$6:$AF$2020,8,0)</f>
        <v>3.0329999999999999</v>
      </c>
      <c r="AN282" s="3236" t="e">
        <f t="shared" si="83"/>
        <v>#N/A</v>
      </c>
      <c r="AO282" s="1332" t="s">
        <v>1201</v>
      </c>
      <c r="AP282" s="679"/>
      <c r="AR282" s="2351" t="e">
        <f t="shared" si="84"/>
        <v>#N/A</v>
      </c>
      <c r="AS282" s="2351" t="e">
        <f t="shared" si="85"/>
        <v>#N/A</v>
      </c>
      <c r="AT282" s="123" t="e">
        <f t="shared" si="82"/>
        <v>#N/A</v>
      </c>
      <c r="AU282" t="e">
        <f t="shared" si="75"/>
        <v>#N/A</v>
      </c>
      <c r="AV282" t="e">
        <f t="shared" si="76"/>
        <v>#N/A</v>
      </c>
      <c r="BA282" s="123"/>
      <c r="BB282" s="123"/>
      <c r="BC282" s="123"/>
      <c r="BD282" s="2997"/>
      <c r="BE282" s="123"/>
      <c r="BF282" s="2998"/>
      <c r="BG282" s="2999"/>
      <c r="BH282" s="3005"/>
      <c r="BI282" s="3000"/>
      <c r="BJ282" s="3001"/>
      <c r="BK282" s="3002"/>
      <c r="BL282" s="3003"/>
      <c r="BM282" s="3004"/>
    </row>
    <row r="283" spans="1:65" x14ac:dyDescent="0.25">
      <c r="AJ283" s="2342">
        <f>SUM(AJ5:AJ282)</f>
        <v>0</v>
      </c>
      <c r="AK283" s="1357" t="e">
        <f>SUM(AK130:AK282)/1000</f>
        <v>#N/A</v>
      </c>
      <c r="AL283" s="1357"/>
      <c r="AM283" s="1357"/>
      <c r="AN283" s="3237"/>
    </row>
  </sheetData>
  <mergeCells count="143">
    <mergeCell ref="BA3:BA4"/>
    <mergeCell ref="BB3:BB4"/>
    <mergeCell ref="BC3:BC4"/>
    <mergeCell ref="BD3:BD4"/>
    <mergeCell ref="BF3:BG3"/>
    <mergeCell ref="BH3:BJ3"/>
    <mergeCell ref="BK3:BL3"/>
    <mergeCell ref="BM3:BM4"/>
    <mergeCell ref="BN3:BN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B18:B19"/>
    <mergeCell ref="C18:C19"/>
    <mergeCell ref="B21:B22"/>
    <mergeCell ref="C21:C22"/>
    <mergeCell ref="D21:D22"/>
    <mergeCell ref="L4:O4"/>
    <mergeCell ref="P4:S4"/>
    <mergeCell ref="C7:C8"/>
    <mergeCell ref="D7:D8"/>
    <mergeCell ref="F3:G3"/>
    <mergeCell ref="H3:I3"/>
    <mergeCell ref="AM3:AM4"/>
    <mergeCell ref="BP3:BP4"/>
    <mergeCell ref="BQ3:BQ4"/>
    <mergeCell ref="A1:AP1"/>
    <mergeCell ref="X25:Y25"/>
    <mergeCell ref="Z25:AA25"/>
    <mergeCell ref="AB25:AC25"/>
    <mergeCell ref="AD25:AE25"/>
    <mergeCell ref="AF25:AG25"/>
    <mergeCell ref="AF3:AG3"/>
    <mergeCell ref="AH3:AJ3"/>
    <mergeCell ref="AJ18:AJ19"/>
    <mergeCell ref="AK3:AL3"/>
    <mergeCell ref="AF7:AF8"/>
    <mergeCell ref="AG7:AG8"/>
    <mergeCell ref="V3:W3"/>
    <mergeCell ref="T3:U3"/>
    <mergeCell ref="AD3:AE3"/>
    <mergeCell ref="Z3:AA3"/>
    <mergeCell ref="X3:Y3"/>
    <mergeCell ref="AB3:AC3"/>
    <mergeCell ref="AR3:AR4"/>
    <mergeCell ref="AS3:AS4"/>
    <mergeCell ref="AT3:AT4"/>
  </mergeCells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F253"/>
  <sheetViews>
    <sheetView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D2" sqref="AD2"/>
    </sheetView>
  </sheetViews>
  <sheetFormatPr defaultRowHeight="14.4" x14ac:dyDescent="0.25"/>
  <cols>
    <col min="1" max="1" width="9.69921875" style="1080" bestFit="1" customWidth="1"/>
    <col min="2" max="4" width="10.09765625" customWidth="1"/>
    <col min="5" max="8" width="9.59765625" hidden="1" customWidth="1"/>
    <col min="9" max="9" width="36.59765625" style="2035" bestFit="1" customWidth="1"/>
    <col min="10" max="10" width="29.69921875" style="2035" bestFit="1" customWidth="1"/>
    <col min="11" max="11" width="6.09765625" customWidth="1"/>
    <col min="12" max="12" width="5.8984375" customWidth="1"/>
    <col min="13" max="13" width="3.3984375" customWidth="1"/>
    <col min="14" max="14" width="3.3984375" style="1444" customWidth="1"/>
    <col min="15" max="15" width="6.09765625" customWidth="1"/>
    <col min="16" max="16" width="5.8984375" customWidth="1"/>
    <col min="17" max="17" width="3.69921875" customWidth="1"/>
    <col min="18" max="18" width="3.3984375" style="1444" customWidth="1"/>
    <col min="19" max="24" width="9.59765625" customWidth="1"/>
    <col min="25" max="27" width="8.8984375" style="249"/>
    <col min="28" max="28" width="11.69921875" style="249" bestFit="1" customWidth="1"/>
    <col min="29" max="29" width="11.69921875" style="249" customWidth="1"/>
    <col min="30" max="30" width="21.3984375" style="249" bestFit="1" customWidth="1"/>
    <col min="31" max="31" width="16.69921875" style="3137" customWidth="1"/>
    <col min="32" max="32" width="31" style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6" max="46" width="11.796875" customWidth="1"/>
    <col min="47" max="48" width="26.59765625" bestFit="1" customWidth="1"/>
    <col min="52" max="52" width="9.69921875" bestFit="1" customWidth="1"/>
    <col min="53" max="53" width="12.3984375" bestFit="1" customWidth="1"/>
    <col min="54" max="54" width="21.3984375" style="2989" bestFit="1" customWidth="1"/>
    <col min="55" max="57" width="15.69921875" customWidth="1"/>
  </cols>
  <sheetData>
    <row r="1" spans="1:58" ht="25.8" x14ac:dyDescent="0.25">
      <c r="A1" s="3452" t="s">
        <v>1202</v>
      </c>
      <c r="B1" s="3452"/>
      <c r="C1" s="3452"/>
      <c r="D1" s="3452"/>
      <c r="E1" s="3452"/>
      <c r="F1" s="3452"/>
      <c r="G1" s="3452"/>
      <c r="H1" s="3452"/>
      <c r="I1" s="3452"/>
      <c r="J1" s="3452"/>
      <c r="K1" s="3452"/>
      <c r="L1" s="3452"/>
      <c r="M1" s="3452"/>
      <c r="N1" s="3452"/>
      <c r="O1" s="3452"/>
      <c r="P1" s="3452"/>
      <c r="Q1" s="3452"/>
      <c r="R1" s="3452"/>
      <c r="S1" s="3452"/>
      <c r="T1" s="3452"/>
      <c r="U1" s="3452"/>
      <c r="V1" s="3452"/>
      <c r="W1" s="3452"/>
      <c r="X1" s="3452"/>
      <c r="Y1" s="3452"/>
      <c r="Z1" s="3452"/>
      <c r="AA1" s="3452"/>
      <c r="AB1" s="3452"/>
      <c r="AC1" s="3452"/>
      <c r="AD1" s="3452"/>
      <c r="AE1" s="3452"/>
      <c r="AF1" s="3452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72" t="s">
        <v>9265</v>
      </c>
      <c r="BA1" s="2973" t="s">
        <v>9267</v>
      </c>
      <c r="BB1" s="2974" t="s">
        <v>9268</v>
      </c>
      <c r="BC1" s="2964" t="s">
        <v>9269</v>
      </c>
      <c r="BD1" s="2964" t="s">
        <v>10818</v>
      </c>
      <c r="BE1" s="2964" t="s">
        <v>10842</v>
      </c>
      <c r="BF1" s="1">
        <f>COUNTIF($BC$5:$BC$254,"&gt;0")</f>
        <v>0</v>
      </c>
    </row>
    <row r="2" spans="1:58" ht="16.2" thickBot="1" x14ac:dyDescent="0.3">
      <c r="I2" s="2035" t="s">
        <v>1203</v>
      </c>
      <c r="AD2" s="3220"/>
      <c r="AF2" s="488"/>
      <c r="AQ2" s="123"/>
      <c r="AR2" s="123"/>
      <c r="AS2" s="123"/>
      <c r="AT2" s="2978"/>
      <c r="AU2" s="123"/>
      <c r="AV2" s="123"/>
      <c r="AZ2" s="2995">
        <f>IFERROR(SUBTOTAL(109,$AT$5:$AT$254), 0)</f>
        <v>0</v>
      </c>
      <c r="BA2" s="2996">
        <f>IFERROR(SUBTOTAL(109,$BC$5:$BC$254)/(24*31), 0)</f>
        <v>0</v>
      </c>
      <c r="BB2" s="2995">
        <f>AZ2-BA2</f>
        <v>0</v>
      </c>
      <c r="BC2" s="2994" t="str">
        <f>IF(SIGN(BB2)&gt;=0,IF(BA2=0,"미사용 랙","적정 사용"),"사용초과")</f>
        <v>미사용 랙</v>
      </c>
      <c r="BD2" s="2993">
        <f>IFERROR(MAX($BB$5:$BB$254), 0)</f>
        <v>0</v>
      </c>
      <c r="BE2" s="3254" t="e">
        <f>BA2/BF1</f>
        <v>#DIV/0!</v>
      </c>
    </row>
    <row r="3" spans="1:58" ht="13.5" customHeight="1" thickTop="1" thickBot="1" x14ac:dyDescent="0.3">
      <c r="A3" s="3492" t="s">
        <v>1204</v>
      </c>
      <c r="B3" s="3494" t="s">
        <v>1205</v>
      </c>
      <c r="C3" s="3502" t="s">
        <v>1206</v>
      </c>
      <c r="D3" s="2920" t="s">
        <v>9265</v>
      </c>
      <c r="E3" s="3504" t="s">
        <v>1207</v>
      </c>
      <c r="F3" s="3494"/>
      <c r="G3" s="3505" t="s">
        <v>1208</v>
      </c>
      <c r="H3" s="3506"/>
      <c r="I3" s="3511" t="s">
        <v>6631</v>
      </c>
      <c r="J3" s="3512"/>
      <c r="K3" s="3511" t="s">
        <v>7</v>
      </c>
      <c r="L3" s="3513"/>
      <c r="M3" s="3513"/>
      <c r="N3" s="3513"/>
      <c r="O3" s="3513"/>
      <c r="P3" s="3513"/>
      <c r="Q3" s="3513"/>
      <c r="R3" s="3512"/>
      <c r="S3" s="3505" t="s">
        <v>1209</v>
      </c>
      <c r="T3" s="3506"/>
      <c r="U3" s="3505" t="s">
        <v>13</v>
      </c>
      <c r="V3" s="3506"/>
      <c r="W3" s="3505" t="s">
        <v>14</v>
      </c>
      <c r="X3" s="3506"/>
      <c r="Y3" s="3507" t="s">
        <v>8722</v>
      </c>
      <c r="Z3" s="3508"/>
      <c r="AA3" s="3508"/>
      <c r="AB3" s="3500" t="s">
        <v>8723</v>
      </c>
      <c r="AC3" s="3501"/>
      <c r="AD3" s="3450" t="s">
        <v>10817</v>
      </c>
      <c r="AE3" s="3509" t="s">
        <v>6632</v>
      </c>
      <c r="AF3" s="3448" t="s">
        <v>1210</v>
      </c>
      <c r="AH3" s="3356" t="s">
        <v>9267</v>
      </c>
      <c r="AI3" s="3358" t="s">
        <v>9268</v>
      </c>
      <c r="AJ3" s="3360" t="s">
        <v>9269</v>
      </c>
      <c r="AK3" s="2964" t="s">
        <v>9270</v>
      </c>
      <c r="AL3" s="2964"/>
      <c r="AM3" s="2964" t="s">
        <v>9271</v>
      </c>
      <c r="AN3" s="2964" t="s">
        <v>9272</v>
      </c>
      <c r="AQ3" s="3537" t="s">
        <v>3734</v>
      </c>
      <c r="AR3" s="3539" t="s">
        <v>1204</v>
      </c>
      <c r="AS3" s="3541" t="s">
        <v>1206</v>
      </c>
      <c r="AT3" s="2979" t="s">
        <v>9265</v>
      </c>
      <c r="AU3" s="3368" t="s">
        <v>6630</v>
      </c>
      <c r="AV3" s="3369"/>
      <c r="AW3" s="3547" t="s">
        <v>8722</v>
      </c>
      <c r="AX3" s="3508"/>
      <c r="AY3" s="3508"/>
      <c r="AZ3" s="3548" t="s">
        <v>8723</v>
      </c>
      <c r="BA3" s="3549"/>
      <c r="BB3" s="3550" t="s">
        <v>10817</v>
      </c>
      <c r="BC3" s="3552" t="s">
        <v>6632</v>
      </c>
      <c r="BD3" s="3448" t="s">
        <v>1210</v>
      </c>
    </row>
    <row r="4" spans="1:58" ht="15.6" thickTop="1" thickBot="1" x14ac:dyDescent="0.3">
      <c r="A4" s="3493"/>
      <c r="B4" s="3495"/>
      <c r="C4" s="3503"/>
      <c r="D4" s="2921" t="s">
        <v>9266</v>
      </c>
      <c r="E4" s="2653" t="s">
        <v>19</v>
      </c>
      <c r="F4" s="2653" t="s">
        <v>20</v>
      </c>
      <c r="G4" s="820" t="s">
        <v>19</v>
      </c>
      <c r="H4" s="821" t="s">
        <v>20</v>
      </c>
      <c r="I4" s="1445" t="s">
        <v>19</v>
      </c>
      <c r="J4" s="1446" t="s">
        <v>20</v>
      </c>
      <c r="K4" s="3514" t="s">
        <v>19</v>
      </c>
      <c r="L4" s="3515"/>
      <c r="M4" s="3515"/>
      <c r="N4" s="3516"/>
      <c r="O4" s="3517" t="s">
        <v>20</v>
      </c>
      <c r="P4" s="3517"/>
      <c r="Q4" s="3517"/>
      <c r="R4" s="3518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19" t="s">
        <v>23</v>
      </c>
      <c r="AB4" s="2765" t="s">
        <v>19</v>
      </c>
      <c r="AC4" s="2688" t="s">
        <v>20</v>
      </c>
      <c r="AD4" s="3451"/>
      <c r="AE4" s="3510"/>
      <c r="AF4" s="3449"/>
      <c r="AH4" s="3357"/>
      <c r="AI4" s="3359"/>
      <c r="AJ4" s="3361"/>
      <c r="AK4" s="2965">
        <f>COUNTIF(AJ5:AJ500,"사용초과")</f>
        <v>0</v>
      </c>
      <c r="AL4" s="2965"/>
      <c r="AM4" s="2965">
        <f>COUNTIF(AJ5:AJ500,AM3)</f>
        <v>0</v>
      </c>
      <c r="AN4" s="2965">
        <f>COUNTIF(AJ5:AJ500,AN3)</f>
        <v>47</v>
      </c>
      <c r="AQ4" s="3538"/>
      <c r="AR4" s="3540"/>
      <c r="AS4" s="3542"/>
      <c r="AT4" s="2980" t="s">
        <v>9266</v>
      </c>
      <c r="AU4" s="2059" t="s">
        <v>3737</v>
      </c>
      <c r="AV4" s="2060" t="s">
        <v>3738</v>
      </c>
      <c r="AW4" s="2981" t="s">
        <v>3737</v>
      </c>
      <c r="AX4" s="2061" t="s">
        <v>3738</v>
      </c>
      <c r="AY4" s="2619" t="s">
        <v>23</v>
      </c>
      <c r="AZ4" s="2681" t="s">
        <v>3737</v>
      </c>
      <c r="BA4" s="2682" t="s">
        <v>3738</v>
      </c>
      <c r="BB4" s="3551"/>
      <c r="BC4" s="3553"/>
      <c r="BD4" s="3449"/>
    </row>
    <row r="5" spans="1:58" ht="15" thickTop="1" x14ac:dyDescent="0.25">
      <c r="A5" s="1081" t="s">
        <v>2219</v>
      </c>
      <c r="B5" s="828"/>
      <c r="C5" s="828"/>
      <c r="D5" s="828"/>
      <c r="E5" s="828"/>
      <c r="F5" s="828"/>
      <c r="G5" s="884"/>
      <c r="H5" s="885"/>
      <c r="I5" s="2120"/>
      <c r="J5" s="2121"/>
      <c r="K5" s="1499"/>
      <c r="L5" s="1500"/>
      <c r="M5" s="884"/>
      <c r="N5" s="1454"/>
      <c r="O5" s="1501"/>
      <c r="P5" s="1502"/>
      <c r="Q5" s="885"/>
      <c r="R5" s="1457"/>
      <c r="S5" s="884"/>
      <c r="T5" s="885"/>
      <c r="U5" s="884"/>
      <c r="V5" s="885"/>
      <c r="W5" s="884"/>
      <c r="X5" s="885"/>
      <c r="Y5" s="835"/>
      <c r="Z5" s="835"/>
      <c r="AA5" s="2439"/>
      <c r="AB5" s="2771"/>
      <c r="AC5" s="2701"/>
      <c r="AD5" s="3221"/>
      <c r="AE5" s="3207">
        <f t="shared" ref="AE5:AE41" si="0">SUM(AB5:AC5)</f>
        <v>0</v>
      </c>
      <c r="AF5" s="2772" t="s">
        <v>1265</v>
      </c>
      <c r="AH5" s="2351">
        <f>AE5/(24*31)</f>
        <v>0</v>
      </c>
      <c r="AI5" s="2351">
        <f>D5-AH5</f>
        <v>0</v>
      </c>
      <c r="AJ5" s="123" t="str">
        <f t="shared" ref="AJ5:AJ68" si="1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23" t="str" cm="1">
        <f t="array" ref="AQ5">IF($AY$1="", "", _xlfn._xlws.FILTER(A5:D1064, ISNUMBER(SEARCH($AY$1,C5:C1064)), "찾을 수 없음"))</f>
        <v>찾을 수 없음</v>
      </c>
      <c r="AR5" s="123"/>
      <c r="AS5" s="123"/>
      <c r="AT5" s="2982"/>
      <c r="AU5" s="123" t="str" cm="1">
        <f t="array" ref="AU5">IF($AY$1="", "", _xlfn._xlws.FILTER(I5:J1064, ISNUMBER(SEARCH($AY$1,C5:C1064)), "찾을 수 없음"))</f>
        <v>찾을 수 없음</v>
      </c>
      <c r="AV5" s="123"/>
      <c r="AW5" s="2983" t="str" cm="1">
        <f t="array" ref="AW5">IF($AY$1="", "", _xlfn._xlws.FILTER(Y5:AF1064, ISNUMBER(SEARCH($AY$1,C5:C1064)), "찾을 수 없음"))</f>
        <v>찾을 수 없음</v>
      </c>
      <c r="AX5" s="2984"/>
      <c r="AY5" s="2985"/>
      <c r="AZ5" s="2986"/>
      <c r="BA5" s="2987"/>
      <c r="BB5" s="3194"/>
      <c r="BC5" s="2989"/>
    </row>
    <row r="6" spans="1:58" x14ac:dyDescent="0.25">
      <c r="A6" s="2620" t="s">
        <v>2220</v>
      </c>
      <c r="B6" s="2680" t="s">
        <v>2221</v>
      </c>
      <c r="C6" s="2680"/>
      <c r="D6" s="2680"/>
      <c r="E6" s="2680"/>
      <c r="F6" s="2680"/>
      <c r="G6" s="2676"/>
      <c r="H6" s="2659"/>
      <c r="I6" s="2131"/>
      <c r="J6" s="2132"/>
      <c r="K6" s="1489"/>
      <c r="L6" s="1490"/>
      <c r="M6" s="2676"/>
      <c r="N6" s="1491"/>
      <c r="O6" s="1492"/>
      <c r="P6" s="1493"/>
      <c r="Q6" s="2659"/>
      <c r="R6" s="1494"/>
      <c r="S6" s="832"/>
      <c r="T6" s="833"/>
      <c r="U6" s="832"/>
      <c r="V6" s="833"/>
      <c r="W6" s="832"/>
      <c r="X6" s="833"/>
      <c r="Y6" s="834"/>
      <c r="Z6" s="834"/>
      <c r="AA6" s="2441">
        <f t="shared" ref="AA6:AA14" si="2">SUM(Y6:Z6)</f>
        <v>0</v>
      </c>
      <c r="AB6" s="2684"/>
      <c r="AC6" s="2692"/>
      <c r="AD6" s="3222"/>
      <c r="AE6" s="3140">
        <f t="shared" si="0"/>
        <v>0</v>
      </c>
      <c r="AF6" s="2785" t="s">
        <v>1265</v>
      </c>
      <c r="AH6" s="2351">
        <f t="shared" ref="AH6:AH25" si="3">AE6/(24*31)</f>
        <v>0</v>
      </c>
      <c r="AI6" s="2351">
        <f t="shared" ref="AI6:AI25" si="4">D6-AH6</f>
        <v>0</v>
      </c>
      <c r="AJ6" s="123" t="str">
        <f t="shared" si="1"/>
        <v>무부하 랙</v>
      </c>
      <c r="AK6" t="str">
        <f t="shared" ref="AK6:AK69" si="5">IF(AJ6="사용초과",C6,"")</f>
        <v/>
      </c>
      <c r="AL6" t="str">
        <f t="shared" ref="AL6:AL69" si="6">IF(AK6="","",A6)</f>
        <v/>
      </c>
      <c r="AQ6" s="123"/>
      <c r="AR6" s="123"/>
      <c r="AS6" s="123"/>
      <c r="AT6" s="2982"/>
      <c r="AU6" s="123"/>
      <c r="AV6" s="123"/>
      <c r="AW6" s="2983"/>
      <c r="AX6" s="2984"/>
      <c r="AY6" s="2985"/>
      <c r="AZ6" s="2986"/>
      <c r="BA6" s="2987"/>
      <c r="BB6" s="3194"/>
      <c r="BC6" s="2989"/>
    </row>
    <row r="7" spans="1:58" x14ac:dyDescent="0.25">
      <c r="A7" s="2620" t="s">
        <v>2222</v>
      </c>
      <c r="B7" s="2680" t="s">
        <v>2223</v>
      </c>
      <c r="C7" s="2680"/>
      <c r="D7" s="2680"/>
      <c r="E7" s="2680"/>
      <c r="F7" s="2680"/>
      <c r="G7" s="2676"/>
      <c r="H7" s="2659"/>
      <c r="I7" s="2131"/>
      <c r="J7" s="2132"/>
      <c r="K7" s="1489"/>
      <c r="L7" s="1490"/>
      <c r="M7" s="2676"/>
      <c r="N7" s="1491"/>
      <c r="O7" s="1492"/>
      <c r="P7" s="1493"/>
      <c r="Q7" s="2659"/>
      <c r="R7" s="1494"/>
      <c r="S7" s="832"/>
      <c r="T7" s="833"/>
      <c r="U7" s="832"/>
      <c r="V7" s="833"/>
      <c r="W7" s="832"/>
      <c r="X7" s="833"/>
      <c r="Y7" s="834"/>
      <c r="Z7" s="834"/>
      <c r="AA7" s="2441">
        <f t="shared" si="2"/>
        <v>0</v>
      </c>
      <c r="AB7" s="2684"/>
      <c r="AC7" s="2705"/>
      <c r="AD7" s="3223"/>
      <c r="AE7" s="3208">
        <f t="shared" si="0"/>
        <v>0</v>
      </c>
      <c r="AF7" s="2781" t="s">
        <v>1265</v>
      </c>
      <c r="AH7" s="2351">
        <f t="shared" si="3"/>
        <v>0</v>
      </c>
      <c r="AI7" s="2351">
        <f t="shared" si="4"/>
        <v>0</v>
      </c>
      <c r="AJ7" s="123" t="str">
        <f t="shared" si="1"/>
        <v>무부하 랙</v>
      </c>
      <c r="AK7" t="str">
        <f t="shared" si="5"/>
        <v/>
      </c>
      <c r="AL7" t="str">
        <f t="shared" si="6"/>
        <v/>
      </c>
      <c r="AQ7" s="123"/>
      <c r="AR7" s="123"/>
      <c r="AS7" s="123"/>
      <c r="AT7" s="2982"/>
      <c r="AU7" s="123"/>
      <c r="AV7" s="123"/>
      <c r="AW7" s="2983"/>
      <c r="AX7" s="2984"/>
      <c r="AY7" s="2985"/>
      <c r="AZ7" s="2986"/>
      <c r="BA7" s="2987"/>
      <c r="BB7" s="3194"/>
      <c r="BC7" s="2989"/>
    </row>
    <row r="8" spans="1:58" x14ac:dyDescent="0.25">
      <c r="A8" s="2620" t="s">
        <v>2224</v>
      </c>
      <c r="B8" s="2680" t="s">
        <v>2225</v>
      </c>
      <c r="C8" s="2680"/>
      <c r="D8" s="2680"/>
      <c r="E8" s="2680"/>
      <c r="F8" s="2680"/>
      <c r="G8" s="2676"/>
      <c r="H8" s="2659"/>
      <c r="I8" s="2131"/>
      <c r="J8" s="2132"/>
      <c r="K8" s="1489"/>
      <c r="L8" s="1490"/>
      <c r="M8" s="2676"/>
      <c r="N8" s="1491"/>
      <c r="O8" s="1492"/>
      <c r="P8" s="1493"/>
      <c r="Q8" s="2659"/>
      <c r="R8" s="1494"/>
      <c r="S8" s="832"/>
      <c r="T8" s="833"/>
      <c r="U8" s="832"/>
      <c r="V8" s="833"/>
      <c r="W8" s="832"/>
      <c r="X8" s="833"/>
      <c r="Y8" s="834"/>
      <c r="Z8" s="834"/>
      <c r="AA8" s="2441">
        <f t="shared" si="2"/>
        <v>0</v>
      </c>
      <c r="AB8" s="2684"/>
      <c r="AC8" s="2705"/>
      <c r="AD8" s="3223"/>
      <c r="AE8" s="3208">
        <f t="shared" si="0"/>
        <v>0</v>
      </c>
      <c r="AF8" s="2781" t="s">
        <v>1265</v>
      </c>
      <c r="AH8" s="2351">
        <f t="shared" si="3"/>
        <v>0</v>
      </c>
      <c r="AI8" s="2351">
        <f t="shared" si="4"/>
        <v>0</v>
      </c>
      <c r="AJ8" s="123" t="str">
        <f t="shared" si="1"/>
        <v>무부하 랙</v>
      </c>
      <c r="AK8" t="str">
        <f t="shared" si="5"/>
        <v/>
      </c>
      <c r="AL8" t="str">
        <f t="shared" si="6"/>
        <v/>
      </c>
      <c r="AQ8" s="123"/>
      <c r="AR8" s="123"/>
      <c r="AS8" s="123"/>
      <c r="AT8" s="2982"/>
      <c r="AU8" s="123"/>
      <c r="AV8" s="123"/>
      <c r="AW8" s="2983"/>
      <c r="AX8" s="2984"/>
      <c r="AY8" s="2985"/>
      <c r="AZ8" s="2986"/>
      <c r="BA8" s="2987"/>
      <c r="BB8" s="3194"/>
      <c r="BC8" s="2989"/>
    </row>
    <row r="9" spans="1:58" ht="28.8" x14ac:dyDescent="0.25">
      <c r="A9" s="2620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09" t="s">
        <v>2230</v>
      </c>
      <c r="H9" s="2604" t="s">
        <v>2231</v>
      </c>
      <c r="I9" s="2122" t="str">
        <f t="shared" ref="I9:I14" si="7">"6-DaHall 1-PDU-"&amp;M9&amp;"-"&amp;L9&amp;"-"&amp;N9</f>
        <v>6-DaHall 1-PDU-07-30-36</v>
      </c>
      <c r="J9" s="2123" t="str">
        <f t="shared" ref="J9:J14" si="8">"6-DaHall 1-PDU-"&amp;Q9&amp;"-"&amp;P9&amp;"-"&amp;R9</f>
        <v>6-DaHall 1-PDU-08-30-36</v>
      </c>
      <c r="K9" s="1474">
        <v>220</v>
      </c>
      <c r="L9" s="1475">
        <v>30</v>
      </c>
      <c r="M9" s="2419" t="s">
        <v>6492</v>
      </c>
      <c r="N9" s="1462">
        <v>36</v>
      </c>
      <c r="O9" s="1466">
        <v>220</v>
      </c>
      <c r="P9" s="1467">
        <v>30</v>
      </c>
      <c r="Q9" s="2425" t="s">
        <v>6504</v>
      </c>
      <c r="R9" s="1465">
        <v>36</v>
      </c>
      <c r="S9" s="3475" t="s">
        <v>2189</v>
      </c>
      <c r="T9" s="3473" t="s">
        <v>2190</v>
      </c>
      <c r="U9" s="3475" t="s">
        <v>2191</v>
      </c>
      <c r="V9" s="3473" t="s">
        <v>2192</v>
      </c>
      <c r="W9" s="3475" t="s">
        <v>1880</v>
      </c>
      <c r="X9" s="3473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36">
        <f t="shared" si="2"/>
        <v>0</v>
      </c>
      <c r="AB9" s="2683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3196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3224">
        <f>VLOOKUP(I9&amp;J9,'7층~4층_매핑테이블'!$Q$6:$X$2020,8,0)</f>
        <v>0</v>
      </c>
      <c r="AE9" s="3140" t="e">
        <f t="shared" si="0"/>
        <v>#N/A</v>
      </c>
      <c r="AF9" s="2766"/>
      <c r="AH9" s="2351" t="e">
        <f t="shared" si="3"/>
        <v>#N/A</v>
      </c>
      <c r="AI9" s="2351" t="e">
        <f t="shared" si="4"/>
        <v>#N/A</v>
      </c>
      <c r="AJ9" s="123" t="e">
        <f t="shared" si="1"/>
        <v>#N/A</v>
      </c>
      <c r="AK9" t="e">
        <f t="shared" si="5"/>
        <v>#N/A</v>
      </c>
      <c r="AL9" t="e">
        <f t="shared" si="6"/>
        <v>#N/A</v>
      </c>
      <c r="AQ9" s="123"/>
      <c r="AR9" s="123"/>
      <c r="AS9" s="123"/>
      <c r="AT9" s="2982"/>
      <c r="AU9" s="123"/>
      <c r="AV9" s="123"/>
      <c r="AW9" s="2983"/>
      <c r="AX9" s="2984"/>
      <c r="AY9" s="2985"/>
      <c r="AZ9" s="2986"/>
      <c r="BA9" s="2987"/>
      <c r="BB9" s="3194"/>
      <c r="BC9" s="2989"/>
    </row>
    <row r="10" spans="1:58" ht="28.8" x14ac:dyDescent="0.25">
      <c r="A10" s="2620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09" t="s">
        <v>2236</v>
      </c>
      <c r="H10" s="2604" t="s">
        <v>2237</v>
      </c>
      <c r="I10" s="2122" t="str">
        <f t="shared" si="7"/>
        <v>6-DaHall 1-PDU-07-30-38</v>
      </c>
      <c r="J10" s="2123" t="str">
        <f t="shared" si="8"/>
        <v>6-DaHall 1-PDU-08-30-38</v>
      </c>
      <c r="K10" s="1474">
        <v>220</v>
      </c>
      <c r="L10" s="1475">
        <v>30</v>
      </c>
      <c r="M10" s="2419" t="s">
        <v>6492</v>
      </c>
      <c r="N10" s="1462">
        <v>38</v>
      </c>
      <c r="O10" s="1466">
        <v>220</v>
      </c>
      <c r="P10" s="1467">
        <v>30</v>
      </c>
      <c r="Q10" s="2425" t="s">
        <v>6504</v>
      </c>
      <c r="R10" s="1465">
        <v>38</v>
      </c>
      <c r="S10" s="3478"/>
      <c r="T10" s="3477"/>
      <c r="U10" s="3478"/>
      <c r="V10" s="3477"/>
      <c r="W10" s="3478"/>
      <c r="X10" s="3477"/>
      <c r="Y10" s="253">
        <f>SUM('6층_부하량(월간_AVG)'!L404:N404)</f>
        <v>0</v>
      </c>
      <c r="Z10" s="253">
        <f>SUM('6층_부하량(월간_AVG)'!L436:N436)</f>
        <v>0</v>
      </c>
      <c r="AA10" s="2436">
        <f t="shared" si="2"/>
        <v>0</v>
      </c>
      <c r="AB10" s="2683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3196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3224">
        <f>VLOOKUP(I10&amp;J10,'7층~4층_매핑테이블'!$Q$6:$X$2020,8,0)</f>
        <v>0</v>
      </c>
      <c r="AE10" s="3140" t="e">
        <f t="shared" si="0"/>
        <v>#N/A</v>
      </c>
      <c r="AF10" s="2766"/>
      <c r="AH10" s="2351" t="e">
        <f t="shared" si="3"/>
        <v>#N/A</v>
      </c>
      <c r="AI10" s="2351" t="e">
        <f t="shared" si="4"/>
        <v>#N/A</v>
      </c>
      <c r="AJ10" s="123" t="e">
        <f t="shared" si="1"/>
        <v>#N/A</v>
      </c>
      <c r="AK10" t="e">
        <f t="shared" si="5"/>
        <v>#N/A</v>
      </c>
      <c r="AL10" t="e">
        <f t="shared" si="6"/>
        <v>#N/A</v>
      </c>
      <c r="AQ10" s="123"/>
      <c r="AR10" s="123"/>
      <c r="AS10" s="123"/>
      <c r="AT10" s="2982"/>
      <c r="AU10" s="123"/>
      <c r="AV10" s="123"/>
      <c r="AW10" s="2983"/>
      <c r="AX10" s="2984"/>
      <c r="AY10" s="2985"/>
      <c r="AZ10" s="2986"/>
      <c r="BA10" s="2987"/>
      <c r="BB10" s="3194"/>
      <c r="BC10" s="2989"/>
    </row>
    <row r="11" spans="1:58" ht="28.8" x14ac:dyDescent="0.25">
      <c r="A11" s="2620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09" t="s">
        <v>2242</v>
      </c>
      <c r="H11" s="2604" t="s">
        <v>2243</v>
      </c>
      <c r="I11" s="2122" t="str">
        <f t="shared" si="7"/>
        <v>6-DaHall 1-PDU-07-30-40</v>
      </c>
      <c r="J11" s="2123" t="str">
        <f t="shared" si="8"/>
        <v>6-DaHall 1-PDU-08-30-40</v>
      </c>
      <c r="K11" s="1474">
        <v>220</v>
      </c>
      <c r="L11" s="1475">
        <v>30</v>
      </c>
      <c r="M11" s="2419" t="s">
        <v>6492</v>
      </c>
      <c r="N11" s="1462">
        <v>40</v>
      </c>
      <c r="O11" s="1466">
        <v>220</v>
      </c>
      <c r="P11" s="1467">
        <v>30</v>
      </c>
      <c r="Q11" s="2425" t="s">
        <v>6504</v>
      </c>
      <c r="R11" s="1465">
        <v>40</v>
      </c>
      <c r="S11" s="3478"/>
      <c r="T11" s="3477"/>
      <c r="U11" s="3478"/>
      <c r="V11" s="3477"/>
      <c r="W11" s="3478"/>
      <c r="X11" s="3477"/>
      <c r="Y11" s="253">
        <f>SUM('6층_부하량(월간_AVG)'!L405:N405)</f>
        <v>0</v>
      </c>
      <c r="Z11" s="253">
        <f>SUM('6층_부하량(월간_AVG)'!L437:N437)</f>
        <v>0</v>
      </c>
      <c r="AA11" s="2436">
        <f t="shared" si="2"/>
        <v>0</v>
      </c>
      <c r="AB11" s="2683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3196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3224">
        <f>VLOOKUP(I11&amp;J11,'7층~4층_매핑테이블'!$Q$6:$X$2020,8,0)</f>
        <v>0</v>
      </c>
      <c r="AE11" s="3140" t="e">
        <f t="shared" si="0"/>
        <v>#N/A</v>
      </c>
      <c r="AF11" s="2766"/>
      <c r="AH11" s="2351" t="e">
        <f t="shared" si="3"/>
        <v>#N/A</v>
      </c>
      <c r="AI11" s="2351" t="e">
        <f t="shared" si="4"/>
        <v>#N/A</v>
      </c>
      <c r="AJ11" s="123" t="e">
        <f t="shared" si="1"/>
        <v>#N/A</v>
      </c>
      <c r="AK11" t="e">
        <f t="shared" si="5"/>
        <v>#N/A</v>
      </c>
      <c r="AL11" t="e">
        <f t="shared" si="6"/>
        <v>#N/A</v>
      </c>
      <c r="AQ11" s="123"/>
      <c r="AR11" s="123"/>
      <c r="AS11" s="123"/>
      <c r="AT11" s="2982"/>
      <c r="AU11" s="123"/>
      <c r="AV11" s="123"/>
      <c r="AW11" s="2983"/>
      <c r="AX11" s="2984"/>
      <c r="AY11" s="2985"/>
      <c r="AZ11" s="2986"/>
      <c r="BA11" s="2987"/>
      <c r="BB11" s="3194"/>
      <c r="BC11" s="2989"/>
    </row>
    <row r="12" spans="1:58" ht="28.8" x14ac:dyDescent="0.25">
      <c r="A12" s="2620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09" t="s">
        <v>2248</v>
      </c>
      <c r="H12" s="2604" t="s">
        <v>2249</v>
      </c>
      <c r="I12" s="2122" t="str">
        <f t="shared" si="7"/>
        <v>6-DaHall 1-PDU-07-30-42</v>
      </c>
      <c r="J12" s="2123" t="str">
        <f t="shared" si="8"/>
        <v>6-DaHall 1-PDU-08-30-42</v>
      </c>
      <c r="K12" s="1474">
        <v>220</v>
      </c>
      <c r="L12" s="1475">
        <v>30</v>
      </c>
      <c r="M12" s="2419" t="s">
        <v>6492</v>
      </c>
      <c r="N12" s="1462">
        <v>42</v>
      </c>
      <c r="O12" s="1466">
        <v>220</v>
      </c>
      <c r="P12" s="1467">
        <v>30</v>
      </c>
      <c r="Q12" s="2425" t="s">
        <v>6504</v>
      </c>
      <c r="R12" s="1465">
        <v>42</v>
      </c>
      <c r="S12" s="3478"/>
      <c r="T12" s="3477"/>
      <c r="U12" s="3478"/>
      <c r="V12" s="3477"/>
      <c r="W12" s="3478"/>
      <c r="X12" s="3477"/>
      <c r="Y12" s="253">
        <f>SUM('6층_부하량(월간_AVG)'!L406:N406)</f>
        <v>0</v>
      </c>
      <c r="Z12" s="253">
        <f>SUM('6층_부하량(월간_AVG)'!L438:N438)</f>
        <v>0</v>
      </c>
      <c r="AA12" s="2436">
        <f t="shared" si="2"/>
        <v>0</v>
      </c>
      <c r="AB12" s="2683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3196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3224">
        <f>VLOOKUP(I12&amp;J12,'7층~4층_매핑테이블'!$Q$6:$X$2020,8,0)</f>
        <v>0</v>
      </c>
      <c r="AE12" s="3140" t="e">
        <f t="shared" si="0"/>
        <v>#N/A</v>
      </c>
      <c r="AF12" s="2766"/>
      <c r="AH12" s="2351" t="e">
        <f t="shared" si="3"/>
        <v>#N/A</v>
      </c>
      <c r="AI12" s="2351" t="e">
        <f t="shared" si="4"/>
        <v>#N/A</v>
      </c>
      <c r="AJ12" s="123" t="e">
        <f t="shared" si="1"/>
        <v>#N/A</v>
      </c>
      <c r="AK12" t="e">
        <f t="shared" si="5"/>
        <v>#N/A</v>
      </c>
      <c r="AL12" t="e">
        <f t="shared" si="6"/>
        <v>#N/A</v>
      </c>
      <c r="AQ12" s="123"/>
      <c r="AR12" s="123"/>
      <c r="AS12" s="123"/>
      <c r="AT12" s="2982"/>
      <c r="AU12" s="123"/>
      <c r="AV12" s="123"/>
      <c r="AW12" s="2983"/>
      <c r="AX12" s="2984"/>
      <c r="AY12" s="2985"/>
      <c r="AZ12" s="2986"/>
      <c r="BA12" s="2987"/>
      <c r="BB12" s="3194"/>
      <c r="BC12" s="2989"/>
    </row>
    <row r="13" spans="1:58" ht="28.8" x14ac:dyDescent="0.25">
      <c r="A13" s="2620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09" t="s">
        <v>2254</v>
      </c>
      <c r="H13" s="2604" t="s">
        <v>2255</v>
      </c>
      <c r="I13" s="2122" t="str">
        <f t="shared" si="7"/>
        <v>6-DaHall 1-PDU-07-30-44</v>
      </c>
      <c r="J13" s="2123" t="str">
        <f t="shared" si="8"/>
        <v>6-DaHall 1-PDU-08-30-44</v>
      </c>
      <c r="K13" s="1474">
        <v>220</v>
      </c>
      <c r="L13" s="1475">
        <v>30</v>
      </c>
      <c r="M13" s="2419" t="s">
        <v>6492</v>
      </c>
      <c r="N13" s="1462">
        <v>44</v>
      </c>
      <c r="O13" s="1466">
        <v>220</v>
      </c>
      <c r="P13" s="1467">
        <v>30</v>
      </c>
      <c r="Q13" s="2425" t="s">
        <v>6504</v>
      </c>
      <c r="R13" s="1465">
        <v>44</v>
      </c>
      <c r="S13" s="3478"/>
      <c r="T13" s="3477"/>
      <c r="U13" s="3478"/>
      <c r="V13" s="3477"/>
      <c r="W13" s="3478"/>
      <c r="X13" s="3477"/>
      <c r="Y13" s="253">
        <f>SUM('6층_부하량(월간_AVG)'!L407:N407)</f>
        <v>0</v>
      </c>
      <c r="Z13" s="253">
        <f>SUM('6층_부하량(월간_AVG)'!L439:N439)</f>
        <v>0</v>
      </c>
      <c r="AA13" s="2436">
        <f t="shared" si="2"/>
        <v>0</v>
      </c>
      <c r="AB13" s="2683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3196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3224">
        <f>VLOOKUP(I13&amp;J13,'7층~4층_매핑테이블'!$Q$6:$X$2020,8,0)</f>
        <v>0</v>
      </c>
      <c r="AE13" s="3140" t="e">
        <f t="shared" si="0"/>
        <v>#N/A</v>
      </c>
      <c r="AF13" s="2766"/>
      <c r="AH13" s="2351" t="e">
        <f t="shared" si="3"/>
        <v>#N/A</v>
      </c>
      <c r="AI13" s="2351" t="e">
        <f t="shared" si="4"/>
        <v>#N/A</v>
      </c>
      <c r="AJ13" s="123" t="e">
        <f t="shared" si="1"/>
        <v>#N/A</v>
      </c>
      <c r="AK13" t="e">
        <f t="shared" si="5"/>
        <v>#N/A</v>
      </c>
      <c r="AL13" t="e">
        <f t="shared" si="6"/>
        <v>#N/A</v>
      </c>
      <c r="AQ13" s="123"/>
      <c r="AR13" s="123"/>
      <c r="AS13" s="123"/>
      <c r="AT13" s="2982"/>
      <c r="AU13" s="123"/>
      <c r="AV13" s="123"/>
      <c r="AW13" s="2983"/>
      <c r="AX13" s="2984"/>
      <c r="AY13" s="2985"/>
      <c r="AZ13" s="2986"/>
      <c r="BA13" s="2987"/>
      <c r="BB13" s="3194"/>
      <c r="BC13" s="2989"/>
    </row>
    <row r="14" spans="1:58" ht="27" customHeight="1" thickBot="1" x14ac:dyDescent="0.3">
      <c r="A14" s="2628" t="s">
        <v>2256</v>
      </c>
      <c r="B14" s="2629" t="s">
        <v>2257</v>
      </c>
      <c r="C14" s="2629"/>
      <c r="D14" s="2629"/>
      <c r="E14" s="2629" t="s">
        <v>2258</v>
      </c>
      <c r="F14" s="2629" t="s">
        <v>2259</v>
      </c>
      <c r="G14" s="2611" t="s">
        <v>2260</v>
      </c>
      <c r="H14" s="2605" t="s">
        <v>2261</v>
      </c>
      <c r="I14" s="2124" t="str">
        <f t="shared" si="7"/>
        <v>6-DaHall 1-PDU-07-30-46</v>
      </c>
      <c r="J14" s="2125" t="str">
        <f t="shared" si="8"/>
        <v>6-DaHall 1-PDU-08-30-46</v>
      </c>
      <c r="K14" s="1495">
        <v>220</v>
      </c>
      <c r="L14" s="1496">
        <v>30</v>
      </c>
      <c r="M14" s="2422" t="s">
        <v>6492</v>
      </c>
      <c r="N14" s="1470">
        <v>46</v>
      </c>
      <c r="O14" s="1497">
        <v>220</v>
      </c>
      <c r="P14" s="1498">
        <v>30</v>
      </c>
      <c r="Q14" s="2428" t="s">
        <v>6504</v>
      </c>
      <c r="R14" s="1473">
        <v>46</v>
      </c>
      <c r="S14" s="3476"/>
      <c r="T14" s="3474"/>
      <c r="U14" s="3476"/>
      <c r="V14" s="3474"/>
      <c r="W14" s="3476"/>
      <c r="X14" s="3474"/>
      <c r="Y14" s="329">
        <f>SUM('6층_부하량(월간_AVG)'!L408:N408)</f>
        <v>0</v>
      </c>
      <c r="Z14" s="329">
        <f>SUM('6층_부하량(월간_AVG)'!L440:N440)</f>
        <v>0</v>
      </c>
      <c r="AA14" s="2437">
        <f t="shared" si="2"/>
        <v>0</v>
      </c>
      <c r="AB14" s="2683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3196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4032">
        <f>VLOOKUP(I14&amp;J14,'7층~4층_매핑테이블'!$Q$6:$X$2020,8,0)</f>
        <v>0</v>
      </c>
      <c r="AE14" s="3209" t="e">
        <f t="shared" si="0"/>
        <v>#N/A</v>
      </c>
      <c r="AF14" s="2768"/>
      <c r="AH14" s="2351" t="e">
        <f t="shared" si="3"/>
        <v>#N/A</v>
      </c>
      <c r="AI14" s="2351" t="e">
        <f t="shared" si="4"/>
        <v>#N/A</v>
      </c>
      <c r="AJ14" s="123" t="e">
        <f t="shared" si="1"/>
        <v>#N/A</v>
      </c>
      <c r="AK14" t="e">
        <f t="shared" si="5"/>
        <v>#N/A</v>
      </c>
      <c r="AL14" t="e">
        <f t="shared" si="6"/>
        <v>#N/A</v>
      </c>
      <c r="AQ14" s="123"/>
      <c r="AR14" s="123"/>
      <c r="AS14" s="123"/>
      <c r="AT14" s="2982"/>
      <c r="AU14" s="123"/>
      <c r="AV14" s="123"/>
      <c r="AW14" s="2983"/>
      <c r="AX14" s="2984"/>
      <c r="AY14" s="2985"/>
      <c r="AZ14" s="2986"/>
      <c r="BA14" s="2987"/>
      <c r="BB14" s="3194"/>
      <c r="BC14" s="2989"/>
    </row>
    <row r="15" spans="1:58" ht="15" thickTop="1" x14ac:dyDescent="0.25">
      <c r="A15" s="1081" t="s">
        <v>2262</v>
      </c>
      <c r="B15" s="828"/>
      <c r="C15" s="828"/>
      <c r="D15" s="828"/>
      <c r="E15" s="828"/>
      <c r="F15" s="828"/>
      <c r="G15" s="884"/>
      <c r="H15" s="885"/>
      <c r="I15" s="2120"/>
      <c r="J15" s="2121"/>
      <c r="K15" s="1452"/>
      <c r="L15" s="1453"/>
      <c r="M15" s="884"/>
      <c r="N15" s="1454"/>
      <c r="O15" s="1455"/>
      <c r="P15" s="1456"/>
      <c r="Q15" s="885"/>
      <c r="R15" s="1457"/>
      <c r="S15" s="829"/>
      <c r="T15" s="830"/>
      <c r="U15" s="829"/>
      <c r="V15" s="830"/>
      <c r="W15" s="829"/>
      <c r="X15" s="830"/>
      <c r="Y15" s="831"/>
      <c r="Z15" s="831"/>
      <c r="AA15" s="2439"/>
      <c r="AB15" s="2771"/>
      <c r="AC15" s="2701"/>
      <c r="AD15" s="3223"/>
      <c r="AE15" s="3207">
        <f t="shared" si="0"/>
        <v>0</v>
      </c>
      <c r="AF15" s="2772" t="s">
        <v>1265</v>
      </c>
      <c r="AH15" s="2351">
        <f t="shared" si="3"/>
        <v>0</v>
      </c>
      <c r="AI15" s="2351">
        <f t="shared" si="4"/>
        <v>0</v>
      </c>
      <c r="AJ15" s="123" t="str">
        <f t="shared" si="1"/>
        <v>무부하 랙</v>
      </c>
      <c r="AK15" t="str">
        <f t="shared" si="5"/>
        <v/>
      </c>
      <c r="AL15" t="str">
        <f t="shared" si="6"/>
        <v/>
      </c>
      <c r="AQ15" s="123"/>
      <c r="AR15" s="123"/>
      <c r="AS15" s="123"/>
      <c r="AT15" s="2982"/>
      <c r="AU15" s="123"/>
      <c r="AV15" s="123"/>
      <c r="AW15" s="2983"/>
      <c r="AX15" s="2984"/>
      <c r="AY15" s="2985"/>
      <c r="AZ15" s="2986"/>
      <c r="BA15" s="2987"/>
      <c r="BB15" s="3194"/>
      <c r="BC15" s="2989"/>
    </row>
    <row r="16" spans="1:58" x14ac:dyDescent="0.25">
      <c r="A16" s="2620" t="s">
        <v>2263</v>
      </c>
      <c r="B16" s="2680" t="s">
        <v>2264</v>
      </c>
      <c r="C16" s="2680"/>
      <c r="D16" s="2680"/>
      <c r="E16" s="2680"/>
      <c r="F16" s="2680"/>
      <c r="G16" s="2676"/>
      <c r="H16" s="2659"/>
      <c r="I16" s="2131"/>
      <c r="J16" s="2132"/>
      <c r="K16" s="1489"/>
      <c r="L16" s="1490"/>
      <c r="M16" s="2676"/>
      <c r="N16" s="1491"/>
      <c r="O16" s="1492"/>
      <c r="P16" s="1493"/>
      <c r="Q16" s="2659"/>
      <c r="R16" s="1494"/>
      <c r="S16" s="832"/>
      <c r="T16" s="833"/>
      <c r="U16" s="832"/>
      <c r="V16" s="833"/>
      <c r="W16" s="832"/>
      <c r="X16" s="833"/>
      <c r="Y16" s="252"/>
      <c r="Z16" s="252"/>
      <c r="AA16" s="2435"/>
      <c r="AB16" s="2778"/>
      <c r="AC16" s="3197"/>
      <c r="AD16" s="3223"/>
      <c r="AE16" s="3210">
        <f t="shared" si="0"/>
        <v>0</v>
      </c>
      <c r="AF16" s="2785" t="s">
        <v>1265</v>
      </c>
      <c r="AH16" s="2351">
        <f t="shared" si="3"/>
        <v>0</v>
      </c>
      <c r="AI16" s="2351">
        <f t="shared" si="4"/>
        <v>0</v>
      </c>
      <c r="AJ16" s="123" t="str">
        <f t="shared" si="1"/>
        <v>무부하 랙</v>
      </c>
      <c r="AK16" t="str">
        <f t="shared" si="5"/>
        <v/>
      </c>
      <c r="AL16" t="str">
        <f t="shared" si="6"/>
        <v/>
      </c>
      <c r="AQ16" s="123"/>
      <c r="AR16" s="123"/>
      <c r="AS16" s="123"/>
      <c r="AT16" s="2982"/>
      <c r="AU16" s="123"/>
      <c r="AV16" s="123"/>
      <c r="AW16" s="2983"/>
      <c r="AX16" s="2984"/>
      <c r="AY16" s="2985"/>
      <c r="AZ16" s="2986"/>
      <c r="BA16" s="2987"/>
      <c r="BB16" s="3194"/>
      <c r="BC16" s="2989"/>
    </row>
    <row r="17" spans="1:55" x14ac:dyDescent="0.25">
      <c r="A17" s="2620" t="s">
        <v>2265</v>
      </c>
      <c r="B17" s="2680" t="s">
        <v>2266</v>
      </c>
      <c r="C17" s="2680"/>
      <c r="D17" s="2680"/>
      <c r="E17" s="2680"/>
      <c r="F17" s="2680"/>
      <c r="G17" s="2676"/>
      <c r="H17" s="2659"/>
      <c r="I17" s="2131"/>
      <c r="J17" s="2132"/>
      <c r="K17" s="1489"/>
      <c r="L17" s="1490"/>
      <c r="M17" s="2676"/>
      <c r="N17" s="1491"/>
      <c r="O17" s="1492"/>
      <c r="P17" s="1493"/>
      <c r="Q17" s="2659"/>
      <c r="R17" s="1494"/>
      <c r="S17" s="832"/>
      <c r="T17" s="833"/>
      <c r="U17" s="832"/>
      <c r="V17" s="833"/>
      <c r="W17" s="832"/>
      <c r="X17" s="833"/>
      <c r="Y17" s="252"/>
      <c r="Z17" s="252"/>
      <c r="AA17" s="2435"/>
      <c r="AB17" s="2778"/>
      <c r="AC17" s="2692"/>
      <c r="AD17" s="3223"/>
      <c r="AE17" s="3140">
        <f t="shared" si="0"/>
        <v>0</v>
      </c>
      <c r="AF17" s="2781" t="s">
        <v>1265</v>
      </c>
      <c r="AH17" s="2351">
        <f t="shared" si="3"/>
        <v>0</v>
      </c>
      <c r="AI17" s="2351">
        <f t="shared" si="4"/>
        <v>0</v>
      </c>
      <c r="AJ17" s="123" t="str">
        <f t="shared" si="1"/>
        <v>무부하 랙</v>
      </c>
      <c r="AK17" t="str">
        <f t="shared" si="5"/>
        <v/>
      </c>
      <c r="AL17" t="str">
        <f t="shared" si="6"/>
        <v/>
      </c>
      <c r="AQ17" s="123"/>
      <c r="AR17" s="123"/>
      <c r="AS17" s="123"/>
      <c r="AT17" s="2982"/>
      <c r="AU17" s="123"/>
      <c r="AV17" s="123"/>
      <c r="AW17" s="2983"/>
      <c r="AX17" s="2984"/>
      <c r="AY17" s="2985"/>
      <c r="AZ17" s="2986"/>
      <c r="BA17" s="2987"/>
      <c r="BB17" s="3194"/>
      <c r="BC17" s="2989"/>
    </row>
    <row r="18" spans="1:55" x14ac:dyDescent="0.25">
      <c r="A18" s="2620" t="s">
        <v>2267</v>
      </c>
      <c r="B18" s="2680" t="s">
        <v>2268</v>
      </c>
      <c r="C18" s="2680"/>
      <c r="D18" s="2680"/>
      <c r="E18" s="2680"/>
      <c r="F18" s="2680"/>
      <c r="G18" s="2676"/>
      <c r="H18" s="2659"/>
      <c r="I18" s="2131"/>
      <c r="J18" s="2132"/>
      <c r="K18" s="1489"/>
      <c r="L18" s="1490"/>
      <c r="M18" s="2676"/>
      <c r="N18" s="1491"/>
      <c r="O18" s="1492"/>
      <c r="P18" s="1493"/>
      <c r="Q18" s="2659"/>
      <c r="R18" s="1494"/>
      <c r="S18" s="832"/>
      <c r="T18" s="833"/>
      <c r="U18" s="832"/>
      <c r="V18" s="833"/>
      <c r="W18" s="832"/>
      <c r="X18" s="833"/>
      <c r="Y18" s="252"/>
      <c r="Z18" s="252"/>
      <c r="AA18" s="2435"/>
      <c r="AB18" s="2778"/>
      <c r="AC18" s="2692"/>
      <c r="AD18" s="3223"/>
      <c r="AE18" s="3140">
        <f t="shared" si="0"/>
        <v>0</v>
      </c>
      <c r="AF18" s="2781" t="s">
        <v>1265</v>
      </c>
      <c r="AH18" s="2351">
        <f t="shared" si="3"/>
        <v>0</v>
      </c>
      <c r="AI18" s="2351">
        <f t="shared" si="4"/>
        <v>0</v>
      </c>
      <c r="AJ18" s="123" t="str">
        <f t="shared" si="1"/>
        <v>무부하 랙</v>
      </c>
      <c r="AK18" t="str">
        <f t="shared" si="5"/>
        <v/>
      </c>
      <c r="AL18" t="str">
        <f t="shared" si="6"/>
        <v/>
      </c>
      <c r="AQ18" s="123"/>
      <c r="AR18" s="123"/>
      <c r="AS18" s="123"/>
      <c r="AT18" s="2982"/>
      <c r="AU18" s="123"/>
      <c r="AV18" s="123"/>
      <c r="AW18" s="2983"/>
      <c r="AX18" s="2984"/>
      <c r="AY18" s="2985"/>
      <c r="AZ18" s="2986"/>
      <c r="BA18" s="2987"/>
      <c r="BB18" s="3194"/>
      <c r="BC18" s="2989"/>
    </row>
    <row r="19" spans="1:55" ht="28.8" x14ac:dyDescent="0.25">
      <c r="A19" s="2620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09" t="s">
        <v>2273</v>
      </c>
      <c r="H19" s="2604" t="s">
        <v>2274</v>
      </c>
      <c r="I19" s="2122" t="str">
        <f t="shared" ref="I19:I24" si="9">"6-DaHall 1-PDU-"&amp;M19&amp;"-"&amp;L19&amp;"-"&amp;N19</f>
        <v>6-DaHall 1-PDU-07-30-54</v>
      </c>
      <c r="J19" s="2123" t="str">
        <f t="shared" ref="J19:J24" si="10">"6-DaHall 1-PDU-"&amp;Q19&amp;"-"&amp;P19&amp;"-"&amp;R19</f>
        <v>6-DaHall 1-PDU-08-30-54</v>
      </c>
      <c r="K19" s="1474">
        <v>220</v>
      </c>
      <c r="L19" s="1475">
        <v>30</v>
      </c>
      <c r="M19" s="2419" t="s">
        <v>6492</v>
      </c>
      <c r="N19" s="1462">
        <v>54</v>
      </c>
      <c r="O19" s="1466">
        <v>220</v>
      </c>
      <c r="P19" s="1467">
        <v>30</v>
      </c>
      <c r="Q19" s="2425" t="s">
        <v>6504</v>
      </c>
      <c r="R19" s="1465">
        <v>54</v>
      </c>
      <c r="S19" s="3475" t="s">
        <v>2189</v>
      </c>
      <c r="T19" s="3473" t="s">
        <v>2190</v>
      </c>
      <c r="U19" s="3475" t="s">
        <v>2191</v>
      </c>
      <c r="V19" s="3473" t="s">
        <v>2192</v>
      </c>
      <c r="W19" s="3475" t="s">
        <v>1880</v>
      </c>
      <c r="X19" s="3473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36">
        <f t="shared" ref="AA19:AA24" si="11">SUM(Y19:Z19)</f>
        <v>0</v>
      </c>
      <c r="AB19" s="2683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3196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3224">
        <f>VLOOKUP(I19&amp;J19,'7층~4층_매핑테이블'!$Q$6:$X$2020,8,0)</f>
        <v>0</v>
      </c>
      <c r="AE19" s="3140" t="e">
        <f t="shared" si="0"/>
        <v>#N/A</v>
      </c>
      <c r="AF19" s="2766"/>
      <c r="AH19" s="2351" t="e">
        <f t="shared" si="3"/>
        <v>#N/A</v>
      </c>
      <c r="AI19" s="2351" t="e">
        <f t="shared" si="4"/>
        <v>#N/A</v>
      </c>
      <c r="AJ19" s="123" t="e">
        <f t="shared" si="1"/>
        <v>#N/A</v>
      </c>
      <c r="AK19" t="e">
        <f t="shared" si="5"/>
        <v>#N/A</v>
      </c>
      <c r="AL19" t="e">
        <f t="shared" si="6"/>
        <v>#N/A</v>
      </c>
      <c r="AQ19" s="123"/>
      <c r="AR19" s="123"/>
      <c r="AS19" s="123"/>
      <c r="AT19" s="2982"/>
      <c r="AU19" s="123"/>
      <c r="AV19" s="123"/>
      <c r="AW19" s="2983"/>
      <c r="AX19" s="2984"/>
      <c r="AY19" s="2985"/>
      <c r="AZ19" s="2986"/>
      <c r="BA19" s="2987"/>
      <c r="BB19" s="3194"/>
      <c r="BC19" s="2989"/>
    </row>
    <row r="20" spans="1:55" ht="28.8" x14ac:dyDescent="0.25">
      <c r="A20" s="2620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09" t="s">
        <v>2279</v>
      </c>
      <c r="H20" s="2604" t="s">
        <v>2280</v>
      </c>
      <c r="I20" s="2122" t="str">
        <f t="shared" si="9"/>
        <v>6-DaHall 1-PDU-07-30-53</v>
      </c>
      <c r="J20" s="2123" t="str">
        <f t="shared" si="10"/>
        <v>6-DaHall 1-PDU-08-30-53</v>
      </c>
      <c r="K20" s="1474">
        <v>220</v>
      </c>
      <c r="L20" s="1475">
        <v>30</v>
      </c>
      <c r="M20" s="2419" t="s">
        <v>6492</v>
      </c>
      <c r="N20" s="1462">
        <v>53</v>
      </c>
      <c r="O20" s="1466">
        <v>220</v>
      </c>
      <c r="P20" s="1467">
        <v>30</v>
      </c>
      <c r="Q20" s="2425" t="s">
        <v>6504</v>
      </c>
      <c r="R20" s="1465">
        <v>53</v>
      </c>
      <c r="S20" s="3478"/>
      <c r="T20" s="3477"/>
      <c r="U20" s="3478"/>
      <c r="V20" s="3477"/>
      <c r="W20" s="3478"/>
      <c r="X20" s="3477"/>
      <c r="Y20" s="268">
        <f>SUM('6층_부하량(월간_AVG)'!D412:F412)</f>
        <v>0</v>
      </c>
      <c r="Z20" s="268">
        <f>SUM('6층_부하량(월간_AVG)'!D444:F444)</f>
        <v>0</v>
      </c>
      <c r="AA20" s="2436">
        <f t="shared" si="11"/>
        <v>0</v>
      </c>
      <c r="AB20" s="2683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3196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3224">
        <f>VLOOKUP(I20&amp;J20,'7층~4층_매핑테이블'!$Q$6:$X$2020,8,0)</f>
        <v>0</v>
      </c>
      <c r="AE20" s="3140" t="e">
        <f t="shared" si="0"/>
        <v>#N/A</v>
      </c>
      <c r="AF20" s="2766"/>
      <c r="AH20" s="2351" t="e">
        <f t="shared" si="3"/>
        <v>#N/A</v>
      </c>
      <c r="AI20" s="2351" t="e">
        <f t="shared" si="4"/>
        <v>#N/A</v>
      </c>
      <c r="AJ20" s="123" t="e">
        <f t="shared" si="1"/>
        <v>#N/A</v>
      </c>
      <c r="AK20" t="e">
        <f t="shared" si="5"/>
        <v>#N/A</v>
      </c>
      <c r="AL20" t="e">
        <f t="shared" si="6"/>
        <v>#N/A</v>
      </c>
      <c r="AQ20" s="123"/>
      <c r="AR20" s="123"/>
      <c r="AS20" s="123"/>
      <c r="AT20" s="2982"/>
      <c r="AU20" s="123"/>
      <c r="AV20" s="123"/>
      <c r="AW20" s="2983"/>
      <c r="AX20" s="2984"/>
      <c r="AY20" s="2985"/>
      <c r="AZ20" s="2986"/>
      <c r="BA20" s="2987"/>
      <c r="BB20" s="3194"/>
      <c r="BC20" s="2989"/>
    </row>
    <row r="21" spans="1:55" ht="28.8" x14ac:dyDescent="0.25">
      <c r="A21" s="2620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09" t="s">
        <v>2284</v>
      </c>
      <c r="H21" s="2604" t="s">
        <v>2285</v>
      </c>
      <c r="I21" s="2122" t="str">
        <f t="shared" si="9"/>
        <v>6-DaHall 1-PDU-07-30-51</v>
      </c>
      <c r="J21" s="2123" t="str">
        <f t="shared" si="10"/>
        <v>6-DaHall 1-PDU-08-30-51</v>
      </c>
      <c r="K21" s="1474">
        <v>220</v>
      </c>
      <c r="L21" s="1475">
        <v>30</v>
      </c>
      <c r="M21" s="2419" t="s">
        <v>6492</v>
      </c>
      <c r="N21" s="1462">
        <v>51</v>
      </c>
      <c r="O21" s="1466">
        <v>220</v>
      </c>
      <c r="P21" s="1467">
        <v>30</v>
      </c>
      <c r="Q21" s="2425" t="s">
        <v>6504</v>
      </c>
      <c r="R21" s="1465">
        <v>51</v>
      </c>
      <c r="S21" s="3478"/>
      <c r="T21" s="3477"/>
      <c r="U21" s="3478"/>
      <c r="V21" s="3477"/>
      <c r="W21" s="3478"/>
      <c r="X21" s="3477"/>
      <c r="Y21" s="268">
        <f>SUM('6층_부하량(월간_AVG)'!D411:F411)</f>
        <v>0</v>
      </c>
      <c r="Z21" s="268">
        <f>SUM('6층_부하량(월간_AVG)'!D443:F443)</f>
        <v>0</v>
      </c>
      <c r="AA21" s="2436">
        <f t="shared" si="11"/>
        <v>0</v>
      </c>
      <c r="AB21" s="2683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3196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3224">
        <f>VLOOKUP(I21&amp;J21,'7층~4층_매핑테이블'!$Q$6:$X$2020,8,0)</f>
        <v>0</v>
      </c>
      <c r="AE21" s="3140" t="e">
        <f t="shared" si="0"/>
        <v>#N/A</v>
      </c>
      <c r="AF21" s="2766"/>
      <c r="AH21" s="2351" t="e">
        <f t="shared" si="3"/>
        <v>#N/A</v>
      </c>
      <c r="AI21" s="2351" t="e">
        <f t="shared" si="4"/>
        <v>#N/A</v>
      </c>
      <c r="AJ21" s="123" t="e">
        <f t="shared" si="1"/>
        <v>#N/A</v>
      </c>
      <c r="AK21" t="e">
        <f t="shared" si="5"/>
        <v>#N/A</v>
      </c>
      <c r="AL21" t="e">
        <f t="shared" si="6"/>
        <v>#N/A</v>
      </c>
      <c r="AQ21" s="123"/>
      <c r="AR21" s="123"/>
      <c r="AS21" s="123"/>
      <c r="AT21" s="2982"/>
      <c r="AU21" s="123"/>
      <c r="AV21" s="123"/>
      <c r="AW21" s="2983"/>
      <c r="AX21" s="2984"/>
      <c r="AY21" s="2985"/>
      <c r="AZ21" s="2986"/>
      <c r="BA21" s="2987"/>
      <c r="BB21" s="3194"/>
      <c r="BC21" s="2989"/>
    </row>
    <row r="22" spans="1:55" ht="27" customHeight="1" x14ac:dyDescent="0.25">
      <c r="A22" s="2620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09" t="s">
        <v>2289</v>
      </c>
      <c r="H22" s="2604" t="s">
        <v>2290</v>
      </c>
      <c r="I22" s="2122" t="str">
        <f t="shared" si="9"/>
        <v>6-DaHall 1-PDU-07-30-49</v>
      </c>
      <c r="J22" s="2123" t="str">
        <f t="shared" si="10"/>
        <v>6-DaHall 1-PDU-08-30-49</v>
      </c>
      <c r="K22" s="1474">
        <v>220</v>
      </c>
      <c r="L22" s="1475">
        <v>30</v>
      </c>
      <c r="M22" s="2419" t="s">
        <v>6492</v>
      </c>
      <c r="N22" s="1462">
        <v>49</v>
      </c>
      <c r="O22" s="1466">
        <v>220</v>
      </c>
      <c r="P22" s="1467">
        <v>30</v>
      </c>
      <c r="Q22" s="2425" t="s">
        <v>6504</v>
      </c>
      <c r="R22" s="1465">
        <v>49</v>
      </c>
      <c r="S22" s="3487"/>
      <c r="T22" s="3488"/>
      <c r="U22" s="3487"/>
      <c r="V22" s="3488"/>
      <c r="W22" s="3478"/>
      <c r="X22" s="3477"/>
      <c r="Y22" s="268">
        <f>SUM('6층_부하량(월간_AVG)'!D410:F410)</f>
        <v>0</v>
      </c>
      <c r="Z22" s="268">
        <f>SUM('6층_부하량(월간_AVG)'!D442:F442)</f>
        <v>0</v>
      </c>
      <c r="AA22" s="2436">
        <f t="shared" si="11"/>
        <v>0</v>
      </c>
      <c r="AB22" s="2683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3196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3224">
        <f>VLOOKUP(I22&amp;J22,'7층~4층_매핑테이블'!$Q$6:$X$2020,8,0)</f>
        <v>0</v>
      </c>
      <c r="AE22" s="3140" t="e">
        <f t="shared" si="0"/>
        <v>#N/A</v>
      </c>
      <c r="AF22" s="2766"/>
      <c r="AH22" s="2351" t="e">
        <f t="shared" si="3"/>
        <v>#N/A</v>
      </c>
      <c r="AI22" s="2351" t="e">
        <f t="shared" si="4"/>
        <v>#N/A</v>
      </c>
      <c r="AJ22" s="123" t="e">
        <f t="shared" si="1"/>
        <v>#N/A</v>
      </c>
      <c r="AK22" t="e">
        <f t="shared" si="5"/>
        <v>#N/A</v>
      </c>
      <c r="AL22" t="e">
        <f t="shared" si="6"/>
        <v>#N/A</v>
      </c>
      <c r="AQ22" s="123"/>
      <c r="AR22" s="123"/>
      <c r="AS22" s="123"/>
      <c r="AT22" s="2982"/>
      <c r="AU22" s="123"/>
      <c r="AV22" s="123"/>
      <c r="AW22" s="2983"/>
      <c r="AX22" s="2984"/>
      <c r="AY22" s="2985"/>
      <c r="AZ22" s="2986"/>
      <c r="BA22" s="2987"/>
      <c r="BB22" s="3194"/>
      <c r="BC22" s="2989"/>
    </row>
    <row r="23" spans="1:55" ht="28.8" x14ac:dyDescent="0.25">
      <c r="A23" s="2620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09" t="s">
        <v>2294</v>
      </c>
      <c r="H23" s="2604" t="s">
        <v>2295</v>
      </c>
      <c r="I23" s="2122" t="str">
        <f t="shared" si="9"/>
        <v>6-DaHall 1-PDU-03-30-16</v>
      </c>
      <c r="J23" s="2123" t="str">
        <f t="shared" si="10"/>
        <v>6-DaHall 1-PDU-04-30-16</v>
      </c>
      <c r="K23" s="1474">
        <v>220</v>
      </c>
      <c r="L23" s="1475">
        <v>30</v>
      </c>
      <c r="M23" s="2419" t="s">
        <v>6499</v>
      </c>
      <c r="N23" s="1462">
        <v>16</v>
      </c>
      <c r="O23" s="1466">
        <v>220</v>
      </c>
      <c r="P23" s="1467">
        <v>30</v>
      </c>
      <c r="Q23" s="2425" t="s">
        <v>6495</v>
      </c>
      <c r="R23" s="1465">
        <v>16</v>
      </c>
      <c r="S23" s="3475" t="s">
        <v>2213</v>
      </c>
      <c r="T23" s="3473" t="s">
        <v>2042</v>
      </c>
      <c r="U23" s="3475" t="s">
        <v>2043</v>
      </c>
      <c r="V23" s="3473" t="s">
        <v>2044</v>
      </c>
      <c r="W23" s="3478"/>
      <c r="X23" s="3477"/>
      <c r="Y23" s="268">
        <f>SUM('6층_부하량(월간_AVG)'!L269:N269)</f>
        <v>0</v>
      </c>
      <c r="Z23" s="268">
        <f>SUM('6층_부하량(월간_AVG)'!L299:N299)</f>
        <v>0</v>
      </c>
      <c r="AA23" s="2436">
        <f t="shared" si="11"/>
        <v>0</v>
      </c>
      <c r="AB23" s="2683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3196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3224">
        <f>VLOOKUP(I23&amp;J23,'7층~4층_매핑테이블'!$Q$6:$X$2020,8,0)</f>
        <v>0</v>
      </c>
      <c r="AE23" s="3140" t="e">
        <f t="shared" si="0"/>
        <v>#N/A</v>
      </c>
      <c r="AF23" s="2766"/>
      <c r="AH23" s="2351" t="e">
        <f t="shared" si="3"/>
        <v>#N/A</v>
      </c>
      <c r="AI23" s="2351" t="e">
        <f t="shared" si="4"/>
        <v>#N/A</v>
      </c>
      <c r="AJ23" s="123" t="e">
        <f t="shared" si="1"/>
        <v>#N/A</v>
      </c>
      <c r="AK23" t="e">
        <f t="shared" si="5"/>
        <v>#N/A</v>
      </c>
      <c r="AL23" t="e">
        <f t="shared" si="6"/>
        <v>#N/A</v>
      </c>
      <c r="AQ23" s="123"/>
      <c r="AR23" s="123"/>
      <c r="AS23" s="123"/>
      <c r="AT23" s="2982"/>
      <c r="AU23" s="123"/>
      <c r="AV23" s="123"/>
      <c r="AW23" s="2983"/>
      <c r="AX23" s="2984"/>
      <c r="AY23" s="2985"/>
      <c r="AZ23" s="2986"/>
      <c r="BA23" s="2987"/>
      <c r="BB23" s="3194"/>
      <c r="BC23" s="2989"/>
    </row>
    <row r="24" spans="1:55" ht="27" customHeight="1" thickBot="1" x14ac:dyDescent="0.3">
      <c r="A24" s="2628" t="s">
        <v>740</v>
      </c>
      <c r="B24" s="2629" t="s">
        <v>2296</v>
      </c>
      <c r="C24" s="2629"/>
      <c r="D24" s="2629"/>
      <c r="E24" s="2629" t="s">
        <v>2297</v>
      </c>
      <c r="F24" s="2629" t="s">
        <v>2298</v>
      </c>
      <c r="G24" s="2611" t="s">
        <v>2299</v>
      </c>
      <c r="H24" s="2605" t="s">
        <v>2300</v>
      </c>
      <c r="I24" s="2124" t="str">
        <f t="shared" si="9"/>
        <v>6-DaHall 1-PDU-03-30-18</v>
      </c>
      <c r="J24" s="2125" t="str">
        <f t="shared" si="10"/>
        <v>6-DaHall 1-PDU-04-30-18</v>
      </c>
      <c r="K24" s="1495">
        <v>220</v>
      </c>
      <c r="L24" s="1496">
        <v>30</v>
      </c>
      <c r="M24" s="2422" t="s">
        <v>6499</v>
      </c>
      <c r="N24" s="1470">
        <v>18</v>
      </c>
      <c r="O24" s="1497">
        <v>220</v>
      </c>
      <c r="P24" s="1498">
        <v>30</v>
      </c>
      <c r="Q24" s="2428" t="s">
        <v>6495</v>
      </c>
      <c r="R24" s="1473">
        <v>18</v>
      </c>
      <c r="S24" s="3476"/>
      <c r="T24" s="3474"/>
      <c r="U24" s="3476"/>
      <c r="V24" s="3474"/>
      <c r="W24" s="3476"/>
      <c r="X24" s="3474"/>
      <c r="Y24" s="330">
        <f>SUM('6층_부하량(월간_AVG)'!L270:N270)</f>
        <v>0</v>
      </c>
      <c r="Z24" s="330">
        <f>SUM('6층_부하량(월간_AVG)'!L300:N300)</f>
        <v>0</v>
      </c>
      <c r="AA24" s="2437">
        <f t="shared" si="11"/>
        <v>0</v>
      </c>
      <c r="AB24" s="2683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3196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4032">
        <f>VLOOKUP(I24&amp;J24,'7층~4층_매핑테이블'!$Q$6:$X$2020,8,0)</f>
        <v>0</v>
      </c>
      <c r="AE24" s="3209" t="e">
        <f t="shared" si="0"/>
        <v>#N/A</v>
      </c>
      <c r="AF24" s="2768"/>
      <c r="AH24" s="2351" t="e">
        <f t="shared" si="3"/>
        <v>#N/A</v>
      </c>
      <c r="AI24" s="2351" t="e">
        <f t="shared" si="4"/>
        <v>#N/A</v>
      </c>
      <c r="AJ24" s="123" t="e">
        <f t="shared" si="1"/>
        <v>#N/A</v>
      </c>
      <c r="AK24" t="e">
        <f t="shared" si="5"/>
        <v>#N/A</v>
      </c>
      <c r="AL24" t="e">
        <f t="shared" si="6"/>
        <v>#N/A</v>
      </c>
      <c r="AQ24" s="123"/>
      <c r="AR24" s="123"/>
      <c r="AS24" s="123"/>
      <c r="AT24" s="2982"/>
      <c r="AU24" s="123"/>
      <c r="AV24" s="123"/>
      <c r="AW24" s="2983"/>
      <c r="AX24" s="2984"/>
      <c r="AY24" s="2985"/>
      <c r="AZ24" s="2986"/>
      <c r="BA24" s="2987"/>
      <c r="BB24" s="3194"/>
      <c r="BC24" s="2989"/>
    </row>
    <row r="25" spans="1:55" ht="15" thickTop="1" x14ac:dyDescent="0.25">
      <c r="A25" s="1081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0"/>
      <c r="J25" s="2121"/>
      <c r="K25" s="1452"/>
      <c r="L25" s="1453"/>
      <c r="M25" s="884"/>
      <c r="N25" s="1454"/>
      <c r="O25" s="1455"/>
      <c r="P25" s="1456"/>
      <c r="Q25" s="885"/>
      <c r="R25" s="1457"/>
      <c r="S25" s="829"/>
      <c r="T25" s="830"/>
      <c r="U25" s="829"/>
      <c r="V25" s="830"/>
      <c r="W25" s="829"/>
      <c r="X25" s="830"/>
      <c r="Y25" s="831"/>
      <c r="Z25" s="831"/>
      <c r="AA25" s="2439"/>
      <c r="AB25" s="2771"/>
      <c r="AC25" s="2701"/>
      <c r="AD25" s="4033"/>
      <c r="AE25" s="3207">
        <f t="shared" si="0"/>
        <v>0</v>
      </c>
      <c r="AF25" s="2772" t="s">
        <v>1265</v>
      </c>
      <c r="AH25" s="2351">
        <f t="shared" si="3"/>
        <v>0</v>
      </c>
      <c r="AI25" s="2351">
        <f t="shared" si="4"/>
        <v>0</v>
      </c>
      <c r="AJ25" s="123" t="str">
        <f t="shared" si="1"/>
        <v>무부하 랙</v>
      </c>
      <c r="AK25" t="str">
        <f t="shared" si="5"/>
        <v/>
      </c>
      <c r="AL25" t="str">
        <f t="shared" si="6"/>
        <v/>
      </c>
      <c r="AQ25" s="123"/>
      <c r="AR25" s="123"/>
      <c r="AS25" s="123"/>
      <c r="AT25" s="2982"/>
      <c r="AU25" s="123"/>
      <c r="AV25" s="123"/>
      <c r="AW25" s="2983"/>
      <c r="AX25" s="2984"/>
      <c r="AY25" s="2985"/>
      <c r="AZ25" s="2986"/>
      <c r="BA25" s="2987"/>
      <c r="BB25" s="3194"/>
      <c r="BC25" s="2989"/>
    </row>
    <row r="26" spans="1:55" x14ac:dyDescent="0.25">
      <c r="A26" s="2620" t="s">
        <v>2303</v>
      </c>
      <c r="B26" s="2680" t="s">
        <v>2304</v>
      </c>
      <c r="C26" s="2680"/>
      <c r="D26" s="2680"/>
      <c r="E26" s="2680"/>
      <c r="F26" s="2680"/>
      <c r="G26" s="2676"/>
      <c r="H26" s="2659"/>
      <c r="I26" s="2131"/>
      <c r="J26" s="2132"/>
      <c r="K26" s="1489"/>
      <c r="L26" s="1490"/>
      <c r="M26" s="2676"/>
      <c r="N26" s="1491"/>
      <c r="O26" s="1492"/>
      <c r="P26" s="1493"/>
      <c r="Q26" s="2659"/>
      <c r="R26" s="1494"/>
      <c r="S26" s="832"/>
      <c r="T26" s="833"/>
      <c r="U26" s="832"/>
      <c r="V26" s="833"/>
      <c r="W26" s="832"/>
      <c r="X26" s="833"/>
      <c r="Y26" s="991"/>
      <c r="Z26" s="991"/>
      <c r="AA26" s="2445"/>
      <c r="AB26" s="2786"/>
      <c r="AC26" s="2750"/>
      <c r="AD26" s="3223"/>
      <c r="AE26" s="3208">
        <f t="shared" si="0"/>
        <v>0</v>
      </c>
      <c r="AF26" s="2781" t="s">
        <v>1265</v>
      </c>
      <c r="AH26" s="2351">
        <f t="shared" ref="AH26:AH89" si="12">AE26/(24*31)</f>
        <v>0</v>
      </c>
      <c r="AI26" s="2351">
        <f t="shared" ref="AI26:AI89" si="13">D26-AH26</f>
        <v>0</v>
      </c>
      <c r="AJ26" s="123" t="str">
        <f t="shared" si="1"/>
        <v>무부하 랙</v>
      </c>
      <c r="AK26" t="str">
        <f t="shared" si="5"/>
        <v/>
      </c>
      <c r="AL26" t="str">
        <f t="shared" si="6"/>
        <v/>
      </c>
      <c r="AQ26" s="123"/>
      <c r="AR26" s="123"/>
      <c r="AS26" s="123"/>
      <c r="AT26" s="2982"/>
      <c r="AU26" s="123"/>
      <c r="AV26" s="123"/>
      <c r="AW26" s="2983"/>
      <c r="AX26" s="2984"/>
      <c r="AY26" s="2985"/>
      <c r="AZ26" s="2986"/>
      <c r="BA26" s="2987"/>
      <c r="BB26" s="3194"/>
      <c r="BC26" s="2989"/>
    </row>
    <row r="27" spans="1:55" ht="28.8" x14ac:dyDescent="0.25">
      <c r="A27" s="2620" t="s">
        <v>2305</v>
      </c>
      <c r="B27" s="250" t="s">
        <v>2306</v>
      </c>
      <c r="C27" s="2632"/>
      <c r="D27" s="2632"/>
      <c r="E27" s="250" t="s">
        <v>2307</v>
      </c>
      <c r="F27" s="250" t="s">
        <v>2308</v>
      </c>
      <c r="G27" s="2609" t="s">
        <v>2309</v>
      </c>
      <c r="H27" s="2604" t="s">
        <v>2310</v>
      </c>
      <c r="I27" s="2122" t="str">
        <f t="shared" ref="I27:I32" si="14">"6-DaHall 1-PDU-"&amp;M27&amp;"-"&amp;L27&amp;"-"&amp;N27</f>
        <v>6-DaHall 1-PDU-07-30-8</v>
      </c>
      <c r="J27" s="2123" t="str">
        <f t="shared" ref="J27:J32" si="15">"6-DaHall 1-PDU-"&amp;Q27&amp;"-"&amp;P27&amp;"-"&amp;R27</f>
        <v>6-DaHall 1-PDU-08-30-8</v>
      </c>
      <c r="K27" s="1474">
        <v>220</v>
      </c>
      <c r="L27" s="1475">
        <v>30</v>
      </c>
      <c r="M27" s="2419" t="s">
        <v>6492</v>
      </c>
      <c r="N27" s="1462">
        <v>8</v>
      </c>
      <c r="O27" s="1466">
        <v>220</v>
      </c>
      <c r="P27" s="1467">
        <v>30</v>
      </c>
      <c r="Q27" s="2425" t="s">
        <v>6504</v>
      </c>
      <c r="R27" s="1465">
        <v>8</v>
      </c>
      <c r="S27" s="3468" t="s">
        <v>2189</v>
      </c>
      <c r="T27" s="3465" t="s">
        <v>2190</v>
      </c>
      <c r="U27" s="3468" t="s">
        <v>2191</v>
      </c>
      <c r="V27" s="3465" t="s">
        <v>2192</v>
      </c>
      <c r="W27" s="3468" t="s">
        <v>1880</v>
      </c>
      <c r="X27" s="3465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43">
        <f>SUM(Y27:Z27)</f>
        <v>0</v>
      </c>
      <c r="AB27" s="2683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3196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3224">
        <f>VLOOKUP(I27&amp;J27,'7층~4층_매핑테이블'!$Q$6:$X$2020,8,0)</f>
        <v>0</v>
      </c>
      <c r="AE27" s="3140" t="e">
        <f t="shared" si="0"/>
        <v>#N/A</v>
      </c>
      <c r="AF27" s="2767"/>
      <c r="AH27" s="2351" t="e">
        <f t="shared" si="12"/>
        <v>#N/A</v>
      </c>
      <c r="AI27" s="2351" t="e">
        <f t="shared" si="13"/>
        <v>#N/A</v>
      </c>
      <c r="AJ27" s="123" t="e">
        <f t="shared" si="1"/>
        <v>#N/A</v>
      </c>
      <c r="AK27" t="e">
        <f t="shared" si="5"/>
        <v>#N/A</v>
      </c>
      <c r="AL27" t="e">
        <f t="shared" si="6"/>
        <v>#N/A</v>
      </c>
      <c r="AQ27" s="123"/>
      <c r="AR27" s="123"/>
      <c r="AS27" s="123"/>
      <c r="AT27" s="2982"/>
      <c r="AU27" s="123"/>
      <c r="AV27" s="123"/>
      <c r="AW27" s="2983"/>
      <c r="AX27" s="2984"/>
      <c r="AY27" s="2985"/>
      <c r="AZ27" s="2986"/>
      <c r="BA27" s="2987"/>
      <c r="BB27" s="3194"/>
      <c r="BC27" s="2989"/>
    </row>
    <row r="28" spans="1:55" ht="28.8" x14ac:dyDescent="0.25">
      <c r="A28" s="2620" t="s">
        <v>2311</v>
      </c>
      <c r="B28" s="250" t="s">
        <v>2312</v>
      </c>
      <c r="C28" s="2632"/>
      <c r="D28" s="2632"/>
      <c r="E28" s="250" t="s">
        <v>2313</v>
      </c>
      <c r="F28" s="250" t="s">
        <v>2314</v>
      </c>
      <c r="G28" s="2609" t="s">
        <v>2315</v>
      </c>
      <c r="H28" s="2604" t="s">
        <v>2316</v>
      </c>
      <c r="I28" s="2122" t="str">
        <f t="shared" si="14"/>
        <v>6-DaHall 1-PDU-07-30-10</v>
      </c>
      <c r="J28" s="2123" t="str">
        <f t="shared" si="15"/>
        <v>6-DaHall 1-PDU-08-30-10</v>
      </c>
      <c r="K28" s="1474">
        <v>220</v>
      </c>
      <c r="L28" s="1475">
        <v>30</v>
      </c>
      <c r="M28" s="2419" t="s">
        <v>6492</v>
      </c>
      <c r="N28" s="1462">
        <v>10</v>
      </c>
      <c r="O28" s="1466">
        <v>220</v>
      </c>
      <c r="P28" s="1467">
        <v>30</v>
      </c>
      <c r="Q28" s="2425" t="s">
        <v>6504</v>
      </c>
      <c r="R28" s="1465">
        <v>10</v>
      </c>
      <c r="S28" s="3468"/>
      <c r="T28" s="3465"/>
      <c r="U28" s="3468"/>
      <c r="V28" s="3465"/>
      <c r="W28" s="3468"/>
      <c r="X28" s="3465"/>
      <c r="Y28" s="268">
        <f>SUM('6층_부하량(월간_AVG)'!L390:N390)</f>
        <v>0</v>
      </c>
      <c r="Z28" s="268">
        <f>SUM('6층_부하량(월간_AVG)'!L422:N422)</f>
        <v>0</v>
      </c>
      <c r="AA28" s="2443">
        <f>SUM(Y28:Z28)</f>
        <v>0</v>
      </c>
      <c r="AB28" s="2683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3196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3224">
        <f>VLOOKUP(I28&amp;J28,'7층~4층_매핑테이블'!$Q$6:$X$2020,8,0)</f>
        <v>0</v>
      </c>
      <c r="AE28" s="3140" t="e">
        <f t="shared" si="0"/>
        <v>#N/A</v>
      </c>
      <c r="AF28" s="2766"/>
      <c r="AH28" s="2351" t="e">
        <f t="shared" si="12"/>
        <v>#N/A</v>
      </c>
      <c r="AI28" s="2351" t="e">
        <f t="shared" si="13"/>
        <v>#N/A</v>
      </c>
      <c r="AJ28" s="123" t="e">
        <f t="shared" si="1"/>
        <v>#N/A</v>
      </c>
      <c r="AK28" t="e">
        <f t="shared" si="5"/>
        <v>#N/A</v>
      </c>
      <c r="AL28" t="e">
        <f t="shared" si="6"/>
        <v>#N/A</v>
      </c>
      <c r="AQ28" s="123"/>
      <c r="AR28" s="123"/>
      <c r="AS28" s="123"/>
      <c r="AT28" s="2982"/>
      <c r="AU28" s="123"/>
      <c r="AV28" s="123"/>
      <c r="AW28" s="2983"/>
      <c r="AX28" s="2984"/>
      <c r="AY28" s="2985"/>
      <c r="AZ28" s="2986"/>
      <c r="BA28" s="2987"/>
      <c r="BB28" s="3194"/>
      <c r="BC28" s="2989"/>
    </row>
    <row r="29" spans="1:55" ht="28.8" x14ac:dyDescent="0.25">
      <c r="A29" s="2620" t="s">
        <v>611</v>
      </c>
      <c r="B29" s="250" t="s">
        <v>2317</v>
      </c>
      <c r="C29" s="2632"/>
      <c r="D29" s="2632"/>
      <c r="E29" s="250" t="s">
        <v>2318</v>
      </c>
      <c r="F29" s="250" t="s">
        <v>2319</v>
      </c>
      <c r="G29" s="2609" t="s">
        <v>2320</v>
      </c>
      <c r="H29" s="2604" t="s">
        <v>2321</v>
      </c>
      <c r="I29" s="2122" t="str">
        <f t="shared" si="14"/>
        <v>6-DaHall 1-PDU-07-30-12</v>
      </c>
      <c r="J29" s="2123" t="str">
        <f t="shared" si="15"/>
        <v>6-DaHall 1-PDU-08-30-12</v>
      </c>
      <c r="K29" s="1474">
        <v>220</v>
      </c>
      <c r="L29" s="1475">
        <v>30</v>
      </c>
      <c r="M29" s="2419" t="s">
        <v>6492</v>
      </c>
      <c r="N29" s="1462">
        <v>12</v>
      </c>
      <c r="O29" s="1466">
        <v>220</v>
      </c>
      <c r="P29" s="1467">
        <v>30</v>
      </c>
      <c r="Q29" s="2425" t="s">
        <v>6504</v>
      </c>
      <c r="R29" s="1465">
        <v>12</v>
      </c>
      <c r="S29" s="3468"/>
      <c r="T29" s="3465"/>
      <c r="U29" s="3468"/>
      <c r="V29" s="3465"/>
      <c r="W29" s="3468"/>
      <c r="X29" s="3465"/>
      <c r="Y29" s="268">
        <f>SUM('6층_부하량(월간_AVG)'!L391:N391)</f>
        <v>0</v>
      </c>
      <c r="Z29" s="268">
        <f>SUM('6층_부하량(월간_AVG)'!L423:N423)</f>
        <v>0</v>
      </c>
      <c r="AA29" s="2443">
        <f>SUM(Y29:Z29)</f>
        <v>0</v>
      </c>
      <c r="AB29" s="2683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3196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3224">
        <f>VLOOKUP(I29&amp;J29,'7층~4층_매핑테이블'!$Q$6:$X$2020,8,0)</f>
        <v>0</v>
      </c>
      <c r="AE29" s="3140" t="e">
        <f t="shared" si="0"/>
        <v>#N/A</v>
      </c>
      <c r="AF29" s="2766"/>
      <c r="AH29" s="2351" t="e">
        <f t="shared" si="12"/>
        <v>#N/A</v>
      </c>
      <c r="AI29" s="2351" t="e">
        <f t="shared" si="13"/>
        <v>#N/A</v>
      </c>
      <c r="AJ29" s="123" t="e">
        <f t="shared" si="1"/>
        <v>#N/A</v>
      </c>
      <c r="AK29" t="e">
        <f t="shared" si="5"/>
        <v>#N/A</v>
      </c>
      <c r="AL29" t="e">
        <f t="shared" si="6"/>
        <v>#N/A</v>
      </c>
      <c r="AQ29" s="123"/>
      <c r="AR29" s="123"/>
      <c r="AS29" s="123"/>
      <c r="AT29" s="2982"/>
      <c r="AU29" s="123"/>
      <c r="AV29" s="123"/>
      <c r="AW29" s="2983"/>
      <c r="AX29" s="2984"/>
      <c r="AY29" s="2985"/>
      <c r="AZ29" s="2986"/>
      <c r="BA29" s="2987"/>
      <c r="BB29" s="3194"/>
      <c r="BC29" s="2989"/>
    </row>
    <row r="30" spans="1:55" ht="27" customHeight="1" x14ac:dyDescent="0.25">
      <c r="A30" s="2620" t="s">
        <v>606</v>
      </c>
      <c r="B30" s="250" t="s">
        <v>2322</v>
      </c>
      <c r="C30" s="2632"/>
      <c r="D30" s="2632"/>
      <c r="E30" s="250" t="s">
        <v>2323</v>
      </c>
      <c r="F30" s="250" t="s">
        <v>2324</v>
      </c>
      <c r="G30" s="2609" t="s">
        <v>2325</v>
      </c>
      <c r="H30" s="2604" t="s">
        <v>2326</v>
      </c>
      <c r="I30" s="2122" t="str">
        <f t="shared" si="14"/>
        <v>6-DaHall 1-PDU-07-30-14</v>
      </c>
      <c r="J30" s="2123" t="str">
        <f t="shared" si="15"/>
        <v>6-DaHall 1-PDU-08-30-14</v>
      </c>
      <c r="K30" s="1474">
        <v>220</v>
      </c>
      <c r="L30" s="1475">
        <v>30</v>
      </c>
      <c r="M30" s="2419" t="s">
        <v>6492</v>
      </c>
      <c r="N30" s="1462">
        <v>14</v>
      </c>
      <c r="O30" s="1466">
        <v>220</v>
      </c>
      <c r="P30" s="1467">
        <v>30</v>
      </c>
      <c r="Q30" s="2425" t="s">
        <v>6504</v>
      </c>
      <c r="R30" s="1465">
        <v>14</v>
      </c>
      <c r="S30" s="3468"/>
      <c r="T30" s="3465"/>
      <c r="U30" s="3468"/>
      <c r="V30" s="3465"/>
      <c r="W30" s="3468"/>
      <c r="X30" s="3465"/>
      <c r="Y30" s="268">
        <f>SUM('6층_부하량(월간_AVG)'!L392:N392)</f>
        <v>0</v>
      </c>
      <c r="Z30" s="268">
        <f>SUM('6층_부하량(월간_AVG)'!L424:N424)</f>
        <v>0</v>
      </c>
      <c r="AA30" s="2443">
        <f>SUM(Y30:Z30)</f>
        <v>0</v>
      </c>
      <c r="AB30" s="2683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3196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3224">
        <f>VLOOKUP(I30&amp;J30,'7층~4층_매핑테이블'!$Q$6:$X$2020,8,0)</f>
        <v>0</v>
      </c>
      <c r="AE30" s="3140" t="e">
        <f t="shared" si="0"/>
        <v>#N/A</v>
      </c>
      <c r="AF30" s="2766"/>
      <c r="AH30" s="2351" t="e">
        <f t="shared" si="12"/>
        <v>#N/A</v>
      </c>
      <c r="AI30" s="2351" t="e">
        <f t="shared" si="13"/>
        <v>#N/A</v>
      </c>
      <c r="AJ30" s="123" t="e">
        <f t="shared" si="1"/>
        <v>#N/A</v>
      </c>
      <c r="AK30" t="e">
        <f t="shared" si="5"/>
        <v>#N/A</v>
      </c>
      <c r="AL30" t="e">
        <f t="shared" si="6"/>
        <v>#N/A</v>
      </c>
      <c r="AQ30" s="123"/>
      <c r="AR30" s="123"/>
      <c r="AS30" s="123"/>
      <c r="AT30" s="2982"/>
      <c r="AU30" s="123"/>
      <c r="AV30" s="123"/>
      <c r="AW30" s="2983"/>
      <c r="AX30" s="2984"/>
      <c r="AY30" s="2985"/>
      <c r="AZ30" s="2986"/>
      <c r="BA30" s="2987"/>
      <c r="BB30" s="3194"/>
      <c r="BC30" s="2989"/>
    </row>
    <row r="31" spans="1:55" ht="57.6" x14ac:dyDescent="0.25">
      <c r="A31" s="2620" t="s">
        <v>595</v>
      </c>
      <c r="B31" s="250" t="s">
        <v>2327</v>
      </c>
      <c r="C31" s="2632"/>
      <c r="D31" s="2632"/>
      <c r="E31" s="250" t="s">
        <v>2328</v>
      </c>
      <c r="F31" s="250" t="s">
        <v>2329</v>
      </c>
      <c r="G31" s="2609" t="s">
        <v>2330</v>
      </c>
      <c r="H31" s="2604" t="s">
        <v>2331</v>
      </c>
      <c r="I31" s="2122" t="str">
        <f t="shared" si="14"/>
        <v>6-DaHall 1-PDU-01-30-48</v>
      </c>
      <c r="J31" s="2123" t="str">
        <f t="shared" si="15"/>
        <v>6-DaHall 1-PDU-02-30-48</v>
      </c>
      <c r="K31" s="1474">
        <v>220</v>
      </c>
      <c r="L31" s="1475">
        <v>30</v>
      </c>
      <c r="M31" s="2419" t="s">
        <v>6497</v>
      </c>
      <c r="N31" s="1462">
        <v>48</v>
      </c>
      <c r="O31" s="1466">
        <v>220</v>
      </c>
      <c r="P31" s="1467">
        <v>30</v>
      </c>
      <c r="Q31" s="2425" t="s">
        <v>6493</v>
      </c>
      <c r="R31" s="1465">
        <v>48</v>
      </c>
      <c r="S31" s="2609" t="s">
        <v>1694</v>
      </c>
      <c r="T31" s="2604" t="s">
        <v>1695</v>
      </c>
      <c r="U31" s="2609" t="s">
        <v>1696</v>
      </c>
      <c r="V31" s="2604" t="s">
        <v>1697</v>
      </c>
      <c r="W31" s="3468"/>
      <c r="X31" s="3465"/>
      <c r="Y31" s="268">
        <f>SUM('6층_부하량(월간_AVG)'!L225:N225)</f>
        <v>0</v>
      </c>
      <c r="Z31" s="268">
        <f>SUM('6층_부하량(월간_AVG)'!L255:N255)</f>
        <v>0</v>
      </c>
      <c r="AA31" s="2443">
        <f>SUM(Y31:Z31)</f>
        <v>0</v>
      </c>
      <c r="AB31" s="2683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3196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3224">
        <f>VLOOKUP(I31&amp;J31,'7층~4층_매핑테이블'!$Q$6:$X$2020,8,0)</f>
        <v>0</v>
      </c>
      <c r="AE31" s="3140" t="e">
        <f t="shared" si="0"/>
        <v>#N/A</v>
      </c>
      <c r="AF31" s="2766"/>
      <c r="AH31" s="2351" t="e">
        <f t="shared" si="12"/>
        <v>#N/A</v>
      </c>
      <c r="AI31" s="2351" t="e">
        <f t="shared" si="13"/>
        <v>#N/A</v>
      </c>
      <c r="AJ31" s="123" t="e">
        <f t="shared" si="1"/>
        <v>#N/A</v>
      </c>
      <c r="AK31" t="e">
        <f t="shared" si="5"/>
        <v>#N/A</v>
      </c>
      <c r="AL31" t="e">
        <f t="shared" si="6"/>
        <v>#N/A</v>
      </c>
      <c r="AQ31" s="123"/>
      <c r="AR31" s="123"/>
      <c r="AS31" s="123"/>
      <c r="AT31" s="2982"/>
      <c r="AU31" s="123"/>
      <c r="AV31" s="123"/>
      <c r="AW31" s="2983"/>
      <c r="AX31" s="2984"/>
      <c r="AY31" s="2985"/>
      <c r="AZ31" s="2986"/>
      <c r="BA31" s="2987"/>
      <c r="BB31" s="3194"/>
      <c r="BC31" s="2989"/>
    </row>
    <row r="32" spans="1:55" ht="43.8" thickBot="1" x14ac:dyDescent="0.3">
      <c r="A32" s="2628" t="s">
        <v>590</v>
      </c>
      <c r="B32" s="2629" t="s">
        <v>2332</v>
      </c>
      <c r="C32" s="2656"/>
      <c r="D32" s="2656"/>
      <c r="E32" s="2629" t="s">
        <v>2333</v>
      </c>
      <c r="F32" s="2629" t="s">
        <v>2334</v>
      </c>
      <c r="G32" s="2611" t="s">
        <v>2335</v>
      </c>
      <c r="H32" s="2605" t="s">
        <v>2336</v>
      </c>
      <c r="I32" s="2124" t="str">
        <f t="shared" si="14"/>
        <v>6-DaHall 1-PDU-05-30-50</v>
      </c>
      <c r="J32" s="2125" t="str">
        <f t="shared" si="15"/>
        <v>6-DaHall 1-PDU-06-30-50</v>
      </c>
      <c r="K32" s="1495">
        <v>220</v>
      </c>
      <c r="L32" s="1496">
        <v>30</v>
      </c>
      <c r="M32" s="2422" t="s">
        <v>6491</v>
      </c>
      <c r="N32" s="1470">
        <v>50</v>
      </c>
      <c r="O32" s="1497">
        <v>220</v>
      </c>
      <c r="P32" s="1498">
        <v>30</v>
      </c>
      <c r="Q32" s="2428" t="s">
        <v>6501</v>
      </c>
      <c r="R32" s="1473">
        <v>50</v>
      </c>
      <c r="S32" s="2611" t="s">
        <v>1876</v>
      </c>
      <c r="T32" s="2605" t="s">
        <v>1877</v>
      </c>
      <c r="U32" s="2611" t="s">
        <v>1878</v>
      </c>
      <c r="V32" s="2605" t="s">
        <v>1879</v>
      </c>
      <c r="W32" s="3469"/>
      <c r="X32" s="3486"/>
      <c r="Y32" s="330">
        <f>SUM('6층_부하량(월간_AVG)'!L346:N346)</f>
        <v>0</v>
      </c>
      <c r="Z32" s="330">
        <f>SUM('6층_부하량(월간_AVG)'!L378:N378)</f>
        <v>0</v>
      </c>
      <c r="AA32" s="2444">
        <f t="shared" ref="AA32" si="16">SUM(Y32:Z32)</f>
        <v>0</v>
      </c>
      <c r="AB32" s="2787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3198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4032">
        <f>VLOOKUP(I32&amp;J32,'7층~4층_매핑테이블'!$Q$6:$X$2020,8,0)</f>
        <v>0</v>
      </c>
      <c r="AE32" s="3209" t="e">
        <f t="shared" si="0"/>
        <v>#N/A</v>
      </c>
      <c r="AF32" s="2768"/>
      <c r="AH32" s="2351" t="e">
        <f t="shared" si="12"/>
        <v>#N/A</v>
      </c>
      <c r="AI32" s="2351" t="e">
        <f t="shared" si="13"/>
        <v>#N/A</v>
      </c>
      <c r="AJ32" s="123" t="e">
        <f t="shared" si="1"/>
        <v>#N/A</v>
      </c>
      <c r="AK32" t="e">
        <f t="shared" si="5"/>
        <v>#N/A</v>
      </c>
      <c r="AL32" t="e">
        <f t="shared" si="6"/>
        <v>#N/A</v>
      </c>
      <c r="AQ32" s="123"/>
      <c r="AR32" s="123"/>
      <c r="AS32" s="123"/>
      <c r="AT32" s="2982"/>
      <c r="AU32" s="123"/>
      <c r="AV32" s="123"/>
      <c r="AW32" s="2983"/>
      <c r="AX32" s="2984"/>
      <c r="AY32" s="2985"/>
      <c r="AZ32" s="2986"/>
      <c r="BA32" s="2987"/>
      <c r="BB32" s="3194"/>
      <c r="BC32" s="2989"/>
    </row>
    <row r="33" spans="1:55" ht="15" thickTop="1" x14ac:dyDescent="0.25">
      <c r="A33" s="1081" t="s">
        <v>464</v>
      </c>
      <c r="B33" s="828" t="s">
        <v>2182</v>
      </c>
      <c r="C33" s="971"/>
      <c r="D33" s="971"/>
      <c r="E33" s="828"/>
      <c r="F33" s="828"/>
      <c r="G33" s="884"/>
      <c r="H33" s="885"/>
      <c r="I33" s="2120"/>
      <c r="J33" s="2121"/>
      <c r="K33" s="1452"/>
      <c r="L33" s="1453"/>
      <c r="M33" s="884"/>
      <c r="N33" s="1454"/>
      <c r="O33" s="1455"/>
      <c r="P33" s="1456"/>
      <c r="Q33" s="885"/>
      <c r="R33" s="1457"/>
      <c r="S33" s="829"/>
      <c r="T33" s="830"/>
      <c r="U33" s="829"/>
      <c r="V33" s="830"/>
      <c r="W33" s="829"/>
      <c r="X33" s="830"/>
      <c r="Y33" s="848"/>
      <c r="Z33" s="848"/>
      <c r="AA33" s="2434"/>
      <c r="AB33" s="2784"/>
      <c r="AC33" s="2690"/>
      <c r="AD33" s="4033"/>
      <c r="AE33" s="3211">
        <f t="shared" si="0"/>
        <v>0</v>
      </c>
      <c r="AF33" s="2772" t="s">
        <v>1265</v>
      </c>
      <c r="AH33" s="2351">
        <f t="shared" si="12"/>
        <v>0</v>
      </c>
      <c r="AI33" s="2351">
        <f t="shared" si="13"/>
        <v>0</v>
      </c>
      <c r="AJ33" s="123" t="str">
        <f t="shared" si="1"/>
        <v>무부하 랙</v>
      </c>
      <c r="AK33" t="str">
        <f t="shared" si="5"/>
        <v/>
      </c>
      <c r="AL33" t="str">
        <f t="shared" si="6"/>
        <v/>
      </c>
      <c r="AQ33" s="123"/>
      <c r="AR33" s="123"/>
      <c r="AS33" s="123"/>
      <c r="AT33" s="2982"/>
      <c r="AU33" s="123"/>
      <c r="AV33" s="123"/>
      <c r="AW33" s="2983"/>
      <c r="AX33" s="2984"/>
      <c r="AY33" s="2985"/>
      <c r="AZ33" s="2986"/>
      <c r="BA33" s="2987"/>
      <c r="BB33" s="3194"/>
      <c r="BC33" s="2989"/>
    </row>
    <row r="34" spans="1:55" x14ac:dyDescent="0.25">
      <c r="A34" s="2620" t="s">
        <v>454</v>
      </c>
      <c r="B34" s="2680" t="s">
        <v>2183</v>
      </c>
      <c r="C34" s="886"/>
      <c r="D34" s="886"/>
      <c r="E34" s="2680"/>
      <c r="F34" s="2680"/>
      <c r="G34" s="2676"/>
      <c r="H34" s="2659"/>
      <c r="I34" s="2131"/>
      <c r="J34" s="2132"/>
      <c r="K34" s="1489"/>
      <c r="L34" s="1490"/>
      <c r="M34" s="2676"/>
      <c r="N34" s="1491"/>
      <c r="O34" s="1492"/>
      <c r="P34" s="1493"/>
      <c r="Q34" s="2659"/>
      <c r="R34" s="1494"/>
      <c r="S34" s="832"/>
      <c r="T34" s="833"/>
      <c r="U34" s="832"/>
      <c r="V34" s="833"/>
      <c r="W34" s="832"/>
      <c r="X34" s="833"/>
      <c r="Y34" s="252"/>
      <c r="Z34" s="252"/>
      <c r="AA34" s="2435"/>
      <c r="AB34" s="2778"/>
      <c r="AC34" s="2692"/>
      <c r="AD34" s="3223"/>
      <c r="AE34" s="3140">
        <f t="shared" si="0"/>
        <v>0</v>
      </c>
      <c r="AF34" s="2781" t="s">
        <v>1265</v>
      </c>
      <c r="AH34" s="2351">
        <f t="shared" si="12"/>
        <v>0</v>
      </c>
      <c r="AI34" s="2351">
        <f t="shared" si="13"/>
        <v>0</v>
      </c>
      <c r="AJ34" s="123" t="str">
        <f t="shared" si="1"/>
        <v>무부하 랙</v>
      </c>
      <c r="AK34" t="str">
        <f t="shared" si="5"/>
        <v/>
      </c>
      <c r="AL34" t="str">
        <f t="shared" si="6"/>
        <v/>
      </c>
      <c r="AQ34" s="123"/>
      <c r="AR34" s="123"/>
      <c r="AS34" s="123"/>
      <c r="AT34" s="2982"/>
      <c r="AU34" s="123"/>
      <c r="AV34" s="123"/>
      <c r="AW34" s="2983"/>
      <c r="AX34" s="2984"/>
      <c r="AY34" s="2985"/>
      <c r="AZ34" s="2986"/>
      <c r="BA34" s="2987"/>
      <c r="BB34" s="3194"/>
      <c r="BC34" s="2989"/>
    </row>
    <row r="35" spans="1:55" ht="28.8" x14ac:dyDescent="0.25">
      <c r="A35" s="2620" t="s">
        <v>444</v>
      </c>
      <c r="B35" s="250" t="s">
        <v>2184</v>
      </c>
      <c r="C35" s="2632"/>
      <c r="D35" s="2632"/>
      <c r="E35" s="250" t="s">
        <v>2185</v>
      </c>
      <c r="F35" s="250" t="s">
        <v>2186</v>
      </c>
      <c r="G35" s="2609" t="s">
        <v>2187</v>
      </c>
      <c r="H35" s="2604" t="s">
        <v>2188</v>
      </c>
      <c r="I35" s="2122" t="str">
        <f t="shared" ref="I35:I40" si="17">"6-DaHall 1-PDU-"&amp;M35&amp;"-"&amp;L35&amp;"-"&amp;N35</f>
        <v>6-DaHall 1-PDU-07-30-22</v>
      </c>
      <c r="J35" s="2123" t="str">
        <f t="shared" ref="J35:J40" si="18">"6-DaHall 1-PDU-"&amp;Q35&amp;"-"&amp;P35&amp;"-"&amp;R35</f>
        <v>6-DaHall 1-PDU-08-30-22</v>
      </c>
      <c r="K35" s="1474">
        <v>220</v>
      </c>
      <c r="L35" s="1475">
        <v>30</v>
      </c>
      <c r="M35" s="2419" t="s">
        <v>6492</v>
      </c>
      <c r="N35" s="1462">
        <v>22</v>
      </c>
      <c r="O35" s="1466">
        <v>220</v>
      </c>
      <c r="P35" s="1467">
        <v>30</v>
      </c>
      <c r="Q35" s="2425" t="s">
        <v>6504</v>
      </c>
      <c r="R35" s="1465">
        <v>22</v>
      </c>
      <c r="S35" s="3475" t="s">
        <v>2189</v>
      </c>
      <c r="T35" s="3473" t="s">
        <v>2190</v>
      </c>
      <c r="U35" s="3475" t="s">
        <v>2191</v>
      </c>
      <c r="V35" s="3473" t="s">
        <v>2192</v>
      </c>
      <c r="W35" s="3475" t="s">
        <v>1880</v>
      </c>
      <c r="X35" s="3473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43">
        <f>SUM(Y35:Z35)</f>
        <v>0</v>
      </c>
      <c r="AB35" s="2683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3196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3224">
        <f>VLOOKUP(I35&amp;J35,'7층~4층_매핑테이블'!$Q$6:$X$2020,8,0)</f>
        <v>0</v>
      </c>
      <c r="AE35" s="3140" t="e">
        <f t="shared" si="0"/>
        <v>#N/A</v>
      </c>
      <c r="AF35" s="2766"/>
      <c r="AH35" s="2351" t="e">
        <f t="shared" si="12"/>
        <v>#N/A</v>
      </c>
      <c r="AI35" s="2351" t="e">
        <f t="shared" si="13"/>
        <v>#N/A</v>
      </c>
      <c r="AJ35" s="123" t="e">
        <f t="shared" si="1"/>
        <v>#N/A</v>
      </c>
      <c r="AK35" t="e">
        <f t="shared" si="5"/>
        <v>#N/A</v>
      </c>
      <c r="AL35" t="e">
        <f t="shared" si="6"/>
        <v>#N/A</v>
      </c>
      <c r="AQ35" s="123"/>
      <c r="AR35" s="123"/>
      <c r="AS35" s="123"/>
      <c r="AT35" s="2982"/>
      <c r="AU35" s="123"/>
      <c r="AV35" s="123"/>
      <c r="AW35" s="2983"/>
      <c r="AX35" s="2984"/>
      <c r="AY35" s="2985"/>
      <c r="AZ35" s="2986"/>
      <c r="BA35" s="2987"/>
      <c r="BB35" s="3194"/>
      <c r="BC35" s="2989"/>
    </row>
    <row r="36" spans="1:55" ht="28.8" x14ac:dyDescent="0.25">
      <c r="A36" s="2620" t="s">
        <v>439</v>
      </c>
      <c r="B36" s="250" t="s">
        <v>2193</v>
      </c>
      <c r="C36" s="2632"/>
      <c r="D36" s="2632"/>
      <c r="E36" s="250" t="s">
        <v>2194</v>
      </c>
      <c r="F36" s="250" t="s">
        <v>2195</v>
      </c>
      <c r="G36" s="2609" t="s">
        <v>2196</v>
      </c>
      <c r="H36" s="2604" t="s">
        <v>2197</v>
      </c>
      <c r="I36" s="2122" t="str">
        <f t="shared" si="17"/>
        <v>6-DaHall 1-PDU-07-30-24</v>
      </c>
      <c r="J36" s="2123" t="str">
        <f t="shared" si="18"/>
        <v>6-DaHall 1-PDU-08-30-24</v>
      </c>
      <c r="K36" s="1474">
        <v>220</v>
      </c>
      <c r="L36" s="1475">
        <v>30</v>
      </c>
      <c r="M36" s="2419" t="s">
        <v>6492</v>
      </c>
      <c r="N36" s="1462">
        <v>24</v>
      </c>
      <c r="O36" s="1466">
        <v>220</v>
      </c>
      <c r="P36" s="1467">
        <v>30</v>
      </c>
      <c r="Q36" s="2425" t="s">
        <v>6504</v>
      </c>
      <c r="R36" s="1465">
        <v>24</v>
      </c>
      <c r="S36" s="3478"/>
      <c r="T36" s="3477"/>
      <c r="U36" s="3478"/>
      <c r="V36" s="3477"/>
      <c r="W36" s="3478"/>
      <c r="X36" s="3477"/>
      <c r="Y36" s="268">
        <f>SUM('6층_부하량(월간_AVG)'!L397:N397)</f>
        <v>0</v>
      </c>
      <c r="Z36" s="268">
        <f>SUM('6층_부하량(월간_AVG)'!L429:N429)</f>
        <v>0</v>
      </c>
      <c r="AA36" s="2443">
        <f>SUM(Y36:Z36)</f>
        <v>0</v>
      </c>
      <c r="AB36" s="2683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3196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3224">
        <f>VLOOKUP(I36&amp;J36,'7층~4층_매핑테이블'!$Q$6:$X$2020,8,0)</f>
        <v>0</v>
      </c>
      <c r="AE36" s="3140" t="e">
        <f t="shared" si="0"/>
        <v>#N/A</v>
      </c>
      <c r="AF36" s="2766"/>
      <c r="AH36" s="2351" t="e">
        <f t="shared" si="12"/>
        <v>#N/A</v>
      </c>
      <c r="AI36" s="2351" t="e">
        <f t="shared" si="13"/>
        <v>#N/A</v>
      </c>
      <c r="AJ36" s="123" t="e">
        <f t="shared" si="1"/>
        <v>#N/A</v>
      </c>
      <c r="AK36" t="e">
        <f t="shared" si="5"/>
        <v>#N/A</v>
      </c>
      <c r="AL36" t="e">
        <f t="shared" si="6"/>
        <v>#N/A</v>
      </c>
      <c r="AQ36" s="123"/>
      <c r="AR36" s="123"/>
      <c r="AS36" s="123"/>
      <c r="AT36" s="2982"/>
      <c r="AU36" s="123"/>
      <c r="AV36" s="123"/>
      <c r="AW36" s="2983"/>
      <c r="AX36" s="2984"/>
      <c r="AY36" s="2985"/>
      <c r="AZ36" s="2986"/>
      <c r="BA36" s="2987"/>
      <c r="BB36" s="3194"/>
      <c r="BC36" s="2989"/>
    </row>
    <row r="37" spans="1:55" ht="28.8" x14ac:dyDescent="0.25">
      <c r="A37" s="2620" t="s">
        <v>429</v>
      </c>
      <c r="B37" s="250" t="s">
        <v>2198</v>
      </c>
      <c r="C37" s="2632"/>
      <c r="D37" s="2632"/>
      <c r="E37" s="250" t="s">
        <v>2199</v>
      </c>
      <c r="F37" s="250" t="s">
        <v>2200</v>
      </c>
      <c r="G37" s="2609" t="s">
        <v>2201</v>
      </c>
      <c r="H37" s="2604" t="s">
        <v>2202</v>
      </c>
      <c r="I37" s="2122" t="str">
        <f t="shared" si="17"/>
        <v>6-DaHall 1-PDU-07-30-26</v>
      </c>
      <c r="J37" s="2123" t="str">
        <f t="shared" si="18"/>
        <v>6-DaHall 1-PDU-08-30-26</v>
      </c>
      <c r="K37" s="1474">
        <v>220</v>
      </c>
      <c r="L37" s="1475">
        <v>30</v>
      </c>
      <c r="M37" s="2419" t="s">
        <v>6492</v>
      </c>
      <c r="N37" s="1462">
        <v>26</v>
      </c>
      <c r="O37" s="1466">
        <v>220</v>
      </c>
      <c r="P37" s="1467">
        <v>30</v>
      </c>
      <c r="Q37" s="2425" t="s">
        <v>6504</v>
      </c>
      <c r="R37" s="1465">
        <v>26</v>
      </c>
      <c r="S37" s="3478"/>
      <c r="T37" s="3477"/>
      <c r="U37" s="3478"/>
      <c r="V37" s="3477"/>
      <c r="W37" s="3478"/>
      <c r="X37" s="3477"/>
      <c r="Y37" s="268">
        <f>SUM('6층_부하량(월간_AVG)'!L398:N398)</f>
        <v>0</v>
      </c>
      <c r="Z37" s="268">
        <f>SUM('6층_부하량(월간_AVG)'!L430:N430)</f>
        <v>0</v>
      </c>
      <c r="AA37" s="2443">
        <f>SUM(Y37:Z37)</f>
        <v>0</v>
      </c>
      <c r="AB37" s="2683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3196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3224">
        <f>VLOOKUP(I37&amp;J37,'7층~4층_매핑테이블'!$Q$6:$X$2020,8,0)</f>
        <v>0</v>
      </c>
      <c r="AE37" s="3140" t="e">
        <f t="shared" si="0"/>
        <v>#N/A</v>
      </c>
      <c r="AF37" s="2766"/>
      <c r="AH37" s="2351" t="e">
        <f t="shared" si="12"/>
        <v>#N/A</v>
      </c>
      <c r="AI37" s="2351" t="e">
        <f t="shared" si="13"/>
        <v>#N/A</v>
      </c>
      <c r="AJ37" s="123" t="e">
        <f t="shared" si="1"/>
        <v>#N/A</v>
      </c>
      <c r="AK37" t="e">
        <f t="shared" si="5"/>
        <v>#N/A</v>
      </c>
      <c r="AL37" t="e">
        <f t="shared" si="6"/>
        <v>#N/A</v>
      </c>
      <c r="AQ37" s="123"/>
      <c r="AR37" s="123"/>
      <c r="AS37" s="123"/>
      <c r="AT37" s="2982"/>
      <c r="AU37" s="123"/>
      <c r="AV37" s="123"/>
      <c r="AW37" s="2983"/>
      <c r="AX37" s="2984"/>
      <c r="AY37" s="2985"/>
      <c r="AZ37" s="2986"/>
      <c r="BA37" s="2987"/>
      <c r="BB37" s="3194"/>
      <c r="BC37" s="2989"/>
    </row>
    <row r="38" spans="1:55" ht="28.8" x14ac:dyDescent="0.25">
      <c r="A38" s="2620" t="s">
        <v>424</v>
      </c>
      <c r="B38" s="250" t="s">
        <v>2203</v>
      </c>
      <c r="C38" s="2632"/>
      <c r="D38" s="2632"/>
      <c r="E38" s="250" t="s">
        <v>2204</v>
      </c>
      <c r="F38" s="250" t="s">
        <v>2205</v>
      </c>
      <c r="G38" s="2609" t="s">
        <v>2206</v>
      </c>
      <c r="H38" s="2604" t="s">
        <v>2207</v>
      </c>
      <c r="I38" s="2122" t="str">
        <f t="shared" si="17"/>
        <v>6-DaHall 1-PDU-07-30-28</v>
      </c>
      <c r="J38" s="2123" t="str">
        <f t="shared" si="18"/>
        <v>6-DaHall 1-PDU-08-30-28</v>
      </c>
      <c r="K38" s="1474">
        <v>220</v>
      </c>
      <c r="L38" s="1475">
        <v>30</v>
      </c>
      <c r="M38" s="2419" t="s">
        <v>6492</v>
      </c>
      <c r="N38" s="1462">
        <v>28</v>
      </c>
      <c r="O38" s="1466">
        <v>220</v>
      </c>
      <c r="P38" s="1467">
        <v>30</v>
      </c>
      <c r="Q38" s="2425" t="s">
        <v>6504</v>
      </c>
      <c r="R38" s="1465">
        <v>28</v>
      </c>
      <c r="S38" s="3487"/>
      <c r="T38" s="3488"/>
      <c r="U38" s="3487"/>
      <c r="V38" s="3488"/>
      <c r="W38" s="3478"/>
      <c r="X38" s="3477"/>
      <c r="Y38" s="268">
        <f>SUM('6층_부하량(월간_AVG)'!L399:N399)</f>
        <v>0</v>
      </c>
      <c r="Z38" s="268">
        <f>SUM('6층_부하량(월간_AVG)'!L431:N431)</f>
        <v>0</v>
      </c>
      <c r="AA38" s="2443">
        <f>SUM(Y38:Z38)</f>
        <v>0</v>
      </c>
      <c r="AB38" s="2683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3196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3224">
        <f>VLOOKUP(I38&amp;J38,'7층~4층_매핑테이블'!$Q$6:$X$2020,8,0)</f>
        <v>0</v>
      </c>
      <c r="AE38" s="3140" t="e">
        <f t="shared" si="0"/>
        <v>#N/A</v>
      </c>
      <c r="AF38" s="2766"/>
      <c r="AH38" s="2351" t="e">
        <f t="shared" si="12"/>
        <v>#N/A</v>
      </c>
      <c r="AI38" s="2351" t="e">
        <f t="shared" si="13"/>
        <v>#N/A</v>
      </c>
      <c r="AJ38" s="123" t="e">
        <f t="shared" si="1"/>
        <v>#N/A</v>
      </c>
      <c r="AK38" t="e">
        <f t="shared" si="5"/>
        <v>#N/A</v>
      </c>
      <c r="AL38" t="e">
        <f t="shared" si="6"/>
        <v>#N/A</v>
      </c>
      <c r="AQ38" s="123"/>
      <c r="AR38" s="123"/>
      <c r="AS38" s="123"/>
      <c r="AT38" s="2982"/>
      <c r="AU38" s="123"/>
      <c r="AV38" s="123"/>
      <c r="AW38" s="2983"/>
      <c r="AX38" s="2984"/>
      <c r="AY38" s="2985"/>
      <c r="AZ38" s="2986"/>
      <c r="BA38" s="2987"/>
      <c r="BB38" s="3194"/>
      <c r="BC38" s="2989"/>
    </row>
    <row r="39" spans="1:55" ht="28.8" x14ac:dyDescent="0.25">
      <c r="A39" s="2620" t="s">
        <v>419</v>
      </c>
      <c r="B39" s="250" t="s">
        <v>2208</v>
      </c>
      <c r="C39" s="2632"/>
      <c r="D39" s="2632"/>
      <c r="E39" s="250" t="s">
        <v>2209</v>
      </c>
      <c r="F39" s="250" t="s">
        <v>2210</v>
      </c>
      <c r="G39" s="2609" t="s">
        <v>2211</v>
      </c>
      <c r="H39" s="2604" t="s">
        <v>2212</v>
      </c>
      <c r="I39" s="2122" t="str">
        <f t="shared" si="17"/>
        <v>6-DaHall 1-PDU-03-30-33</v>
      </c>
      <c r="J39" s="2123" t="str">
        <f t="shared" si="18"/>
        <v>6-DaHall 1-PDU-04-30-33</v>
      </c>
      <c r="K39" s="1474">
        <v>220</v>
      </c>
      <c r="L39" s="1475">
        <v>30</v>
      </c>
      <c r="M39" s="2419" t="s">
        <v>6499</v>
      </c>
      <c r="N39" s="1462">
        <v>33</v>
      </c>
      <c r="O39" s="1466">
        <v>220</v>
      </c>
      <c r="P39" s="1467">
        <v>30</v>
      </c>
      <c r="Q39" s="2425" t="s">
        <v>6495</v>
      </c>
      <c r="R39" s="1465">
        <v>33</v>
      </c>
      <c r="S39" s="3475" t="s">
        <v>2213</v>
      </c>
      <c r="T39" s="3473" t="s">
        <v>2042</v>
      </c>
      <c r="U39" s="3475" t="s">
        <v>2043</v>
      </c>
      <c r="V39" s="3473" t="s">
        <v>2044</v>
      </c>
      <c r="W39" s="3478"/>
      <c r="X39" s="3477"/>
      <c r="Y39" s="268">
        <f>SUM('6층_부하량(월간_AVG)'!D278:F278)</f>
        <v>0</v>
      </c>
      <c r="Z39" s="268">
        <f>SUM('6층_부하량(월간_AVG)'!D308:F308)</f>
        <v>0</v>
      </c>
      <c r="AA39" s="2443">
        <f>SUM(Y39:Z39)</f>
        <v>0</v>
      </c>
      <c r="AB39" s="2683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3196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3224">
        <f>VLOOKUP(I39&amp;J39,'7층~4층_매핑테이블'!$Q$6:$X$2020,8,0)</f>
        <v>0</v>
      </c>
      <c r="AE39" s="3140" t="e">
        <f t="shared" si="0"/>
        <v>#N/A</v>
      </c>
      <c r="AF39" s="2766"/>
      <c r="AH39" s="2351" t="e">
        <f t="shared" si="12"/>
        <v>#N/A</v>
      </c>
      <c r="AI39" s="2351" t="e">
        <f t="shared" si="13"/>
        <v>#N/A</v>
      </c>
      <c r="AJ39" s="123" t="e">
        <f t="shared" si="1"/>
        <v>#N/A</v>
      </c>
      <c r="AK39" t="e">
        <f t="shared" si="5"/>
        <v>#N/A</v>
      </c>
      <c r="AL39" t="e">
        <f t="shared" si="6"/>
        <v>#N/A</v>
      </c>
      <c r="AQ39" s="123"/>
      <c r="AR39" s="123"/>
      <c r="AS39" s="123"/>
      <c r="AT39" s="2982"/>
      <c r="AU39" s="123"/>
      <c r="AV39" s="123"/>
      <c r="AW39" s="2983"/>
      <c r="AX39" s="2984"/>
      <c r="AY39" s="2985"/>
      <c r="AZ39" s="2986"/>
      <c r="BA39" s="2987"/>
      <c r="BB39" s="3194"/>
      <c r="BC39" s="2989"/>
    </row>
    <row r="40" spans="1:55" ht="29.4" thickBot="1" x14ac:dyDescent="0.3">
      <c r="A40" s="2628" t="s">
        <v>414</v>
      </c>
      <c r="B40" s="2629" t="s">
        <v>2214</v>
      </c>
      <c r="C40" s="2656"/>
      <c r="D40" s="2656"/>
      <c r="E40" s="2629" t="s">
        <v>2215</v>
      </c>
      <c r="F40" s="2629" t="s">
        <v>2216</v>
      </c>
      <c r="G40" s="2611" t="s">
        <v>2217</v>
      </c>
      <c r="H40" s="2605" t="s">
        <v>2218</v>
      </c>
      <c r="I40" s="2124" t="str">
        <f t="shared" si="17"/>
        <v>6-DaHall 1-PDU-03-30-35</v>
      </c>
      <c r="J40" s="2125" t="str">
        <f t="shared" si="18"/>
        <v>6-DaHall 1-PDU-04-30-35</v>
      </c>
      <c r="K40" s="1495">
        <v>220</v>
      </c>
      <c r="L40" s="1496">
        <v>30</v>
      </c>
      <c r="M40" s="2422" t="s">
        <v>6499</v>
      </c>
      <c r="N40" s="1470">
        <v>35</v>
      </c>
      <c r="O40" s="1497">
        <v>220</v>
      </c>
      <c r="P40" s="1498">
        <v>30</v>
      </c>
      <c r="Q40" s="2428" t="s">
        <v>6495</v>
      </c>
      <c r="R40" s="1473">
        <v>35</v>
      </c>
      <c r="S40" s="3476"/>
      <c r="T40" s="3474"/>
      <c r="U40" s="3476"/>
      <c r="V40" s="3474"/>
      <c r="W40" s="3476"/>
      <c r="X40" s="3474"/>
      <c r="Y40" s="330">
        <f>SUM('6층_부하량(월간_AVG)'!D279:F279)</f>
        <v>0</v>
      </c>
      <c r="Z40" s="330">
        <f>SUM('6층_부하량(월간_AVG)'!D309:F309)</f>
        <v>0</v>
      </c>
      <c r="AA40" s="2444">
        <f t="shared" ref="AA40" si="19">SUM(Y40:Z40)</f>
        <v>0</v>
      </c>
      <c r="AB40" s="2683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3196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4032">
        <f>VLOOKUP(I40&amp;J40,'7층~4층_매핑테이블'!$Q$6:$X$2020,8,0)</f>
        <v>0</v>
      </c>
      <c r="AE40" s="3209" t="e">
        <f t="shared" si="0"/>
        <v>#N/A</v>
      </c>
      <c r="AF40" s="2768"/>
      <c r="AH40" s="2351" t="e">
        <f t="shared" si="12"/>
        <v>#N/A</v>
      </c>
      <c r="AI40" s="2351" t="e">
        <f t="shared" si="13"/>
        <v>#N/A</v>
      </c>
      <c r="AJ40" s="123" t="e">
        <f t="shared" si="1"/>
        <v>#N/A</v>
      </c>
      <c r="AK40" t="e">
        <f t="shared" si="5"/>
        <v>#N/A</v>
      </c>
      <c r="AL40" t="e">
        <f t="shared" si="6"/>
        <v>#N/A</v>
      </c>
      <c r="AQ40" s="123"/>
      <c r="AR40" s="123"/>
      <c r="AS40" s="123"/>
      <c r="AT40" s="2982"/>
      <c r="AU40" s="123"/>
      <c r="AV40" s="123"/>
      <c r="AW40" s="2983"/>
      <c r="AX40" s="2984"/>
      <c r="AY40" s="2985"/>
      <c r="AZ40" s="2986"/>
      <c r="BA40" s="2987"/>
      <c r="BB40" s="3194"/>
      <c r="BC40" s="2989"/>
    </row>
    <row r="41" spans="1:55" ht="15" thickTop="1" x14ac:dyDescent="0.25">
      <c r="A41" s="1081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0"/>
      <c r="J41" s="2121"/>
      <c r="K41" s="1452"/>
      <c r="L41" s="1453"/>
      <c r="M41" s="884"/>
      <c r="N41" s="1454"/>
      <c r="O41" s="1455"/>
      <c r="P41" s="1456"/>
      <c r="Q41" s="885"/>
      <c r="R41" s="1457"/>
      <c r="S41" s="829"/>
      <c r="T41" s="830"/>
      <c r="U41" s="829"/>
      <c r="V41" s="830"/>
      <c r="W41" s="829"/>
      <c r="X41" s="830"/>
      <c r="Y41" s="835"/>
      <c r="Z41" s="1401"/>
      <c r="AA41" s="2434">
        <f>SUM(Y41:Z41)</f>
        <v>0</v>
      </c>
      <c r="AB41" s="2784"/>
      <c r="AC41" s="2690"/>
      <c r="AD41" s="4033"/>
      <c r="AE41" s="3211">
        <f t="shared" si="0"/>
        <v>0</v>
      </c>
      <c r="AF41" s="2772" t="s">
        <v>1265</v>
      </c>
      <c r="AH41" s="2351">
        <f t="shared" si="12"/>
        <v>0</v>
      </c>
      <c r="AI41" s="2351">
        <f t="shared" si="13"/>
        <v>0</v>
      </c>
      <c r="AJ41" s="123" t="str">
        <f t="shared" si="1"/>
        <v>무부하 랙</v>
      </c>
      <c r="AK41" t="str">
        <f t="shared" si="5"/>
        <v/>
      </c>
      <c r="AL41" t="str">
        <f t="shared" si="6"/>
        <v/>
      </c>
      <c r="AQ41" s="123"/>
      <c r="AR41" s="123"/>
      <c r="AS41" s="123"/>
      <c r="AT41" s="2982"/>
      <c r="AU41" s="123"/>
      <c r="AV41" s="123"/>
      <c r="AW41" s="2983"/>
      <c r="AX41" s="2984"/>
      <c r="AY41" s="2985"/>
      <c r="AZ41" s="2986"/>
      <c r="BA41" s="2987"/>
      <c r="BB41" s="3194"/>
      <c r="BC41" s="2989"/>
    </row>
    <row r="42" spans="1:55" ht="27" customHeight="1" x14ac:dyDescent="0.25">
      <c r="A42" s="3454" t="s">
        <v>270</v>
      </c>
      <c r="B42" s="3456" t="s">
        <v>1990</v>
      </c>
      <c r="C42" s="3456"/>
      <c r="D42" s="250"/>
      <c r="E42" s="250" t="s">
        <v>1991</v>
      </c>
      <c r="F42" s="250" t="s">
        <v>1992</v>
      </c>
      <c r="G42" s="2609" t="s">
        <v>1993</v>
      </c>
      <c r="H42" s="2604" t="s">
        <v>1994</v>
      </c>
      <c r="I42" s="2122" t="str">
        <f t="shared" ref="I42:I50" si="20">"6-DaHall 1-PDU-"&amp;M42&amp;"-"&amp;L42&amp;"-"&amp;N42</f>
        <v>6-DaHall 1-PDU-03-30-24</v>
      </c>
      <c r="J42" s="2123" t="str">
        <f t="shared" ref="J42:J50" si="21">"6-DaHall 1-PDU-"&amp;Q42&amp;"-"&amp;P42&amp;"-"&amp;R42</f>
        <v>6-DaHall 1-PDU-04-30-24</v>
      </c>
      <c r="K42" s="1460">
        <v>220</v>
      </c>
      <c r="L42" s="1461">
        <v>30</v>
      </c>
      <c r="M42" s="2419" t="s">
        <v>6499</v>
      </c>
      <c r="N42" s="1462">
        <v>24</v>
      </c>
      <c r="O42" s="1463">
        <v>220</v>
      </c>
      <c r="P42" s="1464">
        <v>30</v>
      </c>
      <c r="Q42" s="2425" t="s">
        <v>6495</v>
      </c>
      <c r="R42" s="1465">
        <v>24</v>
      </c>
      <c r="S42" s="3475" t="s">
        <v>1924</v>
      </c>
      <c r="T42" s="3473" t="s">
        <v>1925</v>
      </c>
      <c r="U42" s="3475" t="s">
        <v>1926</v>
      </c>
      <c r="V42" s="3473" t="s">
        <v>1927</v>
      </c>
      <c r="W42" s="3475" t="s">
        <v>1276</v>
      </c>
      <c r="X42" s="3473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519">
        <f>SUM(Y42:Z43)</f>
        <v>0</v>
      </c>
      <c r="AB42" s="2683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3196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224">
        <f>VLOOKUP(I42&amp;J42,'7층~4층_매핑테이블'!$Q$6:$X$2020,8,0)</f>
        <v>0</v>
      </c>
      <c r="AE42" s="3212" t="e">
        <f>SUM(AB42:AC43)</f>
        <v>#N/A</v>
      </c>
      <c r="AF42" s="2766"/>
      <c r="AH42" s="2351" t="e">
        <f t="shared" si="12"/>
        <v>#N/A</v>
      </c>
      <c r="AI42" s="2351" t="e">
        <f t="shared" si="13"/>
        <v>#N/A</v>
      </c>
      <c r="AJ42" s="123" t="e">
        <f t="shared" si="1"/>
        <v>#N/A</v>
      </c>
      <c r="AK42" t="e">
        <f t="shared" si="5"/>
        <v>#N/A</v>
      </c>
      <c r="AL42" t="e">
        <f t="shared" si="6"/>
        <v>#N/A</v>
      </c>
      <c r="AQ42" s="123"/>
      <c r="AR42" s="123"/>
      <c r="AS42" s="123"/>
      <c r="AT42" s="2982"/>
      <c r="AU42" s="123"/>
      <c r="AV42" s="123"/>
      <c r="AW42" s="2983"/>
      <c r="AX42" s="2984"/>
      <c r="AY42" s="2985"/>
      <c r="AZ42" s="2986"/>
      <c r="BA42" s="2987"/>
      <c r="BB42" s="3194"/>
      <c r="BC42" s="2989"/>
    </row>
    <row r="43" spans="1:55" ht="27" customHeight="1" x14ac:dyDescent="0.25">
      <c r="A43" s="3454"/>
      <c r="B43" s="3456"/>
      <c r="C43" s="3456"/>
      <c r="D43" s="250"/>
      <c r="E43" s="250" t="s">
        <v>1995</v>
      </c>
      <c r="F43" s="250" t="s">
        <v>1996</v>
      </c>
      <c r="G43" s="2609" t="s">
        <v>1997</v>
      </c>
      <c r="H43" s="2604" t="s">
        <v>1998</v>
      </c>
      <c r="I43" s="2122" t="str">
        <f t="shared" si="20"/>
        <v>6-DaHall 1-PDU-03-30-22</v>
      </c>
      <c r="J43" s="2123" t="str">
        <f t="shared" si="21"/>
        <v>6-DaHall 1-PDU-04-30-22</v>
      </c>
      <c r="K43" s="1460">
        <v>220</v>
      </c>
      <c r="L43" s="1461">
        <v>30</v>
      </c>
      <c r="M43" s="2419" t="s">
        <v>6499</v>
      </c>
      <c r="N43" s="1462">
        <v>22</v>
      </c>
      <c r="O43" s="1463">
        <v>220</v>
      </c>
      <c r="P43" s="1464">
        <v>30</v>
      </c>
      <c r="Q43" s="2425" t="s">
        <v>6495</v>
      </c>
      <c r="R43" s="1465">
        <v>22</v>
      </c>
      <c r="S43" s="3478"/>
      <c r="T43" s="3477"/>
      <c r="U43" s="3478"/>
      <c r="V43" s="3477"/>
      <c r="W43" s="3478"/>
      <c r="X43" s="3477"/>
      <c r="Y43" s="268">
        <f>SUM('6층_부하량(월간_AVG)'!L272:N272)</f>
        <v>0</v>
      </c>
      <c r="Z43" s="268">
        <f>SUM('6층_부하량(월간_AVG)'!L302:N302)</f>
        <v>0</v>
      </c>
      <c r="AA43" s="3519"/>
      <c r="AB43" s="2683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3196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224">
        <f>VLOOKUP(I43&amp;J43,'7층~4층_매핑테이블'!$Q$6:$X$2020,8,0)</f>
        <v>0</v>
      </c>
      <c r="AE43" s="3139" t="e">
        <f>$AE$42</f>
        <v>#N/A</v>
      </c>
      <c r="AF43" s="2766"/>
      <c r="AH43" s="2351" t="e">
        <f t="shared" si="12"/>
        <v>#N/A</v>
      </c>
      <c r="AI43" s="2351" t="e">
        <f t="shared" si="13"/>
        <v>#N/A</v>
      </c>
      <c r="AJ43" s="123" t="e">
        <f t="shared" si="1"/>
        <v>#N/A</v>
      </c>
      <c r="AK43" t="e">
        <f t="shared" si="5"/>
        <v>#N/A</v>
      </c>
      <c r="AL43" t="e">
        <f t="shared" si="6"/>
        <v>#N/A</v>
      </c>
      <c r="AQ43" s="123"/>
      <c r="AR43" s="123"/>
      <c r="AS43" s="123"/>
      <c r="AT43" s="2982"/>
      <c r="AU43" s="123"/>
      <c r="AV43" s="123"/>
      <c r="AW43" s="2983"/>
      <c r="AX43" s="2984"/>
      <c r="AY43" s="2985"/>
      <c r="AZ43" s="2986"/>
      <c r="BA43" s="2987"/>
      <c r="BB43" s="3194"/>
      <c r="BC43" s="2989"/>
    </row>
    <row r="44" spans="1:55" ht="28.8" x14ac:dyDescent="0.25">
      <c r="A44" s="3454" t="s">
        <v>266</v>
      </c>
      <c r="B44" s="3456" t="s">
        <v>1999</v>
      </c>
      <c r="C44" s="3456"/>
      <c r="D44" s="250"/>
      <c r="E44" s="250" t="s">
        <v>2000</v>
      </c>
      <c r="F44" s="250" t="s">
        <v>2001</v>
      </c>
      <c r="G44" s="2609" t="s">
        <v>2002</v>
      </c>
      <c r="H44" s="2604" t="s">
        <v>2003</v>
      </c>
      <c r="I44" s="2122" t="str">
        <f t="shared" si="20"/>
        <v>6-DaHall 1-PDU-03-30-26</v>
      </c>
      <c r="J44" s="2123" t="str">
        <f t="shared" si="21"/>
        <v>6-DaHall 1-PDU-04-30-26</v>
      </c>
      <c r="K44" s="1460">
        <v>220</v>
      </c>
      <c r="L44" s="1461">
        <v>30</v>
      </c>
      <c r="M44" s="2419" t="s">
        <v>6499</v>
      </c>
      <c r="N44" s="1462">
        <v>26</v>
      </c>
      <c r="O44" s="1463">
        <v>220</v>
      </c>
      <c r="P44" s="1464">
        <v>30</v>
      </c>
      <c r="Q44" s="2425" t="s">
        <v>6495</v>
      </c>
      <c r="R44" s="1465">
        <v>26</v>
      </c>
      <c r="S44" s="3478"/>
      <c r="T44" s="3477"/>
      <c r="U44" s="3478"/>
      <c r="V44" s="3477"/>
      <c r="W44" s="3478"/>
      <c r="X44" s="3477"/>
      <c r="Y44" s="268">
        <f>SUM('6층_부하량(월간_AVG)'!L274:N274)</f>
        <v>0</v>
      </c>
      <c r="Z44" s="268">
        <f>SUM('6층_부하량(월간_AVG)'!L304:N304)</f>
        <v>0</v>
      </c>
      <c r="AA44" s="3519">
        <f>SUM(Y44:Z45)</f>
        <v>0</v>
      </c>
      <c r="AB44" s="2683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3196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224">
        <f>VLOOKUP(I44&amp;J44,'7층~4층_매핑테이블'!$Q$6:$X$2020,8,0)</f>
        <v>0</v>
      </c>
      <c r="AE44" s="3212" t="e">
        <f>SUM(AB44:AC45)</f>
        <v>#N/A</v>
      </c>
      <c r="AF44" s="2766"/>
      <c r="AH44" s="2351" t="e">
        <f t="shared" si="12"/>
        <v>#N/A</v>
      </c>
      <c r="AI44" s="2351" t="e">
        <f t="shared" si="13"/>
        <v>#N/A</v>
      </c>
      <c r="AJ44" s="123" t="e">
        <f t="shared" si="1"/>
        <v>#N/A</v>
      </c>
      <c r="AK44" t="e">
        <f t="shared" si="5"/>
        <v>#N/A</v>
      </c>
      <c r="AL44" t="e">
        <f t="shared" si="6"/>
        <v>#N/A</v>
      </c>
      <c r="AQ44" s="123"/>
      <c r="AR44" s="123"/>
      <c r="AS44" s="123"/>
      <c r="AT44" s="2982"/>
      <c r="AU44" s="123"/>
      <c r="AV44" s="123"/>
      <c r="AW44" s="2983"/>
      <c r="AX44" s="2984"/>
      <c r="AY44" s="2985"/>
      <c r="AZ44" s="2986"/>
      <c r="BA44" s="2987"/>
      <c r="BB44" s="3194"/>
      <c r="BC44" s="2989"/>
    </row>
    <row r="45" spans="1:55" ht="28.8" x14ac:dyDescent="0.25">
      <c r="A45" s="3454"/>
      <c r="B45" s="3456"/>
      <c r="C45" s="3456"/>
      <c r="D45" s="250"/>
      <c r="E45" s="250" t="s">
        <v>2004</v>
      </c>
      <c r="F45" s="250" t="s">
        <v>2005</v>
      </c>
      <c r="G45" s="2609" t="s">
        <v>2006</v>
      </c>
      <c r="H45" s="2604" t="s">
        <v>2007</v>
      </c>
      <c r="I45" s="2122" t="str">
        <f t="shared" si="20"/>
        <v>6-DaHall 1-PDU-03-30-38</v>
      </c>
      <c r="J45" s="2123" t="str">
        <f t="shared" si="21"/>
        <v>6-DaHall 1-PDU-04-30-38</v>
      </c>
      <c r="K45" s="1460">
        <v>220</v>
      </c>
      <c r="L45" s="1461">
        <v>30</v>
      </c>
      <c r="M45" s="2419" t="s">
        <v>6499</v>
      </c>
      <c r="N45" s="1462">
        <v>38</v>
      </c>
      <c r="O45" s="1463">
        <v>220</v>
      </c>
      <c r="P45" s="1464">
        <v>30</v>
      </c>
      <c r="Q45" s="2425" t="s">
        <v>6495</v>
      </c>
      <c r="R45" s="1465">
        <v>38</v>
      </c>
      <c r="S45" s="3478"/>
      <c r="T45" s="3477"/>
      <c r="U45" s="3478"/>
      <c r="V45" s="3477"/>
      <c r="W45" s="3478"/>
      <c r="X45" s="3477"/>
      <c r="Y45" s="268">
        <f>SUM('6층_부하량(월간_AVG)'!L280:N280)</f>
        <v>0</v>
      </c>
      <c r="Z45" s="268">
        <f>SUM('6층_부하량(월간_AVG)'!L310:N310)</f>
        <v>0</v>
      </c>
      <c r="AA45" s="3519"/>
      <c r="AB45" s="2683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3196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224">
        <f>VLOOKUP(I45&amp;J45,'7층~4층_매핑테이블'!$Q$6:$X$2020,8,0)</f>
        <v>0</v>
      </c>
      <c r="AE45" s="3139" t="e">
        <f>$AE$44</f>
        <v>#N/A</v>
      </c>
      <c r="AF45" s="2766"/>
      <c r="AH45" s="2351" t="e">
        <f t="shared" si="12"/>
        <v>#N/A</v>
      </c>
      <c r="AI45" s="2351" t="e">
        <f t="shared" si="13"/>
        <v>#N/A</v>
      </c>
      <c r="AJ45" s="123" t="e">
        <f t="shared" si="1"/>
        <v>#N/A</v>
      </c>
      <c r="AK45" t="e">
        <f t="shared" si="5"/>
        <v>#N/A</v>
      </c>
      <c r="AL45" t="e">
        <f t="shared" si="6"/>
        <v>#N/A</v>
      </c>
      <c r="AQ45" s="123"/>
      <c r="AR45" s="123"/>
      <c r="AS45" s="123"/>
      <c r="AT45" s="2982"/>
      <c r="AU45" s="123"/>
      <c r="AV45" s="123"/>
      <c r="AW45" s="2983"/>
      <c r="AX45" s="2984"/>
      <c r="AY45" s="2985"/>
      <c r="AZ45" s="2986"/>
      <c r="BA45" s="2987"/>
      <c r="BB45" s="3194"/>
      <c r="BC45" s="2989"/>
    </row>
    <row r="46" spans="1:55" ht="28.8" x14ac:dyDescent="0.25">
      <c r="A46" s="2620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09" t="s">
        <v>2011</v>
      </c>
      <c r="H46" s="2604" t="s">
        <v>2012</v>
      </c>
      <c r="I46" s="2122" t="str">
        <f t="shared" si="20"/>
        <v>6-DaHall 1-PDU-03-30-28</v>
      </c>
      <c r="J46" s="2123" t="str">
        <f t="shared" si="21"/>
        <v>6-DaHall 1-PDU-04-30-28</v>
      </c>
      <c r="K46" s="1460">
        <v>220</v>
      </c>
      <c r="L46" s="1461">
        <v>30</v>
      </c>
      <c r="M46" s="2419" t="s">
        <v>6499</v>
      </c>
      <c r="N46" s="1462">
        <v>28</v>
      </c>
      <c r="O46" s="1463">
        <v>220</v>
      </c>
      <c r="P46" s="1464">
        <v>30</v>
      </c>
      <c r="Q46" s="2425" t="s">
        <v>6495</v>
      </c>
      <c r="R46" s="1465">
        <v>28</v>
      </c>
      <c r="S46" s="3478"/>
      <c r="T46" s="3477"/>
      <c r="U46" s="3478"/>
      <c r="V46" s="3477"/>
      <c r="W46" s="3478"/>
      <c r="X46" s="3477"/>
      <c r="Y46" s="268">
        <f>SUM('6층_부하량(월간_AVG)'!L275:N275)</f>
        <v>0</v>
      </c>
      <c r="Z46" s="268">
        <f>SUM('6층_부하량(월간_AVG)'!L305:N305)</f>
        <v>0</v>
      </c>
      <c r="AA46" s="2436">
        <f>SUM(Y46:Z46)</f>
        <v>0</v>
      </c>
      <c r="AB46" s="2683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3196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3224">
        <f>VLOOKUP(I46&amp;J46,'7층~4층_매핑테이블'!$Q$6:$X$2020,8,0)</f>
        <v>0</v>
      </c>
      <c r="AE46" s="3140" t="e">
        <f t="shared" ref="AE46:AE56" si="22">SUM(AB46:AC46)</f>
        <v>#N/A</v>
      </c>
      <c r="AF46" s="2766"/>
      <c r="AH46" s="2351" t="e">
        <f t="shared" si="12"/>
        <v>#N/A</v>
      </c>
      <c r="AI46" s="2351" t="e">
        <f t="shared" si="13"/>
        <v>#N/A</v>
      </c>
      <c r="AJ46" s="123" t="e">
        <f t="shared" si="1"/>
        <v>#N/A</v>
      </c>
      <c r="AK46" t="e">
        <f t="shared" si="5"/>
        <v>#N/A</v>
      </c>
      <c r="AL46" t="e">
        <f t="shared" si="6"/>
        <v>#N/A</v>
      </c>
      <c r="AQ46" s="123"/>
      <c r="AR46" s="123"/>
      <c r="AS46" s="123"/>
      <c r="AT46" s="2982"/>
      <c r="AU46" s="123"/>
      <c r="AV46" s="123"/>
      <c r="AW46" s="2983"/>
      <c r="AX46" s="2984"/>
      <c r="AY46" s="2985"/>
      <c r="AZ46" s="2986"/>
      <c r="BA46" s="2987"/>
      <c r="BB46" s="3194"/>
      <c r="BC46" s="2989"/>
    </row>
    <row r="47" spans="1:55" ht="28.8" x14ac:dyDescent="0.25">
      <c r="A47" s="2620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09" t="s">
        <v>2016</v>
      </c>
      <c r="H47" s="2604" t="s">
        <v>2017</v>
      </c>
      <c r="I47" s="2122" t="str">
        <f t="shared" si="20"/>
        <v>6-DaHall 1-PDU-03-30-30</v>
      </c>
      <c r="J47" s="2123" t="str">
        <f t="shared" si="21"/>
        <v>6-DaHall 1-PDU-04-30-30</v>
      </c>
      <c r="K47" s="1460">
        <v>220</v>
      </c>
      <c r="L47" s="1461">
        <v>30</v>
      </c>
      <c r="M47" s="2419" t="s">
        <v>6499</v>
      </c>
      <c r="N47" s="1462">
        <v>30</v>
      </c>
      <c r="O47" s="1463">
        <v>220</v>
      </c>
      <c r="P47" s="1464">
        <v>30</v>
      </c>
      <c r="Q47" s="2425" t="s">
        <v>6495</v>
      </c>
      <c r="R47" s="1465">
        <v>30</v>
      </c>
      <c r="S47" s="3478"/>
      <c r="T47" s="3477"/>
      <c r="U47" s="3478"/>
      <c r="V47" s="3477"/>
      <c r="W47" s="3478"/>
      <c r="X47" s="3477"/>
      <c r="Y47" s="268">
        <f>SUM('6층_부하량(월간_AVG)'!L276:N276)</f>
        <v>0</v>
      </c>
      <c r="Z47" s="268">
        <f>SUM('6층_부하량(월간_AVG)'!L306:N306)</f>
        <v>0</v>
      </c>
      <c r="AA47" s="2436">
        <f>SUM(Y47:Z47)</f>
        <v>0</v>
      </c>
      <c r="AB47" s="2683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3196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3224">
        <f>VLOOKUP(I47&amp;J47,'7층~4층_매핑테이블'!$Q$6:$X$2020,8,0)</f>
        <v>0</v>
      </c>
      <c r="AE47" s="3140" t="e">
        <f t="shared" si="22"/>
        <v>#N/A</v>
      </c>
      <c r="AF47" s="2766"/>
      <c r="AH47" s="2351" t="e">
        <f t="shared" si="12"/>
        <v>#N/A</v>
      </c>
      <c r="AI47" s="2351" t="e">
        <f t="shared" si="13"/>
        <v>#N/A</v>
      </c>
      <c r="AJ47" s="123" t="e">
        <f t="shared" si="1"/>
        <v>#N/A</v>
      </c>
      <c r="AK47" t="e">
        <f t="shared" si="5"/>
        <v>#N/A</v>
      </c>
      <c r="AL47" t="e">
        <f t="shared" si="6"/>
        <v>#N/A</v>
      </c>
      <c r="AQ47" s="123"/>
      <c r="AR47" s="123"/>
      <c r="AS47" s="123"/>
      <c r="AT47" s="2982"/>
      <c r="AU47" s="123"/>
      <c r="AV47" s="123"/>
      <c r="AW47" s="2983"/>
      <c r="AX47" s="2984"/>
      <c r="AY47" s="2985"/>
      <c r="AZ47" s="2986"/>
      <c r="BA47" s="2987"/>
      <c r="BB47" s="3194"/>
      <c r="BC47" s="2989"/>
    </row>
    <row r="48" spans="1:55" ht="28.8" x14ac:dyDescent="0.25">
      <c r="A48" s="2620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09" t="s">
        <v>2021</v>
      </c>
      <c r="H48" s="2604" t="s">
        <v>2022</v>
      </c>
      <c r="I48" s="2122" t="str">
        <f t="shared" si="20"/>
        <v>6-DaHall 1-PDU-03-30-32</v>
      </c>
      <c r="J48" s="2123" t="str">
        <f t="shared" si="21"/>
        <v>6-DaHall 1-PDU-04-30-32</v>
      </c>
      <c r="K48" s="1460">
        <v>220</v>
      </c>
      <c r="L48" s="1461">
        <v>30</v>
      </c>
      <c r="M48" s="2419" t="s">
        <v>6499</v>
      </c>
      <c r="N48" s="1462">
        <v>32</v>
      </c>
      <c r="O48" s="1463">
        <v>220</v>
      </c>
      <c r="P48" s="1464">
        <v>30</v>
      </c>
      <c r="Q48" s="2425" t="s">
        <v>6495</v>
      </c>
      <c r="R48" s="1465">
        <v>32</v>
      </c>
      <c r="S48" s="3478"/>
      <c r="T48" s="3477"/>
      <c r="U48" s="3478"/>
      <c r="V48" s="3477"/>
      <c r="W48" s="3478"/>
      <c r="X48" s="3477"/>
      <c r="Y48" s="268">
        <f>SUM('6층_부하량(월간_AVG)'!L277:N277)</f>
        <v>0</v>
      </c>
      <c r="Z48" s="268">
        <f>SUM('6층_부하량(월간_AVG)'!L307:N307)</f>
        <v>0</v>
      </c>
      <c r="AA48" s="2436">
        <f>SUM(Y48:Z48)</f>
        <v>0</v>
      </c>
      <c r="AB48" s="2683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3196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3224">
        <f>VLOOKUP(I48&amp;J48,'7층~4층_매핑테이블'!$Q$6:$X$2020,8,0)</f>
        <v>0</v>
      </c>
      <c r="AE48" s="3140" t="e">
        <f t="shared" si="22"/>
        <v>#N/A</v>
      </c>
      <c r="AF48" s="2766"/>
      <c r="AH48" s="2351" t="e">
        <f t="shared" si="12"/>
        <v>#N/A</v>
      </c>
      <c r="AI48" s="2351" t="e">
        <f t="shared" si="13"/>
        <v>#N/A</v>
      </c>
      <c r="AJ48" s="123" t="e">
        <f t="shared" si="1"/>
        <v>#N/A</v>
      </c>
      <c r="AK48" t="e">
        <f t="shared" si="5"/>
        <v>#N/A</v>
      </c>
      <c r="AL48" t="e">
        <f t="shared" si="6"/>
        <v>#N/A</v>
      </c>
      <c r="AQ48" s="123"/>
      <c r="AR48" s="123"/>
      <c r="AS48" s="123"/>
      <c r="AT48" s="2982"/>
      <c r="AU48" s="123"/>
      <c r="AV48" s="123"/>
      <c r="AW48" s="2983"/>
      <c r="AX48" s="2984"/>
      <c r="AY48" s="2985"/>
      <c r="AZ48" s="2986"/>
      <c r="BA48" s="2987"/>
      <c r="BB48" s="3194"/>
      <c r="BC48" s="2989"/>
    </row>
    <row r="49" spans="1:55" ht="28.8" x14ac:dyDescent="0.25">
      <c r="A49" s="2620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09" t="s">
        <v>2026</v>
      </c>
      <c r="H49" s="2604" t="s">
        <v>2027</v>
      </c>
      <c r="I49" s="2122" t="str">
        <f t="shared" si="20"/>
        <v>6-DaHall 1-PDU-03-30-34</v>
      </c>
      <c r="J49" s="2123" t="str">
        <f t="shared" si="21"/>
        <v>6-DaHall 1-PDU-04-30-34</v>
      </c>
      <c r="K49" s="1460">
        <v>220</v>
      </c>
      <c r="L49" s="1461">
        <v>30</v>
      </c>
      <c r="M49" s="2419" t="s">
        <v>6499</v>
      </c>
      <c r="N49" s="1462">
        <v>34</v>
      </c>
      <c r="O49" s="1463">
        <v>220</v>
      </c>
      <c r="P49" s="1464">
        <v>30</v>
      </c>
      <c r="Q49" s="2425" t="s">
        <v>6495</v>
      </c>
      <c r="R49" s="1465">
        <v>34</v>
      </c>
      <c r="S49" s="3478"/>
      <c r="T49" s="3477"/>
      <c r="U49" s="3478"/>
      <c r="V49" s="3477"/>
      <c r="W49" s="3478"/>
      <c r="X49" s="3477"/>
      <c r="Y49" s="268">
        <f>SUM('6층_부하량(월간_AVG)'!L278:N278)</f>
        <v>0</v>
      </c>
      <c r="Z49" s="268">
        <f>SUM('6층_부하량(월간_AVG)'!L308:N308)</f>
        <v>0</v>
      </c>
      <c r="AA49" s="2436">
        <f>SUM(Y49:Z49)</f>
        <v>0</v>
      </c>
      <c r="AB49" s="2683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3196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3224">
        <f>VLOOKUP(I49&amp;J49,'7층~4층_매핑테이블'!$Q$6:$X$2020,8,0)</f>
        <v>0</v>
      </c>
      <c r="AE49" s="3140" t="e">
        <f t="shared" si="22"/>
        <v>#N/A</v>
      </c>
      <c r="AF49" s="2766"/>
      <c r="AH49" s="2351" t="e">
        <f t="shared" si="12"/>
        <v>#N/A</v>
      </c>
      <c r="AI49" s="2351" t="e">
        <f t="shared" si="13"/>
        <v>#N/A</v>
      </c>
      <c r="AJ49" s="123" t="e">
        <f t="shared" si="1"/>
        <v>#N/A</v>
      </c>
      <c r="AK49" t="e">
        <f t="shared" si="5"/>
        <v>#N/A</v>
      </c>
      <c r="AL49" t="e">
        <f t="shared" si="6"/>
        <v>#N/A</v>
      </c>
      <c r="AQ49" s="123"/>
      <c r="AR49" s="123"/>
      <c r="AS49" s="123"/>
      <c r="AT49" s="2982"/>
      <c r="AU49" s="123"/>
      <c r="AV49" s="123"/>
      <c r="AW49" s="2983"/>
      <c r="AX49" s="2984"/>
      <c r="AY49" s="2985"/>
      <c r="AZ49" s="2986"/>
      <c r="BA49" s="2987"/>
      <c r="BB49" s="3194"/>
      <c r="BC49" s="2989"/>
    </row>
    <row r="50" spans="1:55" ht="27.75" customHeight="1" thickBot="1" x14ac:dyDescent="0.3">
      <c r="A50" s="2628" t="s">
        <v>230</v>
      </c>
      <c r="B50" s="2629" t="s">
        <v>2028</v>
      </c>
      <c r="C50" s="2629"/>
      <c r="D50" s="2629"/>
      <c r="E50" s="2629" t="s">
        <v>2029</v>
      </c>
      <c r="F50" s="2629" t="s">
        <v>2030</v>
      </c>
      <c r="G50" s="2611" t="s">
        <v>2031</v>
      </c>
      <c r="H50" s="2605" t="s">
        <v>2032</v>
      </c>
      <c r="I50" s="2124" t="str">
        <f t="shared" si="20"/>
        <v>6-DaHall 1-PDU-03-30-36</v>
      </c>
      <c r="J50" s="2125" t="str">
        <f t="shared" si="21"/>
        <v>6-DaHall 1-PDU-04-30-36</v>
      </c>
      <c r="K50" s="1468">
        <v>220</v>
      </c>
      <c r="L50" s="1469">
        <v>30</v>
      </c>
      <c r="M50" s="2422" t="s">
        <v>6499</v>
      </c>
      <c r="N50" s="1470">
        <v>36</v>
      </c>
      <c r="O50" s="1471">
        <v>220</v>
      </c>
      <c r="P50" s="1472">
        <v>30</v>
      </c>
      <c r="Q50" s="2428" t="s">
        <v>6495</v>
      </c>
      <c r="R50" s="1473">
        <v>36</v>
      </c>
      <c r="S50" s="3476"/>
      <c r="T50" s="3474"/>
      <c r="U50" s="3476"/>
      <c r="V50" s="3474"/>
      <c r="W50" s="3476"/>
      <c r="X50" s="3474"/>
      <c r="Y50" s="330">
        <f>SUM('6층_부하량(월간_AVG)'!L279:N279)</f>
        <v>0</v>
      </c>
      <c r="Z50" s="330">
        <f>SUM('6층_부하량(월간_AVG)'!L309:N309)</f>
        <v>0</v>
      </c>
      <c r="AA50" s="2437">
        <f t="shared" ref="AA50" si="23">SUM(Y50:Z50)</f>
        <v>0</v>
      </c>
      <c r="AB50" s="2683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3196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4032">
        <f>VLOOKUP(I50&amp;J50,'7층~4층_매핑테이블'!$Q$6:$X$2020,8,0)</f>
        <v>0</v>
      </c>
      <c r="AE50" s="3209" t="e">
        <f t="shared" si="22"/>
        <v>#N/A</v>
      </c>
      <c r="AF50" s="2768"/>
      <c r="AH50" s="2351" t="e">
        <f t="shared" si="12"/>
        <v>#N/A</v>
      </c>
      <c r="AI50" s="2351" t="e">
        <f t="shared" si="13"/>
        <v>#N/A</v>
      </c>
      <c r="AJ50" s="123" t="e">
        <f t="shared" si="1"/>
        <v>#N/A</v>
      </c>
      <c r="AK50" t="e">
        <f t="shared" si="5"/>
        <v>#N/A</v>
      </c>
      <c r="AL50" t="e">
        <f t="shared" si="6"/>
        <v>#N/A</v>
      </c>
      <c r="AQ50" s="123"/>
      <c r="AR50" s="123"/>
      <c r="AS50" s="123"/>
      <c r="AT50" s="2982"/>
      <c r="AU50" s="123"/>
      <c r="AV50" s="123"/>
      <c r="AW50" s="2983"/>
      <c r="AX50" s="2984"/>
      <c r="AY50" s="2985"/>
      <c r="AZ50" s="2986"/>
      <c r="BA50" s="2987"/>
      <c r="BB50" s="3194"/>
      <c r="BC50" s="2989"/>
    </row>
    <row r="51" spans="1:55" ht="15" thickTop="1" x14ac:dyDescent="0.25">
      <c r="A51" s="1082"/>
      <c r="B51" s="828" t="s">
        <v>2033</v>
      </c>
      <c r="C51" s="828"/>
      <c r="D51" s="828"/>
      <c r="E51" s="828"/>
      <c r="F51" s="828"/>
      <c r="G51" s="884"/>
      <c r="H51" s="885"/>
      <c r="I51" s="2120"/>
      <c r="J51" s="2121"/>
      <c r="K51" s="1452"/>
      <c r="L51" s="1453"/>
      <c r="M51" s="884"/>
      <c r="N51" s="1454"/>
      <c r="O51" s="1455"/>
      <c r="P51" s="1456"/>
      <c r="Q51" s="885"/>
      <c r="R51" s="1457"/>
      <c r="S51" s="829"/>
      <c r="T51" s="830"/>
      <c r="U51" s="829"/>
      <c r="V51" s="830"/>
      <c r="W51" s="829"/>
      <c r="X51" s="830"/>
      <c r="Y51" s="831"/>
      <c r="Z51" s="831"/>
      <c r="AA51" s="2439">
        <f t="shared" ref="AA51:AA56" si="24">SUM(Y51:Z51)</f>
        <v>0</v>
      </c>
      <c r="AB51" s="2771"/>
      <c r="AC51" s="2701"/>
      <c r="AD51" s="4033"/>
      <c r="AE51" s="3207">
        <f t="shared" si="22"/>
        <v>0</v>
      </c>
      <c r="AF51" s="2772" t="s">
        <v>1265</v>
      </c>
      <c r="AH51" s="2351">
        <f t="shared" si="12"/>
        <v>0</v>
      </c>
      <c r="AI51" s="2351">
        <f t="shared" si="13"/>
        <v>0</v>
      </c>
      <c r="AJ51" s="123" t="str">
        <f t="shared" si="1"/>
        <v>무부하 랙</v>
      </c>
      <c r="AK51" t="str">
        <f t="shared" si="5"/>
        <v/>
      </c>
      <c r="AL51" t="str">
        <f t="shared" si="6"/>
        <v/>
      </c>
      <c r="AQ51" s="123"/>
      <c r="AR51" s="123"/>
      <c r="AS51" s="123"/>
      <c r="AT51" s="2982"/>
      <c r="AU51" s="123"/>
      <c r="AV51" s="123"/>
      <c r="AW51" s="2983"/>
      <c r="AX51" s="2984"/>
      <c r="AY51" s="2985"/>
      <c r="AZ51" s="2986"/>
      <c r="BA51" s="2987"/>
      <c r="BB51" s="3194"/>
      <c r="BC51" s="2989"/>
    </row>
    <row r="52" spans="1:55" x14ac:dyDescent="0.25">
      <c r="A52" s="2620" t="s">
        <v>2034</v>
      </c>
      <c r="B52" s="2680" t="s">
        <v>2035</v>
      </c>
      <c r="C52" s="2680"/>
      <c r="D52" s="2680"/>
      <c r="E52" s="2680"/>
      <c r="F52" s="2680"/>
      <c r="G52" s="2676"/>
      <c r="H52" s="2659"/>
      <c r="I52" s="2131"/>
      <c r="J52" s="2132"/>
      <c r="K52" s="1489"/>
      <c r="L52" s="1490"/>
      <c r="M52" s="2676"/>
      <c r="N52" s="1491"/>
      <c r="O52" s="1492"/>
      <c r="P52" s="1493"/>
      <c r="Q52" s="2659"/>
      <c r="R52" s="1494"/>
      <c r="S52" s="832"/>
      <c r="T52" s="833"/>
      <c r="U52" s="832"/>
      <c r="V52" s="833"/>
      <c r="W52" s="832"/>
      <c r="X52" s="833"/>
      <c r="Y52" s="834"/>
      <c r="Z52" s="834"/>
      <c r="AA52" s="2441">
        <f t="shared" si="24"/>
        <v>0</v>
      </c>
      <c r="AB52" s="2684"/>
      <c r="AC52" s="2705"/>
      <c r="AD52" s="3223"/>
      <c r="AE52" s="3208">
        <f t="shared" si="22"/>
        <v>0</v>
      </c>
      <c r="AF52" s="2781" t="s">
        <v>1265</v>
      </c>
      <c r="AH52" s="2351">
        <f t="shared" si="12"/>
        <v>0</v>
      </c>
      <c r="AI52" s="2351">
        <f t="shared" si="13"/>
        <v>0</v>
      </c>
      <c r="AJ52" s="123" t="str">
        <f t="shared" si="1"/>
        <v>무부하 랙</v>
      </c>
      <c r="AK52" t="str">
        <f t="shared" si="5"/>
        <v/>
      </c>
      <c r="AL52" t="str">
        <f t="shared" si="6"/>
        <v/>
      </c>
      <c r="AQ52" s="123"/>
      <c r="AR52" s="123"/>
      <c r="AS52" s="123"/>
      <c r="AT52" s="2982"/>
      <c r="AU52" s="123"/>
      <c r="AV52" s="123"/>
      <c r="AW52" s="2983"/>
      <c r="AX52" s="2984"/>
      <c r="AY52" s="2985"/>
      <c r="AZ52" s="2986"/>
      <c r="BA52" s="2987"/>
      <c r="BB52" s="3194"/>
      <c r="BC52" s="2989"/>
    </row>
    <row r="53" spans="1:55" ht="28.8" x14ac:dyDescent="0.25">
      <c r="A53" s="2620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09" t="s">
        <v>2040</v>
      </c>
      <c r="H53" s="2604" t="s">
        <v>2041</v>
      </c>
      <c r="I53" s="2122" t="str">
        <f t="shared" ref="I53:I62" si="25">"6-DaHall 1-PDU-"&amp;M53&amp;"-"&amp;L53&amp;"-"&amp;N53</f>
        <v>6-DaHall 1-PDU-03-30-40</v>
      </c>
      <c r="J53" s="2123" t="str">
        <f t="shared" ref="J53:J62" si="26">"6-DaHall 1-PDU-"&amp;Q53&amp;"-"&amp;P53&amp;"-"&amp;R53</f>
        <v>6-DaHall 1-PDU-04-30-40</v>
      </c>
      <c r="K53" s="1460">
        <v>220</v>
      </c>
      <c r="L53" s="1461">
        <v>30</v>
      </c>
      <c r="M53" s="2419" t="s">
        <v>6499</v>
      </c>
      <c r="N53" s="1462">
        <v>40</v>
      </c>
      <c r="O53" s="1463">
        <v>220</v>
      </c>
      <c r="P53" s="1464">
        <v>30</v>
      </c>
      <c r="Q53" s="2425" t="s">
        <v>6495</v>
      </c>
      <c r="R53" s="1465">
        <v>40</v>
      </c>
      <c r="S53" s="3475" t="s">
        <v>1924</v>
      </c>
      <c r="T53" s="3473" t="s">
        <v>2042</v>
      </c>
      <c r="U53" s="3475" t="s">
        <v>2043</v>
      </c>
      <c r="V53" s="3473" t="s">
        <v>2044</v>
      </c>
      <c r="W53" s="3475" t="s">
        <v>1276</v>
      </c>
      <c r="X53" s="3473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36">
        <f t="shared" si="24"/>
        <v>0</v>
      </c>
      <c r="AB53" s="2683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3196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3224">
        <f>VLOOKUP(I53&amp;J53,'7층~4층_매핑테이블'!$Q$6:$X$2020,8,0)</f>
        <v>0</v>
      </c>
      <c r="AE53" s="3140" t="e">
        <f t="shared" si="22"/>
        <v>#N/A</v>
      </c>
      <c r="AF53" s="2766"/>
      <c r="AH53" s="2351" t="e">
        <f t="shared" si="12"/>
        <v>#N/A</v>
      </c>
      <c r="AI53" s="2351" t="e">
        <f t="shared" si="13"/>
        <v>#N/A</v>
      </c>
      <c r="AJ53" s="123" t="e">
        <f t="shared" si="1"/>
        <v>#N/A</v>
      </c>
      <c r="AK53" t="e">
        <f t="shared" si="5"/>
        <v>#N/A</v>
      </c>
      <c r="AL53" t="e">
        <f t="shared" si="6"/>
        <v>#N/A</v>
      </c>
      <c r="AQ53" s="123"/>
      <c r="AR53" s="123"/>
      <c r="AS53" s="123"/>
      <c r="AT53" s="2982"/>
      <c r="AU53" s="123"/>
      <c r="AV53" s="123"/>
      <c r="AW53" s="2983"/>
      <c r="AX53" s="2984"/>
      <c r="AY53" s="2985"/>
      <c r="AZ53" s="2986"/>
      <c r="BA53" s="2987"/>
      <c r="BB53" s="3194"/>
      <c r="BC53" s="2989"/>
    </row>
    <row r="54" spans="1:55" ht="28.8" x14ac:dyDescent="0.25">
      <c r="A54" s="2620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09" t="s">
        <v>2049</v>
      </c>
      <c r="H54" s="2604" t="s">
        <v>2050</v>
      </c>
      <c r="I54" s="2122" t="str">
        <f t="shared" si="25"/>
        <v>6-DaHall 1-PDU-03-30-42</v>
      </c>
      <c r="J54" s="2123" t="str">
        <f t="shared" si="26"/>
        <v>6-DaHall 1-PDU-04-30-42</v>
      </c>
      <c r="K54" s="1460">
        <v>220</v>
      </c>
      <c r="L54" s="1461">
        <v>30</v>
      </c>
      <c r="M54" s="2419" t="s">
        <v>6499</v>
      </c>
      <c r="N54" s="1462">
        <v>42</v>
      </c>
      <c r="O54" s="1463">
        <v>220</v>
      </c>
      <c r="P54" s="1464">
        <v>30</v>
      </c>
      <c r="Q54" s="2425" t="s">
        <v>6495</v>
      </c>
      <c r="R54" s="1465">
        <v>42</v>
      </c>
      <c r="S54" s="3478"/>
      <c r="T54" s="3477"/>
      <c r="U54" s="3478"/>
      <c r="V54" s="3477"/>
      <c r="W54" s="3478"/>
      <c r="X54" s="3477"/>
      <c r="Y54" s="253">
        <f>SUM('6층_부하량(월간_AVG)'!L282:N282)</f>
        <v>0</v>
      </c>
      <c r="Z54" s="253">
        <f>SUM('6층_부하량(월간_AVG)'!L312:N312)</f>
        <v>0</v>
      </c>
      <c r="AA54" s="2436">
        <f t="shared" si="24"/>
        <v>0</v>
      </c>
      <c r="AB54" s="2683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3196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3224">
        <f>VLOOKUP(I54&amp;J54,'7층~4층_매핑테이블'!$Q$6:$X$2020,8,0)</f>
        <v>0</v>
      </c>
      <c r="AE54" s="3140" t="e">
        <f t="shared" si="22"/>
        <v>#N/A</v>
      </c>
      <c r="AF54" s="2766"/>
      <c r="AH54" s="2351" t="e">
        <f t="shared" si="12"/>
        <v>#N/A</v>
      </c>
      <c r="AI54" s="2351" t="e">
        <f t="shared" si="13"/>
        <v>#N/A</v>
      </c>
      <c r="AJ54" s="123" t="e">
        <f t="shared" si="1"/>
        <v>#N/A</v>
      </c>
      <c r="AK54" t="e">
        <f t="shared" si="5"/>
        <v>#N/A</v>
      </c>
      <c r="AL54" t="e">
        <f t="shared" si="6"/>
        <v>#N/A</v>
      </c>
      <c r="AQ54" s="123"/>
      <c r="AR54" s="123"/>
      <c r="AS54" s="123"/>
      <c r="AT54" s="2982"/>
      <c r="AU54" s="123"/>
      <c r="AV54" s="123"/>
      <c r="AW54" s="2983"/>
      <c r="AX54" s="2984"/>
      <c r="AY54" s="2985"/>
      <c r="AZ54" s="2986"/>
      <c r="BA54" s="2987"/>
      <c r="BB54" s="3194"/>
      <c r="BC54" s="2989"/>
    </row>
    <row r="55" spans="1:55" ht="28.8" x14ac:dyDescent="0.25">
      <c r="A55" s="2620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09" t="s">
        <v>2055</v>
      </c>
      <c r="H55" s="2604" t="s">
        <v>2056</v>
      </c>
      <c r="I55" s="2122" t="str">
        <f t="shared" si="25"/>
        <v>6-DaHall 1-PDU-03-30-44</v>
      </c>
      <c r="J55" s="2123" t="str">
        <f t="shared" si="26"/>
        <v>6-DaHall 1-PDU-04-30-44</v>
      </c>
      <c r="K55" s="1460">
        <v>220</v>
      </c>
      <c r="L55" s="1461">
        <v>30</v>
      </c>
      <c r="M55" s="2419" t="s">
        <v>6499</v>
      </c>
      <c r="N55" s="1462">
        <v>44</v>
      </c>
      <c r="O55" s="1463">
        <v>220</v>
      </c>
      <c r="P55" s="1464">
        <v>30</v>
      </c>
      <c r="Q55" s="2425" t="s">
        <v>6495</v>
      </c>
      <c r="R55" s="1465">
        <v>44</v>
      </c>
      <c r="S55" s="3478"/>
      <c r="T55" s="3477"/>
      <c r="U55" s="3478"/>
      <c r="V55" s="3477"/>
      <c r="W55" s="3478"/>
      <c r="X55" s="3477"/>
      <c r="Y55" s="253">
        <f>SUM('6층_부하량(월간_AVG)'!L283:N283)</f>
        <v>0</v>
      </c>
      <c r="Z55" s="253">
        <f>SUM('6층_부하량(월간_AVG)'!L313:N313)</f>
        <v>0</v>
      </c>
      <c r="AA55" s="2436">
        <f t="shared" si="24"/>
        <v>0</v>
      </c>
      <c r="AB55" s="2683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3196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3224">
        <f>VLOOKUP(I55&amp;J55,'7층~4층_매핑테이블'!$Q$6:$X$2020,8,0)</f>
        <v>0</v>
      </c>
      <c r="AE55" s="3140" t="e">
        <f t="shared" si="22"/>
        <v>#N/A</v>
      </c>
      <c r="AF55" s="2766"/>
      <c r="AH55" s="2351" t="e">
        <f t="shared" si="12"/>
        <v>#N/A</v>
      </c>
      <c r="AI55" s="2351" t="e">
        <f t="shared" si="13"/>
        <v>#N/A</v>
      </c>
      <c r="AJ55" s="123" t="e">
        <f t="shared" si="1"/>
        <v>#N/A</v>
      </c>
      <c r="AK55" t="e">
        <f t="shared" si="5"/>
        <v>#N/A</v>
      </c>
      <c r="AL55" t="e">
        <f t="shared" si="6"/>
        <v>#N/A</v>
      </c>
      <c r="AQ55" s="123"/>
      <c r="AR55" s="123"/>
      <c r="AS55" s="123"/>
      <c r="AT55" s="2982"/>
      <c r="AU55" s="123"/>
      <c r="AV55" s="123"/>
      <c r="AW55" s="2983"/>
      <c r="AX55" s="2984"/>
      <c r="AY55" s="2985"/>
      <c r="AZ55" s="2986"/>
      <c r="BA55" s="2987"/>
      <c r="BB55" s="3194"/>
      <c r="BC55" s="2989"/>
    </row>
    <row r="56" spans="1:55" ht="28.8" x14ac:dyDescent="0.25">
      <c r="A56" s="2620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09" t="s">
        <v>2061</v>
      </c>
      <c r="H56" s="2604" t="s">
        <v>2062</v>
      </c>
      <c r="I56" s="2122" t="str">
        <f t="shared" si="25"/>
        <v>6-DaHall 1-PDU-03-30-46</v>
      </c>
      <c r="J56" s="2123" t="str">
        <f t="shared" si="26"/>
        <v>6-DaHall 1-PDU-04-30-46</v>
      </c>
      <c r="K56" s="1460">
        <v>220</v>
      </c>
      <c r="L56" s="1461">
        <v>30</v>
      </c>
      <c r="M56" s="2419" t="s">
        <v>6499</v>
      </c>
      <c r="N56" s="1462">
        <v>46</v>
      </c>
      <c r="O56" s="1463">
        <v>220</v>
      </c>
      <c r="P56" s="1464">
        <v>30</v>
      </c>
      <c r="Q56" s="2425" t="s">
        <v>6495</v>
      </c>
      <c r="R56" s="1465">
        <v>46</v>
      </c>
      <c r="S56" s="3478"/>
      <c r="T56" s="3477"/>
      <c r="U56" s="3478"/>
      <c r="V56" s="3477"/>
      <c r="W56" s="3478"/>
      <c r="X56" s="3477"/>
      <c r="Y56" s="253">
        <f>SUM('6층_부하량(월간_AVG)'!L284:N284)</f>
        <v>0</v>
      </c>
      <c r="Z56" s="253">
        <f>SUM('6층_부하량(월간_AVG)'!L314:N314)</f>
        <v>0</v>
      </c>
      <c r="AA56" s="2436">
        <f t="shared" si="24"/>
        <v>0</v>
      </c>
      <c r="AB56" s="2683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3196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3224">
        <f>VLOOKUP(I56&amp;J56,'7층~4층_매핑테이블'!$Q$6:$X$2020,8,0)</f>
        <v>0</v>
      </c>
      <c r="AE56" s="3140" t="e">
        <f t="shared" si="22"/>
        <v>#N/A</v>
      </c>
      <c r="AF56" s="2766"/>
      <c r="AH56" s="2351" t="e">
        <f t="shared" si="12"/>
        <v>#N/A</v>
      </c>
      <c r="AI56" s="2351" t="e">
        <f t="shared" si="13"/>
        <v>#N/A</v>
      </c>
      <c r="AJ56" s="123" t="e">
        <f t="shared" si="1"/>
        <v>#N/A</v>
      </c>
      <c r="AK56" t="e">
        <f t="shared" si="5"/>
        <v>#N/A</v>
      </c>
      <c r="AL56" t="e">
        <f t="shared" si="6"/>
        <v>#N/A</v>
      </c>
      <c r="AQ56" s="123"/>
      <c r="AR56" s="123"/>
      <c r="AS56" s="123"/>
      <c r="AT56" s="2982"/>
      <c r="AU56" s="123"/>
      <c r="AV56" s="123"/>
      <c r="AW56" s="2983"/>
      <c r="AX56" s="2984"/>
      <c r="AY56" s="2985"/>
      <c r="AZ56" s="2986"/>
      <c r="BA56" s="2987"/>
      <c r="BB56" s="3194"/>
      <c r="BC56" s="2989"/>
    </row>
    <row r="57" spans="1:55" ht="27" customHeight="1" x14ac:dyDescent="0.25">
      <c r="A57" s="3454" t="s">
        <v>2063</v>
      </c>
      <c r="B57" s="3456" t="s">
        <v>2064</v>
      </c>
      <c r="C57" s="3456"/>
      <c r="D57" s="250"/>
      <c r="E57" s="250" t="s">
        <v>2065</v>
      </c>
      <c r="F57" s="250" t="s">
        <v>2066</v>
      </c>
      <c r="G57" s="2609" t="s">
        <v>2067</v>
      </c>
      <c r="H57" s="2604" t="s">
        <v>2068</v>
      </c>
      <c r="I57" s="2122" t="str">
        <f t="shared" si="25"/>
        <v>6-DaHall 1-PDU-03-30-48</v>
      </c>
      <c r="J57" s="2123" t="str">
        <f t="shared" si="26"/>
        <v>6-DaHall 1-PDU-04-30-48</v>
      </c>
      <c r="K57" s="1460">
        <v>220</v>
      </c>
      <c r="L57" s="1461">
        <v>30</v>
      </c>
      <c r="M57" s="2419" t="s">
        <v>6499</v>
      </c>
      <c r="N57" s="1462">
        <v>48</v>
      </c>
      <c r="O57" s="1463">
        <v>220</v>
      </c>
      <c r="P57" s="1464">
        <v>30</v>
      </c>
      <c r="Q57" s="2425" t="s">
        <v>6495</v>
      </c>
      <c r="R57" s="1465">
        <v>48</v>
      </c>
      <c r="S57" s="3487"/>
      <c r="T57" s="3488"/>
      <c r="U57" s="3487"/>
      <c r="V57" s="3488"/>
      <c r="W57" s="3478"/>
      <c r="X57" s="3477"/>
      <c r="Y57" s="253">
        <f>SUM('6층_부하량(월간_AVG)'!L285:N285)</f>
        <v>0</v>
      </c>
      <c r="Z57" s="253">
        <f>SUM('6층_부하량(월간_AVG)'!L315:N315)</f>
        <v>0</v>
      </c>
      <c r="AA57" s="3519">
        <f>SUM(Y57:Z58)</f>
        <v>0</v>
      </c>
      <c r="AB57" s="2683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3196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224">
        <f>VLOOKUP(I57&amp;J57,'7층~4층_매핑테이블'!$Q$6:$X$2020,8,0)</f>
        <v>0</v>
      </c>
      <c r="AE57" s="3212" t="e">
        <f>SUM(AB57:AC58)</f>
        <v>#N/A</v>
      </c>
      <c r="AF57" s="2766"/>
      <c r="AH57" s="2351" t="e">
        <f t="shared" si="12"/>
        <v>#N/A</v>
      </c>
      <c r="AI57" s="2351" t="e">
        <f t="shared" si="13"/>
        <v>#N/A</v>
      </c>
      <c r="AJ57" s="123" t="e">
        <f t="shared" si="1"/>
        <v>#N/A</v>
      </c>
      <c r="AK57" t="e">
        <f t="shared" si="5"/>
        <v>#N/A</v>
      </c>
      <c r="AL57" t="e">
        <f t="shared" si="6"/>
        <v>#N/A</v>
      </c>
      <c r="AQ57" s="123"/>
      <c r="AR57" s="123"/>
      <c r="AS57" s="123"/>
      <c r="AT57" s="2982"/>
      <c r="AU57" s="123"/>
      <c r="AV57" s="123"/>
      <c r="AW57" s="2983"/>
      <c r="AX57" s="2984"/>
      <c r="AY57" s="2985"/>
      <c r="AZ57" s="2986"/>
      <c r="BA57" s="2987"/>
      <c r="BB57" s="3194"/>
      <c r="BC57" s="2989"/>
    </row>
    <row r="58" spans="1:55" ht="40.5" customHeight="1" x14ac:dyDescent="0.25">
      <c r="A58" s="3454"/>
      <c r="B58" s="3456"/>
      <c r="C58" s="3456"/>
      <c r="D58" s="250"/>
      <c r="E58" s="250" t="s">
        <v>2069</v>
      </c>
      <c r="F58" s="250" t="s">
        <v>2070</v>
      </c>
      <c r="G58" s="2609" t="s">
        <v>2071</v>
      </c>
      <c r="H58" s="2604" t="s">
        <v>2072</v>
      </c>
      <c r="I58" s="2122" t="str">
        <f t="shared" si="25"/>
        <v>6-DaHall 1-PDU-07-30-45</v>
      </c>
      <c r="J58" s="2123" t="str">
        <f t="shared" si="26"/>
        <v>6-DaHall 1-PDU-08-30-47</v>
      </c>
      <c r="K58" s="1460">
        <v>220</v>
      </c>
      <c r="L58" s="1461">
        <v>30</v>
      </c>
      <c r="M58" s="2419" t="s">
        <v>6492</v>
      </c>
      <c r="N58" s="1462">
        <v>45</v>
      </c>
      <c r="O58" s="1463">
        <v>220</v>
      </c>
      <c r="P58" s="1464">
        <v>30</v>
      </c>
      <c r="Q58" s="2425" t="s">
        <v>6504</v>
      </c>
      <c r="R58" s="1465">
        <v>47</v>
      </c>
      <c r="S58" s="2609" t="s">
        <v>2073</v>
      </c>
      <c r="T58" s="2604" t="s">
        <v>2074</v>
      </c>
      <c r="U58" s="2609" t="s">
        <v>2075</v>
      </c>
      <c r="V58" s="2604" t="s">
        <v>2076</v>
      </c>
      <c r="W58" s="3478"/>
      <c r="X58" s="3477"/>
      <c r="Y58" s="253">
        <f>SUM('6층_부하량(월간_AVG)'!D408:F408)</f>
        <v>0</v>
      </c>
      <c r="Z58" s="253">
        <f>SUM('6층_부하량(월간_AVG)'!D441:F441)</f>
        <v>0</v>
      </c>
      <c r="AA58" s="3519"/>
      <c r="AB58" s="2683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3196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224">
        <f>VLOOKUP(I58&amp;J58,'7층~4층_매핑테이블'!$Q$6:$X$2020,8,0)</f>
        <v>0</v>
      </c>
      <c r="AE58" s="3139" t="e">
        <f>$AE$57</f>
        <v>#N/A</v>
      </c>
      <c r="AF58" s="2766"/>
      <c r="AH58" s="2351" t="e">
        <f t="shared" si="12"/>
        <v>#N/A</v>
      </c>
      <c r="AI58" s="2351" t="e">
        <f t="shared" si="13"/>
        <v>#N/A</v>
      </c>
      <c r="AJ58" s="123" t="e">
        <f t="shared" si="1"/>
        <v>#N/A</v>
      </c>
      <c r="AK58" t="e">
        <f t="shared" si="5"/>
        <v>#N/A</v>
      </c>
      <c r="AL58" t="e">
        <f t="shared" si="6"/>
        <v>#N/A</v>
      </c>
      <c r="AQ58" s="123"/>
      <c r="AR58" s="123"/>
      <c r="AS58" s="123"/>
      <c r="AT58" s="2982"/>
      <c r="AU58" s="123"/>
      <c r="AV58" s="123"/>
      <c r="AW58" s="2983"/>
      <c r="AX58" s="2984"/>
      <c r="AY58" s="2985"/>
      <c r="AZ58" s="2986"/>
      <c r="BA58" s="2987"/>
      <c r="BB58" s="3194"/>
      <c r="BC58" s="2989"/>
    </row>
    <row r="59" spans="1:55" ht="43.2" x14ac:dyDescent="0.25">
      <c r="A59" s="3454" t="s">
        <v>2077</v>
      </c>
      <c r="B59" s="3456" t="s">
        <v>2078</v>
      </c>
      <c r="C59" s="3456"/>
      <c r="D59" s="250"/>
      <c r="E59" s="2615" t="s">
        <v>2079</v>
      </c>
      <c r="F59" s="2615" t="s">
        <v>2080</v>
      </c>
      <c r="G59" s="2609" t="s">
        <v>2081</v>
      </c>
      <c r="H59" s="2604" t="s">
        <v>2082</v>
      </c>
      <c r="I59" s="2122" t="str">
        <f t="shared" si="25"/>
        <v>6-DaHall 1-PDU-05-30-1</v>
      </c>
      <c r="J59" s="2123" t="str">
        <f t="shared" si="26"/>
        <v>6-DaHall 1-PDU-06-30-1</v>
      </c>
      <c r="K59" s="1460">
        <v>220</v>
      </c>
      <c r="L59" s="1461">
        <v>30</v>
      </c>
      <c r="M59" s="2419" t="s">
        <v>6491</v>
      </c>
      <c r="N59" s="1462">
        <v>1</v>
      </c>
      <c r="O59" s="1463">
        <v>220</v>
      </c>
      <c r="P59" s="1464">
        <v>30</v>
      </c>
      <c r="Q59" s="2425" t="s">
        <v>6501</v>
      </c>
      <c r="R59" s="1465">
        <v>1</v>
      </c>
      <c r="S59" s="2609" t="s">
        <v>1876</v>
      </c>
      <c r="T59" s="2604" t="s">
        <v>1877</v>
      </c>
      <c r="U59" s="2609" t="s">
        <v>1878</v>
      </c>
      <c r="V59" s="2604" t="s">
        <v>1879</v>
      </c>
      <c r="W59" s="3478"/>
      <c r="X59" s="3477"/>
      <c r="Y59" s="253">
        <f>SUM('6층_부하량(월간_AVG)'!D322:F322)</f>
        <v>0</v>
      </c>
      <c r="Z59" s="253">
        <f>SUM('6층_부하량(월간_AVG)'!D354:F354)</f>
        <v>0</v>
      </c>
      <c r="AA59" s="3519">
        <f>SUM(Y59:Z60)</f>
        <v>0</v>
      </c>
      <c r="AB59" s="2683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3196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224">
        <f>VLOOKUP(I59&amp;J59,'7층~4층_매핑테이블'!$Q$6:$X$2020,8,0)</f>
        <v>0</v>
      </c>
      <c r="AE59" s="3212" t="e">
        <f t="shared" ref="AE59" si="27">SUM(AB59:AC60)</f>
        <v>#N/A</v>
      </c>
      <c r="AF59" s="2767"/>
      <c r="AH59" s="2351" t="e">
        <f t="shared" si="12"/>
        <v>#N/A</v>
      </c>
      <c r="AI59" s="2351" t="e">
        <f t="shared" si="13"/>
        <v>#N/A</v>
      </c>
      <c r="AJ59" s="123" t="e">
        <f t="shared" si="1"/>
        <v>#N/A</v>
      </c>
      <c r="AK59" t="e">
        <f t="shared" si="5"/>
        <v>#N/A</v>
      </c>
      <c r="AL59" t="e">
        <f t="shared" si="6"/>
        <v>#N/A</v>
      </c>
      <c r="AQ59" s="123"/>
      <c r="AR59" s="123"/>
      <c r="AS59" s="123"/>
      <c r="AT59" s="2982"/>
      <c r="AU59" s="123"/>
      <c r="AV59" s="123"/>
      <c r="AW59" s="2983"/>
      <c r="AX59" s="2984"/>
      <c r="AY59" s="2985"/>
      <c r="AZ59" s="2986"/>
      <c r="BA59" s="2987"/>
      <c r="BB59" s="3194"/>
      <c r="BC59" s="2989"/>
    </row>
    <row r="60" spans="1:55" ht="43.2" x14ac:dyDescent="0.25">
      <c r="A60" s="3454"/>
      <c r="B60" s="3456"/>
      <c r="C60" s="3456"/>
      <c r="D60" s="250"/>
      <c r="E60" s="250" t="s">
        <v>2083</v>
      </c>
      <c r="F60" s="250" t="s">
        <v>2084</v>
      </c>
      <c r="G60" s="2609" t="s">
        <v>2085</v>
      </c>
      <c r="H60" s="2604" t="s">
        <v>2086</v>
      </c>
      <c r="I60" s="2122" t="str">
        <f t="shared" si="25"/>
        <v>6-DaHall 1-PDU-07-30-43</v>
      </c>
      <c r="J60" s="2123" t="str">
        <f t="shared" si="26"/>
        <v>6-DaHall 1-PDU-08-30-45</v>
      </c>
      <c r="K60" s="1460">
        <v>220</v>
      </c>
      <c r="L60" s="1461">
        <v>30</v>
      </c>
      <c r="M60" s="2419" t="s">
        <v>6492</v>
      </c>
      <c r="N60" s="1462">
        <v>43</v>
      </c>
      <c r="O60" s="1463">
        <v>220</v>
      </c>
      <c r="P60" s="1464">
        <v>30</v>
      </c>
      <c r="Q60" s="2425" t="s">
        <v>6504</v>
      </c>
      <c r="R60" s="1465">
        <v>45</v>
      </c>
      <c r="S60" s="2609" t="s">
        <v>2073</v>
      </c>
      <c r="T60" s="2604" t="s">
        <v>2074</v>
      </c>
      <c r="U60" s="2609" t="s">
        <v>2075</v>
      </c>
      <c r="V60" s="2604" t="s">
        <v>2076</v>
      </c>
      <c r="W60" s="3478"/>
      <c r="X60" s="3477"/>
      <c r="Y60" s="253">
        <f>SUM('6층_부하량(월간_AVG)'!D407:F407)</f>
        <v>0</v>
      </c>
      <c r="Z60" s="253">
        <f>SUM('6층_부하량(월간_AVG)'!D440:F440)</f>
        <v>0</v>
      </c>
      <c r="AA60" s="3519"/>
      <c r="AB60" s="2683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3196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224">
        <f>VLOOKUP(I60&amp;J60,'7층~4층_매핑테이블'!$Q$6:$X$2020,8,0)</f>
        <v>0</v>
      </c>
      <c r="AE60" s="3139" t="e">
        <f>$AE$59</f>
        <v>#N/A</v>
      </c>
      <c r="AF60" s="2767"/>
      <c r="AH60" s="2351" t="e">
        <f t="shared" si="12"/>
        <v>#N/A</v>
      </c>
      <c r="AI60" s="2351" t="e">
        <f t="shared" si="13"/>
        <v>#N/A</v>
      </c>
      <c r="AJ60" s="123" t="e">
        <f t="shared" si="1"/>
        <v>#N/A</v>
      </c>
      <c r="AK60" t="e">
        <f t="shared" si="5"/>
        <v>#N/A</v>
      </c>
      <c r="AL60" t="e">
        <f t="shared" si="6"/>
        <v>#N/A</v>
      </c>
      <c r="AQ60" s="123"/>
      <c r="AR60" s="123"/>
      <c r="AS60" s="123"/>
      <c r="AT60" s="2982"/>
      <c r="AU60" s="123"/>
      <c r="AV60" s="123"/>
      <c r="AW60" s="2983"/>
      <c r="AX60" s="2984"/>
      <c r="AY60" s="2985"/>
      <c r="AZ60" s="2986"/>
      <c r="BA60" s="2987"/>
      <c r="BB60" s="3194"/>
      <c r="BC60" s="2989"/>
    </row>
    <row r="61" spans="1:55" ht="43.2" x14ac:dyDescent="0.25">
      <c r="A61" s="3454" t="s">
        <v>2087</v>
      </c>
      <c r="B61" s="3456" t="s">
        <v>2088</v>
      </c>
      <c r="C61" s="3456"/>
      <c r="D61" s="250"/>
      <c r="E61" s="2615" t="s">
        <v>2089</v>
      </c>
      <c r="F61" s="2615" t="s">
        <v>2090</v>
      </c>
      <c r="G61" s="2609" t="s">
        <v>2091</v>
      </c>
      <c r="H61" s="2604" t="s">
        <v>2092</v>
      </c>
      <c r="I61" s="2122" t="str">
        <f t="shared" si="25"/>
        <v>6-DaHall 1-PDU-05-30-3</v>
      </c>
      <c r="J61" s="2123" t="str">
        <f t="shared" si="26"/>
        <v>6-DaHall 1-PDU-06-30-3</v>
      </c>
      <c r="K61" s="1460">
        <v>220</v>
      </c>
      <c r="L61" s="1461">
        <v>30</v>
      </c>
      <c r="M61" s="2419" t="s">
        <v>6491</v>
      </c>
      <c r="N61" s="1462">
        <v>3</v>
      </c>
      <c r="O61" s="1463">
        <v>220</v>
      </c>
      <c r="P61" s="1464">
        <v>30</v>
      </c>
      <c r="Q61" s="2425" t="s">
        <v>6501</v>
      </c>
      <c r="R61" s="1465">
        <v>3</v>
      </c>
      <c r="S61" s="2609" t="s">
        <v>1876</v>
      </c>
      <c r="T61" s="2604" t="s">
        <v>1877</v>
      </c>
      <c r="U61" s="2609" t="s">
        <v>1878</v>
      </c>
      <c r="V61" s="2604" t="s">
        <v>1879</v>
      </c>
      <c r="W61" s="3478"/>
      <c r="X61" s="3477"/>
      <c r="Y61" s="253">
        <f>SUM('6층_부하량(월간_AVG)'!D323:F323)</f>
        <v>0</v>
      </c>
      <c r="Z61" s="253">
        <f>SUM('6층_부하량(월간_AVG)'!D355:F355)</f>
        <v>0</v>
      </c>
      <c r="AA61" s="3519">
        <f>SUM(Y61:Z62)</f>
        <v>0</v>
      </c>
      <c r="AB61" s="2683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3196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224">
        <f>VLOOKUP(I61&amp;J61,'7층~4층_매핑테이블'!$Q$6:$X$2020,8,0)</f>
        <v>0</v>
      </c>
      <c r="AE61" s="3212" t="e">
        <f t="shared" ref="AE61" si="28">SUM(AB61:AC62)</f>
        <v>#N/A</v>
      </c>
      <c r="AF61" s="2767"/>
      <c r="AH61" s="2351" t="e">
        <f t="shared" si="12"/>
        <v>#N/A</v>
      </c>
      <c r="AI61" s="2351" t="e">
        <f t="shared" si="13"/>
        <v>#N/A</v>
      </c>
      <c r="AJ61" s="123" t="e">
        <f t="shared" si="1"/>
        <v>#N/A</v>
      </c>
      <c r="AK61" t="e">
        <f t="shared" si="5"/>
        <v>#N/A</v>
      </c>
      <c r="AL61" t="e">
        <f t="shared" si="6"/>
        <v>#N/A</v>
      </c>
      <c r="AQ61" s="123"/>
      <c r="AR61" s="123"/>
      <c r="AS61" s="123"/>
      <c r="AT61" s="2982"/>
      <c r="AU61" s="123"/>
      <c r="AV61" s="123"/>
      <c r="AW61" s="2983"/>
      <c r="AX61" s="2984"/>
      <c r="AY61" s="2985"/>
      <c r="AZ61" s="2986"/>
      <c r="BA61" s="2987"/>
      <c r="BB61" s="3194"/>
      <c r="BC61" s="2989"/>
    </row>
    <row r="62" spans="1:55" ht="43.8" thickBot="1" x14ac:dyDescent="0.3">
      <c r="A62" s="3455"/>
      <c r="B62" s="3457"/>
      <c r="C62" s="3457"/>
      <c r="D62" s="2629"/>
      <c r="E62" s="2629" t="s">
        <v>2093</v>
      </c>
      <c r="F62" s="2629" t="s">
        <v>2094</v>
      </c>
      <c r="G62" s="2611" t="s">
        <v>2095</v>
      </c>
      <c r="H62" s="2605" t="s">
        <v>2096</v>
      </c>
      <c r="I62" s="2124" t="str">
        <f t="shared" si="25"/>
        <v>6-DaHall 1-PDU-07-30-41</v>
      </c>
      <c r="J62" s="2125" t="str">
        <f t="shared" si="26"/>
        <v>6-DaHall 1-PDU-08-30-43</v>
      </c>
      <c r="K62" s="1468">
        <v>220</v>
      </c>
      <c r="L62" s="1469">
        <v>30</v>
      </c>
      <c r="M62" s="2422" t="s">
        <v>6492</v>
      </c>
      <c r="N62" s="1470">
        <v>41</v>
      </c>
      <c r="O62" s="1471">
        <v>220</v>
      </c>
      <c r="P62" s="1472">
        <v>30</v>
      </c>
      <c r="Q62" s="2428" t="s">
        <v>6504</v>
      </c>
      <c r="R62" s="1473">
        <v>43</v>
      </c>
      <c r="S62" s="2611" t="s">
        <v>2073</v>
      </c>
      <c r="T62" s="2605" t="s">
        <v>2074</v>
      </c>
      <c r="U62" s="2611" t="s">
        <v>2075</v>
      </c>
      <c r="V62" s="2605" t="s">
        <v>2076</v>
      </c>
      <c r="W62" s="3476"/>
      <c r="X62" s="3474"/>
      <c r="Y62" s="329">
        <f>SUM('6층_부하량(월간_AVG)'!D406:F406)</f>
        <v>0</v>
      </c>
      <c r="Z62" s="329">
        <f>SUM('6층_부하량(월간_AVG)'!D439:F439)</f>
        <v>0</v>
      </c>
      <c r="AA62" s="3530"/>
      <c r="AB62" s="2683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3196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4032">
        <f>VLOOKUP(I62&amp;J62,'7층~4층_매핑테이블'!$Q$6:$X$2020,8,0)</f>
        <v>0</v>
      </c>
      <c r="AE62" s="3139" t="e">
        <f>AE61</f>
        <v>#N/A</v>
      </c>
      <c r="AF62" s="2769"/>
      <c r="AH62" s="2351" t="e">
        <f t="shared" si="12"/>
        <v>#N/A</v>
      </c>
      <c r="AI62" s="2351" t="e">
        <f t="shared" si="13"/>
        <v>#N/A</v>
      </c>
      <c r="AJ62" s="123" t="e">
        <f t="shared" si="1"/>
        <v>#N/A</v>
      </c>
      <c r="AK62" t="e">
        <f t="shared" si="5"/>
        <v>#N/A</v>
      </c>
      <c r="AL62" t="e">
        <f t="shared" si="6"/>
        <v>#N/A</v>
      </c>
      <c r="AQ62" s="123"/>
      <c r="AR62" s="123"/>
      <c r="AS62" s="123"/>
      <c r="AT62" s="2982"/>
      <c r="AU62" s="123"/>
      <c r="AV62" s="123"/>
      <c r="AW62" s="2983"/>
      <c r="AX62" s="2984"/>
      <c r="AY62" s="2985"/>
      <c r="AZ62" s="2986"/>
      <c r="BA62" s="2987"/>
      <c r="BB62" s="3194"/>
      <c r="BC62" s="2989"/>
    </row>
    <row r="63" spans="1:55" ht="15" thickTop="1" x14ac:dyDescent="0.25">
      <c r="A63" s="1082"/>
      <c r="B63" s="828" t="s">
        <v>2097</v>
      </c>
      <c r="C63" s="828"/>
      <c r="D63" s="828"/>
      <c r="E63" s="828"/>
      <c r="F63" s="828"/>
      <c r="G63" s="884"/>
      <c r="H63" s="885"/>
      <c r="I63" s="2120"/>
      <c r="J63" s="2121"/>
      <c r="K63" s="1452"/>
      <c r="L63" s="1453"/>
      <c r="M63" s="884"/>
      <c r="N63" s="1454"/>
      <c r="O63" s="1455"/>
      <c r="P63" s="1456"/>
      <c r="Q63" s="885"/>
      <c r="R63" s="1457"/>
      <c r="S63" s="829"/>
      <c r="T63" s="830"/>
      <c r="U63" s="829"/>
      <c r="V63" s="830"/>
      <c r="W63" s="829"/>
      <c r="X63" s="830"/>
      <c r="Y63" s="831"/>
      <c r="Z63" s="831"/>
      <c r="AA63" s="2439">
        <f t="shared" ref="AA63:AA76" si="29">SUM(Y63:Z63)</f>
        <v>0</v>
      </c>
      <c r="AB63" s="2771"/>
      <c r="AC63" s="2701"/>
      <c r="AD63" s="4033"/>
      <c r="AE63" s="3207">
        <f t="shared" ref="AE63:AE74" si="30">SUM(AB63:AC63)</f>
        <v>0</v>
      </c>
      <c r="AF63" s="2772" t="s">
        <v>1265</v>
      </c>
      <c r="AH63" s="2351">
        <f t="shared" si="12"/>
        <v>0</v>
      </c>
      <c r="AI63" s="2351">
        <f t="shared" si="13"/>
        <v>0</v>
      </c>
      <c r="AJ63" s="123" t="str">
        <f t="shared" si="1"/>
        <v>무부하 랙</v>
      </c>
      <c r="AK63" t="str">
        <f t="shared" si="5"/>
        <v/>
      </c>
      <c r="AL63" t="str">
        <f t="shared" si="6"/>
        <v/>
      </c>
      <c r="AQ63" s="123"/>
      <c r="AR63" s="123"/>
      <c r="AS63" s="123"/>
      <c r="AT63" s="2982"/>
      <c r="AU63" s="123"/>
      <c r="AV63" s="123"/>
      <c r="AW63" s="2983"/>
      <c r="AX63" s="2984"/>
      <c r="AY63" s="2985"/>
      <c r="AZ63" s="2986"/>
      <c r="BA63" s="2987"/>
      <c r="BB63" s="3194"/>
      <c r="BC63" s="2989"/>
    </row>
    <row r="64" spans="1:55" x14ac:dyDescent="0.25">
      <c r="A64" s="1083"/>
      <c r="B64" s="2680" t="s">
        <v>2098</v>
      </c>
      <c r="C64" s="2680"/>
      <c r="D64" s="2680"/>
      <c r="E64" s="2680"/>
      <c r="F64" s="2680"/>
      <c r="G64" s="2676"/>
      <c r="H64" s="2659"/>
      <c r="I64" s="2131"/>
      <c r="J64" s="2132"/>
      <c r="K64" s="1489"/>
      <c r="L64" s="1490"/>
      <c r="M64" s="2676"/>
      <c r="N64" s="1491"/>
      <c r="O64" s="1492"/>
      <c r="P64" s="1493"/>
      <c r="Q64" s="2659"/>
      <c r="R64" s="1494"/>
      <c r="S64" s="832"/>
      <c r="T64" s="833"/>
      <c r="U64" s="832"/>
      <c r="V64" s="833"/>
      <c r="W64" s="832"/>
      <c r="X64" s="833"/>
      <c r="Y64" s="834"/>
      <c r="Z64" s="834"/>
      <c r="AA64" s="2441">
        <f t="shared" si="29"/>
        <v>0</v>
      </c>
      <c r="AB64" s="2684"/>
      <c r="AC64" s="2705"/>
      <c r="AD64" s="3223"/>
      <c r="AE64" s="3208">
        <f t="shared" si="30"/>
        <v>0</v>
      </c>
      <c r="AF64" s="2781" t="s">
        <v>1265</v>
      </c>
      <c r="AH64" s="2351">
        <f t="shared" si="12"/>
        <v>0</v>
      </c>
      <c r="AI64" s="2351">
        <f t="shared" si="13"/>
        <v>0</v>
      </c>
      <c r="AJ64" s="123" t="str">
        <f t="shared" si="1"/>
        <v>무부하 랙</v>
      </c>
      <c r="AK64" t="str">
        <f t="shared" si="5"/>
        <v/>
      </c>
      <c r="AL64" t="str">
        <f t="shared" si="6"/>
        <v/>
      </c>
      <c r="AQ64" s="123"/>
      <c r="AR64" s="123"/>
      <c r="AS64" s="123"/>
      <c r="AT64" s="2982"/>
      <c r="AU64" s="123"/>
      <c r="AV64" s="123"/>
      <c r="AW64" s="2983"/>
      <c r="AX64" s="2984"/>
      <c r="AY64" s="2985"/>
      <c r="AZ64" s="2986"/>
      <c r="BA64" s="2987"/>
      <c r="BB64" s="3194"/>
      <c r="BC64" s="2989"/>
    </row>
    <row r="65" spans="1:55" ht="40.5" customHeight="1" x14ac:dyDescent="0.25">
      <c r="A65" s="1083"/>
      <c r="B65" s="2680" t="s">
        <v>2099</v>
      </c>
      <c r="C65" s="2680"/>
      <c r="D65" s="2680"/>
      <c r="E65" s="2680" t="s">
        <v>2100</v>
      </c>
      <c r="F65" s="2680" t="s">
        <v>2101</v>
      </c>
      <c r="G65" s="2676" t="s">
        <v>2102</v>
      </c>
      <c r="H65" s="2659" t="s">
        <v>2103</v>
      </c>
      <c r="I65" s="2122" t="str">
        <f t="shared" ref="I65:I71" si="31">"6-DaHall 1-PDU-"&amp;M65&amp;"-"&amp;L65&amp;"-"&amp;N65</f>
        <v>6-DaHall 1-PDU-05-30-7</v>
      </c>
      <c r="J65" s="2123" t="str">
        <f t="shared" ref="J65:J71" si="32">"6-DaHall 1-PDU-"&amp;Q65&amp;"-"&amp;P65&amp;"-"&amp;R65</f>
        <v>6-DaHall 1-PDU-06-30-7</v>
      </c>
      <c r="K65" s="1460">
        <v>220</v>
      </c>
      <c r="L65" s="1461">
        <v>30</v>
      </c>
      <c r="M65" s="2419" t="s">
        <v>6491</v>
      </c>
      <c r="N65" s="1462">
        <v>7</v>
      </c>
      <c r="O65" s="1463">
        <v>220</v>
      </c>
      <c r="P65" s="1464">
        <v>30</v>
      </c>
      <c r="Q65" s="2425" t="s">
        <v>6501</v>
      </c>
      <c r="R65" s="1465">
        <v>7</v>
      </c>
      <c r="S65" s="3475" t="s">
        <v>1876</v>
      </c>
      <c r="T65" s="3473" t="s">
        <v>1877</v>
      </c>
      <c r="U65" s="3475" t="s">
        <v>1878</v>
      </c>
      <c r="V65" s="3473" t="s">
        <v>1879</v>
      </c>
      <c r="W65" s="3475" t="s">
        <v>1276</v>
      </c>
      <c r="X65" s="3473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41">
        <f t="shared" si="29"/>
        <v>0</v>
      </c>
      <c r="AB65" s="2683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3196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3224">
        <f>VLOOKUP(I65&amp;J65,'7층~4층_매핑테이블'!$Q$6:$X$2020,8,0)</f>
        <v>0</v>
      </c>
      <c r="AE65" s="3208" t="e">
        <f t="shared" si="30"/>
        <v>#N/A</v>
      </c>
      <c r="AF65" s="2781" t="s">
        <v>1265</v>
      </c>
      <c r="AH65" s="2351" t="e">
        <f t="shared" si="12"/>
        <v>#N/A</v>
      </c>
      <c r="AI65" s="2351" t="e">
        <f t="shared" si="13"/>
        <v>#N/A</v>
      </c>
      <c r="AJ65" s="123" t="e">
        <f t="shared" si="1"/>
        <v>#N/A</v>
      </c>
      <c r="AK65" t="e">
        <f t="shared" si="5"/>
        <v>#N/A</v>
      </c>
      <c r="AL65" t="e">
        <f t="shared" si="6"/>
        <v>#N/A</v>
      </c>
      <c r="AQ65" s="123"/>
      <c r="AR65" s="123"/>
      <c r="AS65" s="123"/>
      <c r="AT65" s="2982"/>
      <c r="AU65" s="123"/>
      <c r="AV65" s="123"/>
      <c r="AW65" s="2983"/>
      <c r="AX65" s="2984"/>
      <c r="AY65" s="2985"/>
      <c r="AZ65" s="2986"/>
      <c r="BA65" s="2987"/>
      <c r="BB65" s="3194"/>
      <c r="BC65" s="2989"/>
    </row>
    <row r="66" spans="1:55" ht="28.8" x14ac:dyDescent="0.25">
      <c r="A66" s="1083"/>
      <c r="B66" s="2680" t="s">
        <v>2104</v>
      </c>
      <c r="C66" s="2680"/>
      <c r="D66" s="2680"/>
      <c r="E66" s="2680" t="s">
        <v>2105</v>
      </c>
      <c r="F66" s="2680" t="s">
        <v>2106</v>
      </c>
      <c r="G66" s="2676" t="s">
        <v>2107</v>
      </c>
      <c r="H66" s="2659" t="s">
        <v>2108</v>
      </c>
      <c r="I66" s="2122" t="str">
        <f t="shared" si="31"/>
        <v>6-DaHall 1-PDU-05-30-9</v>
      </c>
      <c r="J66" s="2123" t="str">
        <f t="shared" si="32"/>
        <v>6-DaHall 1-PDU-06-30-9</v>
      </c>
      <c r="K66" s="1460">
        <v>220</v>
      </c>
      <c r="L66" s="1461">
        <v>30</v>
      </c>
      <c r="M66" s="2419" t="s">
        <v>6491</v>
      </c>
      <c r="N66" s="1462">
        <v>9</v>
      </c>
      <c r="O66" s="1463">
        <v>220</v>
      </c>
      <c r="P66" s="1464">
        <v>30</v>
      </c>
      <c r="Q66" s="2425" t="s">
        <v>6501</v>
      </c>
      <c r="R66" s="1465">
        <v>9</v>
      </c>
      <c r="S66" s="3478"/>
      <c r="T66" s="3477"/>
      <c r="U66" s="3478"/>
      <c r="V66" s="3477"/>
      <c r="W66" s="3478"/>
      <c r="X66" s="3477"/>
      <c r="Y66" s="834">
        <f>SUM('6층_부하량(월간_AVG)'!D326:F326)</f>
        <v>0</v>
      </c>
      <c r="Z66" s="834">
        <f>SUM('6층_부하량(월간_AVG)'!D358:F358)</f>
        <v>0</v>
      </c>
      <c r="AA66" s="2441">
        <f t="shared" si="29"/>
        <v>0</v>
      </c>
      <c r="AB66" s="2683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3196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3224">
        <f>VLOOKUP(I66&amp;J66,'7층~4층_매핑테이블'!$Q$6:$X$2020,8,0)</f>
        <v>0</v>
      </c>
      <c r="AE66" s="3208" t="e">
        <f t="shared" si="30"/>
        <v>#N/A</v>
      </c>
      <c r="AF66" s="2781" t="s">
        <v>1265</v>
      </c>
      <c r="AH66" s="2351" t="e">
        <f t="shared" si="12"/>
        <v>#N/A</v>
      </c>
      <c r="AI66" s="2351" t="e">
        <f t="shared" si="13"/>
        <v>#N/A</v>
      </c>
      <c r="AJ66" s="123" t="e">
        <f t="shared" si="1"/>
        <v>#N/A</v>
      </c>
      <c r="AK66" t="e">
        <f t="shared" si="5"/>
        <v>#N/A</v>
      </c>
      <c r="AL66" t="e">
        <f t="shared" si="6"/>
        <v>#N/A</v>
      </c>
      <c r="AQ66" s="123"/>
      <c r="AR66" s="123"/>
      <c r="AS66" s="123"/>
      <c r="AT66" s="2982"/>
      <c r="AU66" s="123"/>
      <c r="AV66" s="123"/>
      <c r="AW66" s="2983"/>
      <c r="AX66" s="2984"/>
      <c r="AY66" s="2985"/>
      <c r="AZ66" s="2986"/>
      <c r="BA66" s="2987"/>
      <c r="BB66" s="3194"/>
      <c r="BC66" s="2989"/>
    </row>
    <row r="67" spans="1:55" ht="43.2" x14ac:dyDescent="0.25">
      <c r="A67" s="2620" t="s">
        <v>2109</v>
      </c>
      <c r="B67" s="2621" t="s">
        <v>2110</v>
      </c>
      <c r="C67" s="2632" t="s">
        <v>2111</v>
      </c>
      <c r="D67" s="2951">
        <v>1.1000000000000001</v>
      </c>
      <c r="E67" s="250" t="s">
        <v>2112</v>
      </c>
      <c r="F67" s="250" t="s">
        <v>2113</v>
      </c>
      <c r="G67" s="2609" t="s">
        <v>2114</v>
      </c>
      <c r="H67" s="2604" t="s">
        <v>2115</v>
      </c>
      <c r="I67" s="2122" t="str">
        <f t="shared" si="31"/>
        <v>6-DaHall 1-PDU-05-30-11</v>
      </c>
      <c r="J67" s="2123" t="str">
        <f t="shared" si="32"/>
        <v>6-DaHall 1-PDU-06-30-11</v>
      </c>
      <c r="K67" s="1460">
        <v>220</v>
      </c>
      <c r="L67" s="1461">
        <v>30</v>
      </c>
      <c r="M67" s="2419" t="s">
        <v>6491</v>
      </c>
      <c r="N67" s="1462">
        <v>11</v>
      </c>
      <c r="O67" s="1463">
        <v>220</v>
      </c>
      <c r="P67" s="1464">
        <v>30</v>
      </c>
      <c r="Q67" s="2425" t="s">
        <v>6501</v>
      </c>
      <c r="R67" s="1465">
        <v>11</v>
      </c>
      <c r="S67" s="3478"/>
      <c r="T67" s="3477"/>
      <c r="U67" s="3478"/>
      <c r="V67" s="3477"/>
      <c r="W67" s="3478"/>
      <c r="X67" s="3477"/>
      <c r="Y67" s="253">
        <f>SUM('6층_부하량(월간_AVG)'!D327:F327)</f>
        <v>0</v>
      </c>
      <c r="Z67" s="253">
        <f>SUM('6층_부하량(월간_AVG)'!D359:F359)</f>
        <v>0</v>
      </c>
      <c r="AA67" s="2436">
        <f t="shared" si="29"/>
        <v>0</v>
      </c>
      <c r="AB67" s="2683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3196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3224">
        <f>VLOOKUP(I67&amp;J67,'7층~4층_매핑테이블'!$Q$6:$X$2020,8,0)</f>
        <v>0.66900000000000004</v>
      </c>
      <c r="AE67" s="3140" t="e">
        <f t="shared" si="30"/>
        <v>#N/A</v>
      </c>
      <c r="AF67" s="2766"/>
      <c r="AH67" s="2351" t="e">
        <f t="shared" si="12"/>
        <v>#N/A</v>
      </c>
      <c r="AI67" s="2351" t="e">
        <f t="shared" si="13"/>
        <v>#N/A</v>
      </c>
      <c r="AJ67" s="123" t="e">
        <f t="shared" si="1"/>
        <v>#N/A</v>
      </c>
      <c r="AK67" t="e">
        <f t="shared" si="5"/>
        <v>#N/A</v>
      </c>
      <c r="AL67" t="e">
        <f t="shared" si="6"/>
        <v>#N/A</v>
      </c>
      <c r="AQ67" s="123"/>
      <c r="AR67" s="123"/>
      <c r="AS67" s="123"/>
      <c r="AT67" s="2982"/>
      <c r="AU67" s="123"/>
      <c r="AV67" s="123"/>
      <c r="AW67" s="2983"/>
      <c r="AX67" s="2984"/>
      <c r="AY67" s="2985"/>
      <c r="AZ67" s="2986"/>
      <c r="BA67" s="2987"/>
      <c r="BB67" s="3194"/>
      <c r="BC67" s="2989"/>
    </row>
    <row r="68" spans="1:55" ht="43.2" x14ac:dyDescent="0.25">
      <c r="A68" s="2620" t="s">
        <v>2116</v>
      </c>
      <c r="B68" s="2621" t="s">
        <v>2117</v>
      </c>
      <c r="C68" s="2632" t="s">
        <v>2111</v>
      </c>
      <c r="D68" s="2951">
        <v>2.2000000000000002</v>
      </c>
      <c r="E68" s="250" t="s">
        <v>2118</v>
      </c>
      <c r="F68" s="250" t="s">
        <v>2119</v>
      </c>
      <c r="G68" s="2609" t="s">
        <v>2120</v>
      </c>
      <c r="H68" s="2604" t="s">
        <v>2121</v>
      </c>
      <c r="I68" s="2122" t="str">
        <f t="shared" si="31"/>
        <v>6-DaHall 1-PDU-05-30-13</v>
      </c>
      <c r="J68" s="2123" t="str">
        <f t="shared" si="32"/>
        <v>6-DaHall 1-PDU-06-30-13</v>
      </c>
      <c r="K68" s="1460">
        <v>220</v>
      </c>
      <c r="L68" s="1461">
        <v>30</v>
      </c>
      <c r="M68" s="2419" t="s">
        <v>6491</v>
      </c>
      <c r="N68" s="1462">
        <v>13</v>
      </c>
      <c r="O68" s="1463">
        <v>220</v>
      </c>
      <c r="P68" s="1464">
        <v>30</v>
      </c>
      <c r="Q68" s="2425" t="s">
        <v>6501</v>
      </c>
      <c r="R68" s="1465">
        <v>13</v>
      </c>
      <c r="S68" s="3478"/>
      <c r="T68" s="3477"/>
      <c r="U68" s="3478"/>
      <c r="V68" s="3477"/>
      <c r="W68" s="3478"/>
      <c r="X68" s="3477"/>
      <c r="Y68" s="253">
        <f>SUM('6층_부하량(월간_AVG)'!D328:F328)</f>
        <v>0</v>
      </c>
      <c r="Z68" s="253">
        <f>SUM('6층_부하량(월간_AVG)'!D360:F360)</f>
        <v>0</v>
      </c>
      <c r="AA68" s="2436">
        <f t="shared" si="29"/>
        <v>0</v>
      </c>
      <c r="AB68" s="2683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3196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3224">
        <f>VLOOKUP(I68&amp;J68,'7층~4층_매핑테이블'!$Q$6:$X$2020,8,0)</f>
        <v>0.97900000000000009</v>
      </c>
      <c r="AE68" s="3140" t="e">
        <f t="shared" si="30"/>
        <v>#N/A</v>
      </c>
      <c r="AF68" s="2766"/>
      <c r="AH68" s="2351" t="e">
        <f t="shared" si="12"/>
        <v>#N/A</v>
      </c>
      <c r="AI68" s="2351" t="e">
        <f t="shared" si="13"/>
        <v>#N/A</v>
      </c>
      <c r="AJ68" s="123" t="e">
        <f t="shared" si="1"/>
        <v>#N/A</v>
      </c>
      <c r="AK68" t="e">
        <f t="shared" si="5"/>
        <v>#N/A</v>
      </c>
      <c r="AL68" t="e">
        <f t="shared" si="6"/>
        <v>#N/A</v>
      </c>
      <c r="AQ68" s="123"/>
      <c r="AR68" s="123"/>
      <c r="AS68" s="123"/>
      <c r="AT68" s="2982"/>
      <c r="AU68" s="123"/>
      <c r="AV68" s="123"/>
      <c r="AW68" s="2983"/>
      <c r="AX68" s="2984"/>
      <c r="AY68" s="2985"/>
      <c r="AZ68" s="2986"/>
      <c r="BA68" s="2987"/>
      <c r="BB68" s="3194"/>
      <c r="BC68" s="2989"/>
    </row>
    <row r="69" spans="1:55" ht="43.2" x14ac:dyDescent="0.25">
      <c r="A69" s="2620" t="s">
        <v>2122</v>
      </c>
      <c r="B69" s="2621" t="s">
        <v>2123</v>
      </c>
      <c r="C69" s="2632" t="s">
        <v>2111</v>
      </c>
      <c r="D69" s="2951">
        <v>2.2000000000000002</v>
      </c>
      <c r="E69" s="250" t="s">
        <v>2124</v>
      </c>
      <c r="F69" s="250" t="s">
        <v>2125</v>
      </c>
      <c r="G69" s="2609" t="s">
        <v>2126</v>
      </c>
      <c r="H69" s="2604" t="s">
        <v>2127</v>
      </c>
      <c r="I69" s="2122" t="str">
        <f t="shared" si="31"/>
        <v>6-DaHall 1-PDU-05-30-15</v>
      </c>
      <c r="J69" s="2123" t="str">
        <f t="shared" si="32"/>
        <v>6-DaHall 1-PDU-06-30-15</v>
      </c>
      <c r="K69" s="1460">
        <v>220</v>
      </c>
      <c r="L69" s="1461">
        <v>30</v>
      </c>
      <c r="M69" s="2419" t="s">
        <v>6491</v>
      </c>
      <c r="N69" s="1462">
        <v>15</v>
      </c>
      <c r="O69" s="1463">
        <v>220</v>
      </c>
      <c r="P69" s="1464">
        <v>30</v>
      </c>
      <c r="Q69" s="2425" t="s">
        <v>6501</v>
      </c>
      <c r="R69" s="1465">
        <v>15</v>
      </c>
      <c r="S69" s="3478"/>
      <c r="T69" s="3477"/>
      <c r="U69" s="3478"/>
      <c r="V69" s="3477"/>
      <c r="W69" s="3478"/>
      <c r="X69" s="3477"/>
      <c r="Y69" s="253">
        <f>SUM('6층_부하량(월간_AVG)'!D329:F329)</f>
        <v>0</v>
      </c>
      <c r="Z69" s="253">
        <f>SUM('6층_부하량(월간_AVG)'!D361:F361)</f>
        <v>0</v>
      </c>
      <c r="AA69" s="2436">
        <f t="shared" si="29"/>
        <v>0</v>
      </c>
      <c r="AB69" s="2683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3196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3224">
        <f>VLOOKUP(I69&amp;J69,'7층~4층_매핑테이블'!$Q$6:$X$2020,8,0)</f>
        <v>1.3820000000000001</v>
      </c>
      <c r="AE69" s="3140" t="e">
        <f t="shared" si="30"/>
        <v>#N/A</v>
      </c>
      <c r="AF69" s="2766"/>
      <c r="AH69" s="2351" t="e">
        <f t="shared" si="12"/>
        <v>#N/A</v>
      </c>
      <c r="AI69" s="2351" t="e">
        <f t="shared" si="13"/>
        <v>#N/A</v>
      </c>
      <c r="AJ69" s="123" t="e">
        <f t="shared" ref="AJ69:AJ132" si="33">IF(SIGN(AI69)&gt;=0,IF(AE69=0,"무부하 랙","적정함"),"사용초과")</f>
        <v>#N/A</v>
      </c>
      <c r="AK69" t="e">
        <f t="shared" si="5"/>
        <v>#N/A</v>
      </c>
      <c r="AL69" t="e">
        <f t="shared" si="6"/>
        <v>#N/A</v>
      </c>
      <c r="AQ69" s="123"/>
      <c r="AR69" s="123"/>
      <c r="AS69" s="123"/>
      <c r="AT69" s="2982"/>
      <c r="AU69" s="123"/>
      <c r="AV69" s="123"/>
      <c r="AW69" s="2983"/>
      <c r="AX69" s="2984"/>
      <c r="AY69" s="2985"/>
      <c r="AZ69" s="2986"/>
      <c r="BA69" s="2987"/>
      <c r="BB69" s="3194"/>
      <c r="BC69" s="2989"/>
    </row>
    <row r="70" spans="1:55" ht="43.2" x14ac:dyDescent="0.25">
      <c r="A70" s="2620" t="s">
        <v>2128</v>
      </c>
      <c r="B70" s="2621" t="s">
        <v>2129</v>
      </c>
      <c r="C70" s="2632" t="s">
        <v>2111</v>
      </c>
      <c r="D70" s="2951">
        <v>1.1000000000000001</v>
      </c>
      <c r="E70" s="250" t="s">
        <v>2130</v>
      </c>
      <c r="F70" s="250" t="s">
        <v>2131</v>
      </c>
      <c r="G70" s="2609" t="s">
        <v>2132</v>
      </c>
      <c r="H70" s="2604" t="s">
        <v>2133</v>
      </c>
      <c r="I70" s="2122" t="str">
        <f t="shared" si="31"/>
        <v>6-DaHall 1-PDU-05-30-17</v>
      </c>
      <c r="J70" s="2123" t="str">
        <f t="shared" si="32"/>
        <v>6-DaHall 1-PDU-06-30-17</v>
      </c>
      <c r="K70" s="1460">
        <v>220</v>
      </c>
      <c r="L70" s="1461">
        <v>30</v>
      </c>
      <c r="M70" s="2419" t="s">
        <v>6491</v>
      </c>
      <c r="N70" s="1462">
        <v>17</v>
      </c>
      <c r="O70" s="1463">
        <v>220</v>
      </c>
      <c r="P70" s="1464">
        <v>30</v>
      </c>
      <c r="Q70" s="2425" t="s">
        <v>6501</v>
      </c>
      <c r="R70" s="1465">
        <v>17</v>
      </c>
      <c r="S70" s="3478"/>
      <c r="T70" s="3477"/>
      <c r="U70" s="3478"/>
      <c r="V70" s="3477"/>
      <c r="W70" s="3478"/>
      <c r="X70" s="3477"/>
      <c r="Y70" s="253">
        <f>SUM('6층_부하량(월간_AVG)'!D330:F330)</f>
        <v>0</v>
      </c>
      <c r="Z70" s="253">
        <f>SUM('6층_부하량(월간_AVG)'!D362:F362)</f>
        <v>0</v>
      </c>
      <c r="AA70" s="2436">
        <f t="shared" si="29"/>
        <v>0</v>
      </c>
      <c r="AB70" s="2683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3196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3224">
        <f>VLOOKUP(I70&amp;J70,'7층~4층_매핑테이블'!$Q$6:$X$2020,8,0)</f>
        <v>0.40200000000000002</v>
      </c>
      <c r="AE70" s="3140" t="e">
        <f t="shared" si="30"/>
        <v>#N/A</v>
      </c>
      <c r="AF70" s="2766"/>
      <c r="AH70" s="2351" t="e">
        <f t="shared" si="12"/>
        <v>#N/A</v>
      </c>
      <c r="AI70" s="2351" t="e">
        <f t="shared" si="13"/>
        <v>#N/A</v>
      </c>
      <c r="AJ70" s="123" t="e">
        <f t="shared" si="33"/>
        <v>#N/A</v>
      </c>
      <c r="AK70" t="e">
        <f t="shared" ref="AK70:AK133" si="34">IF(AJ70="사용초과",C70,"")</f>
        <v>#N/A</v>
      </c>
      <c r="AL70" t="e">
        <f t="shared" ref="AL70:AL133" si="35">IF(AK70="","",A70)</f>
        <v>#N/A</v>
      </c>
      <c r="AQ70" s="123"/>
      <c r="AR70" s="123"/>
      <c r="AS70" s="123"/>
      <c r="AT70" s="2982"/>
      <c r="AU70" s="123"/>
      <c r="AV70" s="123"/>
      <c r="AW70" s="2983"/>
      <c r="AX70" s="2984"/>
      <c r="AY70" s="2985"/>
      <c r="AZ70" s="2986"/>
      <c r="BA70" s="2987"/>
      <c r="BB70" s="3194"/>
      <c r="BC70" s="2989"/>
    </row>
    <row r="71" spans="1:55" ht="33" thickBot="1" x14ac:dyDescent="0.3">
      <c r="A71" s="2628" t="s">
        <v>2134</v>
      </c>
      <c r="B71" s="2629"/>
      <c r="C71" s="3041" t="s">
        <v>9299</v>
      </c>
      <c r="D71" s="2656"/>
      <c r="E71" s="2629" t="s">
        <v>2135</v>
      </c>
      <c r="F71" s="2629" t="s">
        <v>2136</v>
      </c>
      <c r="G71" s="2611" t="s">
        <v>2137</v>
      </c>
      <c r="H71" s="2605" t="s">
        <v>2138</v>
      </c>
      <c r="I71" s="2124" t="str">
        <f t="shared" si="31"/>
        <v>6-DaHall 1-PDU-05-30-19</v>
      </c>
      <c r="J71" s="2125" t="str">
        <f t="shared" si="32"/>
        <v>6-DaHall 1-PDU-06-30-19</v>
      </c>
      <c r="K71" s="1468">
        <v>220</v>
      </c>
      <c r="L71" s="1469">
        <v>30</v>
      </c>
      <c r="M71" s="2422" t="s">
        <v>6491</v>
      </c>
      <c r="N71" s="1470">
        <v>19</v>
      </c>
      <c r="O71" s="1471">
        <v>220</v>
      </c>
      <c r="P71" s="1472">
        <v>30</v>
      </c>
      <c r="Q71" s="2428" t="s">
        <v>6501</v>
      </c>
      <c r="R71" s="1473">
        <v>19</v>
      </c>
      <c r="S71" s="3476"/>
      <c r="T71" s="3474"/>
      <c r="U71" s="3476"/>
      <c r="V71" s="3474"/>
      <c r="W71" s="3476"/>
      <c r="X71" s="3474"/>
      <c r="Y71" s="329">
        <f>SUM('6층_부하량(월간_AVG)'!D331:F331)</f>
        <v>0</v>
      </c>
      <c r="Z71" s="329">
        <f>SUM('6층_부하량(월간_AVG)'!D363:F363)</f>
        <v>0</v>
      </c>
      <c r="AA71" s="2437">
        <f t="shared" si="29"/>
        <v>0</v>
      </c>
      <c r="AB71" s="2683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3196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4032">
        <f>VLOOKUP(I71&amp;J71,'7층~4층_매핑테이블'!$Q$6:$X$2020,8,0)</f>
        <v>0</v>
      </c>
      <c r="AE71" s="3209" t="e">
        <f t="shared" si="30"/>
        <v>#N/A</v>
      </c>
      <c r="AF71" s="2768"/>
      <c r="AH71" s="2351" t="e">
        <f t="shared" si="12"/>
        <v>#N/A</v>
      </c>
      <c r="AI71" s="2351" t="e">
        <f t="shared" si="13"/>
        <v>#N/A</v>
      </c>
      <c r="AJ71" s="123" t="e">
        <f t="shared" si="33"/>
        <v>#N/A</v>
      </c>
      <c r="AK71" t="e">
        <f t="shared" si="34"/>
        <v>#N/A</v>
      </c>
      <c r="AL71" t="e">
        <f t="shared" si="35"/>
        <v>#N/A</v>
      </c>
      <c r="AQ71" s="123"/>
      <c r="AR71" s="123"/>
      <c r="AS71" s="123"/>
      <c r="AT71" s="2982"/>
      <c r="AU71" s="123"/>
      <c r="AV71" s="123"/>
      <c r="AW71" s="2983"/>
      <c r="AX71" s="2984"/>
      <c r="AY71" s="2985"/>
      <c r="AZ71" s="2986"/>
      <c r="BA71" s="2987"/>
      <c r="BB71" s="3194"/>
      <c r="BC71" s="2989"/>
    </row>
    <row r="72" spans="1:55" ht="15" thickTop="1" x14ac:dyDescent="0.25">
      <c r="A72" s="1082"/>
      <c r="B72" s="828" t="s">
        <v>2139</v>
      </c>
      <c r="C72" s="971"/>
      <c r="D72" s="971"/>
      <c r="E72" s="828"/>
      <c r="F72" s="828"/>
      <c r="G72" s="884"/>
      <c r="H72" s="885"/>
      <c r="I72" s="2120"/>
      <c r="J72" s="2121"/>
      <c r="K72" s="1452"/>
      <c r="L72" s="1453"/>
      <c r="M72" s="884"/>
      <c r="N72" s="1454"/>
      <c r="O72" s="1455"/>
      <c r="P72" s="1456"/>
      <c r="Q72" s="885"/>
      <c r="R72" s="1457"/>
      <c r="S72" s="829"/>
      <c r="T72" s="830"/>
      <c r="U72" s="829"/>
      <c r="V72" s="830"/>
      <c r="W72" s="829"/>
      <c r="X72" s="830"/>
      <c r="Y72" s="831"/>
      <c r="Z72" s="831"/>
      <c r="AA72" s="2439">
        <f t="shared" si="29"/>
        <v>0</v>
      </c>
      <c r="AB72" s="2771"/>
      <c r="AC72" s="2701"/>
      <c r="AD72" s="4033"/>
      <c r="AE72" s="3207">
        <f t="shared" si="30"/>
        <v>0</v>
      </c>
      <c r="AF72" s="2772" t="s">
        <v>1265</v>
      </c>
      <c r="AH72" s="2351">
        <f t="shared" si="12"/>
        <v>0</v>
      </c>
      <c r="AI72" s="2351">
        <f t="shared" si="13"/>
        <v>0</v>
      </c>
      <c r="AJ72" s="123" t="str">
        <f t="shared" si="33"/>
        <v>무부하 랙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82"/>
      <c r="AU72" s="123"/>
      <c r="AV72" s="123"/>
      <c r="AW72" s="2983"/>
      <c r="AX72" s="2984"/>
      <c r="AY72" s="2985"/>
      <c r="AZ72" s="2986"/>
      <c r="BA72" s="2987"/>
      <c r="BB72" s="3194"/>
      <c r="BC72" s="2989"/>
    </row>
    <row r="73" spans="1:55" x14ac:dyDescent="0.25">
      <c r="A73" s="1083"/>
      <c r="B73" s="2680" t="s">
        <v>2140</v>
      </c>
      <c r="C73" s="886"/>
      <c r="D73" s="886"/>
      <c r="E73" s="2680"/>
      <c r="F73" s="2680"/>
      <c r="G73" s="2676"/>
      <c r="H73" s="2659"/>
      <c r="I73" s="2131"/>
      <c r="J73" s="2132"/>
      <c r="K73" s="1489"/>
      <c r="L73" s="1490"/>
      <c r="M73" s="2676"/>
      <c r="N73" s="1491"/>
      <c r="O73" s="1492"/>
      <c r="P73" s="1493"/>
      <c r="Q73" s="2659"/>
      <c r="R73" s="1494"/>
      <c r="S73" s="832"/>
      <c r="T73" s="833"/>
      <c r="U73" s="832"/>
      <c r="V73" s="833"/>
      <c r="W73" s="832"/>
      <c r="X73" s="833"/>
      <c r="Y73" s="834"/>
      <c r="Z73" s="834"/>
      <c r="AA73" s="2441">
        <f t="shared" si="29"/>
        <v>0</v>
      </c>
      <c r="AB73" s="2684"/>
      <c r="AC73" s="2705"/>
      <c r="AD73" s="3223"/>
      <c r="AE73" s="3208">
        <f t="shared" si="30"/>
        <v>0</v>
      </c>
      <c r="AF73" s="2781" t="s">
        <v>1265</v>
      </c>
      <c r="AH73" s="2351">
        <f t="shared" si="12"/>
        <v>0</v>
      </c>
      <c r="AI73" s="2351">
        <f t="shared" si="13"/>
        <v>0</v>
      </c>
      <c r="AJ73" s="123" t="str">
        <f t="shared" si="33"/>
        <v>무부하 랙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82"/>
      <c r="AU73" s="123"/>
      <c r="AV73" s="123"/>
      <c r="AW73" s="2983"/>
      <c r="AX73" s="2984"/>
      <c r="AY73" s="2985"/>
      <c r="AZ73" s="2986"/>
      <c r="BA73" s="2987"/>
      <c r="BB73" s="3194"/>
      <c r="BC73" s="2989"/>
    </row>
    <row r="74" spans="1:55" ht="28.8" x14ac:dyDescent="0.25">
      <c r="A74" s="1083"/>
      <c r="B74" s="2680" t="s">
        <v>2141</v>
      </c>
      <c r="C74" s="886"/>
      <c r="D74" s="886"/>
      <c r="E74" s="2680" t="s">
        <v>2142</v>
      </c>
      <c r="F74" s="2680" t="s">
        <v>2143</v>
      </c>
      <c r="G74" s="2676" t="s">
        <v>2144</v>
      </c>
      <c r="H74" s="2659" t="s">
        <v>2145</v>
      </c>
      <c r="I74" s="2122"/>
      <c r="J74" s="2123"/>
      <c r="K74" s="1460"/>
      <c r="L74" s="1461"/>
      <c r="M74" s="2419"/>
      <c r="N74" s="1462"/>
      <c r="O74" s="1463"/>
      <c r="P74" s="1464"/>
      <c r="Q74" s="2425"/>
      <c r="R74" s="1465"/>
      <c r="S74" s="3475" t="s">
        <v>1876</v>
      </c>
      <c r="T74" s="3473" t="s">
        <v>1877</v>
      </c>
      <c r="U74" s="3475" t="s">
        <v>1878</v>
      </c>
      <c r="V74" s="3473" t="s">
        <v>1879</v>
      </c>
      <c r="W74" s="3475" t="s">
        <v>1276</v>
      </c>
      <c r="X74" s="3473" t="s">
        <v>1277</v>
      </c>
      <c r="Y74" s="834"/>
      <c r="Z74" s="834"/>
      <c r="AA74" s="2441">
        <f t="shared" si="29"/>
        <v>0</v>
      </c>
      <c r="AB74" s="2683"/>
      <c r="AC74" s="3196"/>
      <c r="AD74" s="3224"/>
      <c r="AE74" s="3208">
        <f t="shared" si="30"/>
        <v>0</v>
      </c>
      <c r="AF74" s="2781" t="s">
        <v>1265</v>
      </c>
      <c r="AH74" s="2351">
        <f t="shared" si="12"/>
        <v>0</v>
      </c>
      <c r="AI74" s="2351">
        <f t="shared" si="13"/>
        <v>0</v>
      </c>
      <c r="AJ74" s="123" t="str">
        <f t="shared" si="33"/>
        <v>무부하 랙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82"/>
      <c r="AU74" s="123"/>
      <c r="AV74" s="123"/>
      <c r="AW74" s="2983"/>
      <c r="AX74" s="2984"/>
      <c r="AY74" s="2985"/>
      <c r="AZ74" s="2986"/>
      <c r="BA74" s="2987"/>
      <c r="BB74" s="3194"/>
      <c r="BC74" s="2989"/>
    </row>
    <row r="75" spans="1:55" ht="27" customHeight="1" x14ac:dyDescent="0.25">
      <c r="A75" s="3459" t="s">
        <v>2146</v>
      </c>
      <c r="B75" s="2621" t="s">
        <v>2147</v>
      </c>
      <c r="C75" s="3479" t="s">
        <v>2148</v>
      </c>
      <c r="D75" s="3453">
        <v>12</v>
      </c>
      <c r="E75" s="250" t="s">
        <v>2149</v>
      </c>
      <c r="F75" s="250" t="s">
        <v>2150</v>
      </c>
      <c r="G75" s="2609" t="s">
        <v>2151</v>
      </c>
      <c r="H75" s="2031" t="s">
        <v>2152</v>
      </c>
      <c r="I75" s="2122" t="str">
        <f t="shared" ref="I75:I81" si="36">"6-DaHall 1-PDU-"&amp;M75&amp;"-"&amp;L75&amp;"-"&amp;N75</f>
        <v>6-DaHall 1-PDU-05-30-25</v>
      </c>
      <c r="J75" s="2123" t="str">
        <f t="shared" ref="J75:J81" si="37">"6-DaHall 1-PDU-"&amp;Q75&amp;"-"&amp;P75&amp;"-"&amp;R75</f>
        <v>6-DaHall 1-PDU-06-30-25</v>
      </c>
      <c r="K75" s="1460">
        <v>220</v>
      </c>
      <c r="L75" s="1461">
        <v>30</v>
      </c>
      <c r="M75" s="2419" t="s">
        <v>6491</v>
      </c>
      <c r="N75" s="1462">
        <v>25</v>
      </c>
      <c r="O75" s="1463">
        <v>220</v>
      </c>
      <c r="P75" s="1464">
        <v>30</v>
      </c>
      <c r="Q75" s="2425" t="s">
        <v>6501</v>
      </c>
      <c r="R75" s="1465">
        <v>25</v>
      </c>
      <c r="S75" s="3478"/>
      <c r="T75" s="3477"/>
      <c r="U75" s="3478"/>
      <c r="V75" s="3477"/>
      <c r="W75" s="3478"/>
      <c r="X75" s="3477"/>
      <c r="Y75" s="253">
        <f>SUM('6층_부하량(월간_AVG)'!D334:F334)</f>
        <v>0</v>
      </c>
      <c r="Z75" s="253">
        <f>SUM('6층_부하량(월간_AVG)'!D366:F366)</f>
        <v>0</v>
      </c>
      <c r="AA75" s="2436">
        <f t="shared" si="29"/>
        <v>0</v>
      </c>
      <c r="AB75" s="2683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3196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224">
        <f>VLOOKUP(I75&amp;J75,'7층~4층_매핑테이블'!$Q$6:$X$2020,8,0)</f>
        <v>4.3639999999999999</v>
      </c>
      <c r="AE75" s="3212" t="e">
        <f>SUM(AB75:AC76)</f>
        <v>#N/A</v>
      </c>
      <c r="AF75" s="2459"/>
      <c r="AH75" s="2351" t="e">
        <f t="shared" si="12"/>
        <v>#N/A</v>
      </c>
      <c r="AI75" s="2351" t="e">
        <f t="shared" si="13"/>
        <v>#N/A</v>
      </c>
      <c r="AJ75" s="123" t="e">
        <f t="shared" si="33"/>
        <v>#N/A</v>
      </c>
      <c r="AK75" t="e">
        <f t="shared" si="34"/>
        <v>#N/A</v>
      </c>
      <c r="AL75" t="e">
        <f t="shared" si="35"/>
        <v>#N/A</v>
      </c>
      <c r="AQ75" s="123"/>
      <c r="AR75" s="123"/>
      <c r="AS75" s="123"/>
      <c r="AT75" s="2982"/>
      <c r="AU75" s="123"/>
      <c r="AV75" s="123"/>
      <c r="AW75" s="2983"/>
      <c r="AX75" s="2984"/>
      <c r="AY75" s="2985"/>
      <c r="AZ75" s="2986"/>
      <c r="BA75" s="2987"/>
      <c r="BB75" s="3194"/>
      <c r="BC75" s="2989"/>
    </row>
    <row r="76" spans="1:55" ht="27" customHeight="1" x14ac:dyDescent="0.25">
      <c r="A76" s="3461"/>
      <c r="B76" s="2621" t="s">
        <v>2153</v>
      </c>
      <c r="C76" s="3479"/>
      <c r="D76" s="3453"/>
      <c r="E76" s="250" t="s">
        <v>2154</v>
      </c>
      <c r="F76" s="250" t="s">
        <v>2155</v>
      </c>
      <c r="G76" s="2609" t="s">
        <v>2156</v>
      </c>
      <c r="H76" s="2031" t="s">
        <v>2157</v>
      </c>
      <c r="I76" s="2122" t="str">
        <f t="shared" si="36"/>
        <v>6-DaHall 1-PDU-05-30-27</v>
      </c>
      <c r="J76" s="2123" t="str">
        <f t="shared" si="37"/>
        <v>6-DaHall 1-PDU-06-30-27</v>
      </c>
      <c r="K76" s="1460">
        <v>220</v>
      </c>
      <c r="L76" s="1461">
        <v>30</v>
      </c>
      <c r="M76" s="2419" t="s">
        <v>6491</v>
      </c>
      <c r="N76" s="1462">
        <v>27</v>
      </c>
      <c r="O76" s="1463">
        <v>220</v>
      </c>
      <c r="P76" s="1464">
        <v>30</v>
      </c>
      <c r="Q76" s="2425" t="s">
        <v>6501</v>
      </c>
      <c r="R76" s="1465">
        <v>27</v>
      </c>
      <c r="S76" s="3478"/>
      <c r="T76" s="3477"/>
      <c r="U76" s="3478"/>
      <c r="V76" s="3477"/>
      <c r="W76" s="3478"/>
      <c r="X76" s="3477"/>
      <c r="Y76" s="253">
        <f>SUM('6층_부하량(월간_AVG)'!D335:F335)</f>
        <v>0</v>
      </c>
      <c r="Z76" s="253">
        <f>SUM('6층_부하량(월간_AVG)'!D367:F367)</f>
        <v>0</v>
      </c>
      <c r="AA76" s="2436">
        <f t="shared" si="29"/>
        <v>0</v>
      </c>
      <c r="AB76" s="2683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3196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224">
        <f>VLOOKUP(I76&amp;J76,'7층~4층_매핑테이블'!$Q$6:$X$2020,8,0)</f>
        <v>2.6710000000000003</v>
      </c>
      <c r="AE76" s="3139" t="e">
        <f>$AE$75</f>
        <v>#N/A</v>
      </c>
      <c r="AF76" s="2766"/>
      <c r="AH76" s="2351" t="e">
        <f t="shared" si="12"/>
        <v>#N/A</v>
      </c>
      <c r="AI76" s="2351" t="e">
        <f t="shared" si="13"/>
        <v>#N/A</v>
      </c>
      <c r="AJ76" s="123" t="e">
        <f t="shared" si="33"/>
        <v>#N/A</v>
      </c>
      <c r="AK76" t="e">
        <f t="shared" si="34"/>
        <v>#N/A</v>
      </c>
      <c r="AL76" t="e">
        <f t="shared" si="35"/>
        <v>#N/A</v>
      </c>
      <c r="AQ76" s="123"/>
      <c r="AR76" s="123"/>
      <c r="AS76" s="123"/>
      <c r="AT76" s="2982"/>
      <c r="AU76" s="123"/>
      <c r="AV76" s="123"/>
      <c r="AW76" s="2983"/>
      <c r="AX76" s="2984"/>
      <c r="AY76" s="2985"/>
      <c r="AZ76" s="2986"/>
      <c r="BA76" s="2987"/>
      <c r="BB76" s="3194"/>
      <c r="BC76" s="2989"/>
    </row>
    <row r="77" spans="1:55" ht="28.8" x14ac:dyDescent="0.25">
      <c r="A77" s="3459" t="s">
        <v>2158</v>
      </c>
      <c r="B77" s="3480" t="s">
        <v>2159</v>
      </c>
      <c r="C77" s="3479" t="s">
        <v>2148</v>
      </c>
      <c r="D77" s="3458">
        <v>12</v>
      </c>
      <c r="E77" s="250" t="s">
        <v>2160</v>
      </c>
      <c r="F77" s="250" t="s">
        <v>2161</v>
      </c>
      <c r="G77" s="2609" t="s">
        <v>2162</v>
      </c>
      <c r="H77" s="2604" t="s">
        <v>2163</v>
      </c>
      <c r="I77" s="2122" t="str">
        <f t="shared" si="36"/>
        <v>6-DaHall 1-PDU-05-30-29</v>
      </c>
      <c r="J77" s="2123" t="str">
        <f t="shared" si="37"/>
        <v>6-DaHall 1-PDU-06-30-29</v>
      </c>
      <c r="K77" s="1460">
        <v>220</v>
      </c>
      <c r="L77" s="1461">
        <v>30</v>
      </c>
      <c r="M77" s="2419" t="s">
        <v>6491</v>
      </c>
      <c r="N77" s="1462">
        <v>29</v>
      </c>
      <c r="O77" s="1463">
        <v>220</v>
      </c>
      <c r="P77" s="1464">
        <v>30</v>
      </c>
      <c r="Q77" s="2425" t="s">
        <v>6501</v>
      </c>
      <c r="R77" s="1465">
        <v>29</v>
      </c>
      <c r="S77" s="3478"/>
      <c r="T77" s="3477"/>
      <c r="U77" s="3478"/>
      <c r="V77" s="3477"/>
      <c r="W77" s="3478"/>
      <c r="X77" s="3477"/>
      <c r="Y77" s="253">
        <f>SUM('6층_부하량(월간_AVG)'!D336:F336)</f>
        <v>0</v>
      </c>
      <c r="Z77" s="253">
        <f>SUM('6층_부하량(월간_AVG)'!D368:F368)</f>
        <v>0</v>
      </c>
      <c r="AA77" s="3520">
        <f>SUM(Y77:Z78)</f>
        <v>0</v>
      </c>
      <c r="AB77" s="2683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3196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224">
        <f>VLOOKUP(I77&amp;J77,'7층~4층_매핑테이블'!$Q$6:$X$2020,8,0)</f>
        <v>0</v>
      </c>
      <c r="AE77" s="3212" t="e">
        <f>SUM(AB77:AC78)</f>
        <v>#N/A</v>
      </c>
      <c r="AF77" s="2766"/>
      <c r="AH77" s="2351" t="e">
        <f t="shared" si="12"/>
        <v>#N/A</v>
      </c>
      <c r="AI77" s="2351" t="e">
        <f t="shared" si="13"/>
        <v>#N/A</v>
      </c>
      <c r="AJ77" s="123" t="e">
        <f t="shared" si="33"/>
        <v>#N/A</v>
      </c>
      <c r="AK77" t="e">
        <f t="shared" si="34"/>
        <v>#N/A</v>
      </c>
      <c r="AL77" t="e">
        <f t="shared" si="35"/>
        <v>#N/A</v>
      </c>
      <c r="AQ77" s="123"/>
      <c r="AR77" s="123"/>
      <c r="AS77" s="123"/>
      <c r="AT77" s="2982"/>
      <c r="AU77" s="123"/>
      <c r="AV77" s="123"/>
      <c r="AW77" s="2983"/>
      <c r="AX77" s="2984"/>
      <c r="AY77" s="2985"/>
      <c r="AZ77" s="2986"/>
      <c r="BA77" s="2987"/>
      <c r="BB77" s="3194"/>
      <c r="BC77" s="2989"/>
    </row>
    <row r="78" spans="1:55" ht="28.8" x14ac:dyDescent="0.25">
      <c r="A78" s="3461"/>
      <c r="B78" s="3481"/>
      <c r="C78" s="3479"/>
      <c r="D78" s="3458"/>
      <c r="E78" s="250" t="s">
        <v>2142</v>
      </c>
      <c r="F78" s="250" t="s">
        <v>2143</v>
      </c>
      <c r="G78" s="2609" t="s">
        <v>2144</v>
      </c>
      <c r="H78" s="2031" t="s">
        <v>2145</v>
      </c>
      <c r="I78" s="2122" t="str">
        <f t="shared" si="36"/>
        <v>6-DaHall 1-PDU-05-30-23</v>
      </c>
      <c r="J78" s="2123" t="str">
        <f t="shared" si="37"/>
        <v>6-DaHall 1-PDU-06-30-23</v>
      </c>
      <c r="K78" s="1460">
        <v>220</v>
      </c>
      <c r="L78" s="1461">
        <v>30</v>
      </c>
      <c r="M78" s="2419" t="s">
        <v>6491</v>
      </c>
      <c r="N78" s="1462">
        <v>23</v>
      </c>
      <c r="O78" s="1463">
        <v>220</v>
      </c>
      <c r="P78" s="1464">
        <v>30</v>
      </c>
      <c r="Q78" s="2425" t="s">
        <v>6501</v>
      </c>
      <c r="R78" s="1465">
        <v>23</v>
      </c>
      <c r="S78" s="3478"/>
      <c r="T78" s="3477"/>
      <c r="U78" s="3478"/>
      <c r="V78" s="3477"/>
      <c r="W78" s="3478"/>
      <c r="X78" s="3477"/>
      <c r="Y78" s="253">
        <f>SUM('6층_부하량(월간_AVG)'!D333:F333)</f>
        <v>0</v>
      </c>
      <c r="Z78" s="253">
        <f>SUM('6층_부하량(월간_AVG)'!D365:F365)</f>
        <v>0</v>
      </c>
      <c r="AA78" s="3522"/>
      <c r="AB78" s="2683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3196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224">
        <f>VLOOKUP(I78&amp;J78,'7층~4층_매핑테이블'!$Q$6:$X$2020,8,0)</f>
        <v>0</v>
      </c>
      <c r="AE78" s="3139" t="e">
        <f>$AE$77</f>
        <v>#N/A</v>
      </c>
      <c r="AF78" s="2766"/>
      <c r="AH78" s="2351" t="e">
        <f t="shared" si="12"/>
        <v>#N/A</v>
      </c>
      <c r="AI78" s="2351" t="e">
        <f t="shared" si="13"/>
        <v>#N/A</v>
      </c>
      <c r="AJ78" s="123" t="e">
        <f t="shared" si="33"/>
        <v>#N/A</v>
      </c>
      <c r="AK78" t="e">
        <f t="shared" si="34"/>
        <v>#N/A</v>
      </c>
      <c r="AL78" t="e">
        <f t="shared" si="35"/>
        <v>#N/A</v>
      </c>
      <c r="AQ78" s="123"/>
      <c r="AR78" s="123"/>
      <c r="AS78" s="123"/>
      <c r="AT78" s="2982"/>
      <c r="AU78" s="123"/>
      <c r="AV78" s="123"/>
      <c r="AW78" s="2983"/>
      <c r="AX78" s="2984"/>
      <c r="AY78" s="2985"/>
      <c r="AZ78" s="2986"/>
      <c r="BA78" s="2987"/>
      <c r="BB78" s="3194"/>
      <c r="BC78" s="2989"/>
    </row>
    <row r="79" spans="1:55" ht="28.8" x14ac:dyDescent="0.25">
      <c r="A79" s="2620" t="s">
        <v>2164</v>
      </c>
      <c r="B79" s="2621" t="s">
        <v>2165</v>
      </c>
      <c r="C79" s="2632" t="s">
        <v>9234</v>
      </c>
      <c r="D79" s="2951">
        <v>1.6</v>
      </c>
      <c r="E79" s="250" t="s">
        <v>2166</v>
      </c>
      <c r="F79" s="250" t="s">
        <v>2167</v>
      </c>
      <c r="G79" s="2609" t="s">
        <v>2168</v>
      </c>
      <c r="H79" s="2604" t="s">
        <v>2169</v>
      </c>
      <c r="I79" s="2122" t="str">
        <f t="shared" si="36"/>
        <v>6-DaHall 1-PDU-05-30-31</v>
      </c>
      <c r="J79" s="2123" t="str">
        <f t="shared" si="37"/>
        <v>6-DaHall 1-PDU-06-30-31</v>
      </c>
      <c r="K79" s="1460">
        <v>220</v>
      </c>
      <c r="L79" s="1461">
        <v>30</v>
      </c>
      <c r="M79" s="2419" t="s">
        <v>6491</v>
      </c>
      <c r="N79" s="1462">
        <v>31</v>
      </c>
      <c r="O79" s="1463">
        <v>220</v>
      </c>
      <c r="P79" s="1464">
        <v>30</v>
      </c>
      <c r="Q79" s="2425" t="s">
        <v>6501</v>
      </c>
      <c r="R79" s="1465">
        <v>31</v>
      </c>
      <c r="S79" s="3478"/>
      <c r="T79" s="3477"/>
      <c r="U79" s="3478"/>
      <c r="V79" s="3477"/>
      <c r="W79" s="3478"/>
      <c r="X79" s="3477"/>
      <c r="Y79" s="253">
        <f>SUM('6층_부하량(월간_AVG)'!D337:F337)</f>
        <v>0</v>
      </c>
      <c r="Z79" s="253">
        <f>SUM('6층_부하량(월간_AVG)'!D369:F369)</f>
        <v>0</v>
      </c>
      <c r="AA79" s="2436">
        <f t="shared" ref="AA79:AA81" si="38">SUM(Y79:Z79)</f>
        <v>0</v>
      </c>
      <c r="AB79" s="2683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3196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3224">
        <f>VLOOKUP(I79&amp;J79,'7층~4층_매핑테이블'!$Q$6:$X$2020,8,0)</f>
        <v>0.432</v>
      </c>
      <c r="AE79" s="3140" t="e">
        <f t="shared" ref="AE79:AE84" si="39">SUM(AB79:AC79)</f>
        <v>#N/A</v>
      </c>
      <c r="AF79" s="2766"/>
      <c r="AH79" s="2351" t="e">
        <f t="shared" si="12"/>
        <v>#N/A</v>
      </c>
      <c r="AI79" s="2351" t="e">
        <f t="shared" si="13"/>
        <v>#N/A</v>
      </c>
      <c r="AJ79" s="123" t="e">
        <f t="shared" si="33"/>
        <v>#N/A</v>
      </c>
      <c r="AK79" t="e">
        <f t="shared" si="34"/>
        <v>#N/A</v>
      </c>
      <c r="AL79" t="e">
        <f t="shared" si="35"/>
        <v>#N/A</v>
      </c>
      <c r="AQ79" s="123"/>
      <c r="AR79" s="123"/>
      <c r="AS79" s="123"/>
      <c r="AT79" s="2982"/>
      <c r="AU79" s="123"/>
      <c r="AV79" s="123"/>
      <c r="AW79" s="2983"/>
      <c r="AX79" s="2984"/>
      <c r="AY79" s="2985"/>
      <c r="AZ79" s="2986"/>
      <c r="BA79" s="2987"/>
      <c r="BB79" s="3194"/>
      <c r="BC79" s="2989"/>
    </row>
    <row r="80" spans="1:55" ht="43.2" x14ac:dyDescent="0.25">
      <c r="A80" s="2620" t="s">
        <v>2170</v>
      </c>
      <c r="B80" s="2621" t="s">
        <v>2171</v>
      </c>
      <c r="C80" s="2632" t="s">
        <v>9235</v>
      </c>
      <c r="D80" s="2951">
        <v>1.6</v>
      </c>
      <c r="E80" s="250" t="s">
        <v>2172</v>
      </c>
      <c r="F80" s="250" t="s">
        <v>2173</v>
      </c>
      <c r="G80" s="2609" t="s">
        <v>2174</v>
      </c>
      <c r="H80" s="2604" t="s">
        <v>2175</v>
      </c>
      <c r="I80" s="2122" t="str">
        <f t="shared" si="36"/>
        <v>6-DaHall 1-PDU-05-30-33</v>
      </c>
      <c r="J80" s="2123" t="str">
        <f t="shared" si="37"/>
        <v>6-DaHall 1-PDU-06-30-33</v>
      </c>
      <c r="K80" s="1460">
        <v>220</v>
      </c>
      <c r="L80" s="1461">
        <v>30</v>
      </c>
      <c r="M80" s="2419" t="s">
        <v>6491</v>
      </c>
      <c r="N80" s="1462">
        <v>33</v>
      </c>
      <c r="O80" s="1463">
        <v>220</v>
      </c>
      <c r="P80" s="1464">
        <v>30</v>
      </c>
      <c r="Q80" s="2425" t="s">
        <v>6501</v>
      </c>
      <c r="R80" s="1465">
        <v>33</v>
      </c>
      <c r="S80" s="3478"/>
      <c r="T80" s="3477"/>
      <c r="U80" s="3478"/>
      <c r="V80" s="3477"/>
      <c r="W80" s="3478"/>
      <c r="X80" s="3477"/>
      <c r="Y80" s="253">
        <f>SUM('6층_부하량(월간_AVG)'!D338:F338)</f>
        <v>0</v>
      </c>
      <c r="Z80" s="253">
        <f>SUM('6층_부하량(월간_AVG)'!D370:F370)</f>
        <v>0</v>
      </c>
      <c r="AA80" s="2436">
        <f t="shared" si="38"/>
        <v>0</v>
      </c>
      <c r="AB80" s="2683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3196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3224">
        <f>VLOOKUP(I80&amp;J80,'7층~4층_매핑테이블'!$Q$6:$X$2020,8,0)</f>
        <v>0.41599999999999998</v>
      </c>
      <c r="AE80" s="3140" t="e">
        <f t="shared" si="39"/>
        <v>#N/A</v>
      </c>
      <c r="AF80" s="2766"/>
      <c r="AH80" s="2351" t="e">
        <f t="shared" si="12"/>
        <v>#N/A</v>
      </c>
      <c r="AI80" s="2351" t="e">
        <f t="shared" si="13"/>
        <v>#N/A</v>
      </c>
      <c r="AJ80" s="123" t="e">
        <f t="shared" si="33"/>
        <v>#N/A</v>
      </c>
      <c r="AK80" t="e">
        <f t="shared" si="34"/>
        <v>#N/A</v>
      </c>
      <c r="AL80" t="e">
        <f t="shared" si="35"/>
        <v>#N/A</v>
      </c>
      <c r="AQ80" s="123"/>
      <c r="AR80" s="123"/>
      <c r="AS80" s="123"/>
      <c r="AT80" s="2982"/>
      <c r="AU80" s="123"/>
      <c r="AV80" s="123"/>
      <c r="AW80" s="2983"/>
      <c r="AX80" s="2984"/>
      <c r="AY80" s="2985"/>
      <c r="AZ80" s="2986"/>
      <c r="BA80" s="2987"/>
      <c r="BB80" s="3194"/>
      <c r="BC80" s="2989"/>
    </row>
    <row r="81" spans="1:55" ht="27.75" customHeight="1" thickBot="1" x14ac:dyDescent="0.3">
      <c r="A81" s="2628" t="s">
        <v>2176</v>
      </c>
      <c r="B81" s="2640" t="s">
        <v>2177</v>
      </c>
      <c r="C81" s="2632" t="s">
        <v>9174</v>
      </c>
      <c r="D81" s="2951">
        <v>1.6</v>
      </c>
      <c r="E81" s="2629" t="s">
        <v>2178</v>
      </c>
      <c r="F81" s="2629" t="s">
        <v>2179</v>
      </c>
      <c r="G81" s="2611" t="s">
        <v>2180</v>
      </c>
      <c r="H81" s="2605" t="s">
        <v>2181</v>
      </c>
      <c r="I81" s="2124" t="str">
        <f t="shared" si="36"/>
        <v>6-DaHall 1-PDU-05-30-35</v>
      </c>
      <c r="J81" s="2125" t="str">
        <f t="shared" si="37"/>
        <v>6-DaHall 1-PDU-06-30-35</v>
      </c>
      <c r="K81" s="1468">
        <v>220</v>
      </c>
      <c r="L81" s="1469">
        <v>30</v>
      </c>
      <c r="M81" s="2422" t="s">
        <v>6491</v>
      </c>
      <c r="N81" s="1470">
        <v>35</v>
      </c>
      <c r="O81" s="1471">
        <v>220</v>
      </c>
      <c r="P81" s="1472">
        <v>30</v>
      </c>
      <c r="Q81" s="2428" t="s">
        <v>6501</v>
      </c>
      <c r="R81" s="1473">
        <v>35</v>
      </c>
      <c r="S81" s="3476"/>
      <c r="T81" s="3474"/>
      <c r="U81" s="3476"/>
      <c r="V81" s="3474"/>
      <c r="W81" s="3476"/>
      <c r="X81" s="3474"/>
      <c r="Y81" s="329">
        <f>SUM('6층_부하량(월간_AVG)'!D339:F339)</f>
        <v>0</v>
      </c>
      <c r="Z81" s="329">
        <f>SUM('6층_부하량(월간_AVG)'!D371:F371)</f>
        <v>0</v>
      </c>
      <c r="AA81" s="2437">
        <f t="shared" si="38"/>
        <v>0</v>
      </c>
      <c r="AB81" s="2683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3196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4032">
        <f>VLOOKUP(I81&amp;J81,'7층~4층_매핑테이블'!$Q$6:$X$2020,8,0)</f>
        <v>0.193</v>
      </c>
      <c r="AE81" s="3209" t="e">
        <f t="shared" si="39"/>
        <v>#N/A</v>
      </c>
      <c r="AF81" s="2768"/>
      <c r="AH81" s="2351" t="e">
        <f t="shared" si="12"/>
        <v>#N/A</v>
      </c>
      <c r="AI81" s="2351" t="e">
        <f t="shared" si="13"/>
        <v>#N/A</v>
      </c>
      <c r="AJ81" s="123" t="e">
        <f t="shared" si="33"/>
        <v>#N/A</v>
      </c>
      <c r="AK81" t="e">
        <f t="shared" si="34"/>
        <v>#N/A</v>
      </c>
      <c r="AL81" t="e">
        <f t="shared" si="35"/>
        <v>#N/A</v>
      </c>
      <c r="AQ81" s="123"/>
      <c r="AR81" s="123"/>
      <c r="AS81" s="123"/>
      <c r="AT81" s="2982"/>
      <c r="AU81" s="123"/>
      <c r="AV81" s="123"/>
      <c r="AW81" s="2983"/>
      <c r="AX81" s="2984"/>
      <c r="AY81" s="2985"/>
      <c r="AZ81" s="2986"/>
      <c r="BA81" s="2987"/>
      <c r="BB81" s="3194"/>
      <c r="BC81" s="2989"/>
    </row>
    <row r="82" spans="1:55" ht="15" thickTop="1" x14ac:dyDescent="0.25">
      <c r="A82" s="1081" t="s">
        <v>1749</v>
      </c>
      <c r="B82" s="828"/>
      <c r="C82" s="828"/>
      <c r="D82" s="828"/>
      <c r="E82" s="828"/>
      <c r="F82" s="828"/>
      <c r="G82" s="884"/>
      <c r="H82" s="885"/>
      <c r="I82" s="2120"/>
      <c r="J82" s="2121"/>
      <c r="K82" s="1452"/>
      <c r="L82" s="1453"/>
      <c r="M82" s="884"/>
      <c r="N82" s="1454"/>
      <c r="O82" s="1455"/>
      <c r="P82" s="1456"/>
      <c r="Q82" s="885"/>
      <c r="R82" s="1457"/>
      <c r="S82" s="829"/>
      <c r="T82" s="830"/>
      <c r="U82" s="829"/>
      <c r="V82" s="830"/>
      <c r="W82" s="829"/>
      <c r="X82" s="830"/>
      <c r="Y82" s="835"/>
      <c r="Z82" s="835"/>
      <c r="AA82" s="2439"/>
      <c r="AB82" s="2771"/>
      <c r="AC82" s="2701"/>
      <c r="AD82" s="3223"/>
      <c r="AE82" s="3207">
        <f t="shared" si="39"/>
        <v>0</v>
      </c>
      <c r="AF82" s="2772" t="s">
        <v>1265</v>
      </c>
      <c r="AH82" s="2351">
        <f t="shared" si="12"/>
        <v>0</v>
      </c>
      <c r="AI82" s="2351">
        <f t="shared" si="13"/>
        <v>0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82"/>
      <c r="AU82" s="123"/>
      <c r="AV82" s="123"/>
      <c r="AW82" s="2983"/>
      <c r="AX82" s="2984"/>
      <c r="AY82" s="2985"/>
      <c r="AZ82" s="2986"/>
      <c r="BA82" s="2987"/>
      <c r="BB82" s="3194"/>
      <c r="BC82" s="2989"/>
    </row>
    <row r="83" spans="1:55" ht="28.8" x14ac:dyDescent="0.25">
      <c r="A83" s="2620" t="s">
        <v>1750</v>
      </c>
      <c r="B83" s="2680" t="s">
        <v>1751</v>
      </c>
      <c r="C83" s="2680"/>
      <c r="D83" s="2680"/>
      <c r="E83" s="2680" t="s">
        <v>1752</v>
      </c>
      <c r="F83" s="2680" t="s">
        <v>1753</v>
      </c>
      <c r="G83" s="2676" t="s">
        <v>1754</v>
      </c>
      <c r="H83" s="2659" t="s">
        <v>1755</v>
      </c>
      <c r="I83" s="2122" t="str">
        <f t="shared" ref="I83:I90" si="40">"6-DaHall 1-PDU-"&amp;M83&amp;"-"&amp;L83&amp;"-"&amp;N83</f>
        <v>6-DaHall 1-PDU-11-30-23</v>
      </c>
      <c r="J83" s="2123" t="str">
        <f t="shared" ref="J83:J90" si="41">"6-DaHall 1-PDU-"&amp;Q83&amp;"-"&amp;P83&amp;"-"&amp;R83</f>
        <v>6-DaHall 1-PDU-12-30-23</v>
      </c>
      <c r="K83" s="1474">
        <v>220</v>
      </c>
      <c r="L83" s="1475">
        <v>30</v>
      </c>
      <c r="M83" s="2419" t="s">
        <v>6541</v>
      </c>
      <c r="N83" s="1462">
        <v>23</v>
      </c>
      <c r="O83" s="1466">
        <v>220</v>
      </c>
      <c r="P83" s="1467">
        <v>30</v>
      </c>
      <c r="Q83" s="2425" t="s">
        <v>6548</v>
      </c>
      <c r="R83" s="1465">
        <v>23</v>
      </c>
      <c r="S83" s="3468" t="s">
        <v>1462</v>
      </c>
      <c r="T83" s="3465" t="s">
        <v>1463</v>
      </c>
      <c r="U83" s="3468" t="s">
        <v>1464</v>
      </c>
      <c r="V83" s="3465" t="s">
        <v>1465</v>
      </c>
      <c r="W83" s="3475" t="s">
        <v>1276</v>
      </c>
      <c r="X83" s="3473" t="s">
        <v>1277</v>
      </c>
      <c r="Y83" s="991">
        <f>SUM('6층_부하량(월간_AVG)'!D155:F155)</f>
        <v>0</v>
      </c>
      <c r="Z83" s="991">
        <f>SUM('6층_부하량(월간_AVG)'!D184:F184)</f>
        <v>0</v>
      </c>
      <c r="AA83" s="2441">
        <f t="shared" ref="AA83:AA90" si="42">SUM(Y83:Z83)</f>
        <v>0</v>
      </c>
      <c r="AB83" s="2683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3196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3224">
        <f>VLOOKUP(I83&amp;J83,'7층~4층_매핑테이블'!$Q$6:$X$2020,8,0)</f>
        <v>0</v>
      </c>
      <c r="AE83" s="3208" t="e">
        <f t="shared" si="39"/>
        <v>#N/A</v>
      </c>
      <c r="AF83" s="2781" t="s">
        <v>1265</v>
      </c>
      <c r="AH83" s="2351" t="e">
        <f t="shared" si="12"/>
        <v>#N/A</v>
      </c>
      <c r="AI83" s="2351" t="e">
        <f t="shared" si="13"/>
        <v>#N/A</v>
      </c>
      <c r="AJ83" s="123" t="e">
        <f t="shared" si="33"/>
        <v>#N/A</v>
      </c>
      <c r="AK83" t="e">
        <f t="shared" si="34"/>
        <v>#N/A</v>
      </c>
      <c r="AL83" t="e">
        <f t="shared" si="35"/>
        <v>#N/A</v>
      </c>
      <c r="AQ83" s="123"/>
      <c r="AR83" s="123"/>
      <c r="AS83" s="123"/>
      <c r="AT83" s="2982"/>
      <c r="AU83" s="123"/>
      <c r="AV83" s="123"/>
      <c r="AW83" s="2983"/>
      <c r="AX83" s="2984"/>
      <c r="AY83" s="2985"/>
      <c r="AZ83" s="2986"/>
      <c r="BA83" s="2987"/>
      <c r="BB83" s="3194"/>
      <c r="BC83" s="2989"/>
    </row>
    <row r="84" spans="1:55" ht="28.8" x14ac:dyDescent="0.25">
      <c r="A84" s="2620" t="s">
        <v>1756</v>
      </c>
      <c r="B84" s="2680" t="s">
        <v>1757</v>
      </c>
      <c r="C84" s="2680"/>
      <c r="D84" s="2680"/>
      <c r="E84" s="2680" t="s">
        <v>1758</v>
      </c>
      <c r="F84" s="2680" t="s">
        <v>1759</v>
      </c>
      <c r="G84" s="2676" t="s">
        <v>1760</v>
      </c>
      <c r="H84" s="2659" t="s">
        <v>1761</v>
      </c>
      <c r="I84" s="2122" t="str">
        <f t="shared" si="40"/>
        <v>6-DaHall 1-PDU-11-30-25</v>
      </c>
      <c r="J84" s="2123" t="str">
        <f t="shared" si="41"/>
        <v>6-DaHall 1-PDU-12-30-25</v>
      </c>
      <c r="K84" s="1474">
        <v>220</v>
      </c>
      <c r="L84" s="1475">
        <v>30</v>
      </c>
      <c r="M84" s="2419" t="s">
        <v>6541</v>
      </c>
      <c r="N84" s="1462">
        <v>25</v>
      </c>
      <c r="O84" s="1466">
        <v>220</v>
      </c>
      <c r="P84" s="1467">
        <v>30</v>
      </c>
      <c r="Q84" s="2425" t="s">
        <v>6548</v>
      </c>
      <c r="R84" s="1465">
        <v>25</v>
      </c>
      <c r="S84" s="3472"/>
      <c r="T84" s="3471"/>
      <c r="U84" s="3472"/>
      <c r="V84" s="3471"/>
      <c r="W84" s="3478"/>
      <c r="X84" s="3477"/>
      <c r="Y84" s="991">
        <f>SUM('6층_부하량(월간_AVG)'!D156:F156)</f>
        <v>0</v>
      </c>
      <c r="Z84" s="991">
        <f>SUM('6층_부하량(월간_AVG)'!D185:F185)</f>
        <v>0</v>
      </c>
      <c r="AA84" s="2441">
        <f t="shared" si="42"/>
        <v>0</v>
      </c>
      <c r="AB84" s="2683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3196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3224">
        <f>VLOOKUP(I84&amp;J84,'7층~4층_매핑테이블'!$Q$6:$X$2020,8,0)</f>
        <v>0</v>
      </c>
      <c r="AE84" s="3208" t="e">
        <f t="shared" si="39"/>
        <v>#N/A</v>
      </c>
      <c r="AF84" s="2781" t="s">
        <v>1265</v>
      </c>
      <c r="AH84" s="2351" t="e">
        <f t="shared" si="12"/>
        <v>#N/A</v>
      </c>
      <c r="AI84" s="2351" t="e">
        <f t="shared" si="13"/>
        <v>#N/A</v>
      </c>
      <c r="AJ84" s="123" t="e">
        <f t="shared" si="33"/>
        <v>#N/A</v>
      </c>
      <c r="AK84" t="e">
        <f t="shared" si="34"/>
        <v>#N/A</v>
      </c>
      <c r="AL84" t="e">
        <f t="shared" si="35"/>
        <v>#N/A</v>
      </c>
      <c r="AQ84" s="123"/>
      <c r="AR84" s="123"/>
      <c r="AS84" s="123"/>
      <c r="AT84" s="2982"/>
      <c r="AU84" s="123"/>
      <c r="AV84" s="123"/>
      <c r="AW84" s="2983"/>
      <c r="AX84" s="2984"/>
      <c r="AY84" s="2985"/>
      <c r="AZ84" s="2986"/>
      <c r="BA84" s="2987"/>
      <c r="BB84" s="3194"/>
      <c r="BC84" s="2989"/>
    </row>
    <row r="85" spans="1:55" ht="28.8" x14ac:dyDescent="0.25">
      <c r="A85" s="3454" t="s">
        <v>1762</v>
      </c>
      <c r="B85" s="3456" t="s">
        <v>1763</v>
      </c>
      <c r="C85" s="250"/>
      <c r="D85" s="250"/>
      <c r="E85" s="250" t="s">
        <v>1764</v>
      </c>
      <c r="F85" s="250" t="s">
        <v>1765</v>
      </c>
      <c r="G85" s="2609" t="s">
        <v>1766</v>
      </c>
      <c r="H85" s="2604" t="s">
        <v>1767</v>
      </c>
      <c r="I85" s="2122" t="str">
        <f t="shared" si="40"/>
        <v>6-DaHall 1-PDU-11-30-27</v>
      </c>
      <c r="J85" s="2123" t="str">
        <f t="shared" si="41"/>
        <v>6-DaHall 1-PDU-12-30-27</v>
      </c>
      <c r="K85" s="1474">
        <v>220</v>
      </c>
      <c r="L85" s="1475">
        <v>30</v>
      </c>
      <c r="M85" s="2419" t="s">
        <v>6541</v>
      </c>
      <c r="N85" s="1462">
        <v>27</v>
      </c>
      <c r="O85" s="1466">
        <v>220</v>
      </c>
      <c r="P85" s="1467">
        <v>30</v>
      </c>
      <c r="Q85" s="2425" t="s">
        <v>6548</v>
      </c>
      <c r="R85" s="1465">
        <v>27</v>
      </c>
      <c r="S85" s="3472"/>
      <c r="T85" s="3471"/>
      <c r="U85" s="3472"/>
      <c r="V85" s="3471"/>
      <c r="W85" s="3478"/>
      <c r="X85" s="3477"/>
      <c r="Y85" s="268">
        <f>SUM('6층_부하량(월간_AVG)'!D157:F157)</f>
        <v>0</v>
      </c>
      <c r="Z85" s="268">
        <f>SUM('6층_부하량(월간_AVG)'!D186:F186)</f>
        <v>0</v>
      </c>
      <c r="AA85" s="2436">
        <f t="shared" si="42"/>
        <v>0</v>
      </c>
      <c r="AB85" s="2683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3196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224">
        <f>VLOOKUP(I85&amp;J85,'7층~4층_매핑테이블'!$Q$6:$X$2020,8,0)</f>
        <v>0</v>
      </c>
      <c r="AE85" s="3212" t="e">
        <f>SUM(AB85:AC86)</f>
        <v>#N/A</v>
      </c>
      <c r="AF85" s="2766"/>
      <c r="AH85" s="2351" t="e">
        <f t="shared" si="12"/>
        <v>#N/A</v>
      </c>
      <c r="AI85" s="2351" t="e">
        <f t="shared" si="13"/>
        <v>#N/A</v>
      </c>
      <c r="AJ85" s="123" t="e">
        <f t="shared" si="33"/>
        <v>#N/A</v>
      </c>
      <c r="AK85" t="e">
        <f t="shared" si="34"/>
        <v>#N/A</v>
      </c>
      <c r="AL85" t="e">
        <f t="shared" si="35"/>
        <v>#N/A</v>
      </c>
      <c r="AQ85" s="123"/>
      <c r="AR85" s="123"/>
      <c r="AS85" s="123"/>
      <c r="AT85" s="2982"/>
      <c r="AU85" s="123"/>
      <c r="AV85" s="123"/>
      <c r="AW85" s="2983"/>
      <c r="AX85" s="2984"/>
      <c r="AY85" s="2985"/>
      <c r="AZ85" s="2986"/>
      <c r="BA85" s="2987"/>
      <c r="BB85" s="3194"/>
      <c r="BC85" s="2989"/>
    </row>
    <row r="86" spans="1:55" ht="28.8" x14ac:dyDescent="0.25">
      <c r="A86" s="3454"/>
      <c r="B86" s="3456"/>
      <c r="C86" s="250"/>
      <c r="D86" s="250"/>
      <c r="E86" s="250" t="s">
        <v>1768</v>
      </c>
      <c r="F86" s="250" t="s">
        <v>1769</v>
      </c>
      <c r="G86" s="2609" t="s">
        <v>1770</v>
      </c>
      <c r="H86" s="2604" t="s">
        <v>1771</v>
      </c>
      <c r="I86" s="2122" t="str">
        <f t="shared" si="40"/>
        <v>6-DaHall 1-PDU-11-30-49</v>
      </c>
      <c r="J86" s="2123" t="str">
        <f t="shared" si="41"/>
        <v>6-DaHall 1-PDU-12-30-49</v>
      </c>
      <c r="K86" s="1474">
        <v>220</v>
      </c>
      <c r="L86" s="1475">
        <v>30</v>
      </c>
      <c r="M86" s="2419" t="s">
        <v>6541</v>
      </c>
      <c r="N86" s="1462">
        <v>49</v>
      </c>
      <c r="O86" s="1466">
        <v>220</v>
      </c>
      <c r="P86" s="1467">
        <v>30</v>
      </c>
      <c r="Q86" s="2425" t="s">
        <v>6548</v>
      </c>
      <c r="R86" s="1465">
        <v>49</v>
      </c>
      <c r="S86" s="3472"/>
      <c r="T86" s="3471"/>
      <c r="U86" s="3472"/>
      <c r="V86" s="3471"/>
      <c r="W86" s="3478"/>
      <c r="X86" s="3477"/>
      <c r="Y86" s="268">
        <f>SUM('6층_부하량(월간_AVG)'!D168:F168)</f>
        <v>0</v>
      </c>
      <c r="Z86" s="268">
        <f>SUM('6층_부하량(월간_AVG)'!D197:F197)</f>
        <v>0</v>
      </c>
      <c r="AA86" s="2436">
        <f t="shared" si="42"/>
        <v>0</v>
      </c>
      <c r="AB86" s="2683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3196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224">
        <f>VLOOKUP(I86&amp;J86,'7층~4층_매핑테이블'!$Q$6:$X$2020,8,0)</f>
        <v>0</v>
      </c>
      <c r="AE86" s="3139" t="e">
        <f>$AE$85</f>
        <v>#N/A</v>
      </c>
      <c r="AF86" s="2766"/>
      <c r="AH86" s="2351" t="e">
        <f t="shared" si="12"/>
        <v>#N/A</v>
      </c>
      <c r="AI86" s="2351" t="e">
        <f t="shared" si="13"/>
        <v>#N/A</v>
      </c>
      <c r="AJ86" s="123" t="e">
        <f t="shared" si="33"/>
        <v>#N/A</v>
      </c>
      <c r="AK86" t="e">
        <f t="shared" si="34"/>
        <v>#N/A</v>
      </c>
      <c r="AL86" t="e">
        <f t="shared" si="35"/>
        <v>#N/A</v>
      </c>
      <c r="AQ86" s="123"/>
      <c r="AR86" s="123"/>
      <c r="AS86" s="123"/>
      <c r="AT86" s="2982"/>
      <c r="AU86" s="123"/>
      <c r="AV86" s="123"/>
      <c r="AW86" s="2983"/>
      <c r="AX86" s="2984"/>
      <c r="AY86" s="2985"/>
      <c r="AZ86" s="2986"/>
      <c r="BA86" s="2987"/>
      <c r="BB86" s="3194"/>
      <c r="BC86" s="2989"/>
    </row>
    <row r="87" spans="1:55" ht="28.8" x14ac:dyDescent="0.25">
      <c r="A87" s="2620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09" t="s">
        <v>1776</v>
      </c>
      <c r="H87" s="2604" t="s">
        <v>1777</v>
      </c>
      <c r="I87" s="2122" t="str">
        <f t="shared" si="40"/>
        <v>6-DaHall 1-PDU-11-30-29</v>
      </c>
      <c r="J87" s="2123" t="str">
        <f t="shared" si="41"/>
        <v>6-DaHall 1-PDU-12-30-29</v>
      </c>
      <c r="K87" s="1474">
        <v>220</v>
      </c>
      <c r="L87" s="1475">
        <v>30</v>
      </c>
      <c r="M87" s="2419" t="s">
        <v>6541</v>
      </c>
      <c r="N87" s="1462">
        <v>29</v>
      </c>
      <c r="O87" s="1466">
        <v>220</v>
      </c>
      <c r="P87" s="1467">
        <v>30</v>
      </c>
      <c r="Q87" s="2425" t="s">
        <v>6548</v>
      </c>
      <c r="R87" s="1465">
        <v>29</v>
      </c>
      <c r="S87" s="3472"/>
      <c r="T87" s="3471"/>
      <c r="U87" s="3472"/>
      <c r="V87" s="3471"/>
      <c r="W87" s="3478"/>
      <c r="X87" s="3477"/>
      <c r="Y87" s="268">
        <f>SUM('6층_부하량(월간_AVG)'!D158:F158)</f>
        <v>0</v>
      </c>
      <c r="Z87" s="268">
        <f>SUM('6층_부하량(월간_AVG)'!D187:F187)</f>
        <v>0</v>
      </c>
      <c r="AA87" s="2436">
        <f t="shared" si="42"/>
        <v>0</v>
      </c>
      <c r="AB87" s="2683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3196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3224">
        <f>VLOOKUP(I87&amp;J87,'7층~4층_매핑테이블'!$Q$6:$X$2020,8,0)</f>
        <v>0</v>
      </c>
      <c r="AE87" s="3140" t="e">
        <f t="shared" ref="AE87" si="43">SUM(AB87:AC87)</f>
        <v>#N/A</v>
      </c>
      <c r="AF87" s="2766"/>
      <c r="AH87" s="2351" t="e">
        <f t="shared" si="12"/>
        <v>#N/A</v>
      </c>
      <c r="AI87" s="2351" t="e">
        <f t="shared" si="13"/>
        <v>#N/A</v>
      </c>
      <c r="AJ87" s="123" t="e">
        <f t="shared" si="33"/>
        <v>#N/A</v>
      </c>
      <c r="AK87" t="e">
        <f t="shared" si="34"/>
        <v>#N/A</v>
      </c>
      <c r="AL87" t="e">
        <f t="shared" si="35"/>
        <v>#N/A</v>
      </c>
      <c r="AQ87" s="123"/>
      <c r="AR87" s="123"/>
      <c r="AS87" s="123"/>
      <c r="AT87" s="2982"/>
      <c r="AU87" s="123"/>
      <c r="AV87" s="123"/>
      <c r="AW87" s="2983"/>
      <c r="AX87" s="2984"/>
      <c r="AY87" s="2985"/>
      <c r="AZ87" s="2986"/>
      <c r="BA87" s="2987"/>
      <c r="BB87" s="3194"/>
      <c r="BC87" s="2989"/>
    </row>
    <row r="88" spans="1:55" ht="28.8" x14ac:dyDescent="0.25">
      <c r="A88" s="3454" t="s">
        <v>1778</v>
      </c>
      <c r="B88" s="3456" t="s">
        <v>1779</v>
      </c>
      <c r="C88" s="250"/>
      <c r="D88" s="250"/>
      <c r="E88" s="250" t="s">
        <v>1780</v>
      </c>
      <c r="F88" s="250" t="s">
        <v>1781</v>
      </c>
      <c r="G88" s="2609" t="s">
        <v>1782</v>
      </c>
      <c r="H88" s="2604" t="s">
        <v>1783</v>
      </c>
      <c r="I88" s="2122" t="str">
        <f t="shared" si="40"/>
        <v>6-DaHall 1-PDU-11-30-31</v>
      </c>
      <c r="J88" s="2123" t="str">
        <f t="shared" si="41"/>
        <v>6-DaHall 1-PDU-12-30-31</v>
      </c>
      <c r="K88" s="1474">
        <v>220</v>
      </c>
      <c r="L88" s="1475">
        <v>30</v>
      </c>
      <c r="M88" s="2419" t="s">
        <v>6541</v>
      </c>
      <c r="N88" s="1462">
        <v>31</v>
      </c>
      <c r="O88" s="1466">
        <v>220</v>
      </c>
      <c r="P88" s="1467">
        <v>30</v>
      </c>
      <c r="Q88" s="2425" t="s">
        <v>6548</v>
      </c>
      <c r="R88" s="1465">
        <v>31</v>
      </c>
      <c r="S88" s="3472"/>
      <c r="T88" s="3471"/>
      <c r="U88" s="3472"/>
      <c r="V88" s="3471"/>
      <c r="W88" s="3478"/>
      <c r="X88" s="3477"/>
      <c r="Y88" s="268">
        <f>SUM('6층_부하량(월간_AVG)'!D159:F159)</f>
        <v>0</v>
      </c>
      <c r="Z88" s="268">
        <f>SUM('6층_부하량(월간_AVG)'!D188:F188)</f>
        <v>0</v>
      </c>
      <c r="AA88" s="2436">
        <f t="shared" si="42"/>
        <v>0</v>
      </c>
      <c r="AB88" s="2683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3196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224">
        <f>VLOOKUP(I88&amp;J88,'7층~4층_매핑테이블'!$Q$6:$X$2020,8,0)</f>
        <v>0</v>
      </c>
      <c r="AE88" s="3212" t="e">
        <f>SUM(AB88:AC89)</f>
        <v>#N/A</v>
      </c>
      <c r="AF88" s="2766"/>
      <c r="AH88" s="2351" t="e">
        <f t="shared" si="12"/>
        <v>#N/A</v>
      </c>
      <c r="AI88" s="2351" t="e">
        <f t="shared" si="13"/>
        <v>#N/A</v>
      </c>
      <c r="AJ88" s="123" t="e">
        <f t="shared" si="33"/>
        <v>#N/A</v>
      </c>
      <c r="AK88" t="e">
        <f t="shared" si="34"/>
        <v>#N/A</v>
      </c>
      <c r="AL88" t="e">
        <f t="shared" si="35"/>
        <v>#N/A</v>
      </c>
      <c r="AQ88" s="123"/>
      <c r="AR88" s="123"/>
      <c r="AS88" s="123"/>
      <c r="AT88" s="2982"/>
      <c r="AU88" s="123"/>
      <c r="AV88" s="123"/>
      <c r="AW88" s="2983"/>
      <c r="AX88" s="2984"/>
      <c r="AY88" s="2985"/>
      <c r="AZ88" s="2986"/>
      <c r="BA88" s="2987"/>
      <c r="BB88" s="3194"/>
      <c r="BC88" s="2989"/>
    </row>
    <row r="89" spans="1:55" ht="28.8" x14ac:dyDescent="0.25">
      <c r="A89" s="3454"/>
      <c r="B89" s="3456"/>
      <c r="C89" s="250"/>
      <c r="D89" s="250"/>
      <c r="E89" s="250" t="s">
        <v>1784</v>
      </c>
      <c r="F89" s="250" t="s">
        <v>1785</v>
      </c>
      <c r="G89" s="2609" t="s">
        <v>1786</v>
      </c>
      <c r="H89" s="2604" t="s">
        <v>1787</v>
      </c>
      <c r="I89" s="2122" t="str">
        <f t="shared" si="40"/>
        <v>6-DaHall 1-PDU-11-30-47</v>
      </c>
      <c r="J89" s="2123" t="str">
        <f t="shared" si="41"/>
        <v>6-DaHall 1-PDU-12-30-47</v>
      </c>
      <c r="K89" s="1474">
        <v>220</v>
      </c>
      <c r="L89" s="1475">
        <v>30</v>
      </c>
      <c r="M89" s="2419" t="s">
        <v>6541</v>
      </c>
      <c r="N89" s="1462">
        <v>47</v>
      </c>
      <c r="O89" s="1466">
        <v>220</v>
      </c>
      <c r="P89" s="1467">
        <v>30</v>
      </c>
      <c r="Q89" s="2425" t="s">
        <v>6548</v>
      </c>
      <c r="R89" s="1465">
        <v>47</v>
      </c>
      <c r="S89" s="3472"/>
      <c r="T89" s="3471"/>
      <c r="U89" s="3472"/>
      <c r="V89" s="3471"/>
      <c r="W89" s="3478"/>
      <c r="X89" s="3477"/>
      <c r="Y89" s="268">
        <f>SUM('6층_부하량(월간_AVG)'!D167:F167)</f>
        <v>0</v>
      </c>
      <c r="Z89" s="268">
        <f>SUM('6층_부하량(월간_AVG)'!D196:F196)</f>
        <v>0</v>
      </c>
      <c r="AA89" s="2436">
        <f t="shared" si="42"/>
        <v>0</v>
      </c>
      <c r="AB89" s="2683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3196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224">
        <f>VLOOKUP(I89&amp;J89,'7층~4층_매핑테이블'!$Q$6:$X$2020,8,0)</f>
        <v>0</v>
      </c>
      <c r="AE89" s="3139" t="e">
        <f>$AE$88</f>
        <v>#N/A</v>
      </c>
      <c r="AF89" s="2766"/>
      <c r="AH89" s="2351" t="e">
        <f t="shared" si="12"/>
        <v>#N/A</v>
      </c>
      <c r="AI89" s="2351" t="e">
        <f t="shared" si="13"/>
        <v>#N/A</v>
      </c>
      <c r="AJ89" s="123" t="e">
        <f t="shared" si="33"/>
        <v>#N/A</v>
      </c>
      <c r="AK89" t="e">
        <f t="shared" si="34"/>
        <v>#N/A</v>
      </c>
      <c r="AL89" t="e">
        <f t="shared" si="35"/>
        <v>#N/A</v>
      </c>
      <c r="AQ89" s="123"/>
      <c r="AR89" s="123"/>
      <c r="AS89" s="123"/>
      <c r="AT89" s="2982"/>
      <c r="AU89" s="123"/>
      <c r="AV89" s="123"/>
      <c r="AW89" s="2983"/>
      <c r="AX89" s="2984"/>
      <c r="AY89" s="2985"/>
      <c r="AZ89" s="2986"/>
      <c r="BA89" s="2987"/>
      <c r="BB89" s="3194"/>
      <c r="BC89" s="2989"/>
    </row>
    <row r="90" spans="1:55" ht="28.8" x14ac:dyDescent="0.25">
      <c r="A90" s="2620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09" t="s">
        <v>1792</v>
      </c>
      <c r="H90" s="2604" t="s">
        <v>1793</v>
      </c>
      <c r="I90" s="2122" t="str">
        <f t="shared" si="40"/>
        <v>6-DaHall 1-PDU-11-30-33</v>
      </c>
      <c r="J90" s="2123" t="str">
        <f t="shared" si="41"/>
        <v>6-DaHall 1-PDU-12-30-33</v>
      </c>
      <c r="K90" s="1474">
        <v>220</v>
      </c>
      <c r="L90" s="1475">
        <v>30</v>
      </c>
      <c r="M90" s="2419" t="s">
        <v>6541</v>
      </c>
      <c r="N90" s="1462">
        <v>33</v>
      </c>
      <c r="O90" s="1466">
        <v>220</v>
      </c>
      <c r="P90" s="1467">
        <v>30</v>
      </c>
      <c r="Q90" s="2425" t="s">
        <v>6548</v>
      </c>
      <c r="R90" s="1465">
        <v>33</v>
      </c>
      <c r="S90" s="3472"/>
      <c r="T90" s="3471"/>
      <c r="U90" s="3472"/>
      <c r="V90" s="3471"/>
      <c r="W90" s="3487"/>
      <c r="X90" s="3488"/>
      <c r="Y90" s="268">
        <f>SUM('6층_부하량(월간_AVG)'!D160:F160)</f>
        <v>0</v>
      </c>
      <c r="Z90" s="268">
        <f>SUM('6층_부하량(월간_AVG)'!D189:F189)</f>
        <v>0</v>
      </c>
      <c r="AA90" s="2436">
        <f t="shared" si="42"/>
        <v>0</v>
      </c>
      <c r="AB90" s="2683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3196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3224">
        <f>VLOOKUP(I90&amp;J90,'7층~4층_매핑테이블'!$Q$6:$X$2020,8,0)</f>
        <v>0</v>
      </c>
      <c r="AE90" s="3140" t="e">
        <f>SUM(AB90:AC90)</f>
        <v>#N/A</v>
      </c>
      <c r="AF90" s="2766"/>
      <c r="AH90" s="2351" t="e">
        <f t="shared" ref="AH90:AH153" si="44">AE90/(24*31)</f>
        <v>#N/A</v>
      </c>
      <c r="AI90" s="2351" t="e">
        <f t="shared" ref="AI90:AI153" si="45">D90-AH90</f>
        <v>#N/A</v>
      </c>
      <c r="AJ90" s="123" t="e">
        <f t="shared" si="33"/>
        <v>#N/A</v>
      </c>
      <c r="AK90" t="e">
        <f t="shared" si="34"/>
        <v>#N/A</v>
      </c>
      <c r="AL90" t="e">
        <f t="shared" si="35"/>
        <v>#N/A</v>
      </c>
      <c r="AQ90" s="123"/>
      <c r="AR90" s="123"/>
      <c r="AS90" s="123"/>
      <c r="AT90" s="2982"/>
      <c r="AU90" s="123"/>
      <c r="AV90" s="123"/>
      <c r="AW90" s="2983"/>
      <c r="AX90" s="2984"/>
      <c r="AY90" s="2985"/>
      <c r="AZ90" s="2986"/>
      <c r="BA90" s="2987"/>
      <c r="BB90" s="3194"/>
      <c r="BC90" s="2989"/>
    </row>
    <row r="91" spans="1:55" x14ac:dyDescent="0.25">
      <c r="A91" s="2620" t="s">
        <v>1794</v>
      </c>
      <c r="B91" s="2680" t="s">
        <v>1795</v>
      </c>
      <c r="C91" s="2680"/>
      <c r="D91" s="2680"/>
      <c r="E91" s="2680"/>
      <c r="F91" s="2680"/>
      <c r="G91" s="2676"/>
      <c r="H91" s="2659"/>
      <c r="I91" s="2122"/>
      <c r="J91" s="2123"/>
      <c r="K91" s="1460"/>
      <c r="L91" s="1461"/>
      <c r="M91" s="2609"/>
      <c r="N91" s="1462"/>
      <c r="O91" s="1463"/>
      <c r="P91" s="1464"/>
      <c r="Q91" s="2604"/>
      <c r="R91" s="1465"/>
      <c r="S91" s="832"/>
      <c r="T91" s="833"/>
      <c r="U91" s="832"/>
      <c r="V91" s="833"/>
      <c r="W91" s="1086"/>
      <c r="X91" s="1087"/>
      <c r="Y91" s="991"/>
      <c r="Z91" s="991"/>
      <c r="AA91" s="2441"/>
      <c r="AB91" s="2684"/>
      <c r="AC91" s="2705"/>
      <c r="AD91" s="3223"/>
      <c r="AE91" s="3208">
        <f>SUM(AB91:AC91)</f>
        <v>0</v>
      </c>
      <c r="AF91" s="2781" t="s">
        <v>1265</v>
      </c>
      <c r="AH91" s="2351">
        <f t="shared" si="44"/>
        <v>0</v>
      </c>
      <c r="AI91" s="2351">
        <f t="shared" si="45"/>
        <v>0</v>
      </c>
      <c r="AJ91" s="123" t="str">
        <f t="shared" si="33"/>
        <v>무부하 랙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82"/>
      <c r="AU91" s="123"/>
      <c r="AV91" s="123"/>
      <c r="AW91" s="2983"/>
      <c r="AX91" s="2984"/>
      <c r="AY91" s="2985"/>
      <c r="AZ91" s="2986"/>
      <c r="BA91" s="2987"/>
      <c r="BB91" s="3194"/>
      <c r="BC91" s="2989"/>
    </row>
    <row r="92" spans="1:55" x14ac:dyDescent="0.25">
      <c r="A92" s="2620" t="s">
        <v>1796</v>
      </c>
      <c r="B92" s="2680" t="s">
        <v>1797</v>
      </c>
      <c r="C92" s="2680"/>
      <c r="D92" s="2680"/>
      <c r="E92" s="2680"/>
      <c r="F92" s="2680"/>
      <c r="G92" s="2676"/>
      <c r="H92" s="2659"/>
      <c r="I92" s="2122"/>
      <c r="J92" s="2123"/>
      <c r="K92" s="1460"/>
      <c r="L92" s="1461"/>
      <c r="M92" s="2609"/>
      <c r="N92" s="1462"/>
      <c r="O92" s="1463"/>
      <c r="P92" s="1464"/>
      <c r="Q92" s="2604"/>
      <c r="R92" s="1465"/>
      <c r="S92" s="832"/>
      <c r="T92" s="833"/>
      <c r="U92" s="832"/>
      <c r="V92" s="833"/>
      <c r="W92" s="1086"/>
      <c r="X92" s="1087"/>
      <c r="Y92" s="991"/>
      <c r="Z92" s="991"/>
      <c r="AA92" s="2441"/>
      <c r="AB92" s="2684"/>
      <c r="AC92" s="2705"/>
      <c r="AD92" s="3223"/>
      <c r="AE92" s="3208">
        <f>SUM(AB92:AC92)</f>
        <v>0</v>
      </c>
      <c r="AF92" s="2781" t="s">
        <v>1265</v>
      </c>
      <c r="AH92" s="2351">
        <f t="shared" si="44"/>
        <v>0</v>
      </c>
      <c r="AI92" s="2351">
        <f t="shared" si="45"/>
        <v>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82"/>
      <c r="AU92" s="123"/>
      <c r="AV92" s="123"/>
      <c r="AW92" s="2983"/>
      <c r="AX92" s="2984"/>
      <c r="AY92" s="2985"/>
      <c r="AZ92" s="2986"/>
      <c r="BA92" s="2987"/>
      <c r="BB92" s="3194"/>
      <c r="BC92" s="2989"/>
    </row>
    <row r="93" spans="1:55" x14ac:dyDescent="0.25">
      <c r="A93" s="2620" t="s">
        <v>1798</v>
      </c>
      <c r="B93" s="2680" t="s">
        <v>1799</v>
      </c>
      <c r="C93" s="2680"/>
      <c r="D93" s="2680"/>
      <c r="E93" s="2680"/>
      <c r="F93" s="2680"/>
      <c r="G93" s="2676"/>
      <c r="H93" s="2659"/>
      <c r="I93" s="2122"/>
      <c r="J93" s="2123"/>
      <c r="K93" s="1460"/>
      <c r="L93" s="1461"/>
      <c r="M93" s="2609"/>
      <c r="N93" s="1462"/>
      <c r="O93" s="1463"/>
      <c r="P93" s="1464"/>
      <c r="Q93" s="2604"/>
      <c r="R93" s="1465"/>
      <c r="S93" s="832"/>
      <c r="T93" s="833"/>
      <c r="U93" s="832"/>
      <c r="V93" s="833"/>
      <c r="W93" s="1086"/>
      <c r="X93" s="1087"/>
      <c r="Y93" s="991"/>
      <c r="Z93" s="991"/>
      <c r="AA93" s="2441"/>
      <c r="AB93" s="2684"/>
      <c r="AC93" s="2705"/>
      <c r="AD93" s="3223"/>
      <c r="AE93" s="3208">
        <f>SUM(AB93:AC93)</f>
        <v>0</v>
      </c>
      <c r="AF93" s="2781" t="s">
        <v>1265</v>
      </c>
      <c r="AH93" s="2351">
        <f t="shared" si="44"/>
        <v>0</v>
      </c>
      <c r="AI93" s="2351">
        <f t="shared" si="45"/>
        <v>0</v>
      </c>
      <c r="AJ93" s="123" t="str">
        <f t="shared" si="33"/>
        <v>무부하 랙</v>
      </c>
      <c r="AK93" t="str">
        <f t="shared" si="34"/>
        <v/>
      </c>
      <c r="AL93" t="str">
        <f t="shared" si="35"/>
        <v/>
      </c>
      <c r="AQ93" s="123"/>
      <c r="AR93" s="123"/>
      <c r="AS93" s="123"/>
      <c r="AT93" s="2982"/>
      <c r="AU93" s="123"/>
      <c r="AV93" s="123"/>
      <c r="AW93" s="2983"/>
      <c r="AX93" s="2984"/>
      <c r="AY93" s="2985"/>
      <c r="AZ93" s="2986"/>
      <c r="BA93" s="2987"/>
      <c r="BB93" s="3194"/>
      <c r="BC93" s="2989"/>
    </row>
    <row r="94" spans="1:55" ht="15" thickBot="1" x14ac:dyDescent="0.3">
      <c r="A94" s="2628" t="s">
        <v>1800</v>
      </c>
      <c r="B94" s="839"/>
      <c r="C94" s="839"/>
      <c r="D94" s="839"/>
      <c r="E94" s="839"/>
      <c r="F94" s="839"/>
      <c r="G94" s="2677"/>
      <c r="H94" s="2660"/>
      <c r="I94" s="2124"/>
      <c r="J94" s="2125"/>
      <c r="K94" s="1468"/>
      <c r="L94" s="1469"/>
      <c r="M94" s="2611"/>
      <c r="N94" s="1470"/>
      <c r="O94" s="1471"/>
      <c r="P94" s="1472"/>
      <c r="Q94" s="2605"/>
      <c r="R94" s="1473"/>
      <c r="S94" s="840"/>
      <c r="T94" s="849"/>
      <c r="U94" s="840"/>
      <c r="V94" s="849"/>
      <c r="W94" s="840"/>
      <c r="X94" s="849"/>
      <c r="Y94" s="1098"/>
      <c r="Z94" s="1098"/>
      <c r="AA94" s="2440"/>
      <c r="AB94" s="2779"/>
      <c r="AC94" s="2718"/>
      <c r="AD94" s="4034"/>
      <c r="AE94" s="3213">
        <f>SUM(AB94:AC94)</f>
        <v>0</v>
      </c>
      <c r="AF94" s="2780" t="s">
        <v>1265</v>
      </c>
      <c r="AH94" s="2351">
        <f t="shared" si="44"/>
        <v>0</v>
      </c>
      <c r="AI94" s="2351">
        <f t="shared" si="45"/>
        <v>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82"/>
      <c r="AU94" s="123"/>
      <c r="AV94" s="123"/>
      <c r="AW94" s="2983"/>
      <c r="AX94" s="2984"/>
      <c r="AY94" s="2985"/>
      <c r="AZ94" s="2986"/>
      <c r="BA94" s="2987"/>
      <c r="BB94" s="3194"/>
      <c r="BC94" s="2989"/>
    </row>
    <row r="95" spans="1:55" ht="15" customHeight="1" thickTop="1" x14ac:dyDescent="0.25">
      <c r="A95" s="1081" t="s">
        <v>1936</v>
      </c>
      <c r="B95" s="2621"/>
      <c r="C95" s="2632" t="s">
        <v>9236</v>
      </c>
      <c r="D95" s="2952">
        <v>2.2000000000000002</v>
      </c>
      <c r="E95" s="250" t="s">
        <v>1937</v>
      </c>
      <c r="F95" s="250" t="s">
        <v>1938</v>
      </c>
      <c r="G95" s="2609"/>
      <c r="H95" s="2604"/>
      <c r="I95" s="2122" t="str">
        <f t="shared" ref="I95:I104" si="46">"6-DaHall 1-PDU-"&amp;M95&amp;"-"&amp;L95&amp;"-"&amp;N95</f>
        <v>6-DaHall 1-PDU-01-30-25</v>
      </c>
      <c r="J95" s="2123" t="str">
        <f t="shared" ref="J95:J104" si="47">"6-DaHall 1-PDU-"&amp;Q95&amp;"-"&amp;P95&amp;"-"&amp;R95</f>
        <v>6-DaHall 1-PDU-02-30-25</v>
      </c>
      <c r="K95" s="1460">
        <v>220</v>
      </c>
      <c r="L95" s="1461">
        <v>30</v>
      </c>
      <c r="M95" s="2419" t="s">
        <v>6497</v>
      </c>
      <c r="N95" s="1462">
        <v>25</v>
      </c>
      <c r="O95" s="1463">
        <v>220</v>
      </c>
      <c r="P95" s="1464">
        <v>30</v>
      </c>
      <c r="Q95" s="2425" t="s">
        <v>6493</v>
      </c>
      <c r="R95" s="1465">
        <v>25</v>
      </c>
      <c r="S95" s="3490" t="s">
        <v>1861</v>
      </c>
      <c r="T95" s="3491" t="s">
        <v>1862</v>
      </c>
      <c r="U95" s="3489" t="s">
        <v>1863</v>
      </c>
      <c r="V95" s="3491" t="s">
        <v>1864</v>
      </c>
      <c r="W95" s="3489" t="s">
        <v>1880</v>
      </c>
      <c r="X95" s="3491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38">
        <f t="shared" ref="AA95:AA102" si="48">SUM(Y95:Z95)</f>
        <v>0</v>
      </c>
      <c r="AB95" s="2683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3196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3240">
        <f>VLOOKUP(I95&amp;J95,'7층~4층_매핑테이블'!$Q$6:$X$2020,8,0)</f>
        <v>0</v>
      </c>
      <c r="AE95" s="3211" t="e">
        <f t="shared" ref="AE95:AE121" si="49">SUM(AB95:AC95)</f>
        <v>#N/A</v>
      </c>
      <c r="AF95" s="2458"/>
      <c r="AH95" s="2351" t="e">
        <f t="shared" si="44"/>
        <v>#N/A</v>
      </c>
      <c r="AI95" s="2351" t="e">
        <f t="shared" si="45"/>
        <v>#N/A</v>
      </c>
      <c r="AJ95" s="123" t="e">
        <f t="shared" si="33"/>
        <v>#N/A</v>
      </c>
      <c r="AK95" t="e">
        <f t="shared" si="34"/>
        <v>#N/A</v>
      </c>
      <c r="AL95" t="e">
        <f t="shared" si="35"/>
        <v>#N/A</v>
      </c>
      <c r="AQ95" s="123"/>
      <c r="AR95" s="123"/>
      <c r="AS95" s="123"/>
      <c r="AT95" s="2982"/>
      <c r="AU95" s="123"/>
      <c r="AV95" s="123"/>
      <c r="AW95" s="2983"/>
      <c r="AX95" s="2984"/>
      <c r="AY95" s="2985"/>
      <c r="AZ95" s="2986"/>
      <c r="BA95" s="2987"/>
      <c r="BB95" s="3194"/>
      <c r="BC95" s="2989"/>
    </row>
    <row r="96" spans="1:55" ht="42" customHeight="1" x14ac:dyDescent="0.25">
      <c r="A96" s="2620" t="s">
        <v>735</v>
      </c>
      <c r="B96" s="2621" t="s">
        <v>1939</v>
      </c>
      <c r="C96" s="2632" t="s">
        <v>9186</v>
      </c>
      <c r="D96" s="2951">
        <v>2.2000000000000002</v>
      </c>
      <c r="E96" s="250" t="s">
        <v>1940</v>
      </c>
      <c r="F96" s="250" t="s">
        <v>1941</v>
      </c>
      <c r="G96" s="2609" t="s">
        <v>1942</v>
      </c>
      <c r="H96" s="2604" t="s">
        <v>1943</v>
      </c>
      <c r="I96" s="2122" t="str">
        <f t="shared" si="46"/>
        <v>6-DaHall 1-PDU-01-30-27</v>
      </c>
      <c r="J96" s="2123" t="str">
        <f t="shared" si="47"/>
        <v>6-DaHall 1-PDU-02-30-27</v>
      </c>
      <c r="K96" s="1460">
        <v>220</v>
      </c>
      <c r="L96" s="1461">
        <v>30</v>
      </c>
      <c r="M96" s="2419" t="s">
        <v>6497</v>
      </c>
      <c r="N96" s="1462">
        <v>27</v>
      </c>
      <c r="O96" s="1463">
        <v>220</v>
      </c>
      <c r="P96" s="1464">
        <v>30</v>
      </c>
      <c r="Q96" s="2425" t="s">
        <v>6493</v>
      </c>
      <c r="R96" s="1465">
        <v>27</v>
      </c>
      <c r="S96" s="3483"/>
      <c r="T96" s="3477"/>
      <c r="U96" s="3478"/>
      <c r="V96" s="3477"/>
      <c r="W96" s="3478"/>
      <c r="X96" s="3477"/>
      <c r="Y96" s="253">
        <f>SUM('6층_부하량(월간_AVG)'!D215:F215)</f>
        <v>0</v>
      </c>
      <c r="Z96" s="253">
        <f>SUM('6층_부하량(월간_AVG)'!D245:F245)</f>
        <v>0</v>
      </c>
      <c r="AA96" s="2436">
        <f t="shared" si="48"/>
        <v>0</v>
      </c>
      <c r="AB96" s="2683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3196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3224">
        <f>VLOOKUP(I96&amp;J96,'7층~4층_매핑테이블'!$Q$6:$X$2020,8,0)</f>
        <v>0.68399999999999994</v>
      </c>
      <c r="AE96" s="3140" t="e">
        <f t="shared" si="49"/>
        <v>#N/A</v>
      </c>
      <c r="AF96" s="2766"/>
      <c r="AH96" s="2351" t="e">
        <f t="shared" si="44"/>
        <v>#N/A</v>
      </c>
      <c r="AI96" s="2351" t="e">
        <f t="shared" si="45"/>
        <v>#N/A</v>
      </c>
      <c r="AJ96" s="123" t="e">
        <f t="shared" si="33"/>
        <v>#N/A</v>
      </c>
      <c r="AK96" t="e">
        <f t="shared" si="34"/>
        <v>#N/A</v>
      </c>
      <c r="AL96" t="e">
        <f t="shared" si="35"/>
        <v>#N/A</v>
      </c>
      <c r="AQ96" s="123"/>
      <c r="AR96" s="123"/>
      <c r="AS96" s="123"/>
      <c r="AT96" s="2982"/>
      <c r="AU96" s="123"/>
      <c r="AV96" s="123"/>
      <c r="AW96" s="2983"/>
      <c r="AX96" s="2984"/>
      <c r="AY96" s="2985"/>
      <c r="AZ96" s="2986"/>
      <c r="BA96" s="2987"/>
      <c r="BB96" s="3194"/>
      <c r="BC96" s="2989"/>
    </row>
    <row r="97" spans="1:55" ht="28.8" x14ac:dyDescent="0.25">
      <c r="A97" s="2620" t="s">
        <v>730</v>
      </c>
      <c r="B97" s="2621" t="s">
        <v>1944</v>
      </c>
      <c r="C97" s="2632" t="s">
        <v>9186</v>
      </c>
      <c r="D97" s="2952">
        <v>2.2000000000000002</v>
      </c>
      <c r="E97" s="250" t="s">
        <v>1945</v>
      </c>
      <c r="F97" s="250" t="s">
        <v>1946</v>
      </c>
      <c r="G97" s="2609" t="s">
        <v>1947</v>
      </c>
      <c r="H97" s="2604" t="s">
        <v>1948</v>
      </c>
      <c r="I97" s="2122" t="str">
        <f t="shared" si="46"/>
        <v>6-DaHall 1-PDU-01-30-29</v>
      </c>
      <c r="J97" s="2123" t="str">
        <f t="shared" si="47"/>
        <v>6-DaHall 1-PDU-02-30-29</v>
      </c>
      <c r="K97" s="1460">
        <v>220</v>
      </c>
      <c r="L97" s="1461">
        <v>30</v>
      </c>
      <c r="M97" s="2419" t="s">
        <v>6497</v>
      </c>
      <c r="N97" s="1462">
        <v>29</v>
      </c>
      <c r="O97" s="1463">
        <v>220</v>
      </c>
      <c r="P97" s="1464">
        <v>30</v>
      </c>
      <c r="Q97" s="2425" t="s">
        <v>6493</v>
      </c>
      <c r="R97" s="1465">
        <v>29</v>
      </c>
      <c r="S97" s="3483"/>
      <c r="T97" s="3477"/>
      <c r="U97" s="3478"/>
      <c r="V97" s="3477"/>
      <c r="W97" s="3478"/>
      <c r="X97" s="3477"/>
      <c r="Y97" s="253">
        <f>SUM('6층_부하량(월간_AVG)'!D216:F216)</f>
        <v>0</v>
      </c>
      <c r="Z97" s="253">
        <f>SUM('6층_부하량(월간_AVG)'!D246:F246)</f>
        <v>0</v>
      </c>
      <c r="AA97" s="2436">
        <f t="shared" si="48"/>
        <v>0</v>
      </c>
      <c r="AB97" s="2683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3196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3224">
        <f>VLOOKUP(I97&amp;J97,'7층~4층_매핑테이블'!$Q$6:$X$2020,8,0)</f>
        <v>0</v>
      </c>
      <c r="AE97" s="3140" t="e">
        <f t="shared" si="49"/>
        <v>#N/A</v>
      </c>
      <c r="AF97" s="2766"/>
      <c r="AH97" s="2351" t="e">
        <f t="shared" si="44"/>
        <v>#N/A</v>
      </c>
      <c r="AI97" s="2351" t="e">
        <f t="shared" si="45"/>
        <v>#N/A</v>
      </c>
      <c r="AJ97" s="123" t="e">
        <f t="shared" si="33"/>
        <v>#N/A</v>
      </c>
      <c r="AK97" t="e">
        <f t="shared" si="34"/>
        <v>#N/A</v>
      </c>
      <c r="AL97" t="e">
        <f t="shared" si="35"/>
        <v>#N/A</v>
      </c>
      <c r="AQ97" s="123"/>
      <c r="AR97" s="123"/>
      <c r="AS97" s="123"/>
      <c r="AT97" s="2982"/>
      <c r="AU97" s="123"/>
      <c r="AV97" s="123"/>
      <c r="AW97" s="2983"/>
      <c r="AX97" s="2984"/>
      <c r="AY97" s="2985"/>
      <c r="AZ97" s="2986"/>
      <c r="BA97" s="2987"/>
      <c r="BB97" s="3194"/>
      <c r="BC97" s="2989"/>
    </row>
    <row r="98" spans="1:55" ht="28.8" x14ac:dyDescent="0.25">
      <c r="A98" s="2620" t="s">
        <v>1949</v>
      </c>
      <c r="B98" s="2621" t="s">
        <v>1950</v>
      </c>
      <c r="C98" s="2632" t="s">
        <v>9236</v>
      </c>
      <c r="D98" s="2952">
        <v>2.2000000000000002</v>
      </c>
      <c r="E98" s="250" t="s">
        <v>1951</v>
      </c>
      <c r="F98" s="250" t="s">
        <v>1952</v>
      </c>
      <c r="G98" s="2609" t="s">
        <v>1953</v>
      </c>
      <c r="H98" s="2031" t="s">
        <v>1954</v>
      </c>
      <c r="I98" s="2122" t="str">
        <f t="shared" si="46"/>
        <v>6-DaHall 1-PDU-01-30-31</v>
      </c>
      <c r="J98" s="2123" t="str">
        <f t="shared" si="47"/>
        <v>6-DaHall 1-PDU-02-30-31</v>
      </c>
      <c r="K98" s="1460">
        <v>220</v>
      </c>
      <c r="L98" s="1461">
        <v>30</v>
      </c>
      <c r="M98" s="2419" t="s">
        <v>6497</v>
      </c>
      <c r="N98" s="1462">
        <v>31</v>
      </c>
      <c r="O98" s="1463">
        <v>220</v>
      </c>
      <c r="P98" s="1464">
        <v>30</v>
      </c>
      <c r="Q98" s="2425" t="s">
        <v>6493</v>
      </c>
      <c r="R98" s="1465">
        <v>31</v>
      </c>
      <c r="S98" s="3483"/>
      <c r="T98" s="3477"/>
      <c r="U98" s="3478"/>
      <c r="V98" s="3477"/>
      <c r="W98" s="3478"/>
      <c r="X98" s="3477"/>
      <c r="Y98" s="253">
        <f>SUM('6층_부하량(월간_AVG)'!D217:F217)</f>
        <v>0</v>
      </c>
      <c r="Z98" s="253">
        <f>SUM('6층_부하량(월간_AVG)'!D247:F247)</f>
        <v>0</v>
      </c>
      <c r="AA98" s="2436">
        <f t="shared" si="48"/>
        <v>0</v>
      </c>
      <c r="AB98" s="2683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3196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3224">
        <f>VLOOKUP(I98&amp;J98,'7층~4층_매핑테이블'!$Q$6:$X$2020,8,0)</f>
        <v>0</v>
      </c>
      <c r="AE98" s="3140" t="e">
        <f t="shared" si="49"/>
        <v>#N/A</v>
      </c>
      <c r="AF98" s="2459"/>
      <c r="AH98" s="2351" t="e">
        <f t="shared" si="44"/>
        <v>#N/A</v>
      </c>
      <c r="AI98" s="2351" t="e">
        <f t="shared" si="45"/>
        <v>#N/A</v>
      </c>
      <c r="AJ98" s="123" t="e">
        <f t="shared" si="33"/>
        <v>#N/A</v>
      </c>
      <c r="AK98" t="e">
        <f t="shared" si="34"/>
        <v>#N/A</v>
      </c>
      <c r="AL98" t="e">
        <f t="shared" si="35"/>
        <v>#N/A</v>
      </c>
      <c r="AQ98" s="123"/>
      <c r="AR98" s="123"/>
      <c r="AS98" s="123"/>
      <c r="AT98" s="2982"/>
      <c r="AU98" s="123"/>
      <c r="AV98" s="123"/>
      <c r="AW98" s="2983"/>
      <c r="AX98" s="2984"/>
      <c r="AY98" s="2985"/>
      <c r="AZ98" s="2986"/>
      <c r="BA98" s="2987"/>
      <c r="BB98" s="3194"/>
      <c r="BC98" s="2989"/>
    </row>
    <row r="99" spans="1:55" ht="28.8" x14ac:dyDescent="0.25">
      <c r="A99" s="2620" t="s">
        <v>1955</v>
      </c>
      <c r="B99" s="2621" t="s">
        <v>1956</v>
      </c>
      <c r="C99" s="2632" t="s">
        <v>9236</v>
      </c>
      <c r="D99" s="2952">
        <v>2.2000000000000002</v>
      </c>
      <c r="E99" s="250" t="s">
        <v>1957</v>
      </c>
      <c r="F99" s="250" t="s">
        <v>1958</v>
      </c>
      <c r="G99" s="2609" t="s">
        <v>1959</v>
      </c>
      <c r="H99" s="2031" t="s">
        <v>1960</v>
      </c>
      <c r="I99" s="2122" t="str">
        <f t="shared" si="46"/>
        <v>6-DaHall 1-PDU-01-30-33</v>
      </c>
      <c r="J99" s="2123" t="str">
        <f t="shared" si="47"/>
        <v>6-DaHall 1-PDU-02-30-33</v>
      </c>
      <c r="K99" s="1460">
        <v>220</v>
      </c>
      <c r="L99" s="1461">
        <v>30</v>
      </c>
      <c r="M99" s="2419" t="s">
        <v>6497</v>
      </c>
      <c r="N99" s="1462">
        <v>33</v>
      </c>
      <c r="O99" s="1463">
        <v>220</v>
      </c>
      <c r="P99" s="1464">
        <v>30</v>
      </c>
      <c r="Q99" s="2425" t="s">
        <v>6493</v>
      </c>
      <c r="R99" s="1465">
        <v>33</v>
      </c>
      <c r="S99" s="3483"/>
      <c r="T99" s="3477"/>
      <c r="U99" s="3478"/>
      <c r="V99" s="3477"/>
      <c r="W99" s="3478"/>
      <c r="X99" s="3477"/>
      <c r="Y99" s="253">
        <f>SUM('6층_부하량(월간_AVG)'!D218:F218)</f>
        <v>0</v>
      </c>
      <c r="Z99" s="253">
        <f>SUM('6층_부하량(월간_AVG)'!D248:F248)</f>
        <v>0</v>
      </c>
      <c r="AA99" s="2436">
        <f t="shared" si="48"/>
        <v>0</v>
      </c>
      <c r="AB99" s="2683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3196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3224">
        <f>VLOOKUP(I99&amp;J99,'7층~4층_매핑테이블'!$Q$6:$X$2020,8,0)</f>
        <v>0</v>
      </c>
      <c r="AE99" s="3140" t="e">
        <f t="shared" si="49"/>
        <v>#N/A</v>
      </c>
      <c r="AF99" s="2459"/>
      <c r="AH99" s="2351" t="e">
        <f t="shared" si="44"/>
        <v>#N/A</v>
      </c>
      <c r="AI99" s="2351" t="e">
        <f t="shared" si="45"/>
        <v>#N/A</v>
      </c>
      <c r="AJ99" s="123" t="e">
        <f t="shared" si="33"/>
        <v>#N/A</v>
      </c>
      <c r="AK99" t="e">
        <f t="shared" si="34"/>
        <v>#N/A</v>
      </c>
      <c r="AL99" t="e">
        <f t="shared" si="35"/>
        <v>#N/A</v>
      </c>
      <c r="AQ99" s="123"/>
      <c r="AR99" s="123"/>
      <c r="AS99" s="123"/>
      <c r="AT99" s="2982"/>
      <c r="AU99" s="123"/>
      <c r="AV99" s="123"/>
      <c r="AW99" s="2983"/>
      <c r="AX99" s="2984"/>
      <c r="AY99" s="2985"/>
      <c r="AZ99" s="2986"/>
      <c r="BA99" s="2987"/>
      <c r="BB99" s="3194"/>
      <c r="BC99" s="2989"/>
    </row>
    <row r="100" spans="1:55" ht="28.8" x14ac:dyDescent="0.25">
      <c r="A100" s="2620" t="s">
        <v>1961</v>
      </c>
      <c r="B100" s="2621" t="s">
        <v>1962</v>
      </c>
      <c r="C100" s="2632" t="s">
        <v>9236</v>
      </c>
      <c r="D100" s="2952">
        <v>6</v>
      </c>
      <c r="E100" s="250" t="s">
        <v>1937</v>
      </c>
      <c r="F100" s="250" t="s">
        <v>1938</v>
      </c>
      <c r="G100" s="2609" t="s">
        <v>1963</v>
      </c>
      <c r="H100" s="2031" t="s">
        <v>1964</v>
      </c>
      <c r="I100" s="2122" t="str">
        <f t="shared" si="46"/>
        <v>6-DaHall 1-PDU-01-30-35</v>
      </c>
      <c r="J100" s="2123" t="str">
        <f t="shared" si="47"/>
        <v>6-DaHall 1-PDU-02-30-35</v>
      </c>
      <c r="K100" s="1460">
        <v>220</v>
      </c>
      <c r="L100" s="1461">
        <v>30</v>
      </c>
      <c r="M100" s="2419" t="s">
        <v>6497</v>
      </c>
      <c r="N100" s="1462">
        <v>35</v>
      </c>
      <c r="O100" s="1463">
        <v>220</v>
      </c>
      <c r="P100" s="1464">
        <v>30</v>
      </c>
      <c r="Q100" s="2425" t="s">
        <v>6493</v>
      </c>
      <c r="R100" s="1465">
        <v>35</v>
      </c>
      <c r="S100" s="3483"/>
      <c r="T100" s="3477"/>
      <c r="U100" s="3478"/>
      <c r="V100" s="3477"/>
      <c r="W100" s="3478"/>
      <c r="X100" s="3477"/>
      <c r="Y100" s="253">
        <f>SUM('6층_부하량(월간_AVG)'!D219:F219)</f>
        <v>0</v>
      </c>
      <c r="Z100" s="253">
        <f>SUM('6층_부하량(월간_AVG)'!D249:F249)</f>
        <v>0</v>
      </c>
      <c r="AA100" s="2436">
        <f t="shared" si="48"/>
        <v>0</v>
      </c>
      <c r="AB100" s="2683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3196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3224">
        <f>VLOOKUP(I100&amp;J100,'7층~4층_매핑테이블'!$Q$6:$X$2020,8,0)</f>
        <v>0</v>
      </c>
      <c r="AE100" s="3140" t="e">
        <f t="shared" si="49"/>
        <v>#N/A</v>
      </c>
      <c r="AF100" s="2766"/>
      <c r="AH100" s="2351" t="e">
        <f t="shared" si="44"/>
        <v>#N/A</v>
      </c>
      <c r="AI100" s="2351" t="e">
        <f t="shared" si="45"/>
        <v>#N/A</v>
      </c>
      <c r="AJ100" s="123" t="e">
        <f t="shared" si="33"/>
        <v>#N/A</v>
      </c>
      <c r="AK100" t="e">
        <f t="shared" si="34"/>
        <v>#N/A</v>
      </c>
      <c r="AL100" t="e">
        <f t="shared" si="35"/>
        <v>#N/A</v>
      </c>
      <c r="AQ100" s="123"/>
      <c r="AR100" s="123"/>
      <c r="AS100" s="123"/>
      <c r="AT100" s="2982"/>
      <c r="AU100" s="123"/>
      <c r="AV100" s="123"/>
      <c r="AW100" s="2983"/>
      <c r="AX100" s="2984"/>
      <c r="AY100" s="2985"/>
      <c r="AZ100" s="2986"/>
      <c r="BA100" s="2987"/>
      <c r="BB100" s="3194"/>
      <c r="BC100" s="2989"/>
    </row>
    <row r="101" spans="1:55" ht="28.8" x14ac:dyDescent="0.25">
      <c r="A101" s="2620" t="s">
        <v>1965</v>
      </c>
      <c r="B101" s="250" t="s">
        <v>1966</v>
      </c>
      <c r="C101" s="2632"/>
      <c r="D101" s="2953"/>
      <c r="E101" s="250" t="s">
        <v>1967</v>
      </c>
      <c r="F101" s="250" t="s">
        <v>1968</v>
      </c>
      <c r="G101" s="2609" t="s">
        <v>1969</v>
      </c>
      <c r="H101" s="2031" t="s">
        <v>1970</v>
      </c>
      <c r="I101" s="2122" t="str">
        <f t="shared" si="46"/>
        <v>6-DaHall 1-PDU-01-30-37</v>
      </c>
      <c r="J101" s="2123" t="str">
        <f t="shared" si="47"/>
        <v>6-DaHall 1-PDU-02-30-37</v>
      </c>
      <c r="K101" s="1460">
        <v>220</v>
      </c>
      <c r="L101" s="1461">
        <v>30</v>
      </c>
      <c r="M101" s="2419" t="s">
        <v>6497</v>
      </c>
      <c r="N101" s="1462">
        <v>37</v>
      </c>
      <c r="O101" s="1463">
        <v>220</v>
      </c>
      <c r="P101" s="1464">
        <v>30</v>
      </c>
      <c r="Q101" s="2425" t="s">
        <v>6493</v>
      </c>
      <c r="R101" s="1465">
        <v>37</v>
      </c>
      <c r="S101" s="3483"/>
      <c r="T101" s="3477"/>
      <c r="U101" s="3478"/>
      <c r="V101" s="3477"/>
      <c r="W101" s="3478"/>
      <c r="X101" s="3477"/>
      <c r="Y101" s="253">
        <f>SUM('6층_부하량(월간_AVG)'!D220:F220)</f>
        <v>0</v>
      </c>
      <c r="Z101" s="253">
        <f>SUM('6층_부하량(월간_AVG)'!D250:F250)</f>
        <v>0</v>
      </c>
      <c r="AA101" s="2436">
        <f t="shared" si="48"/>
        <v>0</v>
      </c>
      <c r="AB101" s="2683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3196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3224">
        <f>VLOOKUP(I101&amp;J101,'7층~4층_매핑테이블'!$Q$6:$X$2020,8,0)</f>
        <v>0</v>
      </c>
      <c r="AE101" s="3140" t="e">
        <f t="shared" si="49"/>
        <v>#N/A</v>
      </c>
      <c r="AF101" s="2766"/>
      <c r="AH101" s="2351" t="e">
        <f t="shared" si="44"/>
        <v>#N/A</v>
      </c>
      <c r="AI101" s="2351" t="e">
        <f t="shared" si="45"/>
        <v>#N/A</v>
      </c>
      <c r="AJ101" s="123" t="e">
        <f t="shared" si="33"/>
        <v>#N/A</v>
      </c>
      <c r="AK101" t="e">
        <f t="shared" si="34"/>
        <v>#N/A</v>
      </c>
      <c r="AL101" t="e">
        <f t="shared" si="35"/>
        <v>#N/A</v>
      </c>
      <c r="AQ101" s="123"/>
      <c r="AR101" s="123"/>
      <c r="AS101" s="123"/>
      <c r="AT101" s="2982"/>
      <c r="AU101" s="123"/>
      <c r="AV101" s="123"/>
      <c r="AW101" s="2983"/>
      <c r="AX101" s="2984"/>
      <c r="AY101" s="2985"/>
      <c r="AZ101" s="2986"/>
      <c r="BA101" s="2987"/>
      <c r="BB101" s="3194"/>
      <c r="BC101" s="2989"/>
    </row>
    <row r="102" spans="1:55" ht="28.8" x14ac:dyDescent="0.25">
      <c r="A102" s="2620" t="s">
        <v>1971</v>
      </c>
      <c r="B102" s="2621" t="s">
        <v>1972</v>
      </c>
      <c r="C102" s="2632" t="s">
        <v>9236</v>
      </c>
      <c r="D102" s="2952">
        <v>2.2000000000000002</v>
      </c>
      <c r="E102" s="250" t="s">
        <v>1973</v>
      </c>
      <c r="F102" s="250" t="s">
        <v>1974</v>
      </c>
      <c r="G102" s="2609" t="s">
        <v>1975</v>
      </c>
      <c r="H102" s="2031" t="s">
        <v>1976</v>
      </c>
      <c r="I102" s="2122" t="str">
        <f t="shared" si="46"/>
        <v>6-DaHall 1-PDU-01-30-39</v>
      </c>
      <c r="J102" s="2123" t="str">
        <f t="shared" si="47"/>
        <v>6-DaHall 1-PDU-02-30-39</v>
      </c>
      <c r="K102" s="1460">
        <v>220</v>
      </c>
      <c r="L102" s="1461">
        <v>30</v>
      </c>
      <c r="M102" s="2419" t="s">
        <v>6497</v>
      </c>
      <c r="N102" s="1462">
        <v>39</v>
      </c>
      <c r="O102" s="1463">
        <v>220</v>
      </c>
      <c r="P102" s="1464">
        <v>30</v>
      </c>
      <c r="Q102" s="2425" t="s">
        <v>6493</v>
      </c>
      <c r="R102" s="1465">
        <v>39</v>
      </c>
      <c r="S102" s="3483"/>
      <c r="T102" s="3477"/>
      <c r="U102" s="3478"/>
      <c r="V102" s="3477"/>
      <c r="W102" s="3478"/>
      <c r="X102" s="3477"/>
      <c r="Y102" s="253">
        <f>SUM('6층_부하량(월간_AVG)'!D221:F221)</f>
        <v>0</v>
      </c>
      <c r="Z102" s="253">
        <f>SUM('6층_부하량(월간_AVG)'!D251:F251)</f>
        <v>0</v>
      </c>
      <c r="AA102" s="2436">
        <f t="shared" si="48"/>
        <v>0</v>
      </c>
      <c r="AB102" s="2683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3196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3224">
        <f>VLOOKUP(I102&amp;J102,'7층~4층_매핑테이블'!$Q$6:$X$2020,8,0)</f>
        <v>0</v>
      </c>
      <c r="AE102" s="3140" t="e">
        <f t="shared" si="49"/>
        <v>#N/A</v>
      </c>
      <c r="AF102" s="2459"/>
      <c r="AH102" s="2351" t="e">
        <f t="shared" si="44"/>
        <v>#N/A</v>
      </c>
      <c r="AI102" s="2351" t="e">
        <f t="shared" si="45"/>
        <v>#N/A</v>
      </c>
      <c r="AJ102" s="123" t="e">
        <f t="shared" si="33"/>
        <v>#N/A</v>
      </c>
      <c r="AK102" t="e">
        <f t="shared" si="34"/>
        <v>#N/A</v>
      </c>
      <c r="AL102" t="e">
        <f t="shared" si="35"/>
        <v>#N/A</v>
      </c>
      <c r="AQ102" s="123"/>
      <c r="AR102" s="123"/>
      <c r="AS102" s="123"/>
      <c r="AT102" s="2982"/>
      <c r="AU102" s="123"/>
      <c r="AV102" s="123"/>
      <c r="AW102" s="2983"/>
      <c r="AX102" s="2984"/>
      <c r="AY102" s="2985"/>
      <c r="AZ102" s="2986"/>
      <c r="BA102" s="2987"/>
      <c r="BB102" s="3194"/>
      <c r="BC102" s="2989"/>
    </row>
    <row r="103" spans="1:55" ht="28.2" customHeight="1" x14ac:dyDescent="0.25">
      <c r="A103" s="2620" t="s">
        <v>1977</v>
      </c>
      <c r="B103" s="2621" t="s">
        <v>1978</v>
      </c>
      <c r="C103" s="2632" t="s">
        <v>9237</v>
      </c>
      <c r="D103" s="2951">
        <v>2.2000000000000002</v>
      </c>
      <c r="E103" s="250" t="s">
        <v>1979</v>
      </c>
      <c r="F103" s="250" t="s">
        <v>1980</v>
      </c>
      <c r="G103" s="2609" t="s">
        <v>1981</v>
      </c>
      <c r="H103" s="2604" t="s">
        <v>1982</v>
      </c>
      <c r="I103" s="2122" t="str">
        <f t="shared" si="46"/>
        <v>6-DaHall 1-PDU-01-30-41</v>
      </c>
      <c r="J103" s="2123" t="str">
        <f t="shared" si="47"/>
        <v>6-DaHall 1-PDU-02-30-41</v>
      </c>
      <c r="K103" s="1460">
        <v>220</v>
      </c>
      <c r="L103" s="1461">
        <v>30</v>
      </c>
      <c r="M103" s="2419" t="s">
        <v>6497</v>
      </c>
      <c r="N103" s="1462">
        <v>41</v>
      </c>
      <c r="O103" s="1463">
        <v>220</v>
      </c>
      <c r="P103" s="1464">
        <v>30</v>
      </c>
      <c r="Q103" s="2425" t="s">
        <v>6493</v>
      </c>
      <c r="R103" s="1465">
        <v>41</v>
      </c>
      <c r="S103" s="3483"/>
      <c r="T103" s="3477"/>
      <c r="U103" s="3478"/>
      <c r="V103" s="3477"/>
      <c r="W103" s="3478"/>
      <c r="X103" s="3477"/>
      <c r="Y103" s="253">
        <f>SUM('6층_부하량(월간_AVG)'!D222:F222)</f>
        <v>0</v>
      </c>
      <c r="Z103" s="253">
        <f>SUM('6층_부하량(월간_AVG)'!D252:F252)</f>
        <v>0</v>
      </c>
      <c r="AA103" s="2450">
        <f>SUM(Y103:Z103)</f>
        <v>0</v>
      </c>
      <c r="AB103" s="2683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3196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3224">
        <f>VLOOKUP(I103&amp;J103,'7층~4층_매핑테이블'!$Q$6:$X$2020,8,0)</f>
        <v>0.36599999999999999</v>
      </c>
      <c r="AE103" s="3141" t="e">
        <f t="shared" si="49"/>
        <v>#N/A</v>
      </c>
      <c r="AF103" s="2783"/>
      <c r="AH103" s="2351" t="e">
        <f t="shared" si="44"/>
        <v>#N/A</v>
      </c>
      <c r="AI103" s="2351" t="e">
        <f t="shared" si="45"/>
        <v>#N/A</v>
      </c>
      <c r="AJ103" s="123" t="e">
        <f t="shared" si="33"/>
        <v>#N/A</v>
      </c>
      <c r="AK103" t="e">
        <f t="shared" si="34"/>
        <v>#N/A</v>
      </c>
      <c r="AL103" t="e">
        <f t="shared" si="35"/>
        <v>#N/A</v>
      </c>
      <c r="AQ103" s="123"/>
      <c r="AR103" s="123"/>
      <c r="AS103" s="123"/>
      <c r="AT103" s="2982"/>
      <c r="AU103" s="123"/>
      <c r="AV103" s="123"/>
      <c r="AW103" s="2983"/>
      <c r="AX103" s="2984"/>
      <c r="AY103" s="2985"/>
      <c r="AZ103" s="2986"/>
      <c r="BA103" s="2987"/>
      <c r="BB103" s="3194"/>
      <c r="BC103" s="2989"/>
    </row>
    <row r="104" spans="1:55" ht="28.8" x14ac:dyDescent="0.25">
      <c r="A104" s="2620" t="s">
        <v>705</v>
      </c>
      <c r="B104" s="250" t="s">
        <v>1983</v>
      </c>
      <c r="C104" s="2632" t="s">
        <v>9238</v>
      </c>
      <c r="D104" s="2951">
        <v>4.4000000000000004</v>
      </c>
      <c r="E104" s="2680" t="s">
        <v>1984</v>
      </c>
      <c r="F104" s="2680" t="s">
        <v>1985</v>
      </c>
      <c r="G104" s="2609" t="s">
        <v>1986</v>
      </c>
      <c r="H104" s="2604" t="s">
        <v>1987</v>
      </c>
      <c r="I104" s="2122" t="str">
        <f t="shared" si="46"/>
        <v>6-DaHall 1-PDU-01-30-49</v>
      </c>
      <c r="J104" s="2123" t="str">
        <f t="shared" si="47"/>
        <v>6-DaHall 1-PDU-02-30-30</v>
      </c>
      <c r="K104" s="1460">
        <v>220</v>
      </c>
      <c r="L104" s="1461">
        <v>30</v>
      </c>
      <c r="M104" s="2419" t="s">
        <v>6497</v>
      </c>
      <c r="N104" s="1462">
        <v>49</v>
      </c>
      <c r="O104" s="1463">
        <v>220</v>
      </c>
      <c r="P104" s="1464">
        <v>30</v>
      </c>
      <c r="Q104" s="2425" t="s">
        <v>6493</v>
      </c>
      <c r="R104" s="1465">
        <v>30</v>
      </c>
      <c r="S104" s="3483"/>
      <c r="T104" s="3477"/>
      <c r="U104" s="3478"/>
      <c r="V104" s="3477"/>
      <c r="W104" s="3478"/>
      <c r="X104" s="3477"/>
      <c r="Y104" s="253">
        <f>SUM('6층_부하량(월간_AVG)'!D226:F226)</f>
        <v>0</v>
      </c>
      <c r="Z104" s="253">
        <f>SUM('6층_부하량(월간_AVG)'!L246:N246)</f>
        <v>0</v>
      </c>
      <c r="AA104" s="2911">
        <f>SUM(Y104:Z104)</f>
        <v>0</v>
      </c>
      <c r="AB104" s="2683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3196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3224">
        <f>VLOOKUP(I104&amp;J104,'7층~4층_매핑테이블'!$Q$6:$X$2020,8,0)</f>
        <v>4.3920000000000003</v>
      </c>
      <c r="AE104" s="3140" t="e">
        <f t="shared" si="49"/>
        <v>#N/A</v>
      </c>
      <c r="AF104" s="2912"/>
      <c r="AH104" s="2351" t="e">
        <f t="shared" si="44"/>
        <v>#N/A</v>
      </c>
      <c r="AI104" s="2351" t="e">
        <f t="shared" si="45"/>
        <v>#N/A</v>
      </c>
      <c r="AJ104" s="123" t="e">
        <f t="shared" si="33"/>
        <v>#N/A</v>
      </c>
      <c r="AK104" t="e">
        <f t="shared" si="34"/>
        <v>#N/A</v>
      </c>
      <c r="AL104" t="e">
        <f t="shared" si="35"/>
        <v>#N/A</v>
      </c>
      <c r="AQ104" s="123"/>
      <c r="AR104" s="123"/>
      <c r="AS104" s="123"/>
      <c r="AT104" s="2982"/>
      <c r="AU104" s="123"/>
      <c r="AV104" s="123"/>
      <c r="AW104" s="2983"/>
      <c r="AX104" s="2984"/>
      <c r="AY104" s="2985"/>
      <c r="AZ104" s="2986"/>
      <c r="BA104" s="2987"/>
      <c r="BB104" s="3194"/>
      <c r="BC104" s="2989"/>
    </row>
    <row r="105" spans="1:55" ht="33" thickBot="1" x14ac:dyDescent="0.3">
      <c r="A105" s="2628" t="s">
        <v>1988</v>
      </c>
      <c r="B105" s="2629"/>
      <c r="C105" s="3042" t="s">
        <v>9299</v>
      </c>
      <c r="D105" s="2656"/>
      <c r="E105" s="839"/>
      <c r="F105" s="839"/>
      <c r="G105" s="2677"/>
      <c r="H105" s="2660"/>
      <c r="I105" s="2124"/>
      <c r="J105" s="2125"/>
      <c r="K105" s="1477"/>
      <c r="L105" s="1478"/>
      <c r="M105" s="2420"/>
      <c r="N105" s="1479"/>
      <c r="O105" s="1480"/>
      <c r="P105" s="1481"/>
      <c r="Q105" s="2426"/>
      <c r="R105" s="1482"/>
      <c r="S105" s="3484"/>
      <c r="T105" s="3474"/>
      <c r="U105" s="3476"/>
      <c r="V105" s="3474"/>
      <c r="W105" s="3476"/>
      <c r="X105" s="3474"/>
      <c r="Y105" s="329"/>
      <c r="Z105" s="329"/>
      <c r="AA105" s="2437"/>
      <c r="AB105" s="2787"/>
      <c r="AC105" s="2696"/>
      <c r="AD105" s="4032">
        <f>VLOOKUP(I105&amp;J105,'7층~4층_매핑테이블'!$Q$6:$X$2020,8,0)</f>
        <v>0</v>
      </c>
      <c r="AE105" s="3209"/>
      <c r="AF105" s="2457"/>
      <c r="AH105" s="2351">
        <f t="shared" si="44"/>
        <v>0</v>
      </c>
      <c r="AI105" s="2351">
        <f t="shared" si="45"/>
        <v>0</v>
      </c>
      <c r="AJ105" s="123" t="str">
        <f t="shared" si="33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82"/>
      <c r="AU105" s="123"/>
      <c r="AV105" s="123"/>
      <c r="AW105" s="2983"/>
      <c r="AX105" s="2984"/>
      <c r="AY105" s="2985"/>
      <c r="AZ105" s="2986"/>
      <c r="BA105" s="2987"/>
      <c r="BB105" s="3194"/>
      <c r="BC105" s="2989"/>
    </row>
    <row r="106" spans="1:55" ht="15" thickTop="1" x14ac:dyDescent="0.25">
      <c r="A106" s="1081" t="s">
        <v>1687</v>
      </c>
      <c r="B106" s="828"/>
      <c r="C106" s="828"/>
      <c r="D106" s="828"/>
      <c r="E106" s="828"/>
      <c r="F106" s="828"/>
      <c r="G106" s="884"/>
      <c r="H106" s="885"/>
      <c r="I106" s="2120"/>
      <c r="J106" s="2121"/>
      <c r="K106" s="1452"/>
      <c r="L106" s="1453"/>
      <c r="M106" s="884"/>
      <c r="N106" s="1454"/>
      <c r="O106" s="1455"/>
      <c r="P106" s="1456"/>
      <c r="Q106" s="885"/>
      <c r="R106" s="1457"/>
      <c r="S106" s="829"/>
      <c r="T106" s="830"/>
      <c r="U106" s="829"/>
      <c r="V106" s="830"/>
      <c r="W106" s="829"/>
      <c r="X106" s="830"/>
      <c r="Y106" s="835"/>
      <c r="Z106" s="835"/>
      <c r="AA106" s="2439"/>
      <c r="AB106" s="2771"/>
      <c r="AC106" s="2701"/>
      <c r="AD106" s="3223"/>
      <c r="AE106" s="3207">
        <f t="shared" si="49"/>
        <v>0</v>
      </c>
      <c r="AF106" s="2772" t="s">
        <v>1265</v>
      </c>
      <c r="AH106" s="2351">
        <f t="shared" si="44"/>
        <v>0</v>
      </c>
      <c r="AI106" s="2351">
        <f t="shared" si="45"/>
        <v>0</v>
      </c>
      <c r="AJ106" s="123" t="str">
        <f t="shared" si="33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82"/>
      <c r="AU106" s="123"/>
      <c r="AV106" s="123"/>
      <c r="AW106" s="2983"/>
      <c r="AX106" s="2984"/>
      <c r="AY106" s="2985"/>
      <c r="AZ106" s="2986"/>
      <c r="BA106" s="2987"/>
      <c r="BB106" s="3194"/>
      <c r="BC106" s="2989"/>
    </row>
    <row r="107" spans="1:55" ht="28.5" customHeight="1" x14ac:dyDescent="0.25">
      <c r="A107" s="2620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09" t="s">
        <v>1692</v>
      </c>
      <c r="H107" s="2604" t="s">
        <v>1693</v>
      </c>
      <c r="I107" s="2122" t="str">
        <f t="shared" ref="I107:I115" si="50">"6-DaHall 1-PDU-"&amp;M107&amp;"-"&amp;L107&amp;"-"&amp;N107</f>
        <v>6-DaHall 1-PDU-01-30-45</v>
      </c>
      <c r="J107" s="2123" t="str">
        <f t="shared" ref="J107:J115" si="51">"6-DaHall 1-PDU-"&amp;Q107&amp;"-"&amp;P107&amp;"-"&amp;R107</f>
        <v>6-DaHall 1-PDU-02-30-45</v>
      </c>
      <c r="K107" s="1460">
        <v>220</v>
      </c>
      <c r="L107" s="1461">
        <v>30</v>
      </c>
      <c r="M107" s="2419" t="s">
        <v>6497</v>
      </c>
      <c r="N107" s="1462">
        <v>45</v>
      </c>
      <c r="O107" s="1463">
        <v>220</v>
      </c>
      <c r="P107" s="1464">
        <v>30</v>
      </c>
      <c r="Q107" s="2425" t="s">
        <v>6493</v>
      </c>
      <c r="R107" s="1465">
        <v>45</v>
      </c>
      <c r="S107" s="3468" t="s">
        <v>1694</v>
      </c>
      <c r="T107" s="3465" t="s">
        <v>1695</v>
      </c>
      <c r="U107" s="3468" t="s">
        <v>1696</v>
      </c>
      <c r="V107" s="3465" t="s">
        <v>1697</v>
      </c>
      <c r="W107" s="3468" t="s">
        <v>1276</v>
      </c>
      <c r="X107" s="3465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36">
        <f t="shared" ref="AA107:AA115" si="52">SUM(Y107:Z107)</f>
        <v>0</v>
      </c>
      <c r="AB107" s="2683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692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3224">
        <f>VLOOKUP(I107&amp;J107,'7층~4층_매핑테이블'!$Q$6:$X$2020,8,0)</f>
        <v>0</v>
      </c>
      <c r="AE107" s="3140" t="e">
        <f t="shared" si="49"/>
        <v>#N/A</v>
      </c>
      <c r="AF107" s="2766"/>
      <c r="AH107" s="2351" t="e">
        <f t="shared" si="44"/>
        <v>#N/A</v>
      </c>
      <c r="AI107" s="2351" t="e">
        <f t="shared" si="45"/>
        <v>#N/A</v>
      </c>
      <c r="AJ107" s="123" t="e">
        <f t="shared" si="33"/>
        <v>#N/A</v>
      </c>
      <c r="AK107" t="e">
        <f t="shared" si="34"/>
        <v>#N/A</v>
      </c>
      <c r="AL107" t="e">
        <f t="shared" si="35"/>
        <v>#N/A</v>
      </c>
      <c r="AQ107" s="123"/>
      <c r="AR107" s="123"/>
      <c r="AS107" s="123"/>
      <c r="AT107" s="2982"/>
      <c r="AU107" s="123"/>
      <c r="AV107" s="123"/>
      <c r="AW107" s="2983"/>
      <c r="AX107" s="2984"/>
      <c r="AY107" s="2985"/>
      <c r="AZ107" s="2986"/>
      <c r="BA107" s="2987"/>
      <c r="BB107" s="3194"/>
      <c r="BC107" s="2989"/>
    </row>
    <row r="108" spans="1:55" ht="27.75" customHeight="1" x14ac:dyDescent="0.25">
      <c r="A108" s="2620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09" t="s">
        <v>1702</v>
      </c>
      <c r="H108" s="2604" t="s">
        <v>1703</v>
      </c>
      <c r="I108" s="2122" t="str">
        <f t="shared" si="50"/>
        <v>6-DaHall 1-PDU-01-30-47</v>
      </c>
      <c r="J108" s="2123" t="str">
        <f t="shared" si="51"/>
        <v>6-DaHall 1-PDU-02-30-47</v>
      </c>
      <c r="K108" s="1460">
        <v>220</v>
      </c>
      <c r="L108" s="1461">
        <v>30</v>
      </c>
      <c r="M108" s="2419" t="s">
        <v>6497</v>
      </c>
      <c r="N108" s="1462">
        <v>47</v>
      </c>
      <c r="O108" s="1463">
        <v>220</v>
      </c>
      <c r="P108" s="1464">
        <v>30</v>
      </c>
      <c r="Q108" s="2425" t="s">
        <v>6493</v>
      </c>
      <c r="R108" s="1465">
        <v>47</v>
      </c>
      <c r="S108" s="3468"/>
      <c r="T108" s="3465"/>
      <c r="U108" s="3468"/>
      <c r="V108" s="3465"/>
      <c r="W108" s="3472"/>
      <c r="X108" s="3471"/>
      <c r="Y108" s="268">
        <f>SUM('6층_부하량(월간_AVG)'!D225:F225)</f>
        <v>0</v>
      </c>
      <c r="Z108" s="268">
        <f>SUM('6층_부하량(월간_AVG)'!D255:F255)</f>
        <v>0</v>
      </c>
      <c r="AA108" s="2436">
        <f t="shared" si="52"/>
        <v>0</v>
      </c>
      <c r="AB108" s="2683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692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3224">
        <f>VLOOKUP(I108&amp;J108,'7층~4층_매핑테이블'!$Q$6:$X$2020,8,0)</f>
        <v>0</v>
      </c>
      <c r="AE108" s="3140" t="e">
        <f t="shared" si="49"/>
        <v>#N/A</v>
      </c>
      <c r="AF108" s="2766"/>
      <c r="AH108" s="2351" t="e">
        <f t="shared" si="44"/>
        <v>#N/A</v>
      </c>
      <c r="AI108" s="2351" t="e">
        <f t="shared" si="45"/>
        <v>#N/A</v>
      </c>
      <c r="AJ108" s="123" t="e">
        <f t="shared" si="33"/>
        <v>#N/A</v>
      </c>
      <c r="AK108" t="e">
        <f t="shared" si="34"/>
        <v>#N/A</v>
      </c>
      <c r="AL108" t="e">
        <f t="shared" si="35"/>
        <v>#N/A</v>
      </c>
      <c r="AQ108" s="123"/>
      <c r="AR108" s="123"/>
      <c r="AS108" s="123"/>
      <c r="AT108" s="2982"/>
      <c r="AU108" s="123"/>
      <c r="AV108" s="123"/>
      <c r="AW108" s="2983"/>
      <c r="AX108" s="2984"/>
      <c r="AY108" s="2985"/>
      <c r="AZ108" s="2986"/>
      <c r="BA108" s="2987"/>
      <c r="BB108" s="3194"/>
      <c r="BC108" s="2989"/>
    </row>
    <row r="109" spans="1:55" ht="43.2" x14ac:dyDescent="0.25">
      <c r="A109" s="2620" t="s">
        <v>1704</v>
      </c>
      <c r="B109" s="250" t="s">
        <v>1705</v>
      </c>
      <c r="C109" s="250"/>
      <c r="D109" s="250"/>
      <c r="E109" s="2615" t="s">
        <v>1706</v>
      </c>
      <c r="F109" s="2615" t="s">
        <v>1707</v>
      </c>
      <c r="G109" s="2609" t="s">
        <v>1708</v>
      </c>
      <c r="H109" s="2604" t="s">
        <v>1709</v>
      </c>
      <c r="I109" s="2122" t="str">
        <f t="shared" si="50"/>
        <v>6-DaHall 1-PDU-05-30-48</v>
      </c>
      <c r="J109" s="2123" t="str">
        <f t="shared" si="51"/>
        <v>6-DaHall 1-PDU-06-30-48</v>
      </c>
      <c r="K109" s="1460">
        <v>220</v>
      </c>
      <c r="L109" s="1461">
        <v>30</v>
      </c>
      <c r="M109" s="2419" t="s">
        <v>6491</v>
      </c>
      <c r="N109" s="1462">
        <v>48</v>
      </c>
      <c r="O109" s="1463">
        <v>220</v>
      </c>
      <c r="P109" s="1464">
        <v>30</v>
      </c>
      <c r="Q109" s="2425" t="s">
        <v>6501</v>
      </c>
      <c r="R109" s="1465">
        <v>48</v>
      </c>
      <c r="S109" s="2609" t="s">
        <v>1581</v>
      </c>
      <c r="T109" s="2604" t="s">
        <v>1582</v>
      </c>
      <c r="U109" s="2609" t="s">
        <v>1583</v>
      </c>
      <c r="V109" s="2604" t="s">
        <v>1584</v>
      </c>
      <c r="W109" s="3472"/>
      <c r="X109" s="3471"/>
      <c r="Y109" s="268">
        <f>SUM('6층_부하량(월간_AVG)'!L345:N345)</f>
        <v>0</v>
      </c>
      <c r="Z109" s="268">
        <f>SUM('6층_부하량(월간_AVG)'!L377:N377)</f>
        <v>0</v>
      </c>
      <c r="AA109" s="2436">
        <f t="shared" si="52"/>
        <v>0</v>
      </c>
      <c r="AB109" s="2683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692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3224">
        <f>VLOOKUP(I109&amp;J109,'7층~4층_매핑테이블'!$Q$6:$X$2020,8,0)</f>
        <v>0</v>
      </c>
      <c r="AE109" s="3140" t="e">
        <f t="shared" si="49"/>
        <v>#N/A</v>
      </c>
      <c r="AF109" s="2767"/>
      <c r="AH109" s="2351" t="e">
        <f t="shared" si="44"/>
        <v>#N/A</v>
      </c>
      <c r="AI109" s="2351" t="e">
        <f t="shared" si="45"/>
        <v>#N/A</v>
      </c>
      <c r="AJ109" s="123" t="e">
        <f t="shared" si="33"/>
        <v>#N/A</v>
      </c>
      <c r="AK109" t="e">
        <f t="shared" si="34"/>
        <v>#N/A</v>
      </c>
      <c r="AL109" t="e">
        <f t="shared" si="35"/>
        <v>#N/A</v>
      </c>
      <c r="AQ109" s="123"/>
      <c r="AR109" s="123"/>
      <c r="AS109" s="123"/>
      <c r="AT109" s="2982"/>
      <c r="AU109" s="123"/>
      <c r="AV109" s="123"/>
      <c r="AW109" s="2983"/>
      <c r="AX109" s="2984"/>
      <c r="AY109" s="2985"/>
      <c r="AZ109" s="2986"/>
      <c r="BA109" s="2987"/>
      <c r="BB109" s="3194"/>
      <c r="BC109" s="2989"/>
    </row>
    <row r="110" spans="1:55" ht="28.8" x14ac:dyDescent="0.25">
      <c r="A110" s="2620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09" t="s">
        <v>1714</v>
      </c>
      <c r="H110" s="2604" t="s">
        <v>1715</v>
      </c>
      <c r="I110" s="2122" t="str">
        <f t="shared" si="50"/>
        <v>6-DaHall 1-PDU-01-30-18</v>
      </c>
      <c r="J110" s="2123" t="str">
        <f t="shared" si="51"/>
        <v>6-DaHall 1-PDU-02-30-34</v>
      </c>
      <c r="K110" s="1460">
        <v>220</v>
      </c>
      <c r="L110" s="1461">
        <v>30</v>
      </c>
      <c r="M110" s="2419" t="s">
        <v>6497</v>
      </c>
      <c r="N110" s="1462">
        <v>18</v>
      </c>
      <c r="O110" s="1463">
        <v>220</v>
      </c>
      <c r="P110" s="1464">
        <v>30</v>
      </c>
      <c r="Q110" s="2425" t="s">
        <v>6493</v>
      </c>
      <c r="R110" s="1465">
        <v>34</v>
      </c>
      <c r="S110" s="3468" t="s">
        <v>1694</v>
      </c>
      <c r="T110" s="3465" t="s">
        <v>1695</v>
      </c>
      <c r="U110" s="3468" t="s">
        <v>1696</v>
      </c>
      <c r="V110" s="3465" t="s">
        <v>1697</v>
      </c>
      <c r="W110" s="3472"/>
      <c r="X110" s="3471"/>
      <c r="Y110" s="268">
        <f>SUM('6층_부하량(월간_AVG)'!L210:N210)</f>
        <v>0</v>
      </c>
      <c r="Z110" s="268">
        <f>SUM('6층_부하량(월간_AVG)'!L248:N248)</f>
        <v>0</v>
      </c>
      <c r="AA110" s="2436">
        <f t="shared" si="52"/>
        <v>0</v>
      </c>
      <c r="AB110" s="2683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3196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3224">
        <f>VLOOKUP(I110&amp;J110,'7층~4층_매핑테이블'!$Q$6:$X$2020,8,0)</f>
        <v>0</v>
      </c>
      <c r="AE110" s="3140" t="e">
        <f t="shared" si="49"/>
        <v>#N/A</v>
      </c>
      <c r="AF110" s="2767"/>
      <c r="AH110" s="2351" t="e">
        <f t="shared" si="44"/>
        <v>#N/A</v>
      </c>
      <c r="AI110" s="2351" t="e">
        <f t="shared" si="45"/>
        <v>#N/A</v>
      </c>
      <c r="AJ110" s="123" t="e">
        <f t="shared" si="33"/>
        <v>#N/A</v>
      </c>
      <c r="AK110" t="e">
        <f t="shared" si="34"/>
        <v>#N/A</v>
      </c>
      <c r="AL110" t="e">
        <f t="shared" si="35"/>
        <v>#N/A</v>
      </c>
      <c r="AQ110" s="123"/>
      <c r="AR110" s="123"/>
      <c r="AS110" s="123"/>
      <c r="AT110" s="2982"/>
      <c r="AU110" s="123"/>
      <c r="AV110" s="123"/>
      <c r="AW110" s="2983"/>
      <c r="AX110" s="2984"/>
      <c r="AY110" s="2985"/>
      <c r="AZ110" s="2986"/>
      <c r="BA110" s="2987"/>
      <c r="BB110" s="3194"/>
      <c r="BC110" s="2989"/>
    </row>
    <row r="111" spans="1:55" ht="28.8" x14ac:dyDescent="0.25">
      <c r="A111" s="2620" t="s">
        <v>1716</v>
      </c>
      <c r="B111" s="2621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09" t="s">
        <v>1721</v>
      </c>
      <c r="H111" s="2604" t="s">
        <v>1722</v>
      </c>
      <c r="I111" s="2122" t="str">
        <f t="shared" si="50"/>
        <v>6-DaHall 1-PDU-01-30-20</v>
      </c>
      <c r="J111" s="2123" t="str">
        <f t="shared" si="51"/>
        <v>6-DaHall 1-PDU-02-30-20</v>
      </c>
      <c r="K111" s="1460">
        <v>220</v>
      </c>
      <c r="L111" s="1461">
        <v>30</v>
      </c>
      <c r="M111" s="2419" t="s">
        <v>6497</v>
      </c>
      <c r="N111" s="1462">
        <v>20</v>
      </c>
      <c r="O111" s="1463">
        <v>220</v>
      </c>
      <c r="P111" s="1464">
        <v>30</v>
      </c>
      <c r="Q111" s="2425" t="s">
        <v>6493</v>
      </c>
      <c r="R111" s="1465">
        <v>20</v>
      </c>
      <c r="S111" s="3472"/>
      <c r="T111" s="3471"/>
      <c r="U111" s="3472"/>
      <c r="V111" s="3471"/>
      <c r="W111" s="3472"/>
      <c r="X111" s="3471"/>
      <c r="Y111" s="268">
        <f>SUM('6층_부하량(월간_AVG)'!L211:N211)</f>
        <v>0</v>
      </c>
      <c r="Z111" s="268">
        <f>SUM('6층_부하량(월간_AVG)'!L241:N241)</f>
        <v>0</v>
      </c>
      <c r="AA111" s="2436">
        <f t="shared" si="52"/>
        <v>0</v>
      </c>
      <c r="AB111" s="2683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3196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3224">
        <f>VLOOKUP(I111&amp;J111,'7층~4층_매핑테이블'!$Q$6:$X$2020,8,0)</f>
        <v>0</v>
      </c>
      <c r="AE111" s="3140" t="e">
        <f t="shared" si="49"/>
        <v>#N/A</v>
      </c>
      <c r="AF111" s="2766"/>
      <c r="AG111" s="2211" t="s">
        <v>1723</v>
      </c>
      <c r="AH111" s="2351" t="e">
        <f t="shared" si="44"/>
        <v>#N/A</v>
      </c>
      <c r="AI111" s="2351" t="e">
        <f t="shared" si="45"/>
        <v>#N/A</v>
      </c>
      <c r="AJ111" s="123" t="e">
        <f t="shared" si="33"/>
        <v>#N/A</v>
      </c>
      <c r="AK111" t="e">
        <f t="shared" si="34"/>
        <v>#N/A</v>
      </c>
      <c r="AL111" t="e">
        <f t="shared" si="35"/>
        <v>#N/A</v>
      </c>
      <c r="AQ111" s="123"/>
      <c r="AR111" s="123"/>
      <c r="AS111" s="123"/>
      <c r="AT111" s="2982"/>
      <c r="AU111" s="123"/>
      <c r="AV111" s="123"/>
      <c r="AW111" s="2983"/>
      <c r="AX111" s="2984"/>
      <c r="AY111" s="2985"/>
      <c r="AZ111" s="2986"/>
      <c r="BA111" s="2987"/>
      <c r="BB111" s="3194"/>
      <c r="BC111" s="2989"/>
    </row>
    <row r="112" spans="1:55" ht="28.8" x14ac:dyDescent="0.25">
      <c r="A112" s="2620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09" t="s">
        <v>1728</v>
      </c>
      <c r="H112" s="2604" t="s">
        <v>1729</v>
      </c>
      <c r="I112" s="2122" t="str">
        <f t="shared" si="50"/>
        <v>6-DaHall 1-PDU-01-30-22</v>
      </c>
      <c r="J112" s="2123" t="str">
        <f t="shared" si="51"/>
        <v>6-DaHall 1-PDU-02-30-22</v>
      </c>
      <c r="K112" s="1460">
        <v>220</v>
      </c>
      <c r="L112" s="1461">
        <v>30</v>
      </c>
      <c r="M112" s="2419" t="s">
        <v>6497</v>
      </c>
      <c r="N112" s="1462">
        <v>22</v>
      </c>
      <c r="O112" s="1463">
        <v>220</v>
      </c>
      <c r="P112" s="1464">
        <v>30</v>
      </c>
      <c r="Q112" s="2425" t="s">
        <v>6493</v>
      </c>
      <c r="R112" s="1465">
        <v>22</v>
      </c>
      <c r="S112" s="3472"/>
      <c r="T112" s="3471"/>
      <c r="U112" s="3472"/>
      <c r="V112" s="3471"/>
      <c r="W112" s="3472"/>
      <c r="X112" s="3471"/>
      <c r="Y112" s="268">
        <f>SUM('6층_부하량(월간_AVG)'!L212:N212)</f>
        <v>0</v>
      </c>
      <c r="Z112" s="268">
        <f>SUM('6층_부하량(월간_AVG)'!L242:N242)</f>
        <v>0</v>
      </c>
      <c r="AA112" s="2436">
        <f t="shared" si="52"/>
        <v>0</v>
      </c>
      <c r="AB112" s="2683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3196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3224">
        <f>VLOOKUP(I112&amp;J112,'7층~4층_매핑테이블'!$Q$6:$X$2020,8,0)</f>
        <v>0</v>
      </c>
      <c r="AE112" s="3140" t="e">
        <f t="shared" si="49"/>
        <v>#N/A</v>
      </c>
      <c r="AF112" s="2766"/>
      <c r="AG112" s="2211"/>
      <c r="AH112" s="2351" t="e">
        <f t="shared" si="44"/>
        <v>#N/A</v>
      </c>
      <c r="AI112" s="2351" t="e">
        <f t="shared" si="45"/>
        <v>#N/A</v>
      </c>
      <c r="AJ112" s="123" t="e">
        <f t="shared" si="33"/>
        <v>#N/A</v>
      </c>
      <c r="AK112" t="e">
        <f t="shared" si="34"/>
        <v>#N/A</v>
      </c>
      <c r="AL112" t="e">
        <f t="shared" si="35"/>
        <v>#N/A</v>
      </c>
      <c r="AQ112" s="123"/>
      <c r="AR112" s="123"/>
      <c r="AS112" s="123"/>
      <c r="AT112" s="2982"/>
      <c r="AU112" s="123"/>
      <c r="AV112" s="123"/>
      <c r="AW112" s="2983"/>
      <c r="AX112" s="2984"/>
      <c r="AY112" s="2985"/>
      <c r="AZ112" s="2986"/>
      <c r="BA112" s="2987"/>
      <c r="BB112" s="3194"/>
      <c r="BC112" s="2989"/>
    </row>
    <row r="113" spans="1:55" ht="28.8" x14ac:dyDescent="0.25">
      <c r="A113" s="2620" t="s">
        <v>1730</v>
      </c>
      <c r="B113" s="2621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09" t="s">
        <v>1734</v>
      </c>
      <c r="H113" s="2604" t="s">
        <v>1735</v>
      </c>
      <c r="I113" s="2122" t="str">
        <f t="shared" si="50"/>
        <v>6-DaHall 1-PDU-01-30-24</v>
      </c>
      <c r="J113" s="2123" t="str">
        <f t="shared" si="51"/>
        <v>6-DaHall 1-PDU-02-30-24</v>
      </c>
      <c r="K113" s="1460">
        <v>220</v>
      </c>
      <c r="L113" s="1461">
        <v>30</v>
      </c>
      <c r="M113" s="2419" t="s">
        <v>6497</v>
      </c>
      <c r="N113" s="1462">
        <v>24</v>
      </c>
      <c r="O113" s="1463">
        <v>220</v>
      </c>
      <c r="P113" s="1464">
        <v>30</v>
      </c>
      <c r="Q113" s="2425" t="s">
        <v>6493</v>
      </c>
      <c r="R113" s="1465">
        <v>24</v>
      </c>
      <c r="S113" s="3472"/>
      <c r="T113" s="3471"/>
      <c r="U113" s="3472"/>
      <c r="V113" s="3471"/>
      <c r="W113" s="3472"/>
      <c r="X113" s="3471"/>
      <c r="Y113" s="268">
        <f>SUM('6층_부하량(월간_AVG)'!L213:N213)</f>
        <v>0</v>
      </c>
      <c r="Z113" s="268">
        <f>SUM('6층_부하량(월간_AVG)'!L243:N243)</f>
        <v>0</v>
      </c>
      <c r="AA113" s="2436">
        <f t="shared" si="52"/>
        <v>0</v>
      </c>
      <c r="AB113" s="2683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3196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3224">
        <f>VLOOKUP(I113&amp;J113,'7층~4층_매핑테이블'!$Q$6:$X$2020,8,0)</f>
        <v>0</v>
      </c>
      <c r="AE113" s="3140" t="e">
        <f t="shared" si="49"/>
        <v>#N/A</v>
      </c>
      <c r="AF113" s="2766"/>
      <c r="AG113" s="2211" t="s">
        <v>1723</v>
      </c>
      <c r="AH113" s="2351" t="e">
        <f t="shared" si="44"/>
        <v>#N/A</v>
      </c>
      <c r="AI113" s="2351" t="e">
        <f t="shared" si="45"/>
        <v>#N/A</v>
      </c>
      <c r="AJ113" s="123" t="e">
        <f t="shared" si="33"/>
        <v>#N/A</v>
      </c>
      <c r="AK113" t="e">
        <f t="shared" si="34"/>
        <v>#N/A</v>
      </c>
      <c r="AL113" t="e">
        <f t="shared" si="35"/>
        <v>#N/A</v>
      </c>
      <c r="AQ113" s="123"/>
      <c r="AR113" s="123"/>
      <c r="AS113" s="123"/>
      <c r="AT113" s="2982"/>
      <c r="AU113" s="123"/>
      <c r="AV113" s="123"/>
      <c r="AW113" s="2983"/>
      <c r="AX113" s="2984"/>
      <c r="AY113" s="2985"/>
      <c r="AZ113" s="2986"/>
      <c r="BA113" s="2987"/>
      <c r="BB113" s="3194"/>
      <c r="BC113" s="2989"/>
    </row>
    <row r="114" spans="1:55" ht="28.8" x14ac:dyDescent="0.25">
      <c r="A114" s="2620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09" t="s">
        <v>1740</v>
      </c>
      <c r="H114" s="2604" t="s">
        <v>1741</v>
      </c>
      <c r="I114" s="2122" t="str">
        <f t="shared" si="50"/>
        <v>6-DaHall 1-PDU-01-30-26</v>
      </c>
      <c r="J114" s="2123" t="str">
        <f t="shared" si="51"/>
        <v>6-DaHall 1-PDU-02-30-26</v>
      </c>
      <c r="K114" s="1460">
        <v>220</v>
      </c>
      <c r="L114" s="1461">
        <v>30</v>
      </c>
      <c r="M114" s="2419" t="s">
        <v>6497</v>
      </c>
      <c r="N114" s="1462">
        <v>26</v>
      </c>
      <c r="O114" s="1463">
        <v>220</v>
      </c>
      <c r="P114" s="1464">
        <v>30</v>
      </c>
      <c r="Q114" s="2425" t="s">
        <v>6493</v>
      </c>
      <c r="R114" s="1465">
        <v>26</v>
      </c>
      <c r="S114" s="3472"/>
      <c r="T114" s="3471"/>
      <c r="U114" s="3472"/>
      <c r="V114" s="3471"/>
      <c r="W114" s="3472"/>
      <c r="X114" s="3471"/>
      <c r="Y114" s="268">
        <f>SUM('6층_부하량(월간_AVG)'!L214:N214)</f>
        <v>0</v>
      </c>
      <c r="Z114" s="268">
        <f>SUM('6층_부하량(월간_AVG)'!L244:N244)</f>
        <v>0</v>
      </c>
      <c r="AA114" s="2436">
        <f t="shared" si="52"/>
        <v>0</v>
      </c>
      <c r="AB114" s="2683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3196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3224">
        <f>VLOOKUP(I114&amp;J114,'7층~4층_매핑테이블'!$Q$6:$X$2020,8,0)</f>
        <v>0</v>
      </c>
      <c r="AE114" s="3140" t="e">
        <f t="shared" si="49"/>
        <v>#N/A</v>
      </c>
      <c r="AF114" s="2766"/>
      <c r="AH114" s="2351" t="e">
        <f t="shared" si="44"/>
        <v>#N/A</v>
      </c>
      <c r="AI114" s="2351" t="e">
        <f t="shared" si="45"/>
        <v>#N/A</v>
      </c>
      <c r="AJ114" s="123" t="e">
        <f t="shared" si="33"/>
        <v>#N/A</v>
      </c>
      <c r="AK114" t="e">
        <f t="shared" si="34"/>
        <v>#N/A</v>
      </c>
      <c r="AL114" t="e">
        <f t="shared" si="35"/>
        <v>#N/A</v>
      </c>
      <c r="AQ114" s="123"/>
      <c r="AR114" s="123"/>
      <c r="AS114" s="123"/>
      <c r="AT114" s="2982"/>
      <c r="AU114" s="123"/>
      <c r="AV114" s="123"/>
      <c r="AW114" s="2983"/>
      <c r="AX114" s="2984"/>
      <c r="AY114" s="2985"/>
      <c r="AZ114" s="2986"/>
      <c r="BA114" s="2987"/>
      <c r="BB114" s="3194"/>
      <c r="BC114" s="2989"/>
    </row>
    <row r="115" spans="1:55" ht="28.8" x14ac:dyDescent="0.25">
      <c r="A115" s="2620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09" t="s">
        <v>1746</v>
      </c>
      <c r="H115" s="2604" t="s">
        <v>1747</v>
      </c>
      <c r="I115" s="2122" t="str">
        <f t="shared" si="50"/>
        <v>6-DaHall 1-PDU-01-30-28</v>
      </c>
      <c r="J115" s="2123" t="str">
        <f t="shared" si="51"/>
        <v>6-DaHall 1-PDU-02-30-28</v>
      </c>
      <c r="K115" s="1460">
        <v>220</v>
      </c>
      <c r="L115" s="1461">
        <v>30</v>
      </c>
      <c r="M115" s="2419" t="s">
        <v>6497</v>
      </c>
      <c r="N115" s="1462">
        <v>28</v>
      </c>
      <c r="O115" s="1463">
        <v>220</v>
      </c>
      <c r="P115" s="1464">
        <v>30</v>
      </c>
      <c r="Q115" s="2425" t="s">
        <v>6493</v>
      </c>
      <c r="R115" s="1465">
        <v>28</v>
      </c>
      <c r="S115" s="3472"/>
      <c r="T115" s="3471"/>
      <c r="U115" s="3472"/>
      <c r="V115" s="3471"/>
      <c r="W115" s="3472"/>
      <c r="X115" s="3471"/>
      <c r="Y115" s="268">
        <f>SUM('6층_부하량(월간_AVG)'!L215:N215)</f>
        <v>0</v>
      </c>
      <c r="Z115" s="268">
        <f>SUM('6층_부하량(월간_AVG)'!L245:N245)</f>
        <v>0</v>
      </c>
      <c r="AA115" s="2436">
        <f t="shared" si="52"/>
        <v>0</v>
      </c>
      <c r="AB115" s="2683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3196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3224">
        <f>VLOOKUP(I115&amp;J115,'7층~4층_매핑테이블'!$Q$6:$X$2020,8,0)</f>
        <v>0</v>
      </c>
      <c r="AE115" s="3140" t="e">
        <f t="shared" si="49"/>
        <v>#N/A</v>
      </c>
      <c r="AF115" s="2766"/>
      <c r="AH115" s="2351" t="e">
        <f t="shared" si="44"/>
        <v>#N/A</v>
      </c>
      <c r="AI115" s="2351" t="e">
        <f t="shared" si="45"/>
        <v>#N/A</v>
      </c>
      <c r="AJ115" s="123" t="e">
        <f t="shared" si="33"/>
        <v>#N/A</v>
      </c>
      <c r="AK115" t="e">
        <f t="shared" si="34"/>
        <v>#N/A</v>
      </c>
      <c r="AL115" t="e">
        <f t="shared" si="35"/>
        <v>#N/A</v>
      </c>
      <c r="AQ115" s="123"/>
      <c r="AR115" s="123"/>
      <c r="AS115" s="123"/>
      <c r="AT115" s="2982"/>
      <c r="AU115" s="123"/>
      <c r="AV115" s="123"/>
      <c r="AW115" s="2983"/>
      <c r="AX115" s="2984"/>
      <c r="AY115" s="2985"/>
      <c r="AZ115" s="2986"/>
      <c r="BA115" s="2987"/>
      <c r="BB115" s="3194"/>
      <c r="BC115" s="2989"/>
    </row>
    <row r="116" spans="1:55" ht="15" thickBot="1" x14ac:dyDescent="0.3">
      <c r="A116" s="2628" t="s">
        <v>1748</v>
      </c>
      <c r="B116" s="839"/>
      <c r="C116" s="839"/>
      <c r="D116" s="839"/>
      <c r="E116" s="839"/>
      <c r="F116" s="839"/>
      <c r="G116" s="2677"/>
      <c r="H116" s="2660"/>
      <c r="I116" s="2127"/>
      <c r="J116" s="2128"/>
      <c r="K116" s="1477"/>
      <c r="L116" s="1478"/>
      <c r="M116" s="2677"/>
      <c r="N116" s="1479"/>
      <c r="O116" s="1480"/>
      <c r="P116" s="1481"/>
      <c r="Q116" s="2660"/>
      <c r="R116" s="1482"/>
      <c r="S116" s="840"/>
      <c r="T116" s="849"/>
      <c r="U116" s="840"/>
      <c r="V116" s="849"/>
      <c r="W116" s="840"/>
      <c r="X116" s="849"/>
      <c r="Y116" s="1098"/>
      <c r="Z116" s="1098"/>
      <c r="AA116" s="2440"/>
      <c r="AB116" s="2779"/>
      <c r="AC116" s="2718"/>
      <c r="AD116" s="4034"/>
      <c r="AE116" s="3213">
        <f t="shared" si="49"/>
        <v>0</v>
      </c>
      <c r="AF116" s="2780" t="s">
        <v>1265</v>
      </c>
      <c r="AH116" s="2351">
        <f t="shared" si="44"/>
        <v>0</v>
      </c>
      <c r="AI116" s="2351">
        <f t="shared" si="45"/>
        <v>0</v>
      </c>
      <c r="AJ116" s="123" t="str">
        <f t="shared" si="33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82"/>
      <c r="AU116" s="123"/>
      <c r="AV116" s="123"/>
      <c r="AW116" s="2983"/>
      <c r="AX116" s="2984"/>
      <c r="AY116" s="2985"/>
      <c r="AZ116" s="2986"/>
      <c r="BA116" s="2987"/>
      <c r="BB116" s="3194"/>
      <c r="BC116" s="2989"/>
    </row>
    <row r="117" spans="1:55" ht="28.5" customHeight="1" thickTop="1" x14ac:dyDescent="0.25">
      <c r="A117" s="1081" t="s">
        <v>1870</v>
      </c>
      <c r="B117" s="1130" t="s">
        <v>1871</v>
      </c>
      <c r="C117" s="2604" t="s">
        <v>9238</v>
      </c>
      <c r="D117" s="2951">
        <v>2.2000000000000002</v>
      </c>
      <c r="E117" s="327" t="s">
        <v>1872</v>
      </c>
      <c r="F117" s="327" t="s">
        <v>1873</v>
      </c>
      <c r="G117" s="2608" t="s">
        <v>1874</v>
      </c>
      <c r="H117" s="2116" t="s">
        <v>1875</v>
      </c>
      <c r="I117" s="2129" t="str">
        <f t="shared" ref="I117:I134" si="53">"6-DaHall 1-PDU-"&amp;M117&amp;"-"&amp;L117&amp;"-"&amp;N117</f>
        <v>6-DaHall 1-PDU-05-30-37</v>
      </c>
      <c r="J117" s="2130" t="str">
        <f t="shared" ref="J117:J134" si="54">"6-DaHall 1-PDU-"&amp;Q117&amp;"-"&amp;P117&amp;"-"&amp;R117</f>
        <v>6-DaHall 1-PDU-06-30-37</v>
      </c>
      <c r="K117" s="1483">
        <v>220</v>
      </c>
      <c r="L117" s="1484">
        <v>30</v>
      </c>
      <c r="M117" s="2421" t="s">
        <v>6491</v>
      </c>
      <c r="N117" s="1485">
        <v>37</v>
      </c>
      <c r="O117" s="1486">
        <v>220</v>
      </c>
      <c r="P117" s="1487">
        <v>30</v>
      </c>
      <c r="Q117" s="2427" t="s">
        <v>6501</v>
      </c>
      <c r="R117" s="1488">
        <v>37</v>
      </c>
      <c r="S117" s="3490" t="s">
        <v>1876</v>
      </c>
      <c r="T117" s="3491" t="s">
        <v>1877</v>
      </c>
      <c r="U117" s="3489" t="s">
        <v>1878</v>
      </c>
      <c r="V117" s="3491" t="s">
        <v>1879</v>
      </c>
      <c r="W117" s="3489" t="s">
        <v>1880</v>
      </c>
      <c r="X117" s="3491" t="s">
        <v>1881</v>
      </c>
      <c r="Y117" s="836">
        <f>SUM('6층_부하량(월간_AVG)'!D340:F340)</f>
        <v>0</v>
      </c>
      <c r="Z117" s="836">
        <f>SUM('6층_부하량(월간_AVG)'!D372:F372)</f>
        <v>0</v>
      </c>
      <c r="AA117" s="2438">
        <f>SUM(Y117:Z117)</f>
        <v>0</v>
      </c>
      <c r="AB117" s="2683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692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3240">
        <f>VLOOKUP(I117&amp;J117,'7층~4층_매핑테이블'!$Q$6:$X$2020,8,0)</f>
        <v>4.0030000000000001</v>
      </c>
      <c r="AE117" s="3211" t="e">
        <f t="shared" si="49"/>
        <v>#N/A</v>
      </c>
      <c r="AF117" s="2458"/>
      <c r="AH117" s="2351" t="e">
        <f t="shared" si="44"/>
        <v>#N/A</v>
      </c>
      <c r="AI117" s="2351" t="e">
        <f t="shared" si="45"/>
        <v>#N/A</v>
      </c>
      <c r="AJ117" s="123" t="e">
        <f t="shared" si="33"/>
        <v>#N/A</v>
      </c>
      <c r="AK117" t="e">
        <f t="shared" si="34"/>
        <v>#N/A</v>
      </c>
      <c r="AL117" t="e">
        <f t="shared" si="35"/>
        <v>#N/A</v>
      </c>
      <c r="AQ117" s="123"/>
      <c r="AR117" s="123"/>
      <c r="AS117" s="123"/>
      <c r="AT117" s="2982"/>
      <c r="AU117" s="123"/>
      <c r="AV117" s="123"/>
      <c r="AW117" s="2983"/>
      <c r="AX117" s="2984"/>
      <c r="AY117" s="2985"/>
      <c r="AZ117" s="2986"/>
      <c r="BA117" s="2987"/>
      <c r="BB117" s="3194"/>
      <c r="BC117" s="2989"/>
    </row>
    <row r="118" spans="1:55" ht="57.6" x14ac:dyDescent="0.25">
      <c r="A118" s="2620" t="s">
        <v>1882</v>
      </c>
      <c r="B118" s="1085" t="s">
        <v>1883</v>
      </c>
      <c r="C118" s="2609" t="s">
        <v>9239</v>
      </c>
      <c r="D118" s="2951">
        <v>2.2000000000000002</v>
      </c>
      <c r="E118" s="250" t="s">
        <v>1884</v>
      </c>
      <c r="F118" s="250" t="s">
        <v>1885</v>
      </c>
      <c r="G118" s="2609" t="s">
        <v>1886</v>
      </c>
      <c r="H118" s="2604" t="s">
        <v>1887</v>
      </c>
      <c r="I118" s="2122" t="str">
        <f t="shared" si="53"/>
        <v>6-DaHall 1-PDU-05-30-39</v>
      </c>
      <c r="J118" s="2123" t="str">
        <f t="shared" si="54"/>
        <v>6-DaHall 1-PDU-06-30-39</v>
      </c>
      <c r="K118" s="1460">
        <v>220</v>
      </c>
      <c r="L118" s="1461">
        <v>30</v>
      </c>
      <c r="M118" s="2419" t="s">
        <v>6491</v>
      </c>
      <c r="N118" s="1462">
        <v>39</v>
      </c>
      <c r="O118" s="1463">
        <v>220</v>
      </c>
      <c r="P118" s="1464">
        <v>30</v>
      </c>
      <c r="Q118" s="2425" t="s">
        <v>6501</v>
      </c>
      <c r="R118" s="1465">
        <v>39</v>
      </c>
      <c r="S118" s="3483"/>
      <c r="T118" s="3477"/>
      <c r="U118" s="3478"/>
      <c r="V118" s="3477"/>
      <c r="W118" s="3478"/>
      <c r="X118" s="3477"/>
      <c r="Y118" s="268">
        <f>SUM('6층_부하량(월간_AVG)'!D341:F341)</f>
        <v>0</v>
      </c>
      <c r="Z118" s="268">
        <f>SUM('6층_부하량(월간_AVG)'!D373:F373)</f>
        <v>0</v>
      </c>
      <c r="AA118" s="2436">
        <f>SUM(Y118:Z118)</f>
        <v>0</v>
      </c>
      <c r="AB118" s="2683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692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3224">
        <f>VLOOKUP(I118&amp;J118,'7층~4층_매핑테이블'!$Q$6:$X$2020,8,0)</f>
        <v>0.90700000000000003</v>
      </c>
      <c r="AE118" s="3140" t="e">
        <f t="shared" si="49"/>
        <v>#N/A</v>
      </c>
      <c r="AF118" s="2766"/>
      <c r="AH118" s="2351" t="e">
        <f t="shared" si="44"/>
        <v>#N/A</v>
      </c>
      <c r="AI118" s="2351" t="e">
        <f t="shared" si="45"/>
        <v>#N/A</v>
      </c>
      <c r="AJ118" s="123" t="e">
        <f t="shared" si="33"/>
        <v>#N/A</v>
      </c>
      <c r="AK118" t="e">
        <f t="shared" si="34"/>
        <v>#N/A</v>
      </c>
      <c r="AL118" t="e">
        <f t="shared" si="35"/>
        <v>#N/A</v>
      </c>
      <c r="AQ118" s="123"/>
      <c r="AR118" s="123"/>
      <c r="AS118" s="123"/>
      <c r="AT118" s="2982"/>
      <c r="AU118" s="123"/>
      <c r="AV118" s="123"/>
      <c r="AW118" s="2983"/>
      <c r="AX118" s="2984"/>
      <c r="AY118" s="2985"/>
      <c r="AZ118" s="2986"/>
      <c r="BA118" s="2987"/>
      <c r="BB118" s="3194"/>
      <c r="BC118" s="2989"/>
    </row>
    <row r="119" spans="1:55" ht="28.8" x14ac:dyDescent="0.25">
      <c r="A119" s="2620" t="s">
        <v>1888</v>
      </c>
      <c r="B119" s="1085" t="s">
        <v>1889</v>
      </c>
      <c r="C119" s="2609" t="s">
        <v>9240</v>
      </c>
      <c r="D119" s="2951">
        <v>1.1000000000000001</v>
      </c>
      <c r="E119" s="250" t="s">
        <v>1890</v>
      </c>
      <c r="F119" s="250" t="s">
        <v>1891</v>
      </c>
      <c r="G119" s="2609" t="s">
        <v>1892</v>
      </c>
      <c r="H119" s="2604" t="s">
        <v>1893</v>
      </c>
      <c r="I119" s="2122" t="str">
        <f t="shared" si="53"/>
        <v>6-DaHall 1-PDU-05-30-41</v>
      </c>
      <c r="J119" s="2123" t="str">
        <f t="shared" si="54"/>
        <v>6-DaHall 1-PDU-06-30-41</v>
      </c>
      <c r="K119" s="1460">
        <v>220</v>
      </c>
      <c r="L119" s="1461">
        <v>30</v>
      </c>
      <c r="M119" s="2419" t="s">
        <v>6491</v>
      </c>
      <c r="N119" s="1462">
        <v>41</v>
      </c>
      <c r="O119" s="1463">
        <v>220</v>
      </c>
      <c r="P119" s="1464">
        <v>30</v>
      </c>
      <c r="Q119" s="2425" t="s">
        <v>6501</v>
      </c>
      <c r="R119" s="1465">
        <v>41</v>
      </c>
      <c r="S119" s="3483"/>
      <c r="T119" s="3477"/>
      <c r="U119" s="3478"/>
      <c r="V119" s="3477"/>
      <c r="W119" s="3478"/>
      <c r="X119" s="3477"/>
      <c r="Y119" s="268">
        <f>SUM('6층_부하량(월간_AVG)'!D342:F342)</f>
        <v>0</v>
      </c>
      <c r="Z119" s="268">
        <f>SUM('6층_부하량(월간_AVG)'!D374:F374)</f>
        <v>0</v>
      </c>
      <c r="AA119" s="2436">
        <f>SUM(Y119:Z119)</f>
        <v>0</v>
      </c>
      <c r="AB119" s="2683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692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3224">
        <f>VLOOKUP(I119&amp;J119,'7층~4층_매핑테이블'!$Q$6:$X$2020,8,0)</f>
        <v>0.69799999999999995</v>
      </c>
      <c r="AE119" s="3140" t="e">
        <f t="shared" si="49"/>
        <v>#N/A</v>
      </c>
      <c r="AF119" s="2766"/>
      <c r="AH119" s="2351" t="e">
        <f t="shared" si="44"/>
        <v>#N/A</v>
      </c>
      <c r="AI119" s="2351" t="e">
        <f t="shared" si="45"/>
        <v>#N/A</v>
      </c>
      <c r="AJ119" s="123" t="e">
        <f t="shared" si="33"/>
        <v>#N/A</v>
      </c>
      <c r="AK119" t="e">
        <f t="shared" si="34"/>
        <v>#N/A</v>
      </c>
      <c r="AL119" t="e">
        <f t="shared" si="35"/>
        <v>#N/A</v>
      </c>
      <c r="AQ119" s="123"/>
      <c r="AR119" s="123"/>
      <c r="AS119" s="123"/>
      <c r="AT119" s="2982"/>
      <c r="AU119" s="123"/>
      <c r="AV119" s="123"/>
      <c r="AW119" s="2983"/>
      <c r="AX119" s="2984"/>
      <c r="AY119" s="2985"/>
      <c r="AZ119" s="2986"/>
      <c r="BA119" s="2987"/>
      <c r="BB119" s="3194"/>
      <c r="BC119" s="2989"/>
    </row>
    <row r="120" spans="1:55" ht="28.8" x14ac:dyDescent="0.25">
      <c r="A120" s="2620" t="s">
        <v>1894</v>
      </c>
      <c r="B120" s="2113" t="s">
        <v>1895</v>
      </c>
      <c r="C120" s="2604" t="s">
        <v>9238</v>
      </c>
      <c r="D120" s="2951">
        <v>2.2000000000000002</v>
      </c>
      <c r="E120" s="250" t="s">
        <v>1896</v>
      </c>
      <c r="F120" s="250" t="s">
        <v>1897</v>
      </c>
      <c r="G120" s="2609" t="s">
        <v>1898</v>
      </c>
      <c r="H120" s="2604" t="s">
        <v>1899</v>
      </c>
      <c r="I120" s="2122" t="str">
        <f t="shared" si="53"/>
        <v>6-DaHall 1-PDU-05-30-43</v>
      </c>
      <c r="J120" s="2123" t="str">
        <f t="shared" si="54"/>
        <v>6-DaHall 1-PDU-06-30-43</v>
      </c>
      <c r="K120" s="1460">
        <v>220</v>
      </c>
      <c r="L120" s="1461">
        <v>30</v>
      </c>
      <c r="M120" s="2419" t="s">
        <v>6491</v>
      </c>
      <c r="N120" s="1462">
        <v>43</v>
      </c>
      <c r="O120" s="1463">
        <v>220</v>
      </c>
      <c r="P120" s="1464">
        <v>30</v>
      </c>
      <c r="Q120" s="2425" t="s">
        <v>6501</v>
      </c>
      <c r="R120" s="1465">
        <v>43</v>
      </c>
      <c r="S120" s="3483"/>
      <c r="T120" s="3477"/>
      <c r="U120" s="3478"/>
      <c r="V120" s="3477"/>
      <c r="W120" s="3478"/>
      <c r="X120" s="3477"/>
      <c r="Y120" s="268">
        <f>SUM('6층_부하량(월간_AVG)'!D343:F343)</f>
        <v>0</v>
      </c>
      <c r="Z120" s="268">
        <f>SUM('6층_부하량(월간_AVG)'!D375:F375)</f>
        <v>0</v>
      </c>
      <c r="AA120" s="2436">
        <f>SUM(Y120:Z120)</f>
        <v>0</v>
      </c>
      <c r="AB120" s="2683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692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3224">
        <f>VLOOKUP(I120&amp;J120,'7층~4층_매핑테이블'!$Q$6:$X$2020,8,0)</f>
        <v>2.4569999999999999</v>
      </c>
      <c r="AE120" s="3140" t="e">
        <f t="shared" si="49"/>
        <v>#N/A</v>
      </c>
      <c r="AF120" s="2766"/>
      <c r="AH120" s="2351" t="e">
        <f t="shared" si="44"/>
        <v>#N/A</v>
      </c>
      <c r="AI120" s="2351" t="e">
        <f t="shared" si="45"/>
        <v>#N/A</v>
      </c>
      <c r="AJ120" s="123" t="e">
        <f t="shared" si="33"/>
        <v>#N/A</v>
      </c>
      <c r="AK120" t="e">
        <f t="shared" si="34"/>
        <v>#N/A</v>
      </c>
      <c r="AL120" t="e">
        <f t="shared" si="35"/>
        <v>#N/A</v>
      </c>
      <c r="AQ120" s="123"/>
      <c r="AR120" s="123"/>
      <c r="AS120" s="123"/>
      <c r="AT120" s="2982"/>
      <c r="AU120" s="123"/>
      <c r="AV120" s="123"/>
      <c r="AW120" s="2983"/>
      <c r="AX120" s="2984"/>
      <c r="AY120" s="2985"/>
      <c r="AZ120" s="2986"/>
      <c r="BA120" s="2987"/>
      <c r="BB120" s="3194"/>
      <c r="BC120" s="2989"/>
    </row>
    <row r="121" spans="1:55" ht="28.8" x14ac:dyDescent="0.25">
      <c r="A121" s="2620" t="s">
        <v>1900</v>
      </c>
      <c r="B121" s="2113" t="s">
        <v>1901</v>
      </c>
      <c r="C121" s="2604" t="s">
        <v>9238</v>
      </c>
      <c r="D121" s="2951">
        <v>2.2000000000000002</v>
      </c>
      <c r="E121" s="250" t="s">
        <v>1902</v>
      </c>
      <c r="F121" s="250" t="s">
        <v>1903</v>
      </c>
      <c r="G121" s="2609" t="s">
        <v>1904</v>
      </c>
      <c r="H121" s="2604" t="s">
        <v>1905</v>
      </c>
      <c r="I121" s="2122" t="str">
        <f t="shared" si="53"/>
        <v>6-DaHall 1-PDU-05-30-45</v>
      </c>
      <c r="J121" s="2123" t="str">
        <f t="shared" si="54"/>
        <v>6-DaHall 1-PDU-06-30-45</v>
      </c>
      <c r="K121" s="1460">
        <v>220</v>
      </c>
      <c r="L121" s="1461">
        <v>30</v>
      </c>
      <c r="M121" s="2419" t="s">
        <v>6491</v>
      </c>
      <c r="N121" s="1462">
        <v>45</v>
      </c>
      <c r="O121" s="1463">
        <v>220</v>
      </c>
      <c r="P121" s="1464">
        <v>30</v>
      </c>
      <c r="Q121" s="2425" t="s">
        <v>6501</v>
      </c>
      <c r="R121" s="1465">
        <v>45</v>
      </c>
      <c r="S121" s="3483"/>
      <c r="T121" s="3477"/>
      <c r="U121" s="3478"/>
      <c r="V121" s="3477"/>
      <c r="W121" s="3478"/>
      <c r="X121" s="3477"/>
      <c r="Y121" s="268">
        <f>SUM('6층_부하량(월간_AVG)'!D344:F344)</f>
        <v>0</v>
      </c>
      <c r="Z121" s="268">
        <f>SUM('6층_부하량(월간_AVG)'!D376:F376)</f>
        <v>0</v>
      </c>
      <c r="AA121" s="2436">
        <f>SUM(Y121:Z121)</f>
        <v>0</v>
      </c>
      <c r="AB121" s="2683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692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3224">
        <f>VLOOKUP(I121&amp;J121,'7층~4층_매핑테이블'!$Q$6:$X$2020,8,0)</f>
        <v>2.145</v>
      </c>
      <c r="AE121" s="3140" t="e">
        <f t="shared" si="49"/>
        <v>#N/A</v>
      </c>
      <c r="AF121" s="2766"/>
      <c r="AH121" s="2351" t="e">
        <f t="shared" si="44"/>
        <v>#N/A</v>
      </c>
      <c r="AI121" s="2351" t="e">
        <f t="shared" si="45"/>
        <v>#N/A</v>
      </c>
      <c r="AJ121" s="123" t="e">
        <f t="shared" si="33"/>
        <v>#N/A</v>
      </c>
      <c r="AK121" t="e">
        <f t="shared" si="34"/>
        <v>#N/A</v>
      </c>
      <c r="AL121" t="e">
        <f t="shared" si="35"/>
        <v>#N/A</v>
      </c>
      <c r="AQ121" s="123"/>
      <c r="AR121" s="123"/>
      <c r="AS121" s="123"/>
      <c r="AT121" s="2982"/>
      <c r="AU121" s="123"/>
      <c r="AV121" s="123"/>
      <c r="AW121" s="2983"/>
      <c r="AX121" s="2984"/>
      <c r="AY121" s="2985"/>
      <c r="AZ121" s="2986"/>
      <c r="BA121" s="2987"/>
      <c r="BB121" s="3194"/>
      <c r="BC121" s="2989"/>
    </row>
    <row r="122" spans="1:55" ht="28.8" x14ac:dyDescent="0.25">
      <c r="A122" s="3459" t="s">
        <v>1906</v>
      </c>
      <c r="B122" s="3463" t="s">
        <v>1907</v>
      </c>
      <c r="C122" s="3465" t="s">
        <v>9238</v>
      </c>
      <c r="D122" s="3453">
        <v>2.2000000000000002</v>
      </c>
      <c r="E122" s="250" t="s">
        <v>1908</v>
      </c>
      <c r="F122" s="250" t="s">
        <v>1909</v>
      </c>
      <c r="G122" s="2609" t="s">
        <v>1910</v>
      </c>
      <c r="H122" s="2604" t="s">
        <v>1911</v>
      </c>
      <c r="I122" s="2122" t="str">
        <f t="shared" si="53"/>
        <v>6-DaHall 1-PDU-05-30-47</v>
      </c>
      <c r="J122" s="2123" t="str">
        <f t="shared" si="54"/>
        <v>6-DaHall 1-PDU-06-30-47</v>
      </c>
      <c r="K122" s="1460">
        <v>220</v>
      </c>
      <c r="L122" s="1461">
        <v>30</v>
      </c>
      <c r="M122" s="2419" t="s">
        <v>6491</v>
      </c>
      <c r="N122" s="1462">
        <v>47</v>
      </c>
      <c r="O122" s="1463">
        <v>220</v>
      </c>
      <c r="P122" s="1464">
        <v>30</v>
      </c>
      <c r="Q122" s="2425" t="s">
        <v>6501</v>
      </c>
      <c r="R122" s="1465">
        <v>47</v>
      </c>
      <c r="S122" s="3483"/>
      <c r="T122" s="3477"/>
      <c r="U122" s="3478"/>
      <c r="V122" s="3477"/>
      <c r="W122" s="3478"/>
      <c r="X122" s="3477"/>
      <c r="Y122" s="268">
        <f>SUM('6층_부하량(월간_AVG)'!D345:F345)</f>
        <v>0</v>
      </c>
      <c r="Z122" s="268">
        <f>SUM('6층_부하량(월간_AVG)'!D377:F377)</f>
        <v>0</v>
      </c>
      <c r="AA122" s="3520">
        <f>SUM(Y122:Z124)</f>
        <v>0</v>
      </c>
      <c r="AB122" s="2683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692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224">
        <f>VLOOKUP(I122&amp;J122,'7층~4층_매핑테이블'!$Q$6:$X$2020,8,0)</f>
        <v>2.2450000000000001</v>
      </c>
      <c r="AE122" s="3212" t="e">
        <f>SUM(AB122:AC124)</f>
        <v>#N/A</v>
      </c>
      <c r="AF122" s="2766"/>
      <c r="AH122" s="2351" t="e">
        <f t="shared" si="44"/>
        <v>#N/A</v>
      </c>
      <c r="AI122" s="2351" t="e">
        <f t="shared" si="45"/>
        <v>#N/A</v>
      </c>
      <c r="AJ122" s="123" t="e">
        <f t="shared" si="33"/>
        <v>#N/A</v>
      </c>
      <c r="AK122" t="e">
        <f t="shared" si="34"/>
        <v>#N/A</v>
      </c>
      <c r="AL122" t="e">
        <f t="shared" si="35"/>
        <v>#N/A</v>
      </c>
      <c r="AQ122" s="123"/>
      <c r="AR122" s="123"/>
      <c r="AS122" s="123"/>
      <c r="AT122" s="2982"/>
      <c r="AU122" s="123"/>
      <c r="AV122" s="123"/>
      <c r="AW122" s="2983"/>
      <c r="AX122" s="2984"/>
      <c r="AY122" s="2985"/>
      <c r="AZ122" s="2986"/>
      <c r="BA122" s="2987"/>
      <c r="BB122" s="3194"/>
      <c r="BC122" s="2989"/>
    </row>
    <row r="123" spans="1:55" ht="15.6" x14ac:dyDescent="0.25">
      <c r="A123" s="3460"/>
      <c r="B123" s="3485"/>
      <c r="C123" s="3465"/>
      <c r="D123" s="3453"/>
      <c r="E123" s="250"/>
      <c r="F123" s="250"/>
      <c r="G123" s="2609"/>
      <c r="H123" s="2604"/>
      <c r="I123" s="2122" t="str">
        <f t="shared" si="53"/>
        <v>6-DaHall 1-PDU-05-30-51</v>
      </c>
      <c r="J123" s="2123" t="str">
        <f t="shared" si="54"/>
        <v>6-DaHall 1-PDU-06-30-51</v>
      </c>
      <c r="K123" s="1460"/>
      <c r="L123" s="1461">
        <v>30</v>
      </c>
      <c r="M123" s="2419" t="s">
        <v>6491</v>
      </c>
      <c r="N123" s="1462">
        <v>51</v>
      </c>
      <c r="O123" s="1463">
        <v>220</v>
      </c>
      <c r="P123" s="1464">
        <v>30</v>
      </c>
      <c r="Q123" s="2425" t="s">
        <v>6501</v>
      </c>
      <c r="R123" s="1465">
        <v>51</v>
      </c>
      <c r="S123" s="3483"/>
      <c r="T123" s="3477"/>
      <c r="U123" s="3478"/>
      <c r="V123" s="3477"/>
      <c r="W123" s="3478"/>
      <c r="X123" s="3477"/>
      <c r="Y123" s="268">
        <f>SUM('6층_부하량(월간_AVG)'!D347:F347)</f>
        <v>0</v>
      </c>
      <c r="Z123" s="268">
        <f>SUM('6층_부하량(월간_AVG)'!D379:F379)</f>
        <v>0</v>
      </c>
      <c r="AA123" s="3521"/>
      <c r="AB123" s="2683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692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224">
        <f>VLOOKUP(I123&amp;J123,'7층~4층_매핑테이블'!$Q$6:$X$2020,8,0)</f>
        <v>2.3330000000000002</v>
      </c>
      <c r="AE123" s="3214" t="e">
        <f>$AE$122</f>
        <v>#N/A</v>
      </c>
      <c r="AF123" s="2766"/>
      <c r="AH123" s="2351" t="e">
        <f t="shared" si="44"/>
        <v>#N/A</v>
      </c>
      <c r="AI123" s="2351" t="e">
        <f t="shared" si="45"/>
        <v>#N/A</v>
      </c>
      <c r="AJ123" s="123" t="e">
        <f t="shared" si="33"/>
        <v>#N/A</v>
      </c>
      <c r="AK123" t="e">
        <f t="shared" si="34"/>
        <v>#N/A</v>
      </c>
      <c r="AL123" t="e">
        <f t="shared" si="35"/>
        <v>#N/A</v>
      </c>
      <c r="AQ123" s="123"/>
      <c r="AR123" s="123"/>
      <c r="AS123" s="123"/>
      <c r="AT123" s="2982"/>
      <c r="AU123" s="123"/>
      <c r="AV123" s="123"/>
      <c r="AW123" s="2983"/>
      <c r="AX123" s="2984"/>
      <c r="AY123" s="2985"/>
      <c r="AZ123" s="2986"/>
      <c r="BA123" s="2987"/>
      <c r="BB123" s="3194"/>
      <c r="BC123" s="2989"/>
    </row>
    <row r="124" spans="1:55" ht="15.6" x14ac:dyDescent="0.25">
      <c r="A124" s="3461"/>
      <c r="B124" s="3466"/>
      <c r="C124" s="3465"/>
      <c r="D124" s="3453"/>
      <c r="E124" s="250"/>
      <c r="F124" s="250"/>
      <c r="G124" s="2609"/>
      <c r="H124" s="2604"/>
      <c r="I124" s="2122" t="str">
        <f t="shared" si="53"/>
        <v>6-DaHall 1-PDU-05-30-53</v>
      </c>
      <c r="J124" s="2123" t="str">
        <f t="shared" si="54"/>
        <v>6-DaHall 1-PDU-06-30-53</v>
      </c>
      <c r="K124" s="1460"/>
      <c r="L124" s="1461">
        <v>30</v>
      </c>
      <c r="M124" s="2419" t="s">
        <v>6491</v>
      </c>
      <c r="N124" s="1462">
        <v>53</v>
      </c>
      <c r="O124" s="1463">
        <v>220</v>
      </c>
      <c r="P124" s="1464">
        <v>30</v>
      </c>
      <c r="Q124" s="2425" t="s">
        <v>6501</v>
      </c>
      <c r="R124" s="1465">
        <v>53</v>
      </c>
      <c r="S124" s="3483"/>
      <c r="T124" s="3477"/>
      <c r="U124" s="3478"/>
      <c r="V124" s="3477"/>
      <c r="W124" s="3478"/>
      <c r="X124" s="3477"/>
      <c r="Y124" s="268">
        <f>SUM('6층_부하량(월간_AVG)'!D348:F348)</f>
        <v>0</v>
      </c>
      <c r="Z124" s="268">
        <f>SUM('6층_부하량(월간_AVG)'!D380:F380)</f>
        <v>0</v>
      </c>
      <c r="AA124" s="3522"/>
      <c r="AB124" s="2683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692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224">
        <f>VLOOKUP(I124&amp;J124,'7층~4층_매핑테이블'!$Q$6:$X$2020,8,0)</f>
        <v>1.6620000000000001</v>
      </c>
      <c r="AE124" s="3214" t="e">
        <f>$AE$122</f>
        <v>#N/A</v>
      </c>
      <c r="AF124" s="2766"/>
      <c r="AH124" s="2351" t="e">
        <f t="shared" si="44"/>
        <v>#N/A</v>
      </c>
      <c r="AI124" s="2351" t="e">
        <f t="shared" si="45"/>
        <v>#N/A</v>
      </c>
      <c r="AJ124" s="123" t="e">
        <f t="shared" si="33"/>
        <v>#N/A</v>
      </c>
      <c r="AK124" t="e">
        <f t="shared" si="34"/>
        <v>#N/A</v>
      </c>
      <c r="AL124" t="e">
        <f t="shared" si="35"/>
        <v>#N/A</v>
      </c>
      <c r="AQ124" s="123"/>
      <c r="AR124" s="123"/>
      <c r="AS124" s="123"/>
      <c r="AT124" s="2982"/>
      <c r="AU124" s="123"/>
      <c r="AV124" s="123"/>
      <c r="AW124" s="2983"/>
      <c r="AX124" s="2984"/>
      <c r="AY124" s="2985"/>
      <c r="AZ124" s="2986"/>
      <c r="BA124" s="2987"/>
      <c r="BB124" s="3194"/>
      <c r="BC124" s="2989"/>
    </row>
    <row r="125" spans="1:55" ht="28.8" x14ac:dyDescent="0.25">
      <c r="A125" s="2620" t="s">
        <v>1912</v>
      </c>
      <c r="B125" s="1085" t="s">
        <v>1913</v>
      </c>
      <c r="C125" s="2609" t="s">
        <v>9241</v>
      </c>
      <c r="D125" s="2951">
        <v>2.2000000000000002</v>
      </c>
      <c r="E125" s="250" t="s">
        <v>1914</v>
      </c>
      <c r="F125" s="250" t="s">
        <v>1915</v>
      </c>
      <c r="G125" s="2609" t="s">
        <v>1916</v>
      </c>
      <c r="H125" s="2604" t="s">
        <v>1917</v>
      </c>
      <c r="I125" s="2122" t="str">
        <f t="shared" si="53"/>
        <v>6-DaHall 1-PDU-05-30-49</v>
      </c>
      <c r="J125" s="2123" t="str">
        <f t="shared" si="54"/>
        <v>6-DaHall 1-PDU-06-30-49</v>
      </c>
      <c r="K125" s="1460">
        <v>220</v>
      </c>
      <c r="L125" s="1461">
        <v>30</v>
      </c>
      <c r="M125" s="2419" t="s">
        <v>6491</v>
      </c>
      <c r="N125" s="1462">
        <v>49</v>
      </c>
      <c r="O125" s="1463">
        <v>220</v>
      </c>
      <c r="P125" s="1464">
        <v>30</v>
      </c>
      <c r="Q125" s="2425" t="s">
        <v>6501</v>
      </c>
      <c r="R125" s="1465">
        <v>49</v>
      </c>
      <c r="S125" s="3496"/>
      <c r="T125" s="3488"/>
      <c r="U125" s="3487"/>
      <c r="V125" s="3488"/>
      <c r="W125" s="3478"/>
      <c r="X125" s="3477"/>
      <c r="Y125" s="268">
        <f>SUM('6층_부하량(월간_AVG)'!D346:F346)</f>
        <v>0</v>
      </c>
      <c r="Z125" s="268">
        <f>SUM('6층_부하량(월간_AVG)'!D378:F378)</f>
        <v>0</v>
      </c>
      <c r="AA125" s="2436">
        <f t="shared" ref="AA125" si="55">SUM(Y125:Z125)</f>
        <v>0</v>
      </c>
      <c r="AB125" s="2683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692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3224">
        <f>VLOOKUP(I125&amp;J125,'7층~4층_매핑테이블'!$Q$6:$X$2020,8,0)</f>
        <v>2.1669999999999998</v>
      </c>
      <c r="AE125" s="3140" t="e">
        <f t="shared" ref="AE125" si="56">SUM(AB125:AC125)</f>
        <v>#N/A</v>
      </c>
      <c r="AF125" s="2766"/>
      <c r="AH125" s="2351" t="e">
        <f t="shared" si="44"/>
        <v>#N/A</v>
      </c>
      <c r="AI125" s="2351" t="e">
        <f t="shared" si="45"/>
        <v>#N/A</v>
      </c>
      <c r="AJ125" s="123" t="e">
        <f t="shared" si="33"/>
        <v>#N/A</v>
      </c>
      <c r="AK125" t="e">
        <f t="shared" si="34"/>
        <v>#N/A</v>
      </c>
      <c r="AL125" t="e">
        <f t="shared" si="35"/>
        <v>#N/A</v>
      </c>
      <c r="AQ125" s="123"/>
      <c r="AR125" s="123"/>
      <c r="AS125" s="123"/>
      <c r="AT125" s="2982"/>
      <c r="AU125" s="123"/>
      <c r="AV125" s="123"/>
      <c r="AW125" s="2983"/>
      <c r="AX125" s="2984"/>
      <c r="AY125" s="2985"/>
      <c r="AZ125" s="2986"/>
      <c r="BA125" s="2987"/>
      <c r="BB125" s="3194"/>
      <c r="BC125" s="2989"/>
    </row>
    <row r="126" spans="1:55" ht="28.8" x14ac:dyDescent="0.25">
      <c r="A126" s="3459" t="s">
        <v>1918</v>
      </c>
      <c r="B126" s="3463" t="s">
        <v>1919</v>
      </c>
      <c r="C126" s="3465" t="s">
        <v>9238</v>
      </c>
      <c r="D126" s="3453">
        <v>2.2000000000000002</v>
      </c>
      <c r="E126" s="250" t="s">
        <v>1920</v>
      </c>
      <c r="F126" s="250" t="s">
        <v>1921</v>
      </c>
      <c r="G126" s="2609" t="s">
        <v>1922</v>
      </c>
      <c r="H126" s="2604" t="s">
        <v>1923</v>
      </c>
      <c r="I126" s="2122" t="str">
        <f t="shared" si="53"/>
        <v>6-DaHall 1-PDU-03-30-1</v>
      </c>
      <c r="J126" s="2123" t="str">
        <f t="shared" si="54"/>
        <v>6-DaHall 1-PDU-04-30-1</v>
      </c>
      <c r="K126" s="1460">
        <v>220</v>
      </c>
      <c r="L126" s="1461">
        <v>30</v>
      </c>
      <c r="M126" s="2419" t="s">
        <v>6499</v>
      </c>
      <c r="N126" s="1462">
        <v>1</v>
      </c>
      <c r="O126" s="1463">
        <v>220</v>
      </c>
      <c r="P126" s="1464">
        <v>30</v>
      </c>
      <c r="Q126" s="2425" t="s">
        <v>6495</v>
      </c>
      <c r="R126" s="1465">
        <v>1</v>
      </c>
      <c r="S126" s="3482" t="s">
        <v>1924</v>
      </c>
      <c r="T126" s="3473" t="s">
        <v>1925</v>
      </c>
      <c r="U126" s="3475" t="s">
        <v>1926</v>
      </c>
      <c r="V126" s="3473" t="s">
        <v>1927</v>
      </c>
      <c r="W126" s="3478"/>
      <c r="X126" s="3477"/>
      <c r="Y126" s="268">
        <f>SUM('6층_부하량(월간_AVG)'!D262:F262)</f>
        <v>0</v>
      </c>
      <c r="Z126" s="268">
        <f>SUM('6층_부하량(월간_AVG)'!D292:F292)</f>
        <v>0</v>
      </c>
      <c r="AA126" s="3520">
        <f>SUM(Y126:Z128)</f>
        <v>0</v>
      </c>
      <c r="AB126" s="2782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3196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224">
        <f>VLOOKUP(I126&amp;J126,'7층~4층_매핑테이블'!$Q$6:$X$2020,8,0)</f>
        <v>3.1470000000000002</v>
      </c>
      <c r="AE126" s="3212" t="e">
        <f>SUM(AB126:AC128)</f>
        <v>#N/A</v>
      </c>
      <c r="AF126" s="3554"/>
      <c r="AH126" s="2351" t="e">
        <f t="shared" si="44"/>
        <v>#N/A</v>
      </c>
      <c r="AI126" s="2351" t="e">
        <f t="shared" si="45"/>
        <v>#N/A</v>
      </c>
      <c r="AJ126" s="123" t="e">
        <f t="shared" si="33"/>
        <v>#N/A</v>
      </c>
      <c r="AK126" t="e">
        <f t="shared" si="34"/>
        <v>#N/A</v>
      </c>
      <c r="AL126" t="e">
        <f t="shared" si="35"/>
        <v>#N/A</v>
      </c>
      <c r="AQ126" s="123"/>
      <c r="AR126" s="123"/>
      <c r="AS126" s="123"/>
      <c r="AT126" s="2982"/>
      <c r="AU126" s="123"/>
      <c r="AV126" s="123"/>
      <c r="AW126" s="2983"/>
      <c r="AX126" s="2984"/>
      <c r="AY126" s="2985"/>
      <c r="AZ126" s="2986"/>
      <c r="BA126" s="2987"/>
      <c r="BB126" s="3194"/>
      <c r="BC126" s="2989"/>
    </row>
    <row r="127" spans="1:55" ht="15.6" x14ac:dyDescent="0.25">
      <c r="A127" s="3460"/>
      <c r="B127" s="3485"/>
      <c r="C127" s="3465"/>
      <c r="D127" s="3453"/>
      <c r="E127" s="250"/>
      <c r="F127" s="250"/>
      <c r="G127" s="2609"/>
      <c r="H127" s="2604"/>
      <c r="I127" s="2122" t="str">
        <f t="shared" si="53"/>
        <v>6-DaHall 1-PDU-03-30-3</v>
      </c>
      <c r="J127" s="2123" t="str">
        <f t="shared" si="54"/>
        <v>6-DaHall 1-PDU-04-30-3</v>
      </c>
      <c r="K127" s="1460"/>
      <c r="L127" s="1461">
        <v>30</v>
      </c>
      <c r="M127" s="2419" t="s">
        <v>6499</v>
      </c>
      <c r="N127" s="1462">
        <v>3</v>
      </c>
      <c r="O127" s="1463">
        <v>220</v>
      </c>
      <c r="P127" s="1464">
        <v>30</v>
      </c>
      <c r="Q127" s="2425" t="s">
        <v>6495</v>
      </c>
      <c r="R127" s="1465">
        <v>3</v>
      </c>
      <c r="S127" s="3483"/>
      <c r="T127" s="3477"/>
      <c r="U127" s="3478"/>
      <c r="V127" s="3477"/>
      <c r="W127" s="3478"/>
      <c r="X127" s="3477"/>
      <c r="Y127" s="268">
        <f>SUM('6층_부하량(월간_AVG)'!D263:F263)</f>
        <v>0</v>
      </c>
      <c r="Z127" s="268">
        <f>SUM('6층_부하량(월간_AVG)'!D293:F293)</f>
        <v>0</v>
      </c>
      <c r="AA127" s="3521"/>
      <c r="AB127" s="2782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3196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224">
        <f>VLOOKUP(I127&amp;J127,'7층~4층_매핑테이블'!$Q$6:$X$2020,8,0)</f>
        <v>3.1539999999999999</v>
      </c>
      <c r="AE127" s="3214" t="e">
        <f>$AE$126</f>
        <v>#N/A</v>
      </c>
      <c r="AF127" s="3555"/>
      <c r="AH127" s="2351" t="e">
        <f t="shared" si="44"/>
        <v>#N/A</v>
      </c>
      <c r="AI127" s="2351" t="e">
        <f t="shared" si="45"/>
        <v>#N/A</v>
      </c>
      <c r="AJ127" s="123" t="e">
        <f t="shared" si="33"/>
        <v>#N/A</v>
      </c>
      <c r="AK127" t="e">
        <f t="shared" si="34"/>
        <v>#N/A</v>
      </c>
      <c r="AL127" t="e">
        <f t="shared" si="35"/>
        <v>#N/A</v>
      </c>
      <c r="AQ127" s="123"/>
      <c r="AR127" s="123"/>
      <c r="AS127" s="123"/>
      <c r="AT127" s="2982"/>
      <c r="AU127" s="123"/>
      <c r="AV127" s="123"/>
      <c r="AW127" s="2983"/>
      <c r="AX127" s="2984"/>
      <c r="AY127" s="2985"/>
      <c r="AZ127" s="2986"/>
      <c r="BA127" s="2987"/>
      <c r="BB127" s="3194"/>
      <c r="BC127" s="2989"/>
    </row>
    <row r="128" spans="1:55" ht="15.6" x14ac:dyDescent="0.25">
      <c r="A128" s="3461"/>
      <c r="B128" s="3466"/>
      <c r="C128" s="3465"/>
      <c r="D128" s="3453"/>
      <c r="E128" s="250"/>
      <c r="F128" s="250"/>
      <c r="G128" s="2609"/>
      <c r="H128" s="2604"/>
      <c r="I128" s="2122" t="str">
        <f t="shared" si="53"/>
        <v>6-DaHall 1-PDU-03-30-5</v>
      </c>
      <c r="J128" s="2123" t="str">
        <f t="shared" si="54"/>
        <v>6-DaHall 1-PDU-04-30-5</v>
      </c>
      <c r="K128" s="1460"/>
      <c r="L128" s="1461">
        <v>30</v>
      </c>
      <c r="M128" s="2419" t="s">
        <v>6499</v>
      </c>
      <c r="N128" s="1462">
        <v>5</v>
      </c>
      <c r="O128" s="1463">
        <v>220</v>
      </c>
      <c r="P128" s="1464">
        <v>30</v>
      </c>
      <c r="Q128" s="2425" t="s">
        <v>6495</v>
      </c>
      <c r="R128" s="1465">
        <v>5</v>
      </c>
      <c r="S128" s="3483"/>
      <c r="T128" s="3477"/>
      <c r="U128" s="3478"/>
      <c r="V128" s="3477"/>
      <c r="W128" s="3478"/>
      <c r="X128" s="3477"/>
      <c r="Y128" s="268">
        <f>SUM('6층_부하량(월간_AVG)'!D264:F264)</f>
        <v>0</v>
      </c>
      <c r="Z128" s="268">
        <f>SUM('6층_부하량(월간_AVG)'!D294:F294)</f>
        <v>0</v>
      </c>
      <c r="AA128" s="3522"/>
      <c r="AB128" s="2782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3196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224">
        <f>VLOOKUP(I128&amp;J128,'7층~4층_매핑테이블'!$Q$6:$X$2020,8,0)</f>
        <v>0.51800000000000002</v>
      </c>
      <c r="AE128" s="3214" t="e">
        <f>$AE$126</f>
        <v>#N/A</v>
      </c>
      <c r="AF128" s="3556"/>
      <c r="AH128" s="2351" t="e">
        <f t="shared" si="44"/>
        <v>#N/A</v>
      </c>
      <c r="AI128" s="2351" t="e">
        <f t="shared" si="45"/>
        <v>#N/A</v>
      </c>
      <c r="AJ128" s="123" t="e">
        <f t="shared" si="33"/>
        <v>#N/A</v>
      </c>
      <c r="AK128" t="e">
        <f t="shared" si="34"/>
        <v>#N/A</v>
      </c>
      <c r="AL128" t="e">
        <f t="shared" si="35"/>
        <v>#N/A</v>
      </c>
      <c r="AQ128" s="123"/>
      <c r="AR128" s="123"/>
      <c r="AS128" s="123"/>
      <c r="AT128" s="2982"/>
      <c r="AU128" s="123"/>
      <c r="AV128" s="123"/>
      <c r="AW128" s="2983"/>
      <c r="AX128" s="2984"/>
      <c r="AY128" s="2985"/>
      <c r="AZ128" s="2986"/>
      <c r="BA128" s="2987"/>
      <c r="BB128" s="3194"/>
      <c r="BC128" s="2989"/>
    </row>
    <row r="129" spans="1:55" ht="28.8" x14ac:dyDescent="0.25">
      <c r="A129" s="3459" t="s">
        <v>1928</v>
      </c>
      <c r="B129" s="3463" t="s">
        <v>1929</v>
      </c>
      <c r="C129" s="3465" t="s">
        <v>9238</v>
      </c>
      <c r="D129" s="3453">
        <v>2.2000000000000002</v>
      </c>
      <c r="E129" s="250" t="s">
        <v>1930</v>
      </c>
      <c r="F129" s="250" t="s">
        <v>1931</v>
      </c>
      <c r="G129" s="2609" t="s">
        <v>1932</v>
      </c>
      <c r="H129" s="2604" t="s">
        <v>1933</v>
      </c>
      <c r="I129" s="2122" t="str">
        <f t="shared" si="53"/>
        <v>6-DaHall 1-PDU-03-30-7</v>
      </c>
      <c r="J129" s="2123" t="str">
        <f t="shared" si="54"/>
        <v>6-DaHall 1-PDU-04-30-7</v>
      </c>
      <c r="K129" s="1460">
        <v>220</v>
      </c>
      <c r="L129" s="1461">
        <v>30</v>
      </c>
      <c r="M129" s="2419" t="s">
        <v>6499</v>
      </c>
      <c r="N129" s="1462">
        <v>7</v>
      </c>
      <c r="O129" s="1463">
        <v>220</v>
      </c>
      <c r="P129" s="1464">
        <v>30</v>
      </c>
      <c r="Q129" s="2425" t="s">
        <v>6495</v>
      </c>
      <c r="R129" s="1465">
        <v>7</v>
      </c>
      <c r="S129" s="3483"/>
      <c r="T129" s="3477"/>
      <c r="U129" s="3478"/>
      <c r="V129" s="3477"/>
      <c r="W129" s="3478"/>
      <c r="X129" s="3477"/>
      <c r="Y129" s="268">
        <f>SUM('6층_부하량(월간_AVG)'!D265:F265)</f>
        <v>0</v>
      </c>
      <c r="Z129" s="268">
        <f>SUM('6층_부하량(월간_AVG)'!D295:F295)</f>
        <v>0</v>
      </c>
      <c r="AA129" s="3520">
        <f>SUM(Y129:Z130)</f>
        <v>0</v>
      </c>
      <c r="AB129" s="2782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3196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224">
        <f>VLOOKUP(I129&amp;J129,'7층~4층_매핑테이블'!$Q$6:$X$2020,8,0)</f>
        <v>1.8280000000000001</v>
      </c>
      <c r="AE129" s="3212" t="e">
        <f>SUM(AB129:AC130)</f>
        <v>#N/A</v>
      </c>
      <c r="AF129" s="3533"/>
      <c r="AH129" s="2351" t="e">
        <f t="shared" si="44"/>
        <v>#N/A</v>
      </c>
      <c r="AI129" s="2351" t="e">
        <f t="shared" si="45"/>
        <v>#N/A</v>
      </c>
      <c r="AJ129" s="123" t="e">
        <f t="shared" si="33"/>
        <v>#N/A</v>
      </c>
      <c r="AK129" t="e">
        <f t="shared" si="34"/>
        <v>#N/A</v>
      </c>
      <c r="AL129" t="e">
        <f t="shared" si="35"/>
        <v>#N/A</v>
      </c>
      <c r="AQ129" s="123"/>
      <c r="AR129" s="123"/>
      <c r="AS129" s="123"/>
      <c r="AT129" s="2982"/>
      <c r="AU129" s="123"/>
      <c r="AV129" s="123"/>
      <c r="AW129" s="2983"/>
      <c r="AX129" s="2984"/>
      <c r="AY129" s="2985"/>
      <c r="AZ129" s="2986"/>
      <c r="BA129" s="2987"/>
      <c r="BB129" s="3194"/>
      <c r="BC129" s="2989"/>
    </row>
    <row r="130" spans="1:55" ht="15.6" x14ac:dyDescent="0.25">
      <c r="A130" s="3461"/>
      <c r="B130" s="3466"/>
      <c r="C130" s="3465"/>
      <c r="D130" s="3453"/>
      <c r="E130" s="250"/>
      <c r="F130" s="250"/>
      <c r="G130" s="2609"/>
      <c r="H130" s="2604"/>
      <c r="I130" s="2122" t="str">
        <f t="shared" si="53"/>
        <v>6-DaHall 1-PDU-03-30-9</v>
      </c>
      <c r="J130" s="2123" t="str">
        <f t="shared" si="54"/>
        <v>6-DaHall 1-PDU-04-30-9</v>
      </c>
      <c r="K130" s="1460"/>
      <c r="L130" s="1461">
        <v>30</v>
      </c>
      <c r="M130" s="2419" t="s">
        <v>6499</v>
      </c>
      <c r="N130" s="1462">
        <v>9</v>
      </c>
      <c r="O130" s="1463">
        <v>220</v>
      </c>
      <c r="P130" s="1464">
        <v>30</v>
      </c>
      <c r="Q130" s="2425" t="s">
        <v>6495</v>
      </c>
      <c r="R130" s="1465">
        <v>9</v>
      </c>
      <c r="S130" s="3483"/>
      <c r="T130" s="3477"/>
      <c r="U130" s="3478"/>
      <c r="V130" s="3477"/>
      <c r="W130" s="3478"/>
      <c r="X130" s="3477"/>
      <c r="Y130" s="268">
        <f>SUM('6층_부하량(월간_AVG)'!D266:F266)</f>
        <v>0</v>
      </c>
      <c r="Z130" s="268">
        <f>SUM('6층_부하량(월간_AVG)'!D296:F296)</f>
        <v>0</v>
      </c>
      <c r="AA130" s="3522"/>
      <c r="AB130" s="2782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3196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224">
        <f>VLOOKUP(I130&amp;J130,'7층~4층_매핑테이블'!$Q$6:$X$2020,8,0)</f>
        <v>1.649</v>
      </c>
      <c r="AE130" s="3139" t="e">
        <f>$AE$129</f>
        <v>#N/A</v>
      </c>
      <c r="AF130" s="3534"/>
      <c r="AH130" s="2351" t="e">
        <f t="shared" si="44"/>
        <v>#N/A</v>
      </c>
      <c r="AI130" s="2351" t="e">
        <f t="shared" si="45"/>
        <v>#N/A</v>
      </c>
      <c r="AJ130" s="123" t="e">
        <f t="shared" si="33"/>
        <v>#N/A</v>
      </c>
      <c r="AK130" t="e">
        <f t="shared" si="34"/>
        <v>#N/A</v>
      </c>
      <c r="AL130" t="e">
        <f t="shared" si="35"/>
        <v>#N/A</v>
      </c>
      <c r="AQ130" s="123"/>
      <c r="AR130" s="123"/>
      <c r="AS130" s="123"/>
      <c r="AT130" s="2982"/>
      <c r="AU130" s="123"/>
      <c r="AV130" s="123"/>
      <c r="AW130" s="2983"/>
      <c r="AX130" s="2984"/>
      <c r="AY130" s="2985"/>
      <c r="AZ130" s="2986"/>
      <c r="BA130" s="2987"/>
      <c r="BB130" s="3194"/>
      <c r="BC130" s="2989"/>
    </row>
    <row r="131" spans="1:55" ht="15.6" x14ac:dyDescent="0.25">
      <c r="A131" s="3459" t="s">
        <v>1934</v>
      </c>
      <c r="B131" s="3463"/>
      <c r="C131" s="3465" t="s">
        <v>9238</v>
      </c>
      <c r="D131" s="3453">
        <v>2.2000000000000002</v>
      </c>
      <c r="E131" s="250"/>
      <c r="F131" s="250"/>
      <c r="G131" s="2609"/>
      <c r="H131" s="2604"/>
      <c r="I131" s="2122" t="str">
        <f t="shared" si="53"/>
        <v>6-DaHall 1-PDU-03-30-11</v>
      </c>
      <c r="J131" s="2123" t="str">
        <f t="shared" si="54"/>
        <v>6-DaHall 1-PDU-04-30-11</v>
      </c>
      <c r="K131" s="1460">
        <v>220</v>
      </c>
      <c r="L131" s="1461">
        <v>30</v>
      </c>
      <c r="M131" s="2419" t="s">
        <v>6499</v>
      </c>
      <c r="N131" s="1462">
        <v>11</v>
      </c>
      <c r="O131" s="1463">
        <v>220</v>
      </c>
      <c r="P131" s="1464">
        <v>30</v>
      </c>
      <c r="Q131" s="2425" t="s">
        <v>6495</v>
      </c>
      <c r="R131" s="1465">
        <v>11</v>
      </c>
      <c r="S131" s="3483"/>
      <c r="T131" s="3477"/>
      <c r="U131" s="3478"/>
      <c r="V131" s="3477"/>
      <c r="W131" s="3478"/>
      <c r="X131" s="3477"/>
      <c r="Y131" s="268">
        <f>SUM('6층_부하량(월간_AVG)'!D267:F267)</f>
        <v>0</v>
      </c>
      <c r="Z131" s="268">
        <f>SUM('6층_부하량(월간_AVG)'!D297:F297)</f>
        <v>0</v>
      </c>
      <c r="AA131" s="3520">
        <f t="shared" ref="AA131" si="57">SUM(Y131:Z132)</f>
        <v>0</v>
      </c>
      <c r="AB131" s="2782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3196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224">
        <f>VLOOKUP(I131&amp;J131,'7층~4층_매핑테이블'!$Q$6:$X$2020,8,0)</f>
        <v>2.0379999999999998</v>
      </c>
      <c r="AE131" s="3212" t="e">
        <f t="shared" ref="AE131" si="58">SUM(AB131:AC132)</f>
        <v>#N/A</v>
      </c>
      <c r="AF131" s="3533"/>
      <c r="AH131" s="2351" t="e">
        <f t="shared" si="44"/>
        <v>#N/A</v>
      </c>
      <c r="AI131" s="2351" t="e">
        <f t="shared" si="45"/>
        <v>#N/A</v>
      </c>
      <c r="AJ131" s="123" t="e">
        <f t="shared" si="33"/>
        <v>#N/A</v>
      </c>
      <c r="AK131" t="e">
        <f t="shared" si="34"/>
        <v>#N/A</v>
      </c>
      <c r="AL131" t="e">
        <f t="shared" si="35"/>
        <v>#N/A</v>
      </c>
      <c r="AQ131" s="123"/>
      <c r="AR131" s="123"/>
      <c r="AS131" s="123"/>
      <c r="AT131" s="2982"/>
      <c r="AU131" s="123"/>
      <c r="AV131" s="123"/>
      <c r="AW131" s="2983"/>
      <c r="AX131" s="2984"/>
      <c r="AY131" s="2985"/>
      <c r="AZ131" s="2986"/>
      <c r="BA131" s="2987"/>
      <c r="BB131" s="3194"/>
      <c r="BC131" s="2989"/>
    </row>
    <row r="132" spans="1:55" ht="15.6" x14ac:dyDescent="0.25">
      <c r="A132" s="3461"/>
      <c r="B132" s="3466"/>
      <c r="C132" s="3465"/>
      <c r="D132" s="3453"/>
      <c r="E132" s="2624"/>
      <c r="F132" s="2624"/>
      <c r="G132" s="2613"/>
      <c r="H132" s="2606"/>
      <c r="I132" s="2122" t="str">
        <f t="shared" si="53"/>
        <v>6-DaHall 1-PDU-03-30-13</v>
      </c>
      <c r="J132" s="2123" t="str">
        <f t="shared" si="54"/>
        <v>6-DaHall 1-PDU-04-30-13</v>
      </c>
      <c r="K132" s="1460"/>
      <c r="L132" s="1461">
        <v>30</v>
      </c>
      <c r="M132" s="2419" t="s">
        <v>6499</v>
      </c>
      <c r="N132" s="1462">
        <v>13</v>
      </c>
      <c r="O132" s="1463">
        <v>220</v>
      </c>
      <c r="P132" s="1464">
        <v>30</v>
      </c>
      <c r="Q132" s="2429" t="s">
        <v>6495</v>
      </c>
      <c r="R132" s="2117">
        <v>13</v>
      </c>
      <c r="S132" s="3483"/>
      <c r="T132" s="3477"/>
      <c r="U132" s="3478"/>
      <c r="V132" s="3477"/>
      <c r="W132" s="3478"/>
      <c r="X132" s="3477"/>
      <c r="Y132" s="268">
        <f>SUM('6층_부하량(월간_AVG)'!D268:F268)</f>
        <v>0</v>
      </c>
      <c r="Z132" s="268">
        <f>SUM('6층_부하량(월간_AVG)'!D298:F298)</f>
        <v>0</v>
      </c>
      <c r="AA132" s="3522"/>
      <c r="AB132" s="2782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3196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224">
        <f>VLOOKUP(I132&amp;J132,'7층~4층_매핑테이블'!$Q$6:$X$2020,8,0)</f>
        <v>2.6859999999999999</v>
      </c>
      <c r="AE132" s="3141" t="e">
        <f>$AE$131</f>
        <v>#N/A</v>
      </c>
      <c r="AF132" s="3534"/>
      <c r="AH132" s="2351" t="e">
        <f t="shared" si="44"/>
        <v>#N/A</v>
      </c>
      <c r="AI132" s="2351" t="e">
        <f t="shared" si="45"/>
        <v>#N/A</v>
      </c>
      <c r="AJ132" s="123" t="e">
        <f t="shared" si="33"/>
        <v>#N/A</v>
      </c>
      <c r="AK132" t="e">
        <f t="shared" si="34"/>
        <v>#N/A</v>
      </c>
      <c r="AL132" t="e">
        <f t="shared" si="35"/>
        <v>#N/A</v>
      </c>
      <c r="AQ132" s="123"/>
      <c r="AR132" s="123"/>
      <c r="AS132" s="123"/>
      <c r="AT132" s="2982"/>
      <c r="AU132" s="123"/>
      <c r="AV132" s="123"/>
      <c r="AW132" s="2983"/>
      <c r="AX132" s="2984"/>
      <c r="AY132" s="2985"/>
      <c r="AZ132" s="2986"/>
      <c r="BA132" s="2987"/>
      <c r="BB132" s="3194"/>
      <c r="BC132" s="2989"/>
    </row>
    <row r="133" spans="1:55" ht="15.6" x14ac:dyDescent="0.25">
      <c r="A133" s="3459" t="s">
        <v>1935</v>
      </c>
      <c r="B133" s="3463"/>
      <c r="C133" s="3465" t="s">
        <v>9238</v>
      </c>
      <c r="D133" s="3453">
        <v>2.2000000000000002</v>
      </c>
      <c r="E133" s="2624"/>
      <c r="F133" s="2624"/>
      <c r="G133" s="2613"/>
      <c r="H133" s="2606"/>
      <c r="I133" s="2122" t="str">
        <f t="shared" si="53"/>
        <v>6-DaHall 1-PDU-03-30-15</v>
      </c>
      <c r="J133" s="2123" t="str">
        <f t="shared" si="54"/>
        <v>6-DaHall 1-PDU-04-30-15</v>
      </c>
      <c r="K133" s="1460"/>
      <c r="L133" s="1461">
        <v>30</v>
      </c>
      <c r="M133" s="2419" t="s">
        <v>6499</v>
      </c>
      <c r="N133" s="1462">
        <v>15</v>
      </c>
      <c r="O133" s="1463">
        <v>220</v>
      </c>
      <c r="P133" s="1464">
        <v>30</v>
      </c>
      <c r="Q133" s="2429" t="s">
        <v>6495</v>
      </c>
      <c r="R133" s="2117">
        <v>15</v>
      </c>
      <c r="S133" s="3483"/>
      <c r="T133" s="3477"/>
      <c r="U133" s="3478"/>
      <c r="V133" s="3477"/>
      <c r="W133" s="3478"/>
      <c r="X133" s="3477"/>
      <c r="Y133" s="268">
        <f>SUM('6층_부하량(월간_AVG)'!D269:F269)</f>
        <v>0</v>
      </c>
      <c r="Z133" s="268">
        <f>SUM('6층_부하량(월간_AVG)'!D299:F299)</f>
        <v>0</v>
      </c>
      <c r="AA133" s="3520">
        <f t="shared" ref="AA133" si="59">SUM(Y133:Z134)</f>
        <v>0</v>
      </c>
      <c r="AB133" s="2782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3196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224">
        <f>VLOOKUP(I133&amp;J133,'7층~4층_매핑테이블'!$Q$6:$X$2020,8,0)</f>
        <v>1.6840000000000002</v>
      </c>
      <c r="AE133" s="3212" t="e">
        <f t="shared" ref="AE133" si="60">SUM(AB133:AC134)</f>
        <v>#N/A</v>
      </c>
      <c r="AF133" s="3533"/>
      <c r="AH133" s="2351" t="e">
        <f t="shared" si="44"/>
        <v>#N/A</v>
      </c>
      <c r="AI133" s="2351" t="e">
        <f t="shared" si="45"/>
        <v>#N/A</v>
      </c>
      <c r="AJ133" s="123" t="e">
        <f t="shared" ref="AJ133:AJ196" si="61">IF(SIGN(AI133)&gt;=0,IF(AE133=0,"무부하 랙","적정함"),"사용초과")</f>
        <v>#N/A</v>
      </c>
      <c r="AK133" t="e">
        <f t="shared" si="34"/>
        <v>#N/A</v>
      </c>
      <c r="AL133" t="e">
        <f t="shared" si="35"/>
        <v>#N/A</v>
      </c>
      <c r="AQ133" s="123"/>
      <c r="AR133" s="123"/>
      <c r="AS133" s="123"/>
      <c r="AT133" s="2982"/>
      <c r="AU133" s="123"/>
      <c r="AV133" s="123"/>
      <c r="AW133" s="2983"/>
      <c r="AX133" s="2984"/>
      <c r="AY133" s="2985"/>
      <c r="AZ133" s="2986"/>
      <c r="BA133" s="2987"/>
      <c r="BB133" s="3194"/>
      <c r="BC133" s="2989"/>
    </row>
    <row r="134" spans="1:55" ht="16.2" thickBot="1" x14ac:dyDescent="0.3">
      <c r="A134" s="3462"/>
      <c r="B134" s="3464"/>
      <c r="C134" s="3465"/>
      <c r="D134" s="3453"/>
      <c r="E134" s="2629"/>
      <c r="F134" s="2629"/>
      <c r="G134" s="2611"/>
      <c r="H134" s="2605"/>
      <c r="I134" s="2122" t="str">
        <f t="shared" si="53"/>
        <v>6-DaHall 1-PDU-03-30-17</v>
      </c>
      <c r="J134" s="2123" t="str">
        <f t="shared" si="54"/>
        <v>6-DaHall 1-PDU-04-30-17</v>
      </c>
      <c r="K134" s="1460">
        <v>220</v>
      </c>
      <c r="L134" s="1461">
        <v>30</v>
      </c>
      <c r="M134" s="2419" t="s">
        <v>6499</v>
      </c>
      <c r="N134" s="1462">
        <v>17</v>
      </c>
      <c r="O134" s="1463">
        <v>220</v>
      </c>
      <c r="P134" s="1464">
        <v>30</v>
      </c>
      <c r="Q134" s="2428" t="s">
        <v>6495</v>
      </c>
      <c r="R134" s="1473">
        <v>17</v>
      </c>
      <c r="S134" s="3484"/>
      <c r="T134" s="3474"/>
      <c r="U134" s="3476"/>
      <c r="V134" s="3474"/>
      <c r="W134" s="3476"/>
      <c r="X134" s="3474"/>
      <c r="Y134" s="268">
        <f>SUM('6층_부하량(월간_AVG)'!D270:F270)</f>
        <v>0</v>
      </c>
      <c r="Z134" s="268">
        <f>SUM('6층_부하량(월간_AVG)'!D300:F300)</f>
        <v>0</v>
      </c>
      <c r="AA134" s="3522"/>
      <c r="AB134" s="2782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3196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4032">
        <f>VLOOKUP(I134&amp;J134,'7층~4층_매핑테이블'!$Q$6:$X$2020,8,0)</f>
        <v>0.80600000000000005</v>
      </c>
      <c r="AE134" s="3139" t="e">
        <f>$AE$133</f>
        <v>#N/A</v>
      </c>
      <c r="AF134" s="3534"/>
      <c r="AH134" s="2351" t="e">
        <f t="shared" si="44"/>
        <v>#N/A</v>
      </c>
      <c r="AI134" s="2351" t="e">
        <f t="shared" si="45"/>
        <v>#N/A</v>
      </c>
      <c r="AJ134" s="123" t="e">
        <f t="shared" si="61"/>
        <v>#N/A</v>
      </c>
      <c r="AK134" t="e">
        <f t="shared" ref="AK134:AK197" si="62">IF(AJ134="사용초과",C134,"")</f>
        <v>#N/A</v>
      </c>
      <c r="AL134" t="e">
        <f t="shared" ref="AL134:AL197" si="63">IF(AK134="","",A134)</f>
        <v>#N/A</v>
      </c>
      <c r="AQ134" s="123"/>
      <c r="AR134" s="123"/>
      <c r="AS134" s="123"/>
      <c r="AT134" s="2982"/>
      <c r="AU134" s="123"/>
      <c r="AV134" s="123"/>
      <c r="AW134" s="2983"/>
      <c r="AX134" s="2984"/>
      <c r="AY134" s="2985"/>
      <c r="AZ134" s="2986"/>
      <c r="BA134" s="2987"/>
      <c r="BB134" s="3194"/>
      <c r="BC134" s="2989"/>
    </row>
    <row r="135" spans="1:55" ht="15" thickTop="1" x14ac:dyDescent="0.25">
      <c r="A135" s="1081" t="s">
        <v>551</v>
      </c>
      <c r="B135" s="828"/>
      <c r="C135" s="828"/>
      <c r="D135" s="828"/>
      <c r="E135" s="828"/>
      <c r="F135" s="828"/>
      <c r="G135" s="884"/>
      <c r="H135" s="885"/>
      <c r="I135" s="2120"/>
      <c r="J135" s="2121"/>
      <c r="K135" s="1452"/>
      <c r="L135" s="1453"/>
      <c r="M135" s="884"/>
      <c r="N135" s="1454"/>
      <c r="O135" s="1455"/>
      <c r="P135" s="1456"/>
      <c r="Q135" s="885"/>
      <c r="R135" s="1457"/>
      <c r="S135" s="829"/>
      <c r="T135" s="830"/>
      <c r="U135" s="829"/>
      <c r="V135" s="830"/>
      <c r="W135" s="829"/>
      <c r="X135" s="830"/>
      <c r="Y135" s="835"/>
      <c r="Z135" s="835"/>
      <c r="AA135" s="2439"/>
      <c r="AB135" s="2771"/>
      <c r="AC135" s="2701"/>
      <c r="AD135" s="3223"/>
      <c r="AE135" s="3207">
        <f t="shared" ref="AE135:AE193" si="64">SUM(AB135:AC135)</f>
        <v>0</v>
      </c>
      <c r="AF135" s="2772" t="s">
        <v>1265</v>
      </c>
      <c r="AH135" s="2351">
        <f t="shared" si="44"/>
        <v>0</v>
      </c>
      <c r="AI135" s="2351">
        <f t="shared" si="45"/>
        <v>0</v>
      </c>
      <c r="AJ135" s="123" t="str">
        <f t="shared" si="61"/>
        <v>무부하 랙</v>
      </c>
      <c r="AK135" t="str">
        <f t="shared" si="62"/>
        <v/>
      </c>
      <c r="AL135" t="str">
        <f t="shared" si="63"/>
        <v/>
      </c>
      <c r="AQ135" s="123"/>
      <c r="AR135" s="123"/>
      <c r="AS135" s="123"/>
      <c r="AT135" s="2982"/>
      <c r="AU135" s="123"/>
      <c r="AV135" s="123"/>
      <c r="AW135" s="2983"/>
      <c r="AX135" s="2984"/>
      <c r="AY135" s="2985"/>
      <c r="AZ135" s="2986"/>
      <c r="BA135" s="2987"/>
      <c r="BB135" s="3194"/>
      <c r="BC135" s="2989"/>
    </row>
    <row r="136" spans="1:55" ht="28.8" x14ac:dyDescent="0.25">
      <c r="A136" s="2620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09" t="s">
        <v>1636</v>
      </c>
      <c r="H136" s="2604" t="s">
        <v>1637</v>
      </c>
      <c r="I136" s="2122" t="str">
        <f t="shared" ref="I136:I144" si="65">"6-DaHall 1-PDU-"&amp;M136&amp;"-"&amp;L136&amp;"-"&amp;N136</f>
        <v>6-DaHall 1-PDU-05-30-20</v>
      </c>
      <c r="J136" s="2123" t="str">
        <f t="shared" ref="J136:J144" si="66">"6-DaHall 1-PDU-"&amp;Q136&amp;"-"&amp;P136&amp;"-"&amp;R136</f>
        <v>6-DaHall 1-PDU-06-30-20</v>
      </c>
      <c r="K136" s="1460">
        <v>220</v>
      </c>
      <c r="L136" s="1461">
        <v>30</v>
      </c>
      <c r="M136" s="2419" t="s">
        <v>6491</v>
      </c>
      <c r="N136" s="1462">
        <v>20</v>
      </c>
      <c r="O136" s="1463">
        <v>220</v>
      </c>
      <c r="P136" s="1464">
        <v>30</v>
      </c>
      <c r="Q136" s="2425" t="s">
        <v>6501</v>
      </c>
      <c r="R136" s="1465">
        <v>20</v>
      </c>
      <c r="S136" s="3468" t="s">
        <v>1581</v>
      </c>
      <c r="T136" s="3465" t="s">
        <v>1582</v>
      </c>
      <c r="U136" s="3468" t="s">
        <v>1583</v>
      </c>
      <c r="V136" s="3465" t="s">
        <v>1584</v>
      </c>
      <c r="W136" s="3468" t="s">
        <v>1276</v>
      </c>
      <c r="X136" s="3465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36">
        <f t="shared" ref="AA136:AA144" si="67">SUM(Y136:Z136)</f>
        <v>0</v>
      </c>
      <c r="AB136" s="2683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692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3224">
        <f>VLOOKUP(I136&amp;J136,'7층~4층_매핑테이블'!$Q$6:$X$2020,8,0)</f>
        <v>0</v>
      </c>
      <c r="AE136" s="3140" t="e">
        <f t="shared" si="64"/>
        <v>#N/A</v>
      </c>
      <c r="AF136" s="2766"/>
      <c r="AH136" s="2351" t="e">
        <f t="shared" si="44"/>
        <v>#N/A</v>
      </c>
      <c r="AI136" s="2351" t="e">
        <f t="shared" si="45"/>
        <v>#N/A</v>
      </c>
      <c r="AJ136" s="123" t="e">
        <f t="shared" si="61"/>
        <v>#N/A</v>
      </c>
      <c r="AK136" t="e">
        <f t="shared" si="62"/>
        <v>#N/A</v>
      </c>
      <c r="AL136" t="e">
        <f t="shared" si="63"/>
        <v>#N/A</v>
      </c>
      <c r="AQ136" s="123"/>
      <c r="AR136" s="123"/>
      <c r="AS136" s="123"/>
      <c r="AT136" s="2982"/>
      <c r="AU136" s="123"/>
      <c r="AV136" s="123"/>
      <c r="AW136" s="2983"/>
      <c r="AX136" s="2984"/>
      <c r="AY136" s="2985"/>
      <c r="AZ136" s="2986"/>
      <c r="BA136" s="2987"/>
      <c r="BB136" s="3194"/>
      <c r="BC136" s="2989"/>
    </row>
    <row r="137" spans="1:55" ht="28.8" x14ac:dyDescent="0.25">
      <c r="A137" s="2620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09" t="s">
        <v>1642</v>
      </c>
      <c r="H137" s="2604" t="s">
        <v>1643</v>
      </c>
      <c r="I137" s="2122" t="str">
        <f t="shared" si="65"/>
        <v>6-DaHall 1-PDU-05-30-22</v>
      </c>
      <c r="J137" s="2123" t="str">
        <f t="shared" si="66"/>
        <v>6-DaHall 1-PDU-06-30-22</v>
      </c>
      <c r="K137" s="1460">
        <v>220</v>
      </c>
      <c r="L137" s="1461">
        <v>30</v>
      </c>
      <c r="M137" s="2419" t="s">
        <v>6491</v>
      </c>
      <c r="N137" s="1462">
        <v>22</v>
      </c>
      <c r="O137" s="1463">
        <v>220</v>
      </c>
      <c r="P137" s="1464">
        <v>30</v>
      </c>
      <c r="Q137" s="2425" t="s">
        <v>6501</v>
      </c>
      <c r="R137" s="1465">
        <v>22</v>
      </c>
      <c r="S137" s="3472"/>
      <c r="T137" s="3471"/>
      <c r="U137" s="3472"/>
      <c r="V137" s="3471"/>
      <c r="W137" s="3472"/>
      <c r="X137" s="3471"/>
      <c r="Y137" s="268">
        <f>SUM('6층_부하량(월간_AVG)'!L332:N332)</f>
        <v>0</v>
      </c>
      <c r="Z137" s="268">
        <f>SUM('6층_부하량(월간_AVG)'!L364:N364)</f>
        <v>0</v>
      </c>
      <c r="AA137" s="2436">
        <f t="shared" si="67"/>
        <v>0</v>
      </c>
      <c r="AB137" s="2683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692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3224">
        <f>VLOOKUP(I137&amp;J137,'7층~4층_매핑테이블'!$Q$6:$X$2020,8,0)</f>
        <v>0</v>
      </c>
      <c r="AE137" s="3140" t="e">
        <f t="shared" si="64"/>
        <v>#N/A</v>
      </c>
      <c r="AF137" s="2766"/>
      <c r="AH137" s="2351" t="e">
        <f t="shared" si="44"/>
        <v>#N/A</v>
      </c>
      <c r="AI137" s="2351" t="e">
        <f t="shared" si="45"/>
        <v>#N/A</v>
      </c>
      <c r="AJ137" s="123" t="e">
        <f t="shared" si="61"/>
        <v>#N/A</v>
      </c>
      <c r="AK137" t="e">
        <f t="shared" si="62"/>
        <v>#N/A</v>
      </c>
      <c r="AL137" t="e">
        <f t="shared" si="63"/>
        <v>#N/A</v>
      </c>
      <c r="AQ137" s="123"/>
      <c r="AR137" s="123"/>
      <c r="AS137" s="123"/>
      <c r="AT137" s="2982"/>
      <c r="AU137" s="123"/>
      <c r="AV137" s="123"/>
      <c r="AW137" s="2983"/>
      <c r="AX137" s="2984"/>
      <c r="AY137" s="2985"/>
      <c r="AZ137" s="2986"/>
      <c r="BA137" s="2987"/>
      <c r="BB137" s="3194"/>
      <c r="BC137" s="2989"/>
    </row>
    <row r="138" spans="1:55" ht="28.8" x14ac:dyDescent="0.25">
      <c r="A138" s="2620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09" t="s">
        <v>1648</v>
      </c>
      <c r="H138" s="2604" t="s">
        <v>1649</v>
      </c>
      <c r="I138" s="2122" t="str">
        <f t="shared" si="65"/>
        <v>6-DaHall 1-PDU-05-30-24</v>
      </c>
      <c r="J138" s="2123" t="str">
        <f t="shared" si="66"/>
        <v>6-DaHall 1-PDU-06-30-24</v>
      </c>
      <c r="K138" s="1460">
        <v>220</v>
      </c>
      <c r="L138" s="1461">
        <v>30</v>
      </c>
      <c r="M138" s="2419" t="s">
        <v>6491</v>
      </c>
      <c r="N138" s="1462">
        <v>24</v>
      </c>
      <c r="O138" s="1463">
        <v>220</v>
      </c>
      <c r="P138" s="1464">
        <v>30</v>
      </c>
      <c r="Q138" s="2425" t="s">
        <v>6501</v>
      </c>
      <c r="R138" s="1465">
        <v>24</v>
      </c>
      <c r="S138" s="3472"/>
      <c r="T138" s="3471"/>
      <c r="U138" s="3472"/>
      <c r="V138" s="3471"/>
      <c r="W138" s="3472"/>
      <c r="X138" s="3471"/>
      <c r="Y138" s="268">
        <f>SUM('6층_부하량(월간_AVG)'!L333:N333)</f>
        <v>0</v>
      </c>
      <c r="Z138" s="268">
        <f>SUM('6층_부하량(월간_AVG)'!L365:N365)</f>
        <v>0</v>
      </c>
      <c r="AA138" s="2436">
        <f t="shared" si="67"/>
        <v>0</v>
      </c>
      <c r="AB138" s="2683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692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3224">
        <f>VLOOKUP(I138&amp;J138,'7층~4층_매핑테이블'!$Q$6:$X$2020,8,0)</f>
        <v>0</v>
      </c>
      <c r="AE138" s="3140" t="e">
        <f t="shared" si="64"/>
        <v>#N/A</v>
      </c>
      <c r="AF138" s="2766"/>
      <c r="AH138" s="2351" t="e">
        <f t="shared" si="44"/>
        <v>#N/A</v>
      </c>
      <c r="AI138" s="2351" t="e">
        <f t="shared" si="45"/>
        <v>#N/A</v>
      </c>
      <c r="AJ138" s="123" t="e">
        <f t="shared" si="61"/>
        <v>#N/A</v>
      </c>
      <c r="AK138" t="e">
        <f t="shared" si="62"/>
        <v>#N/A</v>
      </c>
      <c r="AL138" t="e">
        <f t="shared" si="63"/>
        <v>#N/A</v>
      </c>
      <c r="AQ138" s="123"/>
      <c r="AR138" s="123"/>
      <c r="AS138" s="123"/>
      <c r="AT138" s="2982"/>
      <c r="AU138" s="123"/>
      <c r="AV138" s="123"/>
      <c r="AW138" s="2983"/>
      <c r="AX138" s="2984"/>
      <c r="AY138" s="2985"/>
      <c r="AZ138" s="2986"/>
      <c r="BA138" s="2987"/>
      <c r="BB138" s="3194"/>
      <c r="BC138" s="2989"/>
    </row>
    <row r="139" spans="1:55" ht="28.8" x14ac:dyDescent="0.25">
      <c r="A139" s="2620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09" t="s">
        <v>1654</v>
      </c>
      <c r="H139" s="2604" t="s">
        <v>1655</v>
      </c>
      <c r="I139" s="2122" t="str">
        <f t="shared" si="65"/>
        <v>6-DaHall 1-PDU-05-30-26</v>
      </c>
      <c r="J139" s="2123" t="str">
        <f t="shared" si="66"/>
        <v>6-DaHall 1-PDU-06-30-26</v>
      </c>
      <c r="K139" s="1460">
        <v>220</v>
      </c>
      <c r="L139" s="1461">
        <v>30</v>
      </c>
      <c r="M139" s="2419" t="s">
        <v>6491</v>
      </c>
      <c r="N139" s="1462">
        <v>26</v>
      </c>
      <c r="O139" s="1463">
        <v>220</v>
      </c>
      <c r="P139" s="1464">
        <v>30</v>
      </c>
      <c r="Q139" s="2425" t="s">
        <v>6501</v>
      </c>
      <c r="R139" s="1465">
        <v>26</v>
      </c>
      <c r="S139" s="3472"/>
      <c r="T139" s="3471"/>
      <c r="U139" s="3472"/>
      <c r="V139" s="3471"/>
      <c r="W139" s="3472"/>
      <c r="X139" s="3471"/>
      <c r="Y139" s="268">
        <f>SUM('6층_부하량(월간_AVG)'!L334:N334)</f>
        <v>0</v>
      </c>
      <c r="Z139" s="268">
        <f>SUM('6층_부하량(월간_AVG)'!L366:N366)</f>
        <v>0</v>
      </c>
      <c r="AA139" s="2436">
        <f t="shared" si="67"/>
        <v>0</v>
      </c>
      <c r="AB139" s="2683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692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3224">
        <f>VLOOKUP(I139&amp;J139,'7층~4층_매핑테이블'!$Q$6:$X$2020,8,0)</f>
        <v>0</v>
      </c>
      <c r="AE139" s="3140" t="e">
        <f t="shared" si="64"/>
        <v>#N/A</v>
      </c>
      <c r="AF139" s="2766"/>
      <c r="AH139" s="2351" t="e">
        <f t="shared" si="44"/>
        <v>#N/A</v>
      </c>
      <c r="AI139" s="2351" t="e">
        <f t="shared" si="45"/>
        <v>#N/A</v>
      </c>
      <c r="AJ139" s="123" t="e">
        <f t="shared" si="61"/>
        <v>#N/A</v>
      </c>
      <c r="AK139" t="e">
        <f t="shared" si="62"/>
        <v>#N/A</v>
      </c>
      <c r="AL139" t="e">
        <f t="shared" si="63"/>
        <v>#N/A</v>
      </c>
      <c r="AQ139" s="123"/>
      <c r="AR139" s="123"/>
      <c r="AS139" s="123"/>
      <c r="AT139" s="2982"/>
      <c r="AU139" s="123"/>
      <c r="AV139" s="123"/>
      <c r="AW139" s="2983"/>
      <c r="AX139" s="2984"/>
      <c r="AY139" s="2985"/>
      <c r="AZ139" s="2986"/>
      <c r="BA139" s="2987"/>
      <c r="BB139" s="3194"/>
      <c r="BC139" s="2989"/>
    </row>
    <row r="140" spans="1:55" ht="28.8" x14ac:dyDescent="0.25">
      <c r="A140" s="2620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09" t="s">
        <v>1660</v>
      </c>
      <c r="H140" s="2604" t="s">
        <v>1661</v>
      </c>
      <c r="I140" s="2122" t="str">
        <f t="shared" si="65"/>
        <v>6-DaHall 1-PDU-05-30-28</v>
      </c>
      <c r="J140" s="2123" t="str">
        <f t="shared" si="66"/>
        <v>6-DaHall 1-PDU-06-30-28</v>
      </c>
      <c r="K140" s="1460">
        <v>220</v>
      </c>
      <c r="L140" s="1461">
        <v>30</v>
      </c>
      <c r="M140" s="2419" t="s">
        <v>6491</v>
      </c>
      <c r="N140" s="1462">
        <v>28</v>
      </c>
      <c r="O140" s="1463">
        <v>220</v>
      </c>
      <c r="P140" s="1464">
        <v>30</v>
      </c>
      <c r="Q140" s="2425" t="s">
        <v>6501</v>
      </c>
      <c r="R140" s="1465">
        <v>28</v>
      </c>
      <c r="S140" s="3472"/>
      <c r="T140" s="3471"/>
      <c r="U140" s="3472"/>
      <c r="V140" s="3471"/>
      <c r="W140" s="3472"/>
      <c r="X140" s="3471"/>
      <c r="Y140" s="268">
        <f>SUM('6층_부하량(월간_AVG)'!L335:N335)</f>
        <v>0</v>
      </c>
      <c r="Z140" s="268">
        <f>SUM('6층_부하량(월간_AVG)'!L367:N367)</f>
        <v>0</v>
      </c>
      <c r="AA140" s="2436">
        <f t="shared" si="67"/>
        <v>0</v>
      </c>
      <c r="AB140" s="2683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692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3224">
        <f>VLOOKUP(I140&amp;J140,'7층~4층_매핑테이블'!$Q$6:$X$2020,8,0)</f>
        <v>0</v>
      </c>
      <c r="AE140" s="3140" t="e">
        <f t="shared" si="64"/>
        <v>#N/A</v>
      </c>
      <c r="AF140" s="2766"/>
      <c r="AH140" s="2351" t="e">
        <f t="shared" si="44"/>
        <v>#N/A</v>
      </c>
      <c r="AI140" s="2351" t="e">
        <f t="shared" si="45"/>
        <v>#N/A</v>
      </c>
      <c r="AJ140" s="123" t="e">
        <f t="shared" si="61"/>
        <v>#N/A</v>
      </c>
      <c r="AK140" t="e">
        <f t="shared" si="62"/>
        <v>#N/A</v>
      </c>
      <c r="AL140" t="e">
        <f t="shared" si="63"/>
        <v>#N/A</v>
      </c>
      <c r="AQ140" s="123"/>
      <c r="AR140" s="123"/>
      <c r="AS140" s="123"/>
      <c r="AT140" s="2982"/>
      <c r="AU140" s="123"/>
      <c r="AV140" s="123"/>
      <c r="AW140" s="2983"/>
      <c r="AX140" s="2984"/>
      <c r="AY140" s="2985"/>
      <c r="AZ140" s="2986"/>
      <c r="BA140" s="2987"/>
      <c r="BB140" s="3194"/>
      <c r="BC140" s="2989"/>
    </row>
    <row r="141" spans="1:55" ht="28.8" x14ac:dyDescent="0.25">
      <c r="A141" s="2620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09" t="s">
        <v>1666</v>
      </c>
      <c r="H141" s="2604" t="s">
        <v>1667</v>
      </c>
      <c r="I141" s="2122" t="str">
        <f t="shared" si="65"/>
        <v>6-DaHall 1-PDU-05-30-30</v>
      </c>
      <c r="J141" s="2123" t="str">
        <f t="shared" si="66"/>
        <v>6-DaHall 1-PDU-06-30-30</v>
      </c>
      <c r="K141" s="1460">
        <v>220</v>
      </c>
      <c r="L141" s="1461">
        <v>30</v>
      </c>
      <c r="M141" s="2419" t="s">
        <v>6491</v>
      </c>
      <c r="N141" s="1462">
        <v>30</v>
      </c>
      <c r="O141" s="1463">
        <v>220</v>
      </c>
      <c r="P141" s="1464">
        <v>30</v>
      </c>
      <c r="Q141" s="2425" t="s">
        <v>6501</v>
      </c>
      <c r="R141" s="1465">
        <v>30</v>
      </c>
      <c r="S141" s="3472"/>
      <c r="T141" s="3471"/>
      <c r="U141" s="3472"/>
      <c r="V141" s="3471"/>
      <c r="W141" s="3472"/>
      <c r="X141" s="3471"/>
      <c r="Y141" s="268">
        <f>SUM('6층_부하량(월간_AVG)'!L336:N336)</f>
        <v>0</v>
      </c>
      <c r="Z141" s="268">
        <f>SUM('6층_부하량(월간_AVG)'!L368:N368)</f>
        <v>0</v>
      </c>
      <c r="AA141" s="2436">
        <f t="shared" si="67"/>
        <v>0</v>
      </c>
      <c r="AB141" s="2683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692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3224">
        <f>VLOOKUP(I141&amp;J141,'7층~4층_매핑테이블'!$Q$6:$X$2020,8,0)</f>
        <v>0</v>
      </c>
      <c r="AE141" s="3140" t="e">
        <f t="shared" si="64"/>
        <v>#N/A</v>
      </c>
      <c r="AF141" s="2766"/>
      <c r="AH141" s="2351" t="e">
        <f t="shared" si="44"/>
        <v>#N/A</v>
      </c>
      <c r="AI141" s="2351" t="e">
        <f t="shared" si="45"/>
        <v>#N/A</v>
      </c>
      <c r="AJ141" s="123" t="e">
        <f t="shared" si="61"/>
        <v>#N/A</v>
      </c>
      <c r="AK141" t="e">
        <f t="shared" si="62"/>
        <v>#N/A</v>
      </c>
      <c r="AL141" t="e">
        <f t="shared" si="63"/>
        <v>#N/A</v>
      </c>
      <c r="AQ141" s="123"/>
      <c r="AR141" s="123"/>
      <c r="AS141" s="123"/>
      <c r="AT141" s="2982"/>
      <c r="AU141" s="123"/>
      <c r="AV141" s="123"/>
      <c r="AW141" s="2983"/>
      <c r="AX141" s="2984"/>
      <c r="AY141" s="2985"/>
      <c r="AZ141" s="2986"/>
      <c r="BA141" s="2987"/>
      <c r="BB141" s="3194"/>
      <c r="BC141" s="2989"/>
    </row>
    <row r="142" spans="1:55" ht="28.8" x14ac:dyDescent="0.25">
      <c r="A142" s="2620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09" t="s">
        <v>1672</v>
      </c>
      <c r="H142" s="2604" t="s">
        <v>1673</v>
      </c>
      <c r="I142" s="2122" t="str">
        <f t="shared" si="65"/>
        <v>6-DaHall 1-PDU-05-30-32</v>
      </c>
      <c r="J142" s="2123" t="str">
        <f t="shared" si="66"/>
        <v>6-DaHall 1-PDU-06-30-32</v>
      </c>
      <c r="K142" s="1460">
        <v>220</v>
      </c>
      <c r="L142" s="1461">
        <v>30</v>
      </c>
      <c r="M142" s="2419" t="s">
        <v>6491</v>
      </c>
      <c r="N142" s="1462">
        <v>32</v>
      </c>
      <c r="O142" s="1463">
        <v>220</v>
      </c>
      <c r="P142" s="1464">
        <v>30</v>
      </c>
      <c r="Q142" s="2425" t="s">
        <v>6501</v>
      </c>
      <c r="R142" s="1465">
        <v>32</v>
      </c>
      <c r="S142" s="3472"/>
      <c r="T142" s="3471"/>
      <c r="U142" s="3472"/>
      <c r="V142" s="3471"/>
      <c r="W142" s="3472"/>
      <c r="X142" s="3471"/>
      <c r="Y142" s="268">
        <f>SUM('6층_부하량(월간_AVG)'!L337:N337)</f>
        <v>0</v>
      </c>
      <c r="Z142" s="268">
        <f>SUM('6층_부하량(월간_AVG)'!L369:N369)</f>
        <v>0</v>
      </c>
      <c r="AA142" s="2436">
        <f t="shared" si="67"/>
        <v>0</v>
      </c>
      <c r="AB142" s="2683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692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3224">
        <f>VLOOKUP(I142&amp;J142,'7층~4층_매핑테이블'!$Q$6:$X$2020,8,0)</f>
        <v>0</v>
      </c>
      <c r="AE142" s="3140" t="e">
        <f t="shared" si="64"/>
        <v>#N/A</v>
      </c>
      <c r="AF142" s="2766"/>
      <c r="AH142" s="2351" t="e">
        <f t="shared" si="44"/>
        <v>#N/A</v>
      </c>
      <c r="AI142" s="2351" t="e">
        <f t="shared" si="45"/>
        <v>#N/A</v>
      </c>
      <c r="AJ142" s="123" t="e">
        <f t="shared" si="61"/>
        <v>#N/A</v>
      </c>
      <c r="AK142" t="e">
        <f t="shared" si="62"/>
        <v>#N/A</v>
      </c>
      <c r="AL142" t="e">
        <f t="shared" si="63"/>
        <v>#N/A</v>
      </c>
      <c r="AQ142" s="123"/>
      <c r="AR142" s="123"/>
      <c r="AS142" s="123"/>
      <c r="AT142" s="2982"/>
      <c r="AU142" s="123"/>
      <c r="AV142" s="123"/>
      <c r="AW142" s="2983"/>
      <c r="AX142" s="2984"/>
      <c r="AY142" s="2985"/>
      <c r="AZ142" s="2986"/>
      <c r="BA142" s="2987"/>
      <c r="BB142" s="3194"/>
      <c r="BC142" s="2989"/>
    </row>
    <row r="143" spans="1:55" ht="28.8" x14ac:dyDescent="0.25">
      <c r="A143" s="2620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09" t="s">
        <v>1678</v>
      </c>
      <c r="H143" s="2604" t="s">
        <v>1679</v>
      </c>
      <c r="I143" s="2122" t="str">
        <f t="shared" si="65"/>
        <v>6-DaHall 1-PDU-05-30-34</v>
      </c>
      <c r="J143" s="2123" t="str">
        <f t="shared" si="66"/>
        <v>6-DaHall 1-PDU-06-30-34</v>
      </c>
      <c r="K143" s="1460">
        <v>220</v>
      </c>
      <c r="L143" s="1461">
        <v>30</v>
      </c>
      <c r="M143" s="2419" t="s">
        <v>6491</v>
      </c>
      <c r="N143" s="1462">
        <v>34</v>
      </c>
      <c r="O143" s="1463">
        <v>220</v>
      </c>
      <c r="P143" s="1464">
        <v>30</v>
      </c>
      <c r="Q143" s="2425" t="s">
        <v>6501</v>
      </c>
      <c r="R143" s="1465">
        <v>34</v>
      </c>
      <c r="S143" s="3472"/>
      <c r="T143" s="3471"/>
      <c r="U143" s="3472"/>
      <c r="V143" s="3471"/>
      <c r="W143" s="3472"/>
      <c r="X143" s="3471"/>
      <c r="Y143" s="268">
        <f>SUM('6층_부하량(월간_AVG)'!L338:N338)</f>
        <v>0</v>
      </c>
      <c r="Z143" s="268">
        <f>SUM('6층_부하량(월간_AVG)'!L370:N370)</f>
        <v>0</v>
      </c>
      <c r="AA143" s="2436">
        <f t="shared" si="67"/>
        <v>0</v>
      </c>
      <c r="AB143" s="2683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692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3224">
        <f>VLOOKUP(I143&amp;J143,'7층~4층_매핑테이블'!$Q$6:$X$2020,8,0)</f>
        <v>0</v>
      </c>
      <c r="AE143" s="3140" t="e">
        <f t="shared" si="64"/>
        <v>#N/A</v>
      </c>
      <c r="AF143" s="2766"/>
      <c r="AH143" s="2351" t="e">
        <f t="shared" si="44"/>
        <v>#N/A</v>
      </c>
      <c r="AI143" s="2351" t="e">
        <f t="shared" si="45"/>
        <v>#N/A</v>
      </c>
      <c r="AJ143" s="123" t="e">
        <f t="shared" si="61"/>
        <v>#N/A</v>
      </c>
      <c r="AK143" t="e">
        <f t="shared" si="62"/>
        <v>#N/A</v>
      </c>
      <c r="AL143" t="e">
        <f t="shared" si="63"/>
        <v>#N/A</v>
      </c>
      <c r="AQ143" s="123"/>
      <c r="AR143" s="123"/>
      <c r="AS143" s="123"/>
      <c r="AT143" s="2982"/>
      <c r="AU143" s="123"/>
      <c r="AV143" s="123"/>
      <c r="AW143" s="2983"/>
      <c r="AX143" s="2984"/>
      <c r="AY143" s="2985"/>
      <c r="AZ143" s="2986"/>
      <c r="BA143" s="2987"/>
      <c r="BB143" s="3194"/>
      <c r="BC143" s="2989"/>
    </row>
    <row r="144" spans="1:55" ht="28.8" x14ac:dyDescent="0.25">
      <c r="A144" s="2620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09" t="s">
        <v>1684</v>
      </c>
      <c r="H144" s="2604" t="s">
        <v>1685</v>
      </c>
      <c r="I144" s="2122" t="str">
        <f t="shared" si="65"/>
        <v>6-DaHall 1-PDU-05-30-36</v>
      </c>
      <c r="J144" s="2123" t="str">
        <f t="shared" si="66"/>
        <v>6-DaHall 1-PDU-06-30-36</v>
      </c>
      <c r="K144" s="1460">
        <v>220</v>
      </c>
      <c r="L144" s="1461">
        <v>30</v>
      </c>
      <c r="M144" s="2419" t="s">
        <v>6491</v>
      </c>
      <c r="N144" s="1462">
        <v>36</v>
      </c>
      <c r="O144" s="1463">
        <v>220</v>
      </c>
      <c r="P144" s="1464">
        <v>30</v>
      </c>
      <c r="Q144" s="2425" t="s">
        <v>6501</v>
      </c>
      <c r="R144" s="1465">
        <v>36</v>
      </c>
      <c r="S144" s="3472"/>
      <c r="T144" s="3471"/>
      <c r="U144" s="3472"/>
      <c r="V144" s="3471"/>
      <c r="W144" s="3472"/>
      <c r="X144" s="3471"/>
      <c r="Y144" s="268">
        <f>SUM('6층_부하량(월간_AVG)'!L339:N339)</f>
        <v>0</v>
      </c>
      <c r="Z144" s="268">
        <f>SUM('6층_부하량(월간_AVG)'!L371:N371)</f>
        <v>0</v>
      </c>
      <c r="AA144" s="2436">
        <f t="shared" si="67"/>
        <v>0</v>
      </c>
      <c r="AB144" s="2683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692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3224">
        <f>VLOOKUP(I144&amp;J144,'7층~4층_매핑테이블'!$Q$6:$X$2020,8,0)</f>
        <v>0</v>
      </c>
      <c r="AE144" s="3140" t="e">
        <f t="shared" si="64"/>
        <v>#N/A</v>
      </c>
      <c r="AF144" s="2766"/>
      <c r="AH144" s="2351" t="e">
        <f t="shared" si="44"/>
        <v>#N/A</v>
      </c>
      <c r="AI144" s="2351" t="e">
        <f t="shared" si="45"/>
        <v>#N/A</v>
      </c>
      <c r="AJ144" s="123" t="e">
        <f t="shared" si="61"/>
        <v>#N/A</v>
      </c>
      <c r="AK144" t="e">
        <f t="shared" si="62"/>
        <v>#N/A</v>
      </c>
      <c r="AL144" t="e">
        <f t="shared" si="63"/>
        <v>#N/A</v>
      </c>
      <c r="AQ144" s="123"/>
      <c r="AR144" s="123"/>
      <c r="AS144" s="123"/>
      <c r="AT144" s="2982"/>
      <c r="AU144" s="123"/>
      <c r="AV144" s="123"/>
      <c r="AW144" s="2983"/>
      <c r="AX144" s="2984"/>
      <c r="AY144" s="2985"/>
      <c r="AZ144" s="2986"/>
      <c r="BA144" s="2987"/>
      <c r="BB144" s="3194"/>
      <c r="BC144" s="2989"/>
    </row>
    <row r="145" spans="1:55" ht="15" thickBot="1" x14ac:dyDescent="0.3">
      <c r="A145" s="2628" t="s">
        <v>1686</v>
      </c>
      <c r="B145" s="839"/>
      <c r="C145" s="839"/>
      <c r="D145" s="839"/>
      <c r="E145" s="839"/>
      <c r="F145" s="839"/>
      <c r="G145" s="2677"/>
      <c r="H145" s="2660"/>
      <c r="I145" s="2127"/>
      <c r="J145" s="2128"/>
      <c r="K145" s="1477"/>
      <c r="L145" s="1478"/>
      <c r="M145" s="2677"/>
      <c r="N145" s="1479"/>
      <c r="O145" s="1480"/>
      <c r="P145" s="1481"/>
      <c r="Q145" s="2660"/>
      <c r="R145" s="1482"/>
      <c r="S145" s="840"/>
      <c r="T145" s="849"/>
      <c r="U145" s="840"/>
      <c r="V145" s="849"/>
      <c r="W145" s="840"/>
      <c r="X145" s="849"/>
      <c r="Y145" s="1098"/>
      <c r="Z145" s="1098"/>
      <c r="AA145" s="2440"/>
      <c r="AB145" s="2779"/>
      <c r="AC145" s="2718"/>
      <c r="AD145" s="4034"/>
      <c r="AE145" s="3213">
        <f t="shared" si="64"/>
        <v>0</v>
      </c>
      <c r="AF145" s="2780" t="s">
        <v>1265</v>
      </c>
      <c r="AH145" s="2351">
        <f t="shared" si="44"/>
        <v>0</v>
      </c>
      <c r="AI145" s="2351">
        <f t="shared" si="45"/>
        <v>0</v>
      </c>
      <c r="AJ145" s="123" t="str">
        <f t="shared" si="61"/>
        <v>무부하 랙</v>
      </c>
      <c r="AK145" t="str">
        <f t="shared" si="62"/>
        <v/>
      </c>
      <c r="AL145" t="str">
        <f t="shared" si="63"/>
        <v/>
      </c>
      <c r="AQ145" s="123"/>
      <c r="AR145" s="123"/>
      <c r="AS145" s="123"/>
      <c r="AT145" s="2982"/>
      <c r="AU145" s="123"/>
      <c r="AV145" s="123"/>
      <c r="AW145" s="2983"/>
      <c r="AX145" s="2984"/>
      <c r="AY145" s="2985"/>
      <c r="AZ145" s="2986"/>
      <c r="BA145" s="2987"/>
      <c r="BB145" s="3194"/>
      <c r="BC145" s="2989"/>
    </row>
    <row r="146" spans="1:55" ht="43.8" thickTop="1" x14ac:dyDescent="0.25">
      <c r="A146" s="1081" t="s">
        <v>1801</v>
      </c>
      <c r="B146" s="327"/>
      <c r="C146" s="970" t="s">
        <v>9242</v>
      </c>
      <c r="D146" s="2951">
        <v>2.2000000000000002</v>
      </c>
      <c r="E146" s="250" t="s">
        <v>1802</v>
      </c>
      <c r="F146" s="250" t="s">
        <v>1803</v>
      </c>
      <c r="G146" s="2609" t="s">
        <v>1804</v>
      </c>
      <c r="H146" s="2604" t="s">
        <v>1805</v>
      </c>
      <c r="I146" s="2122" t="str">
        <f t="shared" ref="I146:I156" si="68">"6-DaHall 1-PDU-"&amp;M146&amp;"-"&amp;L146&amp;"-"&amp;N146</f>
        <v>6-DaHall 1-PDU-05-30-54</v>
      </c>
      <c r="J146" s="2123" t="str">
        <f t="shared" ref="J146:J156" si="69">"6-DaHall 1-PDU-"&amp;Q146&amp;"-"&amp;P146&amp;"-"&amp;R146</f>
        <v>6-DaHall 1-PDU-06-30-54</v>
      </c>
      <c r="K146" s="1460">
        <v>220</v>
      </c>
      <c r="L146" s="1461">
        <v>30</v>
      </c>
      <c r="M146" s="2419" t="s">
        <v>6491</v>
      </c>
      <c r="N146" s="1462">
        <v>54</v>
      </c>
      <c r="O146" s="1463">
        <v>220</v>
      </c>
      <c r="P146" s="1464">
        <v>30</v>
      </c>
      <c r="Q146" s="2425" t="s">
        <v>6501</v>
      </c>
      <c r="R146" s="1465">
        <v>54</v>
      </c>
      <c r="S146" s="2208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36">
        <f t="shared" ref="AA146" si="70">SUM(Y146:Z146)</f>
        <v>0</v>
      </c>
      <c r="AB146" s="2683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692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3240">
        <f>VLOOKUP(I146&amp;J146,'7층~4층_매핑테이블'!$Q$6:$X$2020,8,0)</f>
        <v>1.4260000000000002</v>
      </c>
      <c r="AE146" s="3139" t="e">
        <f t="shared" si="64"/>
        <v>#N/A</v>
      </c>
      <c r="AF146" s="2458" t="s">
        <v>1265</v>
      </c>
      <c r="AG146" s="2062" t="s">
        <v>1806</v>
      </c>
      <c r="AH146" s="2351" t="e">
        <f t="shared" si="44"/>
        <v>#N/A</v>
      </c>
      <c r="AI146" s="2351" t="e">
        <f t="shared" si="45"/>
        <v>#N/A</v>
      </c>
      <c r="AJ146" s="123" t="e">
        <f t="shared" si="61"/>
        <v>#N/A</v>
      </c>
      <c r="AK146" t="e">
        <f t="shared" si="62"/>
        <v>#N/A</v>
      </c>
      <c r="AL146" t="e">
        <f t="shared" si="63"/>
        <v>#N/A</v>
      </c>
      <c r="AQ146" s="123"/>
      <c r="AR146" s="123"/>
      <c r="AS146" s="123"/>
      <c r="AT146" s="2982"/>
      <c r="AU146" s="123"/>
      <c r="AV146" s="123"/>
      <c r="AW146" s="2983"/>
      <c r="AX146" s="2984"/>
      <c r="AY146" s="2985"/>
      <c r="AZ146" s="2986"/>
      <c r="BA146" s="2987"/>
      <c r="BB146" s="3194"/>
      <c r="BC146" s="2989"/>
    </row>
    <row r="147" spans="1:55" ht="43.2" x14ac:dyDescent="0.25">
      <c r="A147" s="2620" t="s">
        <v>1807</v>
      </c>
      <c r="B147" s="250" t="s">
        <v>1808</v>
      </c>
      <c r="C147" s="2632" t="s">
        <v>9242</v>
      </c>
      <c r="D147" s="2951">
        <v>2.2000000000000002</v>
      </c>
      <c r="E147" s="250" t="s">
        <v>1809</v>
      </c>
      <c r="F147" s="250" t="s">
        <v>1810</v>
      </c>
      <c r="G147" s="2609" t="s">
        <v>1811</v>
      </c>
      <c r="H147" s="2031" t="s">
        <v>1812</v>
      </c>
      <c r="I147" s="2122" t="str">
        <f t="shared" si="68"/>
        <v>6-DaHall 1-PDU-05-30-2</v>
      </c>
      <c r="J147" s="2123" t="str">
        <f t="shared" si="69"/>
        <v>6-DaHall 1-PDU-06-30-2</v>
      </c>
      <c r="K147" s="1460">
        <v>220</v>
      </c>
      <c r="L147" s="1461">
        <v>30</v>
      </c>
      <c r="M147" s="2419" t="s">
        <v>6491</v>
      </c>
      <c r="N147" s="1462">
        <v>2</v>
      </c>
      <c r="O147" s="1463">
        <v>220</v>
      </c>
      <c r="P147" s="1464">
        <v>30</v>
      </c>
      <c r="Q147" s="2425" t="s">
        <v>6501</v>
      </c>
      <c r="R147" s="1465">
        <v>2</v>
      </c>
      <c r="S147" s="3468" t="s">
        <v>1581</v>
      </c>
      <c r="T147" s="3465" t="s">
        <v>1582</v>
      </c>
      <c r="U147" s="3468" t="s">
        <v>1583</v>
      </c>
      <c r="V147" s="3465" t="s">
        <v>1584</v>
      </c>
      <c r="W147" s="3475" t="s">
        <v>1276</v>
      </c>
      <c r="X147" s="3473" t="s">
        <v>1277</v>
      </c>
      <c r="Y147" s="268">
        <f>SUM('6층_부하량(월간_AVG)'!L322:N322)</f>
        <v>0</v>
      </c>
      <c r="Z147" s="268">
        <f>SUM('6층_부하량(월간_AVG)'!L354:N354)</f>
        <v>0</v>
      </c>
      <c r="AA147" s="2436">
        <f t="shared" ref="AA147:AA156" si="71">SUM(Y147:Z147)</f>
        <v>0</v>
      </c>
      <c r="AB147" s="2683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692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3224">
        <f>VLOOKUP(I147&amp;J147,'7층~4층_매핑테이블'!$Q$6:$X$2020,8,0)</f>
        <v>5.4209999999999994</v>
      </c>
      <c r="AE147" s="3140" t="e">
        <f t="shared" si="64"/>
        <v>#N/A</v>
      </c>
      <c r="AF147" s="2459" t="s">
        <v>1265</v>
      </c>
      <c r="AG147" s="2062" t="s">
        <v>1806</v>
      </c>
      <c r="AH147" s="2351" t="e">
        <f t="shared" si="44"/>
        <v>#N/A</v>
      </c>
      <c r="AI147" s="2351" t="e">
        <f t="shared" si="45"/>
        <v>#N/A</v>
      </c>
      <c r="AJ147" s="123" t="e">
        <f t="shared" si="61"/>
        <v>#N/A</v>
      </c>
      <c r="AK147" t="e">
        <f t="shared" si="62"/>
        <v>#N/A</v>
      </c>
      <c r="AL147" t="e">
        <f t="shared" si="63"/>
        <v>#N/A</v>
      </c>
      <c r="AQ147" s="123"/>
      <c r="AR147" s="123"/>
      <c r="AS147" s="123"/>
      <c r="AT147" s="2982"/>
      <c r="AU147" s="123"/>
      <c r="AV147" s="123"/>
      <c r="AW147" s="2983"/>
      <c r="AX147" s="2984"/>
      <c r="AY147" s="2985"/>
      <c r="AZ147" s="2986"/>
      <c r="BA147" s="2987"/>
      <c r="BB147" s="3194"/>
      <c r="BC147" s="2989"/>
    </row>
    <row r="148" spans="1:55" ht="28.8" x14ac:dyDescent="0.25">
      <c r="A148" s="2620" t="s">
        <v>1813</v>
      </c>
      <c r="B148" s="2621" t="s">
        <v>1814</v>
      </c>
      <c r="C148" s="2632" t="s">
        <v>9243</v>
      </c>
      <c r="D148" s="2951">
        <v>2.2000000000000002</v>
      </c>
      <c r="E148" s="250" t="s">
        <v>1815</v>
      </c>
      <c r="F148" s="250" t="s">
        <v>1816</v>
      </c>
      <c r="G148" s="2609" t="s">
        <v>1817</v>
      </c>
      <c r="H148" s="2604" t="s">
        <v>1818</v>
      </c>
      <c r="I148" s="2122" t="str">
        <f t="shared" si="68"/>
        <v>6-DaHall 1-PDU-05-30-4</v>
      </c>
      <c r="J148" s="2123" t="str">
        <f t="shared" si="69"/>
        <v>6-DaHall 1-PDU-06-30-4</v>
      </c>
      <c r="K148" s="1460">
        <v>220</v>
      </c>
      <c r="L148" s="1461">
        <v>30</v>
      </c>
      <c r="M148" s="2419" t="s">
        <v>6491</v>
      </c>
      <c r="N148" s="1462">
        <v>4</v>
      </c>
      <c r="O148" s="1463">
        <v>220</v>
      </c>
      <c r="P148" s="1464">
        <v>30</v>
      </c>
      <c r="Q148" s="2425" t="s">
        <v>6501</v>
      </c>
      <c r="R148" s="1465">
        <v>4</v>
      </c>
      <c r="S148" s="3468"/>
      <c r="T148" s="3465"/>
      <c r="U148" s="3468"/>
      <c r="V148" s="3465"/>
      <c r="W148" s="3478"/>
      <c r="X148" s="3477"/>
      <c r="Y148" s="268">
        <f>SUM('6층_부하량(월간_AVG)'!L323:N323)</f>
        <v>0</v>
      </c>
      <c r="Z148" s="268">
        <f>SUM('6층_부하량(월간_AVG)'!L355:N355)</f>
        <v>0</v>
      </c>
      <c r="AA148" s="2436">
        <f t="shared" si="71"/>
        <v>0</v>
      </c>
      <c r="AB148" s="2683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692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3224">
        <f>VLOOKUP(I148&amp;J148,'7층~4층_매핑테이블'!$Q$6:$X$2020,8,0)</f>
        <v>2.0939999999999999</v>
      </c>
      <c r="AE148" s="3140" t="e">
        <f t="shared" si="64"/>
        <v>#N/A</v>
      </c>
      <c r="AF148" s="2766"/>
      <c r="AH148" s="2351" t="e">
        <f t="shared" si="44"/>
        <v>#N/A</v>
      </c>
      <c r="AI148" s="2351" t="e">
        <f t="shared" si="45"/>
        <v>#N/A</v>
      </c>
      <c r="AJ148" s="123" t="e">
        <f t="shared" si="61"/>
        <v>#N/A</v>
      </c>
      <c r="AK148" t="e">
        <f t="shared" si="62"/>
        <v>#N/A</v>
      </c>
      <c r="AL148" t="e">
        <f t="shared" si="63"/>
        <v>#N/A</v>
      </c>
      <c r="AQ148" s="123"/>
      <c r="AR148" s="123"/>
      <c r="AS148" s="123"/>
      <c r="AT148" s="2982"/>
      <c r="AU148" s="123"/>
      <c r="AV148" s="123"/>
      <c r="AW148" s="2983"/>
      <c r="AX148" s="2984"/>
      <c r="AY148" s="2985"/>
      <c r="AZ148" s="2986"/>
      <c r="BA148" s="2987"/>
      <c r="BB148" s="3194"/>
      <c r="BC148" s="2989"/>
    </row>
    <row r="149" spans="1:55" ht="28.8" x14ac:dyDescent="0.25">
      <c r="A149" s="2620" t="s">
        <v>1819</v>
      </c>
      <c r="B149" s="2621" t="s">
        <v>1820</v>
      </c>
      <c r="C149" s="2632" t="s">
        <v>9244</v>
      </c>
      <c r="D149" s="2951">
        <v>2.2000000000000002</v>
      </c>
      <c r="E149" s="250" t="s">
        <v>1821</v>
      </c>
      <c r="F149" s="250" t="s">
        <v>1822</v>
      </c>
      <c r="G149" s="2609" t="s">
        <v>1823</v>
      </c>
      <c r="H149" s="2604" t="s">
        <v>1824</v>
      </c>
      <c r="I149" s="2122" t="str">
        <f t="shared" si="68"/>
        <v>6-DaHall 1-PDU-05-30-6</v>
      </c>
      <c r="J149" s="2123" t="str">
        <f t="shared" si="69"/>
        <v>6-DaHall 1-PDU-06-30-6</v>
      </c>
      <c r="K149" s="1460">
        <v>220</v>
      </c>
      <c r="L149" s="1461">
        <v>30</v>
      </c>
      <c r="M149" s="2419" t="s">
        <v>6491</v>
      </c>
      <c r="N149" s="1462">
        <v>6</v>
      </c>
      <c r="O149" s="1463">
        <v>220</v>
      </c>
      <c r="P149" s="1464">
        <v>30</v>
      </c>
      <c r="Q149" s="2425" t="s">
        <v>6501</v>
      </c>
      <c r="R149" s="1465">
        <v>6</v>
      </c>
      <c r="S149" s="3468"/>
      <c r="T149" s="3465"/>
      <c r="U149" s="3468"/>
      <c r="V149" s="3465"/>
      <c r="W149" s="3478"/>
      <c r="X149" s="3477"/>
      <c r="Y149" s="268">
        <f>SUM('6층_부하량(월간_AVG)'!L324:N324)</f>
        <v>0</v>
      </c>
      <c r="Z149" s="268">
        <f>SUM('6층_부하량(월간_AVG)'!L356:N356)</f>
        <v>0</v>
      </c>
      <c r="AA149" s="2436">
        <f t="shared" si="71"/>
        <v>0</v>
      </c>
      <c r="AB149" s="2683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692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3224">
        <f>VLOOKUP(I149&amp;J149,'7층~4층_매핑테이블'!$Q$6:$X$2020,8,0)</f>
        <v>0.28000000000000003</v>
      </c>
      <c r="AE149" s="3140" t="e">
        <f t="shared" si="64"/>
        <v>#N/A</v>
      </c>
      <c r="AF149" s="2766"/>
      <c r="AH149" s="2351" t="e">
        <f t="shared" si="44"/>
        <v>#N/A</v>
      </c>
      <c r="AI149" s="2351" t="e">
        <f t="shared" si="45"/>
        <v>#N/A</v>
      </c>
      <c r="AJ149" s="123" t="e">
        <f t="shared" si="61"/>
        <v>#N/A</v>
      </c>
      <c r="AK149" t="e">
        <f t="shared" si="62"/>
        <v>#N/A</v>
      </c>
      <c r="AL149" t="e">
        <f t="shared" si="63"/>
        <v>#N/A</v>
      </c>
      <c r="AQ149" s="123"/>
      <c r="AR149" s="123"/>
      <c r="AS149" s="123"/>
      <c r="AT149" s="2982"/>
      <c r="AU149" s="123"/>
      <c r="AV149" s="123"/>
      <c r="AW149" s="2983"/>
      <c r="AX149" s="2984"/>
      <c r="AY149" s="2985"/>
      <c r="AZ149" s="2986"/>
      <c r="BA149" s="2987"/>
      <c r="BB149" s="3194"/>
      <c r="BC149" s="2989"/>
    </row>
    <row r="150" spans="1:55" ht="43.2" x14ac:dyDescent="0.25">
      <c r="A150" s="2620" t="s">
        <v>1825</v>
      </c>
      <c r="B150" s="2621" t="s">
        <v>1826</v>
      </c>
      <c r="C150" s="2632" t="s">
        <v>9245</v>
      </c>
      <c r="D150" s="2951">
        <v>1.1000000000000001</v>
      </c>
      <c r="E150" s="250" t="s">
        <v>1827</v>
      </c>
      <c r="F150" s="250" t="s">
        <v>1828</v>
      </c>
      <c r="G150" s="2609" t="s">
        <v>1829</v>
      </c>
      <c r="H150" s="2604" t="s">
        <v>1830</v>
      </c>
      <c r="I150" s="2122" t="str">
        <f t="shared" si="68"/>
        <v>6-DaHall 1-PDU-05-30-8</v>
      </c>
      <c r="J150" s="2123" t="str">
        <f t="shared" si="69"/>
        <v>6-DaHall 1-PDU-06-30-8</v>
      </c>
      <c r="K150" s="1460">
        <v>220</v>
      </c>
      <c r="L150" s="1461">
        <v>30</v>
      </c>
      <c r="M150" s="2419" t="s">
        <v>6491</v>
      </c>
      <c r="N150" s="1462">
        <v>8</v>
      </c>
      <c r="O150" s="1463">
        <v>220</v>
      </c>
      <c r="P150" s="1464">
        <v>30</v>
      </c>
      <c r="Q150" s="2425" t="s">
        <v>6501</v>
      </c>
      <c r="R150" s="1465">
        <v>8</v>
      </c>
      <c r="S150" s="3468"/>
      <c r="T150" s="3465"/>
      <c r="U150" s="3468"/>
      <c r="V150" s="3465"/>
      <c r="W150" s="3478"/>
      <c r="X150" s="3477"/>
      <c r="Y150" s="268">
        <f>SUM('6층_부하량(월간_AVG)'!L325:N325)</f>
        <v>0</v>
      </c>
      <c r="Z150" s="268">
        <f>SUM('6층_부하량(월간_AVG)'!L357:N357)</f>
        <v>0</v>
      </c>
      <c r="AA150" s="2436">
        <f t="shared" si="71"/>
        <v>0</v>
      </c>
      <c r="AB150" s="2683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692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3224">
        <f>VLOOKUP(I150&amp;J150,'7층~4층_매핑테이블'!$Q$6:$X$2020,8,0)</f>
        <v>1.6989999999999998</v>
      </c>
      <c r="AE150" s="3140" t="e">
        <f t="shared" si="64"/>
        <v>#N/A</v>
      </c>
      <c r="AF150" s="2766"/>
      <c r="AH150" s="2351" t="e">
        <f t="shared" si="44"/>
        <v>#N/A</v>
      </c>
      <c r="AI150" s="2351" t="e">
        <f t="shared" si="45"/>
        <v>#N/A</v>
      </c>
      <c r="AJ150" s="123" t="e">
        <f t="shared" si="61"/>
        <v>#N/A</v>
      </c>
      <c r="AK150" t="e">
        <f t="shared" si="62"/>
        <v>#N/A</v>
      </c>
      <c r="AL150" t="e">
        <f t="shared" si="63"/>
        <v>#N/A</v>
      </c>
      <c r="AQ150" s="123"/>
      <c r="AR150" s="123"/>
      <c r="AS150" s="123"/>
      <c r="AT150" s="2982"/>
      <c r="AU150" s="123"/>
      <c r="AV150" s="123"/>
      <c r="AW150" s="2983"/>
      <c r="AX150" s="2984"/>
      <c r="AY150" s="2985"/>
      <c r="AZ150" s="2986"/>
      <c r="BA150" s="2987"/>
      <c r="BB150" s="3194"/>
      <c r="BC150" s="2989"/>
    </row>
    <row r="151" spans="1:55" ht="28.8" x14ac:dyDescent="0.25">
      <c r="A151" s="2620" t="s">
        <v>1831</v>
      </c>
      <c r="B151" s="250" t="s">
        <v>1832</v>
      </c>
      <c r="C151" s="2632"/>
      <c r="D151" s="2951">
        <v>2.2000000000000002</v>
      </c>
      <c r="E151" s="250" t="s">
        <v>1833</v>
      </c>
      <c r="F151" s="250" t="s">
        <v>1834</v>
      </c>
      <c r="G151" s="2609" t="s">
        <v>1835</v>
      </c>
      <c r="H151" s="2604" t="s">
        <v>1836</v>
      </c>
      <c r="I151" s="2122" t="str">
        <f t="shared" si="68"/>
        <v>6-DaHall 1-PDU-05-30-10</v>
      </c>
      <c r="J151" s="2123" t="str">
        <f t="shared" si="69"/>
        <v>6-DaHall 1-PDU-06-30-10</v>
      </c>
      <c r="K151" s="1460">
        <v>220</v>
      </c>
      <c r="L151" s="1461">
        <v>30</v>
      </c>
      <c r="M151" s="2419" t="s">
        <v>6491</v>
      </c>
      <c r="N151" s="1462">
        <v>10</v>
      </c>
      <c r="O151" s="1463">
        <v>220</v>
      </c>
      <c r="P151" s="1464">
        <v>30</v>
      </c>
      <c r="Q151" s="2425" t="s">
        <v>6501</v>
      </c>
      <c r="R151" s="1465">
        <v>10</v>
      </c>
      <c r="S151" s="3468"/>
      <c r="T151" s="3465"/>
      <c r="U151" s="3468"/>
      <c r="V151" s="3465"/>
      <c r="W151" s="3478"/>
      <c r="X151" s="3477"/>
      <c r="Y151" s="268">
        <f>SUM('6층_부하량(월간_AVG)'!L326:N326)</f>
        <v>0</v>
      </c>
      <c r="Z151" s="268">
        <f>SUM('6층_부하량(월간_AVG)'!L358:N358)</f>
        <v>0</v>
      </c>
      <c r="AA151" s="2436">
        <f t="shared" si="71"/>
        <v>0</v>
      </c>
      <c r="AB151" s="2683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692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3224">
        <f>VLOOKUP(I151&amp;J151,'7층~4층_매핑테이블'!$Q$6:$X$2020,8,0)</f>
        <v>0.30199999999999999</v>
      </c>
      <c r="AE151" s="3140" t="e">
        <f t="shared" si="64"/>
        <v>#N/A</v>
      </c>
      <c r="AF151" s="2766"/>
      <c r="AG151" s="2062" t="s">
        <v>1806</v>
      </c>
      <c r="AH151" s="2351" t="e">
        <f t="shared" si="44"/>
        <v>#N/A</v>
      </c>
      <c r="AI151" s="2351" t="e">
        <f t="shared" si="45"/>
        <v>#N/A</v>
      </c>
      <c r="AJ151" s="123" t="e">
        <f t="shared" si="61"/>
        <v>#N/A</v>
      </c>
      <c r="AK151" t="e">
        <f t="shared" si="62"/>
        <v>#N/A</v>
      </c>
      <c r="AL151" t="e">
        <f t="shared" si="63"/>
        <v>#N/A</v>
      </c>
      <c r="AQ151" s="123"/>
      <c r="AR151" s="123"/>
      <c r="AS151" s="123"/>
      <c r="AT151" s="2982"/>
      <c r="AU151" s="123"/>
      <c r="AV151" s="123"/>
      <c r="AW151" s="2983"/>
      <c r="AX151" s="2984"/>
      <c r="AY151" s="2985"/>
      <c r="AZ151" s="2986"/>
      <c r="BA151" s="2987"/>
      <c r="BB151" s="3194"/>
      <c r="BC151" s="2989"/>
    </row>
    <row r="152" spans="1:55" ht="28.8" x14ac:dyDescent="0.25">
      <c r="A152" s="2620" t="s">
        <v>379</v>
      </c>
      <c r="B152" s="2621" t="s">
        <v>1837</v>
      </c>
      <c r="C152" s="2632" t="s">
        <v>9246</v>
      </c>
      <c r="D152" s="2951">
        <v>0.55000000000000004</v>
      </c>
      <c r="E152" s="250" t="s">
        <v>1838</v>
      </c>
      <c r="F152" s="250" t="s">
        <v>1839</v>
      </c>
      <c r="G152" s="2609" t="s">
        <v>1840</v>
      </c>
      <c r="H152" s="2604" t="s">
        <v>1841</v>
      </c>
      <c r="I152" s="2122" t="str">
        <f t="shared" si="68"/>
        <v>6-DaHall 1-PDU-05-30-12</v>
      </c>
      <c r="J152" s="2123" t="str">
        <f t="shared" si="69"/>
        <v>6-DaHall 1-PDU-06-30-12</v>
      </c>
      <c r="K152" s="1460">
        <v>220</v>
      </c>
      <c r="L152" s="1461">
        <v>30</v>
      </c>
      <c r="M152" s="2419" t="s">
        <v>6491</v>
      </c>
      <c r="N152" s="1462">
        <v>12</v>
      </c>
      <c r="O152" s="1463">
        <v>220</v>
      </c>
      <c r="P152" s="1464">
        <v>30</v>
      </c>
      <c r="Q152" s="2425" t="s">
        <v>6501</v>
      </c>
      <c r="R152" s="1465">
        <v>12</v>
      </c>
      <c r="S152" s="3468"/>
      <c r="T152" s="3465"/>
      <c r="U152" s="3468"/>
      <c r="V152" s="3465"/>
      <c r="W152" s="3478"/>
      <c r="X152" s="3477"/>
      <c r="Y152" s="268">
        <f>SUM('6층_부하량(월간_AVG)'!L327:N327)</f>
        <v>0</v>
      </c>
      <c r="Z152" s="268">
        <f>SUM('6층_부하량(월간_AVG)'!L359:N359)</f>
        <v>0</v>
      </c>
      <c r="AA152" s="2436">
        <f t="shared" si="71"/>
        <v>0</v>
      </c>
      <c r="AB152" s="2683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692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3224">
        <f>VLOOKUP(I152&amp;J152,'7층~4층_매핑테이블'!$Q$6:$X$2020,8,0)</f>
        <v>0.30199999999999999</v>
      </c>
      <c r="AE152" s="3140" t="e">
        <f t="shared" si="64"/>
        <v>#N/A</v>
      </c>
      <c r="AF152" s="2766"/>
      <c r="AH152" s="2351" t="e">
        <f t="shared" si="44"/>
        <v>#N/A</v>
      </c>
      <c r="AI152" s="2351" t="e">
        <f t="shared" si="45"/>
        <v>#N/A</v>
      </c>
      <c r="AJ152" s="123" t="e">
        <f t="shared" si="61"/>
        <v>#N/A</v>
      </c>
      <c r="AK152" t="e">
        <f t="shared" si="62"/>
        <v>#N/A</v>
      </c>
      <c r="AL152" t="e">
        <f t="shared" si="63"/>
        <v>#N/A</v>
      </c>
      <c r="AQ152" s="123"/>
      <c r="AR152" s="123"/>
      <c r="AS152" s="123"/>
      <c r="AT152" s="2982"/>
      <c r="AU152" s="123"/>
      <c r="AV152" s="123"/>
      <c r="AW152" s="2983"/>
      <c r="AX152" s="2984"/>
      <c r="AY152" s="2985"/>
      <c r="AZ152" s="2986"/>
      <c r="BA152" s="2987"/>
      <c r="BB152" s="3194"/>
      <c r="BC152" s="2989"/>
    </row>
    <row r="153" spans="1:55" ht="28.8" x14ac:dyDescent="0.25">
      <c r="A153" s="2620" t="s">
        <v>1842</v>
      </c>
      <c r="B153" s="2621" t="s">
        <v>1843</v>
      </c>
      <c r="C153" s="2632" t="s">
        <v>9247</v>
      </c>
      <c r="D153" s="2951">
        <v>2.2000000000000002</v>
      </c>
      <c r="E153" s="250" t="s">
        <v>1844</v>
      </c>
      <c r="F153" s="250" t="s">
        <v>1845</v>
      </c>
      <c r="G153" s="2609" t="s">
        <v>1846</v>
      </c>
      <c r="H153" s="2604" t="s">
        <v>1847</v>
      </c>
      <c r="I153" s="2122" t="str">
        <f t="shared" si="68"/>
        <v>6-DaHall 1-PDU-05-30-14</v>
      </c>
      <c r="J153" s="2123" t="str">
        <f t="shared" si="69"/>
        <v>6-DaHall 1-PDU-06-30-14</v>
      </c>
      <c r="K153" s="1460">
        <v>220</v>
      </c>
      <c r="L153" s="1461">
        <v>30</v>
      </c>
      <c r="M153" s="2419" t="s">
        <v>6491</v>
      </c>
      <c r="N153" s="1462">
        <v>14</v>
      </c>
      <c r="O153" s="1463">
        <v>220</v>
      </c>
      <c r="P153" s="1464">
        <v>30</v>
      </c>
      <c r="Q153" s="2425" t="s">
        <v>6501</v>
      </c>
      <c r="R153" s="1465">
        <v>14</v>
      </c>
      <c r="S153" s="3468"/>
      <c r="T153" s="3465"/>
      <c r="U153" s="3468"/>
      <c r="V153" s="3465"/>
      <c r="W153" s="3478"/>
      <c r="X153" s="3477"/>
      <c r="Y153" s="268">
        <f>SUM('6층_부하량(월간_AVG)'!L328:N328)</f>
        <v>0</v>
      </c>
      <c r="Z153" s="268">
        <f>SUM('6층_부하량(월간_AVG)'!L360:N360)</f>
        <v>0</v>
      </c>
      <c r="AA153" s="2436">
        <f t="shared" si="71"/>
        <v>0</v>
      </c>
      <c r="AB153" s="2683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692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3224">
        <f>VLOOKUP(I153&amp;J153,'7층~4층_매핑테이블'!$Q$6:$X$2020,8,0)</f>
        <v>1.857</v>
      </c>
      <c r="AE153" s="3140" t="e">
        <f t="shared" si="64"/>
        <v>#N/A</v>
      </c>
      <c r="AF153" s="2766"/>
      <c r="AH153" s="2351" t="e">
        <f t="shared" si="44"/>
        <v>#N/A</v>
      </c>
      <c r="AI153" s="2351" t="e">
        <f t="shared" si="45"/>
        <v>#N/A</v>
      </c>
      <c r="AJ153" s="123" t="e">
        <f t="shared" si="61"/>
        <v>#N/A</v>
      </c>
      <c r="AK153" t="e">
        <f t="shared" si="62"/>
        <v>#N/A</v>
      </c>
      <c r="AL153" t="e">
        <f t="shared" si="63"/>
        <v>#N/A</v>
      </c>
      <c r="AQ153" s="123"/>
      <c r="AR153" s="123"/>
      <c r="AS153" s="123"/>
      <c r="AT153" s="2982"/>
      <c r="AU153" s="123"/>
      <c r="AV153" s="123"/>
      <c r="AW153" s="2983"/>
      <c r="AX153" s="2984"/>
      <c r="AY153" s="2985"/>
      <c r="AZ153" s="2986"/>
      <c r="BA153" s="2987"/>
      <c r="BB153" s="3194"/>
      <c r="BC153" s="2989"/>
    </row>
    <row r="154" spans="1:55" ht="28.8" x14ac:dyDescent="0.25">
      <c r="A154" s="2620" t="s">
        <v>1848</v>
      </c>
      <c r="B154" s="2621" t="s">
        <v>1849</v>
      </c>
      <c r="C154" s="2632" t="s">
        <v>9247</v>
      </c>
      <c r="D154" s="2951">
        <v>2.2000000000000002</v>
      </c>
      <c r="E154" s="250" t="s">
        <v>1850</v>
      </c>
      <c r="F154" s="250" t="s">
        <v>1851</v>
      </c>
      <c r="G154" s="2609" t="s">
        <v>1852</v>
      </c>
      <c r="H154" s="2604" t="s">
        <v>1853</v>
      </c>
      <c r="I154" s="2122" t="str">
        <f t="shared" si="68"/>
        <v>6-DaHall 1-PDU-05-30-16</v>
      </c>
      <c r="J154" s="2123" t="str">
        <f t="shared" si="69"/>
        <v>6-DaHall 1-PDU-06-30-16</v>
      </c>
      <c r="K154" s="1460">
        <v>220</v>
      </c>
      <c r="L154" s="1461">
        <v>30</v>
      </c>
      <c r="M154" s="2419" t="s">
        <v>6491</v>
      </c>
      <c r="N154" s="1462">
        <v>16</v>
      </c>
      <c r="O154" s="1463">
        <v>220</v>
      </c>
      <c r="P154" s="1464">
        <v>30</v>
      </c>
      <c r="Q154" s="2425" t="s">
        <v>6501</v>
      </c>
      <c r="R154" s="1465">
        <v>16</v>
      </c>
      <c r="S154" s="3468"/>
      <c r="T154" s="3465"/>
      <c r="U154" s="3468"/>
      <c r="V154" s="3465"/>
      <c r="W154" s="3478"/>
      <c r="X154" s="3477"/>
      <c r="Y154" s="268">
        <f>SUM('6층_부하량(월간_AVG)'!L329:N329)</f>
        <v>0</v>
      </c>
      <c r="Z154" s="268">
        <f>SUM('6층_부하량(월간_AVG)'!L361:N361)</f>
        <v>0</v>
      </c>
      <c r="AA154" s="2436">
        <f t="shared" si="71"/>
        <v>0</v>
      </c>
      <c r="AB154" s="2683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692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3224">
        <f>VLOOKUP(I154&amp;J154,'7층~4층_매핑테이블'!$Q$6:$X$2020,8,0)</f>
        <v>1.671</v>
      </c>
      <c r="AE154" s="3140" t="e">
        <f t="shared" si="64"/>
        <v>#N/A</v>
      </c>
      <c r="AF154" s="2766"/>
      <c r="AH154" s="2351" t="e">
        <f t="shared" ref="AH154:AH217" si="72">AE154/(24*31)</f>
        <v>#N/A</v>
      </c>
      <c r="AI154" s="2351" t="e">
        <f t="shared" ref="AI154:AI217" si="73">D154-AH154</f>
        <v>#N/A</v>
      </c>
      <c r="AJ154" s="123" t="e">
        <f t="shared" si="61"/>
        <v>#N/A</v>
      </c>
      <c r="AK154" t="e">
        <f t="shared" si="62"/>
        <v>#N/A</v>
      </c>
      <c r="AL154" t="e">
        <f t="shared" si="63"/>
        <v>#N/A</v>
      </c>
      <c r="AQ154" s="123"/>
      <c r="AR154" s="123"/>
      <c r="AS154" s="123"/>
      <c r="AT154" s="2982"/>
      <c r="AU154" s="123"/>
      <c r="AV154" s="123"/>
      <c r="AW154" s="2983"/>
      <c r="AX154" s="2984"/>
      <c r="AY154" s="2985"/>
      <c r="AZ154" s="2986"/>
      <c r="BA154" s="2987"/>
      <c r="BB154" s="3194"/>
      <c r="BC154" s="2989"/>
    </row>
    <row r="155" spans="1:55" ht="28.8" x14ac:dyDescent="0.25">
      <c r="A155" s="2620" t="s">
        <v>1854</v>
      </c>
      <c r="B155" s="250" t="s">
        <v>1855</v>
      </c>
      <c r="C155" s="2632" t="s">
        <v>1856</v>
      </c>
      <c r="D155" s="2951">
        <v>1.1000000000000001</v>
      </c>
      <c r="E155" s="2612" t="s">
        <v>1857</v>
      </c>
      <c r="F155" s="2612" t="s">
        <v>1858</v>
      </c>
      <c r="G155" s="2209" t="s">
        <v>1859</v>
      </c>
      <c r="H155" s="2210" t="s">
        <v>1860</v>
      </c>
      <c r="I155" s="2122" t="str">
        <f t="shared" si="68"/>
        <v>6-DaHall 1-PDU-01-30-43</v>
      </c>
      <c r="J155" s="2123" t="str">
        <f t="shared" si="69"/>
        <v>6-DaHall 1-PDU-02-30-43</v>
      </c>
      <c r="K155" s="1460">
        <v>220</v>
      </c>
      <c r="L155" s="1461">
        <v>30</v>
      </c>
      <c r="M155" s="2419" t="s">
        <v>6497</v>
      </c>
      <c r="N155" s="1462">
        <v>43</v>
      </c>
      <c r="O155" s="1463">
        <v>220</v>
      </c>
      <c r="P155" s="1464">
        <v>30</v>
      </c>
      <c r="Q155" s="2425" t="s">
        <v>6493</v>
      </c>
      <c r="R155" s="1465">
        <v>43</v>
      </c>
      <c r="S155" s="3482" t="s">
        <v>1861</v>
      </c>
      <c r="T155" s="3473" t="s">
        <v>1862</v>
      </c>
      <c r="U155" s="3475" t="s">
        <v>1863</v>
      </c>
      <c r="V155" s="3473" t="s">
        <v>1864</v>
      </c>
      <c r="W155" s="3478"/>
      <c r="X155" s="3477"/>
      <c r="Y155" s="268">
        <f>SUM('6층_부하량(월간_AVG)'!D223:F223)</f>
        <v>0</v>
      </c>
      <c r="Z155" s="268">
        <f>SUM('6층_부하량(월간_AVG)'!D253:F253)</f>
        <v>0</v>
      </c>
      <c r="AA155" s="2436">
        <f t="shared" si="71"/>
        <v>0</v>
      </c>
      <c r="AB155" s="2683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3196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3224">
        <f>VLOOKUP(I155&amp;J155,'7층~4층_매핑테이블'!$Q$6:$X$2020,8,0)</f>
        <v>2.5270000000000001</v>
      </c>
      <c r="AE155" s="3140" t="e">
        <f t="shared" si="64"/>
        <v>#N/A</v>
      </c>
      <c r="AF155" s="2459" t="s">
        <v>1865</v>
      </c>
      <c r="AH155" s="2351" t="e">
        <f t="shared" si="72"/>
        <v>#N/A</v>
      </c>
      <c r="AI155" s="2351" t="e">
        <f t="shared" si="73"/>
        <v>#N/A</v>
      </c>
      <c r="AJ155" s="123" t="e">
        <f t="shared" si="61"/>
        <v>#N/A</v>
      </c>
      <c r="AK155" t="e">
        <f t="shared" si="62"/>
        <v>#N/A</v>
      </c>
      <c r="AL155" t="e">
        <f t="shared" si="63"/>
        <v>#N/A</v>
      </c>
      <c r="AQ155" s="123"/>
      <c r="AR155" s="123"/>
      <c r="AS155" s="123"/>
      <c r="AT155" s="2982"/>
      <c r="AU155" s="123"/>
      <c r="AV155" s="123"/>
      <c r="AW155" s="2983"/>
      <c r="AX155" s="2984"/>
      <c r="AY155" s="2985"/>
      <c r="AZ155" s="2986"/>
      <c r="BA155" s="2987"/>
      <c r="BB155" s="3194"/>
      <c r="BC155" s="2989"/>
    </row>
    <row r="156" spans="1:55" ht="29.4" thickBot="1" x14ac:dyDescent="0.3">
      <c r="A156" s="2628" t="s">
        <v>1866</v>
      </c>
      <c r="B156" s="2629"/>
      <c r="C156" s="2656" t="s">
        <v>1856</v>
      </c>
      <c r="D156" s="2951">
        <v>2.2000000000000002</v>
      </c>
      <c r="E156" s="2629"/>
      <c r="F156" s="2629"/>
      <c r="G156" s="2209" t="s">
        <v>1867</v>
      </c>
      <c r="H156" s="2210" t="s">
        <v>1868</v>
      </c>
      <c r="I156" s="2122" t="str">
        <f t="shared" si="68"/>
        <v>6-DaHall 1-PDU-01-30-42</v>
      </c>
      <c r="J156" s="2123" t="str">
        <f t="shared" si="69"/>
        <v>6-DaHall 1-PDU-02-30-42</v>
      </c>
      <c r="K156" s="1460">
        <v>220</v>
      </c>
      <c r="L156" s="1461">
        <v>30</v>
      </c>
      <c r="M156" s="2419" t="s">
        <v>6497</v>
      </c>
      <c r="N156" s="1462">
        <v>42</v>
      </c>
      <c r="O156" s="1463">
        <v>220</v>
      </c>
      <c r="P156" s="1464">
        <v>30</v>
      </c>
      <c r="Q156" s="2425" t="s">
        <v>6493</v>
      </c>
      <c r="R156" s="1465">
        <v>42</v>
      </c>
      <c r="S156" s="3484"/>
      <c r="T156" s="3474"/>
      <c r="U156" s="3476"/>
      <c r="V156" s="3474"/>
      <c r="W156" s="3476"/>
      <c r="X156" s="3474"/>
      <c r="Y156" s="330">
        <f>SUM('6층_부하량(월간_AVG)'!L222:N222)</f>
        <v>0</v>
      </c>
      <c r="Z156" s="330">
        <f>SUM('6층_부하량(월간_AVG)'!L252:N252)</f>
        <v>0</v>
      </c>
      <c r="AA156" s="2436">
        <f t="shared" si="71"/>
        <v>0</v>
      </c>
      <c r="AB156" s="2683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3196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4032">
        <f>VLOOKUP(I156&amp;J156,'7층~4층_매핑테이블'!$Q$6:$X$2020,8,0)</f>
        <v>1.9219999999999999</v>
      </c>
      <c r="AE156" s="3141" t="e">
        <f t="shared" si="64"/>
        <v>#N/A</v>
      </c>
      <c r="AF156" s="2457" t="s">
        <v>1869</v>
      </c>
      <c r="AH156" s="2351" t="e">
        <f t="shared" si="72"/>
        <v>#N/A</v>
      </c>
      <c r="AI156" s="2351" t="e">
        <f t="shared" si="73"/>
        <v>#N/A</v>
      </c>
      <c r="AJ156" s="123" t="e">
        <f t="shared" si="61"/>
        <v>#N/A</v>
      </c>
      <c r="AK156" t="e">
        <f t="shared" si="62"/>
        <v>#N/A</v>
      </c>
      <c r="AL156" t="e">
        <f t="shared" si="63"/>
        <v>#N/A</v>
      </c>
      <c r="AQ156" s="123"/>
      <c r="AR156" s="123"/>
      <c r="AS156" s="123"/>
      <c r="AT156" s="2982"/>
      <c r="AU156" s="123"/>
      <c r="AV156" s="123"/>
      <c r="AW156" s="2983"/>
      <c r="AX156" s="2984"/>
      <c r="AY156" s="2985"/>
      <c r="AZ156" s="2986"/>
      <c r="BA156" s="2987"/>
      <c r="BB156" s="3194"/>
      <c r="BC156" s="2989"/>
    </row>
    <row r="157" spans="1:55" ht="15" thickTop="1" x14ac:dyDescent="0.25">
      <c r="A157" s="1081" t="s">
        <v>364</v>
      </c>
      <c r="B157" s="828"/>
      <c r="C157" s="828"/>
      <c r="D157" s="828"/>
      <c r="E157" s="828"/>
      <c r="F157" s="828"/>
      <c r="G157" s="884"/>
      <c r="H157" s="885"/>
      <c r="I157" s="2120"/>
      <c r="J157" s="2121"/>
      <c r="K157" s="1452"/>
      <c r="L157" s="1453"/>
      <c r="M157" s="884"/>
      <c r="N157" s="1454"/>
      <c r="O157" s="1455"/>
      <c r="P157" s="1456"/>
      <c r="Q157" s="885"/>
      <c r="R157" s="1457"/>
      <c r="S157" s="829"/>
      <c r="T157" s="830"/>
      <c r="U157" s="829"/>
      <c r="V157" s="830"/>
      <c r="W157" s="829"/>
      <c r="X157" s="830"/>
      <c r="Y157" s="835"/>
      <c r="Z157" s="835"/>
      <c r="AA157" s="2439"/>
      <c r="AB157" s="2771"/>
      <c r="AC157" s="2701"/>
      <c r="AD157" s="3223"/>
      <c r="AE157" s="3207">
        <f t="shared" si="64"/>
        <v>0</v>
      </c>
      <c r="AF157" s="2772" t="s">
        <v>1265</v>
      </c>
      <c r="AH157" s="2351">
        <f t="shared" si="72"/>
        <v>0</v>
      </c>
      <c r="AI157" s="2351">
        <f t="shared" si="73"/>
        <v>0</v>
      </c>
      <c r="AJ157" s="123" t="str">
        <f t="shared" si="61"/>
        <v>무부하 랙</v>
      </c>
      <c r="AK157" t="str">
        <f t="shared" si="62"/>
        <v/>
      </c>
      <c r="AL157" t="str">
        <f t="shared" si="63"/>
        <v/>
      </c>
      <c r="AQ157" s="123"/>
      <c r="AR157" s="123"/>
      <c r="AS157" s="123"/>
      <c r="AT157" s="2982"/>
      <c r="AU157" s="123"/>
      <c r="AV157" s="123"/>
      <c r="AW157" s="2983"/>
      <c r="AX157" s="2984"/>
      <c r="AY157" s="2985"/>
      <c r="AZ157" s="2986"/>
      <c r="BA157" s="2987"/>
      <c r="BB157" s="3194"/>
      <c r="BC157" s="2989"/>
    </row>
    <row r="158" spans="1:55" ht="28.8" x14ac:dyDescent="0.25">
      <c r="A158" s="2620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09" t="s">
        <v>1579</v>
      </c>
      <c r="H158" s="2604" t="s">
        <v>1580</v>
      </c>
      <c r="I158" s="2122" t="str">
        <f t="shared" ref="I158:I166" si="74">"6-DaHall 1-PDU-"&amp;M158&amp;"-"&amp;L158&amp;"-"&amp;N158</f>
        <v>6-DaHall 1-PDU-05-30-38</v>
      </c>
      <c r="J158" s="2123" t="str">
        <f t="shared" ref="J158:J166" si="75">"6-DaHall 1-PDU-"&amp;Q158&amp;"-"&amp;P158&amp;"-"&amp;R158</f>
        <v>6-DaHall 1-PDU-06-30-38</v>
      </c>
      <c r="K158" s="1474">
        <v>220</v>
      </c>
      <c r="L158" s="1475">
        <v>30</v>
      </c>
      <c r="M158" s="2419" t="s">
        <v>6491</v>
      </c>
      <c r="N158" s="1462">
        <v>38</v>
      </c>
      <c r="O158" s="1466">
        <v>220</v>
      </c>
      <c r="P158" s="1467">
        <v>30</v>
      </c>
      <c r="Q158" s="2425" t="s">
        <v>6501</v>
      </c>
      <c r="R158" s="1465">
        <v>38</v>
      </c>
      <c r="S158" s="3468" t="s">
        <v>1581</v>
      </c>
      <c r="T158" s="3465" t="s">
        <v>1582</v>
      </c>
      <c r="U158" s="3468" t="s">
        <v>1583</v>
      </c>
      <c r="V158" s="3465" t="s">
        <v>1584</v>
      </c>
      <c r="W158" s="3468" t="s">
        <v>1276</v>
      </c>
      <c r="X158" s="3465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36">
        <f t="shared" ref="AA158:AA166" si="76">SUM(Y158:Z158)</f>
        <v>0</v>
      </c>
      <c r="AB158" s="2683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692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3224">
        <f>VLOOKUP(I158&amp;J158,'7층~4층_매핑테이블'!$Q$6:$X$2020,8,0)</f>
        <v>0</v>
      </c>
      <c r="AE158" s="3140" t="e">
        <f t="shared" si="64"/>
        <v>#N/A</v>
      </c>
      <c r="AF158" s="2459" t="s">
        <v>1585</v>
      </c>
      <c r="AH158" s="2351" t="e">
        <f t="shared" si="72"/>
        <v>#N/A</v>
      </c>
      <c r="AI158" s="2351" t="e">
        <f t="shared" si="73"/>
        <v>#N/A</v>
      </c>
      <c r="AJ158" s="123" t="e">
        <f t="shared" si="61"/>
        <v>#N/A</v>
      </c>
      <c r="AK158" t="e">
        <f t="shared" si="62"/>
        <v>#N/A</v>
      </c>
      <c r="AL158" t="e">
        <f t="shared" si="63"/>
        <v>#N/A</v>
      </c>
      <c r="AQ158" s="123"/>
      <c r="AR158" s="123"/>
      <c r="AS158" s="123"/>
      <c r="AT158" s="2982"/>
      <c r="AU158" s="123"/>
      <c r="AV158" s="123"/>
      <c r="AW158" s="2983"/>
      <c r="AX158" s="2984"/>
      <c r="AY158" s="2985"/>
      <c r="AZ158" s="2986"/>
      <c r="BA158" s="2987"/>
      <c r="BB158" s="3194"/>
      <c r="BC158" s="2989"/>
    </row>
    <row r="159" spans="1:55" ht="28.8" x14ac:dyDescent="0.25">
      <c r="A159" s="2620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09" t="s">
        <v>1590</v>
      </c>
      <c r="H159" s="2604" t="s">
        <v>1591</v>
      </c>
      <c r="I159" s="2122" t="str">
        <f t="shared" si="74"/>
        <v>6-DaHall 1-PDU-05-30-40</v>
      </c>
      <c r="J159" s="2123" t="str">
        <f t="shared" si="75"/>
        <v>6-DaHall 1-PDU-06-30-40</v>
      </c>
      <c r="K159" s="1474">
        <v>220</v>
      </c>
      <c r="L159" s="1475">
        <v>30</v>
      </c>
      <c r="M159" s="2419" t="s">
        <v>6491</v>
      </c>
      <c r="N159" s="1462">
        <v>40</v>
      </c>
      <c r="O159" s="1466">
        <v>220</v>
      </c>
      <c r="P159" s="1467">
        <v>30</v>
      </c>
      <c r="Q159" s="2425" t="s">
        <v>6501</v>
      </c>
      <c r="R159" s="1465">
        <v>40</v>
      </c>
      <c r="S159" s="3472"/>
      <c r="T159" s="3471"/>
      <c r="U159" s="3472"/>
      <c r="V159" s="3471"/>
      <c r="W159" s="3472"/>
      <c r="X159" s="3471"/>
      <c r="Y159" s="268">
        <f>SUM('6층_부하량(월간_AVG)'!L341:N341)</f>
        <v>0</v>
      </c>
      <c r="Z159" s="268">
        <f>SUM('6층_부하량(월간_AVG)'!L373:N373)</f>
        <v>0</v>
      </c>
      <c r="AA159" s="2436">
        <f t="shared" si="76"/>
        <v>0</v>
      </c>
      <c r="AB159" s="2683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692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3224">
        <f>VLOOKUP(I159&amp;J159,'7층~4층_매핑테이블'!$Q$6:$X$2020,8,0)</f>
        <v>0</v>
      </c>
      <c r="AE159" s="3140" t="e">
        <f t="shared" si="64"/>
        <v>#N/A</v>
      </c>
      <c r="AF159" s="2459" t="s">
        <v>1265</v>
      </c>
      <c r="AH159" s="2351" t="e">
        <f t="shared" si="72"/>
        <v>#N/A</v>
      </c>
      <c r="AI159" s="2351" t="e">
        <f t="shared" si="73"/>
        <v>#N/A</v>
      </c>
      <c r="AJ159" s="123" t="e">
        <f t="shared" si="61"/>
        <v>#N/A</v>
      </c>
      <c r="AK159" t="e">
        <f t="shared" si="62"/>
        <v>#N/A</v>
      </c>
      <c r="AL159" t="e">
        <f t="shared" si="63"/>
        <v>#N/A</v>
      </c>
      <c r="AQ159" s="123"/>
      <c r="AR159" s="123"/>
      <c r="AS159" s="123"/>
      <c r="AT159" s="2982"/>
      <c r="AU159" s="123"/>
      <c r="AV159" s="123"/>
      <c r="AW159" s="2983"/>
      <c r="AX159" s="2984"/>
      <c r="AY159" s="2985"/>
      <c r="AZ159" s="2986"/>
      <c r="BA159" s="2987"/>
      <c r="BB159" s="3194"/>
      <c r="BC159" s="2989"/>
    </row>
    <row r="160" spans="1:55" ht="28.8" x14ac:dyDescent="0.25">
      <c r="A160" s="2620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09" t="s">
        <v>1596</v>
      </c>
      <c r="H160" s="2604" t="s">
        <v>1597</v>
      </c>
      <c r="I160" s="2122" t="str">
        <f t="shared" si="74"/>
        <v>6-DaHall 1-PDU-05-30-42</v>
      </c>
      <c r="J160" s="2123" t="str">
        <f t="shared" si="75"/>
        <v>6-DaHall 1-PDU-06-30-42</v>
      </c>
      <c r="K160" s="1474">
        <v>220</v>
      </c>
      <c r="L160" s="1475">
        <v>30</v>
      </c>
      <c r="M160" s="2419" t="s">
        <v>6491</v>
      </c>
      <c r="N160" s="1462">
        <v>42</v>
      </c>
      <c r="O160" s="1466">
        <v>220</v>
      </c>
      <c r="P160" s="1467">
        <v>30</v>
      </c>
      <c r="Q160" s="2425" t="s">
        <v>6501</v>
      </c>
      <c r="R160" s="1465">
        <v>42</v>
      </c>
      <c r="S160" s="3472"/>
      <c r="T160" s="3471"/>
      <c r="U160" s="3472"/>
      <c r="V160" s="3471"/>
      <c r="W160" s="3472"/>
      <c r="X160" s="3471"/>
      <c r="Y160" s="268">
        <f>SUM('6층_부하량(월간_AVG)'!L342:N342)</f>
        <v>0</v>
      </c>
      <c r="Z160" s="268">
        <f>SUM('6층_부하량(월간_AVG)'!L374:N374)</f>
        <v>0</v>
      </c>
      <c r="AA160" s="2436">
        <f t="shared" si="76"/>
        <v>0</v>
      </c>
      <c r="AB160" s="2683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692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3224">
        <f>VLOOKUP(I160&amp;J160,'7층~4층_매핑테이블'!$Q$6:$X$2020,8,0)</f>
        <v>0</v>
      </c>
      <c r="AE160" s="3140" t="e">
        <f t="shared" si="64"/>
        <v>#N/A</v>
      </c>
      <c r="AF160" s="2459" t="s">
        <v>1265</v>
      </c>
      <c r="AH160" s="2351" t="e">
        <f t="shared" si="72"/>
        <v>#N/A</v>
      </c>
      <c r="AI160" s="2351" t="e">
        <f t="shared" si="73"/>
        <v>#N/A</v>
      </c>
      <c r="AJ160" s="123" t="e">
        <f t="shared" si="61"/>
        <v>#N/A</v>
      </c>
      <c r="AK160" t="e">
        <f t="shared" si="62"/>
        <v>#N/A</v>
      </c>
      <c r="AL160" t="e">
        <f t="shared" si="63"/>
        <v>#N/A</v>
      </c>
      <c r="AQ160" s="123"/>
      <c r="AR160" s="123"/>
      <c r="AS160" s="123"/>
      <c r="AT160" s="2982"/>
      <c r="AU160" s="123"/>
      <c r="AV160" s="123"/>
      <c r="AW160" s="2983"/>
      <c r="AX160" s="2984"/>
      <c r="AY160" s="2985"/>
      <c r="AZ160" s="2986"/>
      <c r="BA160" s="2987"/>
      <c r="BB160" s="3194"/>
      <c r="BC160" s="2989"/>
    </row>
    <row r="161" spans="1:55" ht="28.8" x14ac:dyDescent="0.25">
      <c r="A161" s="2620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09" t="s">
        <v>1602</v>
      </c>
      <c r="H161" s="2604" t="s">
        <v>1603</v>
      </c>
      <c r="I161" s="2122" t="str">
        <f t="shared" si="74"/>
        <v>6-DaHall 1-PDU-05-30-44</v>
      </c>
      <c r="J161" s="2123" t="str">
        <f t="shared" si="75"/>
        <v>6-DaHall 1-PDU-06-30-44</v>
      </c>
      <c r="K161" s="1474">
        <v>220</v>
      </c>
      <c r="L161" s="1475">
        <v>30</v>
      </c>
      <c r="M161" s="2419" t="s">
        <v>6491</v>
      </c>
      <c r="N161" s="1462">
        <v>44</v>
      </c>
      <c r="O161" s="1466">
        <v>220</v>
      </c>
      <c r="P161" s="1467">
        <v>30</v>
      </c>
      <c r="Q161" s="2425" t="s">
        <v>6501</v>
      </c>
      <c r="R161" s="1465">
        <v>44</v>
      </c>
      <c r="S161" s="3472"/>
      <c r="T161" s="3471"/>
      <c r="U161" s="3472"/>
      <c r="V161" s="3471"/>
      <c r="W161" s="3472"/>
      <c r="X161" s="3471"/>
      <c r="Y161" s="268">
        <f>SUM('6층_부하량(월간_AVG)'!L343:N343)</f>
        <v>0</v>
      </c>
      <c r="Z161" s="268">
        <f>SUM('6층_부하량(월간_AVG)'!L375:N375)</f>
        <v>0</v>
      </c>
      <c r="AA161" s="2436">
        <f t="shared" si="76"/>
        <v>0</v>
      </c>
      <c r="AB161" s="2683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692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3224">
        <f>VLOOKUP(I161&amp;J161,'7층~4층_매핑테이블'!$Q$6:$X$2020,8,0)</f>
        <v>0</v>
      </c>
      <c r="AE161" s="3140" t="e">
        <f t="shared" si="64"/>
        <v>#N/A</v>
      </c>
      <c r="AF161" s="2459" t="s">
        <v>1265</v>
      </c>
      <c r="AH161" s="2351" t="e">
        <f t="shared" si="72"/>
        <v>#N/A</v>
      </c>
      <c r="AI161" s="2351" t="e">
        <f t="shared" si="73"/>
        <v>#N/A</v>
      </c>
      <c r="AJ161" s="123" t="e">
        <f t="shared" si="61"/>
        <v>#N/A</v>
      </c>
      <c r="AK161" t="e">
        <f t="shared" si="62"/>
        <v>#N/A</v>
      </c>
      <c r="AL161" t="e">
        <f t="shared" si="63"/>
        <v>#N/A</v>
      </c>
      <c r="AQ161" s="123"/>
      <c r="AR161" s="123"/>
      <c r="AS161" s="123"/>
      <c r="AT161" s="2982"/>
      <c r="AU161" s="123"/>
      <c r="AV161" s="123"/>
      <c r="AW161" s="2983"/>
      <c r="AX161" s="2984"/>
      <c r="AY161" s="2985"/>
      <c r="AZ161" s="2986"/>
      <c r="BA161" s="2987"/>
      <c r="BB161" s="3194"/>
      <c r="BC161" s="2989"/>
    </row>
    <row r="162" spans="1:55" ht="28.8" x14ac:dyDescent="0.25">
      <c r="A162" s="2620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09" t="s">
        <v>1608</v>
      </c>
      <c r="H162" s="2604" t="s">
        <v>1609</v>
      </c>
      <c r="I162" s="2122" t="str">
        <f t="shared" si="74"/>
        <v>6-DaHall 1-PDU-05-30-46</v>
      </c>
      <c r="J162" s="2123" t="str">
        <f t="shared" si="75"/>
        <v>6-DaHall 1-PDU-06-30-46</v>
      </c>
      <c r="K162" s="1474">
        <v>220</v>
      </c>
      <c r="L162" s="1475">
        <v>30</v>
      </c>
      <c r="M162" s="2419" t="s">
        <v>6491</v>
      </c>
      <c r="N162" s="1462">
        <v>46</v>
      </c>
      <c r="O162" s="1466">
        <v>220</v>
      </c>
      <c r="P162" s="1467">
        <v>30</v>
      </c>
      <c r="Q162" s="2425" t="s">
        <v>6501</v>
      </c>
      <c r="R162" s="1465">
        <v>46</v>
      </c>
      <c r="S162" s="3472"/>
      <c r="T162" s="3471"/>
      <c r="U162" s="3472"/>
      <c r="V162" s="3471"/>
      <c r="W162" s="3472"/>
      <c r="X162" s="3471"/>
      <c r="Y162" s="268">
        <f>SUM('6층_부하량(월간_AVG)'!L344:N344)</f>
        <v>0</v>
      </c>
      <c r="Z162" s="268">
        <f>SUM('6층_부하량(월간_AVG)'!L376:N376)</f>
        <v>0</v>
      </c>
      <c r="AA162" s="2436">
        <f t="shared" si="76"/>
        <v>0</v>
      </c>
      <c r="AB162" s="3195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692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3224">
        <f>VLOOKUP(I162&amp;J162,'7층~4층_매핑테이블'!$Q$6:$X$2020,8,0)</f>
        <v>0</v>
      </c>
      <c r="AE162" s="3140" t="e">
        <f t="shared" si="64"/>
        <v>#N/A</v>
      </c>
      <c r="AF162" s="2459" t="s">
        <v>1265</v>
      </c>
      <c r="AH162" s="2351" t="e">
        <f t="shared" si="72"/>
        <v>#N/A</v>
      </c>
      <c r="AI162" s="2351" t="e">
        <f t="shared" si="73"/>
        <v>#N/A</v>
      </c>
      <c r="AJ162" s="123" t="e">
        <f t="shared" si="61"/>
        <v>#N/A</v>
      </c>
      <c r="AK162" t="e">
        <f t="shared" si="62"/>
        <v>#N/A</v>
      </c>
      <c r="AL162" t="e">
        <f t="shared" si="63"/>
        <v>#N/A</v>
      </c>
      <c r="AQ162" s="123"/>
      <c r="AR162" s="123"/>
      <c r="AS162" s="123"/>
      <c r="AT162" s="2982"/>
      <c r="AU162" s="123"/>
      <c r="AV162" s="123"/>
      <c r="AW162" s="2983"/>
      <c r="AX162" s="2984"/>
      <c r="AY162" s="2985"/>
      <c r="AZ162" s="2986"/>
      <c r="BA162" s="2987"/>
      <c r="BB162" s="3194"/>
      <c r="BC162" s="2989"/>
    </row>
    <row r="163" spans="1:55" ht="28.8" x14ac:dyDescent="0.25">
      <c r="A163" s="2620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09" t="s">
        <v>1614</v>
      </c>
      <c r="H163" s="2604" t="s">
        <v>1615</v>
      </c>
      <c r="I163" s="2122" t="str">
        <f t="shared" si="74"/>
        <v>6-DaHall 1-PDU-13-30-1</v>
      </c>
      <c r="J163" s="2123" t="str">
        <f t="shared" si="75"/>
        <v>6-DaHall 1-PDU-14-30-1</v>
      </c>
      <c r="K163" s="1474">
        <v>220</v>
      </c>
      <c r="L163" s="1475">
        <v>30</v>
      </c>
      <c r="M163" s="2419" t="s">
        <v>6542</v>
      </c>
      <c r="N163" s="1462">
        <v>1</v>
      </c>
      <c r="O163" s="1466">
        <v>220</v>
      </c>
      <c r="P163" s="1467">
        <v>30</v>
      </c>
      <c r="Q163" s="2425" t="s">
        <v>6549</v>
      </c>
      <c r="R163" s="1465">
        <v>1</v>
      </c>
      <c r="S163" s="3468" t="s">
        <v>1405</v>
      </c>
      <c r="T163" s="3465" t="s">
        <v>1406</v>
      </c>
      <c r="U163" s="3468" t="s">
        <v>1407</v>
      </c>
      <c r="V163" s="3465" t="s">
        <v>1408</v>
      </c>
      <c r="W163" s="3472"/>
      <c r="X163" s="3471"/>
      <c r="Y163" s="268">
        <f>SUM('6층_부하량(월간_AVG)'!D20:F20)</f>
        <v>0</v>
      </c>
      <c r="Z163" s="268">
        <f>SUM('6층_부하량(월간_AVG)'!D52:F52)</f>
        <v>0</v>
      </c>
      <c r="AA163" s="2436">
        <f t="shared" si="76"/>
        <v>0</v>
      </c>
      <c r="AB163" s="2683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692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3224">
        <f>VLOOKUP(I163&amp;J163,'7층~4층_매핑테이블'!$Q$6:$X$2020,8,0)</f>
        <v>0</v>
      </c>
      <c r="AE163" s="3140" t="e">
        <f t="shared" si="64"/>
        <v>#N/A</v>
      </c>
      <c r="AF163" s="2459" t="s">
        <v>1265</v>
      </c>
      <c r="AH163" s="2351" t="e">
        <f t="shared" si="72"/>
        <v>#N/A</v>
      </c>
      <c r="AI163" s="2351" t="e">
        <f t="shared" si="73"/>
        <v>#N/A</v>
      </c>
      <c r="AJ163" s="123" t="e">
        <f t="shared" si="61"/>
        <v>#N/A</v>
      </c>
      <c r="AK163" t="e">
        <f t="shared" si="62"/>
        <v>#N/A</v>
      </c>
      <c r="AL163" t="e">
        <f t="shared" si="63"/>
        <v>#N/A</v>
      </c>
      <c r="AQ163" s="123"/>
      <c r="AR163" s="123"/>
      <c r="AS163" s="123"/>
      <c r="AT163" s="2982"/>
      <c r="AU163" s="123"/>
      <c r="AV163" s="123"/>
      <c r="AW163" s="2983"/>
      <c r="AX163" s="2984"/>
      <c r="AY163" s="2985"/>
      <c r="AZ163" s="2986"/>
      <c r="BA163" s="2987"/>
      <c r="BB163" s="3194"/>
      <c r="BC163" s="2989"/>
    </row>
    <row r="164" spans="1:55" ht="28.8" x14ac:dyDescent="0.25">
      <c r="A164" s="2620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09" t="s">
        <v>1619</v>
      </c>
      <c r="H164" s="2604" t="s">
        <v>1620</v>
      </c>
      <c r="I164" s="2122" t="str">
        <f t="shared" si="74"/>
        <v>6-DaHall 1-PDU-13-30-3</v>
      </c>
      <c r="J164" s="2123" t="str">
        <f t="shared" si="75"/>
        <v>6-DaHall 1-PDU-14-30-3</v>
      </c>
      <c r="K164" s="1474">
        <v>220</v>
      </c>
      <c r="L164" s="1475">
        <v>30</v>
      </c>
      <c r="M164" s="2419" t="s">
        <v>6542</v>
      </c>
      <c r="N164" s="1462">
        <v>3</v>
      </c>
      <c r="O164" s="1466">
        <v>220</v>
      </c>
      <c r="P164" s="1467">
        <v>30</v>
      </c>
      <c r="Q164" s="2425" t="s">
        <v>6549</v>
      </c>
      <c r="R164" s="1465">
        <v>3</v>
      </c>
      <c r="S164" s="3472"/>
      <c r="T164" s="3471"/>
      <c r="U164" s="3472"/>
      <c r="V164" s="3471"/>
      <c r="W164" s="3472"/>
      <c r="X164" s="3471"/>
      <c r="Y164" s="268">
        <f>SUM('6층_부하량(월간_AVG)'!D21:F21)</f>
        <v>0</v>
      </c>
      <c r="Z164" s="268">
        <f>SUM('6층_부하량(월간_AVG)'!D53:F53)</f>
        <v>0</v>
      </c>
      <c r="AA164" s="2436">
        <f t="shared" si="76"/>
        <v>0</v>
      </c>
      <c r="AB164" s="2683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692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3224">
        <f>VLOOKUP(I164&amp;J164,'7층~4층_매핑테이블'!$Q$6:$X$2020,8,0)</f>
        <v>0</v>
      </c>
      <c r="AE164" s="3140" t="e">
        <f t="shared" si="64"/>
        <v>#N/A</v>
      </c>
      <c r="AF164" s="2459" t="s">
        <v>1265</v>
      </c>
      <c r="AH164" s="2351" t="e">
        <f t="shared" si="72"/>
        <v>#N/A</v>
      </c>
      <c r="AI164" s="2351" t="e">
        <f t="shared" si="73"/>
        <v>#N/A</v>
      </c>
      <c r="AJ164" s="123" t="e">
        <f t="shared" si="61"/>
        <v>#N/A</v>
      </c>
      <c r="AK164" t="e">
        <f t="shared" si="62"/>
        <v>#N/A</v>
      </c>
      <c r="AL164" t="e">
        <f t="shared" si="63"/>
        <v>#N/A</v>
      </c>
      <c r="AQ164" s="123"/>
      <c r="AR164" s="123"/>
      <c r="AS164" s="123"/>
      <c r="AT164" s="2982"/>
      <c r="AU164" s="123"/>
      <c r="AV164" s="123"/>
      <c r="AW164" s="2983"/>
      <c r="AX164" s="2984"/>
      <c r="AY164" s="2985"/>
      <c r="AZ164" s="2986"/>
      <c r="BA164" s="2987"/>
      <c r="BB164" s="3194"/>
      <c r="BC164" s="2989"/>
    </row>
    <row r="165" spans="1:55" ht="28.8" x14ac:dyDescent="0.25">
      <c r="A165" s="2620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09" t="s">
        <v>1624</v>
      </c>
      <c r="H165" s="2604" t="s">
        <v>1625</v>
      </c>
      <c r="I165" s="2122" t="str">
        <f t="shared" si="74"/>
        <v>6-DaHall 1-PDU-13-30-5</v>
      </c>
      <c r="J165" s="2123" t="str">
        <f t="shared" si="75"/>
        <v>6-DaHall 1-PDU-14-30-5</v>
      </c>
      <c r="K165" s="1474">
        <v>220</v>
      </c>
      <c r="L165" s="1475">
        <v>30</v>
      </c>
      <c r="M165" s="2419" t="s">
        <v>6542</v>
      </c>
      <c r="N165" s="1462">
        <v>5</v>
      </c>
      <c r="O165" s="1466">
        <v>220</v>
      </c>
      <c r="P165" s="1467">
        <v>30</v>
      </c>
      <c r="Q165" s="2425" t="s">
        <v>6549</v>
      </c>
      <c r="R165" s="1465">
        <v>5</v>
      </c>
      <c r="S165" s="3472"/>
      <c r="T165" s="3471"/>
      <c r="U165" s="3472"/>
      <c r="V165" s="3471"/>
      <c r="W165" s="3472"/>
      <c r="X165" s="3471"/>
      <c r="Y165" s="268">
        <f>SUM('6층_부하량(월간_AVG)'!D22:F22)</f>
        <v>0</v>
      </c>
      <c r="Z165" s="268">
        <f>SUM('6층_부하량(월간_AVG)'!D54:F54)</f>
        <v>0</v>
      </c>
      <c r="AA165" s="2436">
        <f t="shared" si="76"/>
        <v>0</v>
      </c>
      <c r="AB165" s="2683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692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3224">
        <f>VLOOKUP(I165&amp;J165,'7층~4층_매핑테이블'!$Q$6:$X$2020,8,0)</f>
        <v>0</v>
      </c>
      <c r="AE165" s="3140" t="e">
        <f t="shared" si="64"/>
        <v>#N/A</v>
      </c>
      <c r="AF165" s="2459" t="s">
        <v>1265</v>
      </c>
      <c r="AH165" s="2351" t="e">
        <f t="shared" si="72"/>
        <v>#N/A</v>
      </c>
      <c r="AI165" s="2351" t="e">
        <f t="shared" si="73"/>
        <v>#N/A</v>
      </c>
      <c r="AJ165" s="123" t="e">
        <f t="shared" si="61"/>
        <v>#N/A</v>
      </c>
      <c r="AK165" t="e">
        <f t="shared" si="62"/>
        <v>#N/A</v>
      </c>
      <c r="AL165" t="e">
        <f t="shared" si="63"/>
        <v>#N/A</v>
      </c>
      <c r="AQ165" s="123"/>
      <c r="AR165" s="123"/>
      <c r="AS165" s="123"/>
      <c r="AT165" s="2982"/>
      <c r="AU165" s="123"/>
      <c r="AV165" s="123"/>
      <c r="AW165" s="2983"/>
      <c r="AX165" s="2984"/>
      <c r="AY165" s="2985"/>
      <c r="AZ165" s="2986"/>
      <c r="BA165" s="2987"/>
      <c r="BB165" s="3194"/>
      <c r="BC165" s="2989"/>
    </row>
    <row r="166" spans="1:55" ht="28.8" x14ac:dyDescent="0.25">
      <c r="A166" s="2620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09" t="s">
        <v>1629</v>
      </c>
      <c r="H166" s="2604" t="s">
        <v>1630</v>
      </c>
      <c r="I166" s="2122" t="str">
        <f t="shared" si="74"/>
        <v>6-DaHall 1-PDU-13-30-7</v>
      </c>
      <c r="J166" s="2123" t="str">
        <f t="shared" si="75"/>
        <v>6-DaHall 1-PDU-14-30-7</v>
      </c>
      <c r="K166" s="1474">
        <v>220</v>
      </c>
      <c r="L166" s="1475">
        <v>30</v>
      </c>
      <c r="M166" s="2419" t="s">
        <v>6542</v>
      </c>
      <c r="N166" s="1462">
        <v>7</v>
      </c>
      <c r="O166" s="1466">
        <v>220</v>
      </c>
      <c r="P166" s="1467">
        <v>30</v>
      </c>
      <c r="Q166" s="2425" t="s">
        <v>6549</v>
      </c>
      <c r="R166" s="1465">
        <v>7</v>
      </c>
      <c r="S166" s="3472"/>
      <c r="T166" s="3471"/>
      <c r="U166" s="3472"/>
      <c r="V166" s="3471"/>
      <c r="W166" s="3472"/>
      <c r="X166" s="3471"/>
      <c r="Y166" s="268">
        <f>SUM('6층_부하량(월간_AVG)'!D23:F23)</f>
        <v>0</v>
      </c>
      <c r="Z166" s="268">
        <f>SUM('6층_부하량(월간_AVG)'!D55:F55)</f>
        <v>0</v>
      </c>
      <c r="AA166" s="2436">
        <f t="shared" si="76"/>
        <v>0</v>
      </c>
      <c r="AB166" s="2683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692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3224">
        <f>VLOOKUP(I166&amp;J166,'7층~4층_매핑테이블'!$Q$6:$X$2020,8,0)</f>
        <v>0</v>
      </c>
      <c r="AE166" s="3140" t="e">
        <f t="shared" si="64"/>
        <v>#N/A</v>
      </c>
      <c r="AF166" s="2459" t="s">
        <v>1265</v>
      </c>
      <c r="AH166" s="2351" t="e">
        <f t="shared" si="72"/>
        <v>#N/A</v>
      </c>
      <c r="AI166" s="2351" t="e">
        <f t="shared" si="73"/>
        <v>#N/A</v>
      </c>
      <c r="AJ166" s="123" t="e">
        <f t="shared" si="61"/>
        <v>#N/A</v>
      </c>
      <c r="AK166" t="e">
        <f t="shared" si="62"/>
        <v>#N/A</v>
      </c>
      <c r="AL166" t="e">
        <f t="shared" si="63"/>
        <v>#N/A</v>
      </c>
      <c r="AQ166" s="123"/>
      <c r="AR166" s="123"/>
      <c r="AS166" s="123"/>
      <c r="AT166" s="2982"/>
      <c r="AU166" s="123"/>
      <c r="AV166" s="123"/>
      <c r="AW166" s="2983"/>
      <c r="AX166" s="2984"/>
      <c r="AY166" s="2985"/>
      <c r="AZ166" s="2986"/>
      <c r="BA166" s="2987"/>
      <c r="BB166" s="3194"/>
      <c r="BC166" s="2989"/>
    </row>
    <row r="167" spans="1:55" ht="16.2" thickBot="1" x14ac:dyDescent="0.3">
      <c r="A167" s="2628" t="s">
        <v>1631</v>
      </c>
      <c r="B167" s="839"/>
      <c r="C167" s="839"/>
      <c r="D167" s="839"/>
      <c r="E167" s="839"/>
      <c r="F167" s="839"/>
      <c r="G167" s="2677"/>
      <c r="H167" s="2660"/>
      <c r="I167" s="2127"/>
      <c r="J167" s="2128"/>
      <c r="K167" s="1477"/>
      <c r="L167" s="1478"/>
      <c r="M167" s="2677"/>
      <c r="N167" s="1479"/>
      <c r="O167" s="1480"/>
      <c r="P167" s="1481"/>
      <c r="Q167" s="2660"/>
      <c r="R167" s="1482"/>
      <c r="S167" s="840"/>
      <c r="T167" s="849"/>
      <c r="U167" s="840"/>
      <c r="V167" s="849"/>
      <c r="W167" s="840"/>
      <c r="X167" s="849"/>
      <c r="Y167" s="1098"/>
      <c r="Z167" s="1098"/>
      <c r="AA167" s="2440"/>
      <c r="AB167" s="2779"/>
      <c r="AC167" s="2718"/>
      <c r="AD167" s="4032">
        <f>VLOOKUP(I167&amp;J167,'7층~4층_매핑테이블'!$Q$6:$X$2020,8,0)</f>
        <v>0</v>
      </c>
      <c r="AE167" s="3213">
        <f t="shared" si="64"/>
        <v>0</v>
      </c>
      <c r="AF167" s="2780" t="s">
        <v>1265</v>
      </c>
      <c r="AH167" s="2351">
        <f t="shared" si="72"/>
        <v>0</v>
      </c>
      <c r="AI167" s="2351">
        <f t="shared" si="73"/>
        <v>0</v>
      </c>
      <c r="AJ167" s="123" t="str">
        <f t="shared" si="61"/>
        <v>무부하 랙</v>
      </c>
      <c r="AK167" t="str">
        <f t="shared" si="62"/>
        <v/>
      </c>
      <c r="AL167" t="str">
        <f t="shared" si="63"/>
        <v/>
      </c>
      <c r="AQ167" s="123"/>
      <c r="AR167" s="123"/>
      <c r="AS167" s="123"/>
      <c r="AT167" s="2982"/>
      <c r="AU167" s="123"/>
      <c r="AV167" s="123"/>
      <c r="AW167" s="2983"/>
      <c r="AX167" s="2984"/>
      <c r="AY167" s="2985"/>
      <c r="AZ167" s="2986"/>
      <c r="BA167" s="2987"/>
      <c r="BB167" s="3194"/>
      <c r="BC167" s="2989"/>
    </row>
    <row r="168" spans="1:55" ht="15" thickTop="1" x14ac:dyDescent="0.25">
      <c r="A168" s="1081" t="s">
        <v>1519</v>
      </c>
      <c r="B168" s="828"/>
      <c r="C168" s="828"/>
      <c r="D168" s="828"/>
      <c r="E168" s="828"/>
      <c r="F168" s="828"/>
      <c r="G168" s="884"/>
      <c r="H168" s="885"/>
      <c r="I168" s="2120"/>
      <c r="J168" s="2121"/>
      <c r="K168" s="1452"/>
      <c r="L168" s="1453"/>
      <c r="M168" s="884"/>
      <c r="N168" s="1454"/>
      <c r="O168" s="1455"/>
      <c r="P168" s="1456"/>
      <c r="Q168" s="885"/>
      <c r="R168" s="1457"/>
      <c r="S168" s="829"/>
      <c r="T168" s="830"/>
      <c r="U168" s="829"/>
      <c r="V168" s="830"/>
      <c r="W168" s="829"/>
      <c r="X168" s="830"/>
      <c r="Y168" s="835"/>
      <c r="Z168" s="835"/>
      <c r="AA168" s="2439"/>
      <c r="AB168" s="2771"/>
      <c r="AC168" s="2701"/>
      <c r="AD168" s="3223"/>
      <c r="AE168" s="3207">
        <f t="shared" si="64"/>
        <v>0</v>
      </c>
      <c r="AF168" s="2772" t="s">
        <v>1265</v>
      </c>
      <c r="AH168" s="2351">
        <f t="shared" si="72"/>
        <v>0</v>
      </c>
      <c r="AI168" s="2351">
        <f t="shared" si="73"/>
        <v>0</v>
      </c>
      <c r="AJ168" s="123" t="str">
        <f t="shared" si="61"/>
        <v>무부하 랙</v>
      </c>
      <c r="AK168" t="str">
        <f t="shared" si="62"/>
        <v/>
      </c>
      <c r="AL168" t="str">
        <f t="shared" si="63"/>
        <v/>
      </c>
      <c r="AQ168" s="123"/>
      <c r="AR168" s="123"/>
      <c r="AS168" s="123"/>
      <c r="AT168" s="2982"/>
      <c r="AU168" s="123"/>
      <c r="AV168" s="123"/>
      <c r="AW168" s="2983"/>
      <c r="AX168" s="2984"/>
      <c r="AY168" s="2985"/>
      <c r="AZ168" s="2986"/>
      <c r="BA168" s="2987"/>
      <c r="BB168" s="3194"/>
      <c r="BC168" s="2989"/>
    </row>
    <row r="169" spans="1:55" ht="43.2" x14ac:dyDescent="0.25">
      <c r="A169" s="2620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09" t="s">
        <v>1524</v>
      </c>
      <c r="H169" s="2604" t="s">
        <v>1525</v>
      </c>
      <c r="I169" s="2122" t="str">
        <f t="shared" ref="I169:I177" si="77">"6-DaHall 1-PDU-"&amp;M169&amp;"-"&amp;L169&amp;"-"&amp;N169</f>
        <v>6-DaHall 1-PDU-13-30-52</v>
      </c>
      <c r="J169" s="2123" t="str">
        <f t="shared" ref="J169:J177" si="78">"6-DaHall 1-PDU-"&amp;Q169&amp;"-"&amp;P169&amp;"-"&amp;R169</f>
        <v>6-DaHall 1-PDU-14-30-52</v>
      </c>
      <c r="K169" s="1474">
        <v>220</v>
      </c>
      <c r="L169" s="1475">
        <v>30</v>
      </c>
      <c r="M169" s="2419" t="s">
        <v>6542</v>
      </c>
      <c r="N169" s="1462">
        <v>52</v>
      </c>
      <c r="O169" s="1466">
        <v>220</v>
      </c>
      <c r="P169" s="1467">
        <v>30</v>
      </c>
      <c r="Q169" s="2425" t="s">
        <v>6549</v>
      </c>
      <c r="R169" s="1465">
        <v>52</v>
      </c>
      <c r="S169" s="2609" t="s">
        <v>1405</v>
      </c>
      <c r="T169" s="2604" t="s">
        <v>1406</v>
      </c>
      <c r="U169" s="2609" t="s">
        <v>1407</v>
      </c>
      <c r="V169" s="2604" t="s">
        <v>1408</v>
      </c>
      <c r="W169" s="3468" t="s">
        <v>1276</v>
      </c>
      <c r="X169" s="3465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36">
        <f t="shared" ref="AA169:AA174" si="79">SUM(Y169:Z169)</f>
        <v>0</v>
      </c>
      <c r="AB169" s="2683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692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3224">
        <f>VLOOKUP(I169&amp;J169,'7층~4층_매핑테이블'!$Q$6:$X$2020,8,0)</f>
        <v>0</v>
      </c>
      <c r="AE169" s="3140" t="e">
        <f t="shared" si="64"/>
        <v>#N/A</v>
      </c>
      <c r="AF169" s="2767"/>
      <c r="AH169" s="2351" t="e">
        <f t="shared" si="72"/>
        <v>#N/A</v>
      </c>
      <c r="AI169" s="2351" t="e">
        <f t="shared" si="73"/>
        <v>#N/A</v>
      </c>
      <c r="AJ169" s="123" t="e">
        <f t="shared" si="61"/>
        <v>#N/A</v>
      </c>
      <c r="AK169" t="e">
        <f t="shared" si="62"/>
        <v>#N/A</v>
      </c>
      <c r="AL169" t="e">
        <f t="shared" si="63"/>
        <v>#N/A</v>
      </c>
      <c r="AQ169" s="123"/>
      <c r="AR169" s="123"/>
      <c r="AS169" s="123"/>
      <c r="AT169" s="2982"/>
      <c r="AU169" s="123"/>
      <c r="AV169" s="123"/>
      <c r="AW169" s="2983"/>
      <c r="AX169" s="2984"/>
      <c r="AY169" s="2985"/>
      <c r="AZ169" s="2986"/>
      <c r="BA169" s="2987"/>
      <c r="BB169" s="3194"/>
      <c r="BC169" s="2989"/>
    </row>
    <row r="170" spans="1:55" ht="28.8" x14ac:dyDescent="0.25">
      <c r="A170" s="2620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09" t="s">
        <v>1530</v>
      </c>
      <c r="H170" s="2604" t="s">
        <v>1531</v>
      </c>
      <c r="I170" s="2122" t="str">
        <f t="shared" si="77"/>
        <v>6-DaHall 1-PDU-11-30-3</v>
      </c>
      <c r="J170" s="2123" t="str">
        <f t="shared" si="78"/>
        <v>6-DaHall 1-PDU-12-30-3</v>
      </c>
      <c r="K170" s="1460">
        <v>220</v>
      </c>
      <c r="L170" s="1461">
        <v>30</v>
      </c>
      <c r="M170" s="2419" t="s">
        <v>6541</v>
      </c>
      <c r="N170" s="1462">
        <v>3</v>
      </c>
      <c r="O170" s="1463">
        <v>220</v>
      </c>
      <c r="P170" s="1464">
        <v>30</v>
      </c>
      <c r="Q170" s="2425" t="s">
        <v>6548</v>
      </c>
      <c r="R170" s="1465">
        <v>3</v>
      </c>
      <c r="S170" s="3468" t="s">
        <v>1462</v>
      </c>
      <c r="T170" s="3465" t="s">
        <v>1463</v>
      </c>
      <c r="U170" s="3468" t="s">
        <v>1464</v>
      </c>
      <c r="V170" s="3465" t="s">
        <v>1465</v>
      </c>
      <c r="W170" s="3472"/>
      <c r="X170" s="3471"/>
      <c r="Y170" s="268">
        <f>SUM('6층_부하량(월간_AVG)'!D145:F145)</f>
        <v>0</v>
      </c>
      <c r="Z170" s="268">
        <f>SUM('6층_부하량(월간_AVG)'!D174:F174)</f>
        <v>0</v>
      </c>
      <c r="AA170" s="2436">
        <f t="shared" si="79"/>
        <v>0</v>
      </c>
      <c r="AB170" s="2683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692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3224">
        <f>VLOOKUP(I170&amp;J170,'7층~4층_매핑테이블'!$Q$6:$X$2020,8,0)</f>
        <v>0</v>
      </c>
      <c r="AE170" s="3140" t="e">
        <f t="shared" si="64"/>
        <v>#N/A</v>
      </c>
      <c r="AF170" s="2766" t="s">
        <v>1532</v>
      </c>
      <c r="AH170" s="2351" t="e">
        <f t="shared" si="72"/>
        <v>#N/A</v>
      </c>
      <c r="AI170" s="2351" t="e">
        <f t="shared" si="73"/>
        <v>#N/A</v>
      </c>
      <c r="AJ170" s="123" t="e">
        <f t="shared" si="61"/>
        <v>#N/A</v>
      </c>
      <c r="AK170" t="e">
        <f t="shared" si="62"/>
        <v>#N/A</v>
      </c>
      <c r="AL170" t="e">
        <f t="shared" si="63"/>
        <v>#N/A</v>
      </c>
      <c r="AQ170" s="123"/>
      <c r="AR170" s="123"/>
      <c r="AS170" s="123"/>
      <c r="AT170" s="2982"/>
      <c r="AU170" s="123"/>
      <c r="AV170" s="123"/>
      <c r="AW170" s="2983"/>
      <c r="AX170" s="2984"/>
      <c r="AY170" s="2985"/>
      <c r="AZ170" s="2986"/>
      <c r="BA170" s="2987"/>
      <c r="BB170" s="3194"/>
      <c r="BC170" s="2989"/>
    </row>
    <row r="171" spans="1:55" ht="28.8" x14ac:dyDescent="0.25">
      <c r="A171" s="2620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09" t="s">
        <v>1537</v>
      </c>
      <c r="H171" s="2604" t="s">
        <v>1538</v>
      </c>
      <c r="I171" s="2122" t="str">
        <f t="shared" si="77"/>
        <v>6-DaHall 1-PDU-11-30-5</v>
      </c>
      <c r="J171" s="2123" t="str">
        <f t="shared" si="78"/>
        <v>6-DaHall 1-PDU-12-30-5</v>
      </c>
      <c r="K171" s="1460">
        <v>220</v>
      </c>
      <c r="L171" s="1461">
        <v>30</v>
      </c>
      <c r="M171" s="2419" t="s">
        <v>6541</v>
      </c>
      <c r="N171" s="1462">
        <v>5</v>
      </c>
      <c r="O171" s="1463">
        <v>220</v>
      </c>
      <c r="P171" s="1464">
        <v>30</v>
      </c>
      <c r="Q171" s="2425" t="s">
        <v>6548</v>
      </c>
      <c r="R171" s="1465">
        <v>5</v>
      </c>
      <c r="S171" s="3472"/>
      <c r="T171" s="3471"/>
      <c r="U171" s="3468"/>
      <c r="V171" s="3471"/>
      <c r="W171" s="3472"/>
      <c r="X171" s="3471"/>
      <c r="Y171" s="268">
        <f>SUM('6층_부하량(월간_AVG)'!D146:F146)</f>
        <v>0</v>
      </c>
      <c r="Z171" s="268">
        <f>SUM('6층_부하량(월간_AVG)'!D175:F175)</f>
        <v>0</v>
      </c>
      <c r="AA171" s="2436">
        <f t="shared" si="79"/>
        <v>0</v>
      </c>
      <c r="AB171" s="2683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692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3224">
        <f>VLOOKUP(I171&amp;J171,'7층~4층_매핑테이블'!$Q$6:$X$2020,8,0)</f>
        <v>0</v>
      </c>
      <c r="AE171" s="3140" t="e">
        <f t="shared" si="64"/>
        <v>#N/A</v>
      </c>
      <c r="AF171" s="2766"/>
      <c r="AH171" s="2351" t="e">
        <f t="shared" si="72"/>
        <v>#N/A</v>
      </c>
      <c r="AI171" s="2351" t="e">
        <f t="shared" si="73"/>
        <v>#N/A</v>
      </c>
      <c r="AJ171" s="123" t="e">
        <f t="shared" si="61"/>
        <v>#N/A</v>
      </c>
      <c r="AK171" t="e">
        <f t="shared" si="62"/>
        <v>#N/A</v>
      </c>
      <c r="AL171" t="e">
        <f t="shared" si="63"/>
        <v>#N/A</v>
      </c>
      <c r="AQ171" s="123"/>
      <c r="AR171" s="123"/>
      <c r="AS171" s="123"/>
      <c r="AT171" s="2982"/>
      <c r="AU171" s="123"/>
      <c r="AV171" s="123"/>
      <c r="AW171" s="2983"/>
      <c r="AX171" s="2984"/>
      <c r="AY171" s="2985"/>
      <c r="AZ171" s="2986"/>
      <c r="BA171" s="2987"/>
      <c r="BB171" s="3194"/>
      <c r="BC171" s="2989"/>
    </row>
    <row r="172" spans="1:55" ht="28.8" x14ac:dyDescent="0.25">
      <c r="A172" s="2620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09" t="s">
        <v>1543</v>
      </c>
      <c r="H172" s="2604" t="s">
        <v>1544</v>
      </c>
      <c r="I172" s="2122" t="str">
        <f t="shared" si="77"/>
        <v>6-DaHall 1-PDU-11-30-7</v>
      </c>
      <c r="J172" s="2123" t="str">
        <f t="shared" si="78"/>
        <v>6-DaHall 1-PDU-12-30-7</v>
      </c>
      <c r="K172" s="1460">
        <v>220</v>
      </c>
      <c r="L172" s="1461">
        <v>30</v>
      </c>
      <c r="M172" s="2419" t="s">
        <v>6541</v>
      </c>
      <c r="N172" s="1462">
        <v>7</v>
      </c>
      <c r="O172" s="1463">
        <v>220</v>
      </c>
      <c r="P172" s="1464">
        <v>30</v>
      </c>
      <c r="Q172" s="2425" t="s">
        <v>6548</v>
      </c>
      <c r="R172" s="1465">
        <v>7</v>
      </c>
      <c r="S172" s="3472"/>
      <c r="T172" s="3471"/>
      <c r="U172" s="3468"/>
      <c r="V172" s="3471"/>
      <c r="W172" s="3472"/>
      <c r="X172" s="3471"/>
      <c r="Y172" s="268">
        <f>SUM('6층_부하량(월간_AVG)'!D147:F147)</f>
        <v>0</v>
      </c>
      <c r="Z172" s="268">
        <f>SUM('6층_부하량(월간_AVG)'!D176:F176)</f>
        <v>0</v>
      </c>
      <c r="AA172" s="2436">
        <f t="shared" si="79"/>
        <v>0</v>
      </c>
      <c r="AB172" s="2683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692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3224">
        <f>VLOOKUP(I172&amp;J172,'7층~4층_매핑테이블'!$Q$6:$X$2020,8,0)</f>
        <v>0</v>
      </c>
      <c r="AE172" s="3140" t="e">
        <f t="shared" si="64"/>
        <v>#N/A</v>
      </c>
      <c r="AF172" s="2766"/>
      <c r="AH172" s="2351" t="e">
        <f t="shared" si="72"/>
        <v>#N/A</v>
      </c>
      <c r="AI172" s="2351" t="e">
        <f t="shared" si="73"/>
        <v>#N/A</v>
      </c>
      <c r="AJ172" s="123" t="e">
        <f t="shared" si="61"/>
        <v>#N/A</v>
      </c>
      <c r="AK172" t="e">
        <f t="shared" si="62"/>
        <v>#N/A</v>
      </c>
      <c r="AL172" t="e">
        <f t="shared" si="63"/>
        <v>#N/A</v>
      </c>
      <c r="AQ172" s="123"/>
      <c r="AR172" s="123"/>
      <c r="AS172" s="123"/>
      <c r="AT172" s="2982"/>
      <c r="AU172" s="123"/>
      <c r="AV172" s="123"/>
      <c r="AW172" s="2983"/>
      <c r="AX172" s="2984"/>
      <c r="AY172" s="2985"/>
      <c r="AZ172" s="2986"/>
      <c r="BA172" s="2987"/>
      <c r="BB172" s="3194"/>
      <c r="BC172" s="2989"/>
    </row>
    <row r="173" spans="1:55" ht="28.8" x14ac:dyDescent="0.25">
      <c r="A173" s="2620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09" t="s">
        <v>1549</v>
      </c>
      <c r="H173" s="2604" t="s">
        <v>1550</v>
      </c>
      <c r="I173" s="2122" t="str">
        <f t="shared" si="77"/>
        <v>6-DaHall 1-PDU-11-30-9</v>
      </c>
      <c r="J173" s="2123" t="str">
        <f t="shared" si="78"/>
        <v>6-DaHall 1-PDU-12-30-9</v>
      </c>
      <c r="K173" s="1460">
        <v>220</v>
      </c>
      <c r="L173" s="1461">
        <v>30</v>
      </c>
      <c r="M173" s="2419" t="s">
        <v>6541</v>
      </c>
      <c r="N173" s="1462">
        <v>9</v>
      </c>
      <c r="O173" s="1463">
        <v>220</v>
      </c>
      <c r="P173" s="1464">
        <v>30</v>
      </c>
      <c r="Q173" s="2425" t="s">
        <v>6548</v>
      </c>
      <c r="R173" s="1465">
        <v>9</v>
      </c>
      <c r="S173" s="3472"/>
      <c r="T173" s="3471"/>
      <c r="U173" s="3468"/>
      <c r="V173" s="3471"/>
      <c r="W173" s="3472"/>
      <c r="X173" s="3471"/>
      <c r="Y173" s="268">
        <f>SUM('6층_부하량(월간_AVG)'!D148:F148)</f>
        <v>0</v>
      </c>
      <c r="Z173" s="268">
        <f>SUM('6층_부하량(월간_AVG)'!D177:F177)</f>
        <v>0</v>
      </c>
      <c r="AA173" s="2436">
        <f t="shared" si="79"/>
        <v>0</v>
      </c>
      <c r="AB173" s="2683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692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3224">
        <f>VLOOKUP(I173&amp;J173,'7층~4층_매핑테이블'!$Q$6:$X$2020,8,0)</f>
        <v>0</v>
      </c>
      <c r="AE173" s="3140" t="e">
        <f t="shared" si="64"/>
        <v>#N/A</v>
      </c>
      <c r="AF173" s="2766" t="s">
        <v>1375</v>
      </c>
      <c r="AH173" s="2351" t="e">
        <f t="shared" si="72"/>
        <v>#N/A</v>
      </c>
      <c r="AI173" s="2351" t="e">
        <f t="shared" si="73"/>
        <v>#N/A</v>
      </c>
      <c r="AJ173" s="123" t="e">
        <f t="shared" si="61"/>
        <v>#N/A</v>
      </c>
      <c r="AK173" t="e">
        <f t="shared" si="62"/>
        <v>#N/A</v>
      </c>
      <c r="AL173" t="e">
        <f t="shared" si="63"/>
        <v>#N/A</v>
      </c>
      <c r="AQ173" s="123"/>
      <c r="AR173" s="123"/>
      <c r="AS173" s="123"/>
      <c r="AT173" s="2982"/>
      <c r="AU173" s="123"/>
      <c r="AV173" s="123"/>
      <c r="AW173" s="2983"/>
      <c r="AX173" s="2984"/>
      <c r="AY173" s="2985"/>
      <c r="AZ173" s="2986"/>
      <c r="BA173" s="2987"/>
      <c r="BB173" s="3194"/>
      <c r="BC173" s="2989"/>
    </row>
    <row r="174" spans="1:55" ht="27.75" customHeight="1" x14ac:dyDescent="0.25">
      <c r="A174" s="2620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09" t="s">
        <v>1555</v>
      </c>
      <c r="H174" s="2604" t="s">
        <v>1556</v>
      </c>
      <c r="I174" s="2122" t="str">
        <f t="shared" si="77"/>
        <v>6-DaHall 1-PDU-11-30-11</v>
      </c>
      <c r="J174" s="2123" t="str">
        <f t="shared" si="78"/>
        <v>6-DaHall 1-PDU-12-30-11</v>
      </c>
      <c r="K174" s="1460">
        <v>220</v>
      </c>
      <c r="L174" s="1461">
        <v>30</v>
      </c>
      <c r="M174" s="2419" t="s">
        <v>6541</v>
      </c>
      <c r="N174" s="1462">
        <v>11</v>
      </c>
      <c r="O174" s="1463">
        <v>220</v>
      </c>
      <c r="P174" s="1464">
        <v>30</v>
      </c>
      <c r="Q174" s="2425" t="s">
        <v>6548</v>
      </c>
      <c r="R174" s="1465">
        <v>11</v>
      </c>
      <c r="S174" s="3472"/>
      <c r="T174" s="3471"/>
      <c r="U174" s="3468"/>
      <c r="V174" s="3471"/>
      <c r="W174" s="3472"/>
      <c r="X174" s="3471"/>
      <c r="Y174" s="268">
        <f>SUM('6층_부하량(월간_AVG)'!D149:F149)</f>
        <v>0</v>
      </c>
      <c r="Z174" s="268">
        <f>SUM('6층_부하량(월간_AVG)'!D178:F178)</f>
        <v>0</v>
      </c>
      <c r="AA174" s="2436">
        <f t="shared" si="79"/>
        <v>0</v>
      </c>
      <c r="AB174" s="2683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692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3224">
        <f>VLOOKUP(I174&amp;J174,'7층~4층_매핑테이블'!$Q$6:$X$2020,8,0)</f>
        <v>0</v>
      </c>
      <c r="AE174" s="3140" t="e">
        <f t="shared" si="64"/>
        <v>#N/A</v>
      </c>
      <c r="AF174" s="2766" t="s">
        <v>1375</v>
      </c>
      <c r="AH174" s="2351" t="e">
        <f t="shared" si="72"/>
        <v>#N/A</v>
      </c>
      <c r="AI174" s="2351" t="e">
        <f t="shared" si="73"/>
        <v>#N/A</v>
      </c>
      <c r="AJ174" s="123" t="e">
        <f t="shared" si="61"/>
        <v>#N/A</v>
      </c>
      <c r="AK174" t="e">
        <f t="shared" si="62"/>
        <v>#N/A</v>
      </c>
      <c r="AL174" t="e">
        <f t="shared" si="63"/>
        <v>#N/A</v>
      </c>
      <c r="AQ174" s="123"/>
      <c r="AR174" s="123"/>
      <c r="AS174" s="123"/>
      <c r="AT174" s="2982"/>
      <c r="AU174" s="123"/>
      <c r="AV174" s="123"/>
      <c r="AW174" s="2983"/>
      <c r="AX174" s="2984"/>
      <c r="AY174" s="2985"/>
      <c r="AZ174" s="2986"/>
      <c r="BA174" s="2987"/>
      <c r="BB174" s="3194"/>
      <c r="BC174" s="2989"/>
    </row>
    <row r="175" spans="1:55" ht="27.75" customHeight="1" x14ac:dyDescent="0.25">
      <c r="A175" s="2620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09" t="s">
        <v>1561</v>
      </c>
      <c r="H175" s="2609" t="s">
        <v>1562</v>
      </c>
      <c r="I175" s="2122" t="str">
        <f t="shared" si="77"/>
        <v>6-DaHall 1-PDU-11-30-13</v>
      </c>
      <c r="J175" s="2126" t="str">
        <f t="shared" si="78"/>
        <v>6-DaHall 1-PDU-09-30-31</v>
      </c>
      <c r="K175" s="1460">
        <v>220</v>
      </c>
      <c r="L175" s="1461">
        <v>30</v>
      </c>
      <c r="M175" s="2419" t="s">
        <v>6541</v>
      </c>
      <c r="N175" s="1462">
        <v>13</v>
      </c>
      <c r="O175" s="1476">
        <v>220</v>
      </c>
      <c r="P175" s="1461">
        <v>30</v>
      </c>
      <c r="Q175" s="2419" t="s">
        <v>6584</v>
      </c>
      <c r="R175" s="1462">
        <v>31</v>
      </c>
      <c r="S175" s="3472"/>
      <c r="T175" s="2609" t="s">
        <v>1272</v>
      </c>
      <c r="U175" s="3468"/>
      <c r="V175" s="2609" t="s">
        <v>1274</v>
      </c>
      <c r="W175" s="3472"/>
      <c r="X175" s="2609" t="s">
        <v>1276</v>
      </c>
      <c r="Y175" s="268">
        <f>SUM('6층_부하량(월간_AVG)'!D150:F150)</f>
        <v>0</v>
      </c>
      <c r="Z175" s="1400">
        <f>SUM('6층_부하량(월간_AVG)'!D99:F99)</f>
        <v>0</v>
      </c>
      <c r="AA175" s="2436">
        <f t="shared" ref="AA175:AA177" si="80">SUM(Y175:Z175)</f>
        <v>0</v>
      </c>
      <c r="AB175" s="2683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692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3224">
        <f>VLOOKUP(I175&amp;J175,'7층~4층_매핑테이블'!$Q$6:$X$2020,8,0)</f>
        <v>0</v>
      </c>
      <c r="AE175" s="3140" t="e">
        <f t="shared" si="64"/>
        <v>#N/A</v>
      </c>
      <c r="AF175" s="2767" t="s">
        <v>1375</v>
      </c>
      <c r="AH175" s="2351" t="e">
        <f t="shared" si="72"/>
        <v>#N/A</v>
      </c>
      <c r="AI175" s="2351" t="e">
        <f t="shared" si="73"/>
        <v>#N/A</v>
      </c>
      <c r="AJ175" s="123" t="e">
        <f t="shared" si="61"/>
        <v>#N/A</v>
      </c>
      <c r="AK175" t="e">
        <f t="shared" si="62"/>
        <v>#N/A</v>
      </c>
      <c r="AL175" t="e">
        <f t="shared" si="63"/>
        <v>#N/A</v>
      </c>
      <c r="AQ175" s="123"/>
      <c r="AR175" s="123"/>
      <c r="AS175" s="123"/>
      <c r="AT175" s="2982"/>
      <c r="AU175" s="123"/>
      <c r="AV175" s="123"/>
      <c r="AW175" s="2983"/>
      <c r="AX175" s="2984"/>
      <c r="AY175" s="2985"/>
      <c r="AZ175" s="2986"/>
      <c r="BA175" s="2987"/>
      <c r="BB175" s="3194"/>
      <c r="BC175" s="2989"/>
    </row>
    <row r="176" spans="1:55" ht="27.75" customHeight="1" x14ac:dyDescent="0.25">
      <c r="A176" s="2620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09" t="s">
        <v>1567</v>
      </c>
      <c r="H176" s="2604" t="s">
        <v>1568</v>
      </c>
      <c r="I176" s="2122" t="str">
        <f t="shared" si="77"/>
        <v>6-DaHall 1-PDU-11-30-15</v>
      </c>
      <c r="J176" s="2123" t="str">
        <f t="shared" si="78"/>
        <v>6-DaHall 1-PDU-12-30-15</v>
      </c>
      <c r="K176" s="1460">
        <v>220</v>
      </c>
      <c r="L176" s="1461">
        <v>30</v>
      </c>
      <c r="M176" s="2419" t="s">
        <v>6541</v>
      </c>
      <c r="N176" s="1462">
        <v>15</v>
      </c>
      <c r="O176" s="1463">
        <v>220</v>
      </c>
      <c r="P176" s="1464">
        <v>30</v>
      </c>
      <c r="Q176" s="2425" t="s">
        <v>6548</v>
      </c>
      <c r="R176" s="1465">
        <v>15</v>
      </c>
      <c r="S176" s="3472"/>
      <c r="T176" s="3465" t="s">
        <v>1463</v>
      </c>
      <c r="U176" s="3468"/>
      <c r="V176" s="3465" t="s">
        <v>1465</v>
      </c>
      <c r="W176" s="3472"/>
      <c r="X176" s="3465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36">
        <f t="shared" si="80"/>
        <v>0</v>
      </c>
      <c r="AB176" s="2683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692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3224">
        <f>VLOOKUP(I176&amp;J176,'7층~4층_매핑테이블'!$Q$6:$X$2020,8,0)</f>
        <v>0</v>
      </c>
      <c r="AE176" s="3140" t="e">
        <f t="shared" si="64"/>
        <v>#N/A</v>
      </c>
      <c r="AF176" s="2766" t="s">
        <v>1375</v>
      </c>
      <c r="AH176" s="2351" t="e">
        <f t="shared" si="72"/>
        <v>#N/A</v>
      </c>
      <c r="AI176" s="2351" t="e">
        <f t="shared" si="73"/>
        <v>#N/A</v>
      </c>
      <c r="AJ176" s="123" t="e">
        <f t="shared" si="61"/>
        <v>#N/A</v>
      </c>
      <c r="AK176" t="e">
        <f t="shared" si="62"/>
        <v>#N/A</v>
      </c>
      <c r="AL176" t="e">
        <f t="shared" si="63"/>
        <v>#N/A</v>
      </c>
      <c r="AQ176" s="123"/>
      <c r="AR176" s="123"/>
      <c r="AS176" s="123"/>
      <c r="AT176" s="2982"/>
      <c r="AU176" s="123"/>
      <c r="AV176" s="123"/>
      <c r="AW176" s="2983"/>
      <c r="AX176" s="2984"/>
      <c r="AY176" s="2985"/>
      <c r="AZ176" s="2986"/>
      <c r="BA176" s="2987"/>
      <c r="BB176" s="3194"/>
      <c r="BC176" s="2989"/>
    </row>
    <row r="177" spans="1:55" ht="27.75" customHeight="1" thickBot="1" x14ac:dyDescent="0.3">
      <c r="A177" s="2628" t="s">
        <v>1569</v>
      </c>
      <c r="B177" s="2629" t="s">
        <v>1570</v>
      </c>
      <c r="C177" s="2629"/>
      <c r="D177" s="2629"/>
      <c r="E177" s="2629" t="s">
        <v>1571</v>
      </c>
      <c r="F177" s="2629" t="s">
        <v>1572</v>
      </c>
      <c r="G177" s="2611" t="s">
        <v>1573</v>
      </c>
      <c r="H177" s="2605" t="s">
        <v>1574</v>
      </c>
      <c r="I177" s="2124" t="str">
        <f t="shared" si="77"/>
        <v>6-DaHall 1-PDU-11-30-17</v>
      </c>
      <c r="J177" s="2125" t="str">
        <f t="shared" si="78"/>
        <v>6-DaHall 1-PDU-12-30-17</v>
      </c>
      <c r="K177" s="1468">
        <v>220</v>
      </c>
      <c r="L177" s="1469">
        <v>30</v>
      </c>
      <c r="M177" s="2422" t="s">
        <v>6541</v>
      </c>
      <c r="N177" s="1470">
        <v>17</v>
      </c>
      <c r="O177" s="1471">
        <v>220</v>
      </c>
      <c r="P177" s="1472">
        <v>30</v>
      </c>
      <c r="Q177" s="2428" t="s">
        <v>6548</v>
      </c>
      <c r="R177" s="1473">
        <v>17</v>
      </c>
      <c r="S177" s="3499"/>
      <c r="T177" s="3498"/>
      <c r="U177" s="3469"/>
      <c r="V177" s="3498"/>
      <c r="W177" s="3499"/>
      <c r="X177" s="3498"/>
      <c r="Y177" s="330">
        <f>SUM('6층_부하량(월간_AVG)'!D152:F152)</f>
        <v>0</v>
      </c>
      <c r="Z177" s="330">
        <f>SUM('6층_부하량(월간_AVG)'!D181:F181)</f>
        <v>0</v>
      </c>
      <c r="AA177" s="2437">
        <f t="shared" si="80"/>
        <v>0</v>
      </c>
      <c r="AB177" s="2683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696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4032">
        <f>VLOOKUP(I177&amp;J177,'7층~4층_매핑테이블'!$Q$6:$X$2020,8,0)</f>
        <v>0</v>
      </c>
      <c r="AE177" s="3209" t="e">
        <f t="shared" si="64"/>
        <v>#N/A</v>
      </c>
      <c r="AF177" s="2768"/>
      <c r="AH177" s="2351" t="e">
        <f t="shared" si="72"/>
        <v>#N/A</v>
      </c>
      <c r="AI177" s="2351" t="e">
        <f t="shared" si="73"/>
        <v>#N/A</v>
      </c>
      <c r="AJ177" s="123" t="e">
        <f t="shared" si="61"/>
        <v>#N/A</v>
      </c>
      <c r="AK177" t="e">
        <f t="shared" si="62"/>
        <v>#N/A</v>
      </c>
      <c r="AL177" t="e">
        <f t="shared" si="63"/>
        <v>#N/A</v>
      </c>
      <c r="AQ177" s="123"/>
      <c r="AR177" s="123"/>
      <c r="AS177" s="123"/>
      <c r="AT177" s="2982"/>
      <c r="AU177" s="123"/>
      <c r="AV177" s="123"/>
      <c r="AW177" s="2983"/>
      <c r="AX177" s="2984"/>
      <c r="AY177" s="2985"/>
      <c r="AZ177" s="2986"/>
      <c r="BA177" s="2987"/>
      <c r="BB177" s="3194"/>
      <c r="BC177" s="2989"/>
    </row>
    <row r="178" spans="1:55" ht="15" thickTop="1" x14ac:dyDescent="0.25">
      <c r="A178" s="1081" t="s">
        <v>513</v>
      </c>
      <c r="B178" s="828"/>
      <c r="C178" s="828"/>
      <c r="D178" s="828"/>
      <c r="E178" s="828"/>
      <c r="F178" s="828"/>
      <c r="G178" s="884"/>
      <c r="H178" s="885"/>
      <c r="I178" s="2120"/>
      <c r="J178" s="2121"/>
      <c r="K178" s="1452"/>
      <c r="L178" s="1453"/>
      <c r="M178" s="884"/>
      <c r="N178" s="1454"/>
      <c r="O178" s="1455"/>
      <c r="P178" s="1456"/>
      <c r="Q178" s="885"/>
      <c r="R178" s="1457"/>
      <c r="S178" s="829"/>
      <c r="T178" s="830"/>
      <c r="U178" s="829"/>
      <c r="V178" s="830"/>
      <c r="W178" s="829"/>
      <c r="X178" s="830"/>
      <c r="Y178" s="835"/>
      <c r="Z178" s="835"/>
      <c r="AA178" s="2439"/>
      <c r="AB178" s="2771"/>
      <c r="AC178" s="2701"/>
      <c r="AD178" s="3223"/>
      <c r="AE178" s="3207">
        <f t="shared" si="64"/>
        <v>0</v>
      </c>
      <c r="AF178" s="2772" t="s">
        <v>1265</v>
      </c>
      <c r="AH178" s="2351">
        <f t="shared" si="72"/>
        <v>0</v>
      </c>
      <c r="AI178" s="2351">
        <f t="shared" si="73"/>
        <v>0</v>
      </c>
      <c r="AJ178" s="123" t="str">
        <f t="shared" si="61"/>
        <v>무부하 랙</v>
      </c>
      <c r="AK178" t="str">
        <f t="shared" si="62"/>
        <v/>
      </c>
      <c r="AL178" t="str">
        <f t="shared" si="63"/>
        <v/>
      </c>
      <c r="AQ178" s="123"/>
      <c r="AR178" s="123"/>
      <c r="AS178" s="123"/>
      <c r="AT178" s="2982"/>
      <c r="AU178" s="123"/>
      <c r="AV178" s="123"/>
      <c r="AW178" s="2983"/>
      <c r="AX178" s="2984"/>
      <c r="AY178" s="2985"/>
      <c r="AZ178" s="2986"/>
      <c r="BA178" s="2987"/>
      <c r="BB178" s="3194"/>
      <c r="BC178" s="2989"/>
    </row>
    <row r="179" spans="1:55" ht="27.75" customHeight="1" x14ac:dyDescent="0.25">
      <c r="A179" s="2620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09" t="s">
        <v>1460</v>
      </c>
      <c r="H179" s="2604" t="s">
        <v>1461</v>
      </c>
      <c r="I179" s="2122" t="str">
        <f t="shared" ref="I179:I187" si="81">"6-DaHall 1-PDU-"&amp;M179&amp;"-"&amp;L179&amp;"-"&amp;N179</f>
        <v>6-DaHall 1-PDU-11-30-2</v>
      </c>
      <c r="J179" s="2123" t="str">
        <f t="shared" ref="J179:J187" si="82">"6-DaHall 1-PDU-"&amp;Q179&amp;"-"&amp;P179&amp;"-"&amp;R179</f>
        <v>6-DaHall 1-PDU-12-30-2</v>
      </c>
      <c r="K179" s="1460">
        <v>220</v>
      </c>
      <c r="L179" s="1461">
        <v>30</v>
      </c>
      <c r="M179" s="2419" t="s">
        <v>6541</v>
      </c>
      <c r="N179" s="1462">
        <v>2</v>
      </c>
      <c r="O179" s="1463">
        <v>220</v>
      </c>
      <c r="P179" s="1464">
        <v>30</v>
      </c>
      <c r="Q179" s="2425" t="s">
        <v>6548</v>
      </c>
      <c r="R179" s="1465">
        <v>2</v>
      </c>
      <c r="S179" s="3468" t="s">
        <v>1462</v>
      </c>
      <c r="T179" s="3465" t="s">
        <v>1463</v>
      </c>
      <c r="U179" s="3468" t="s">
        <v>1464</v>
      </c>
      <c r="V179" s="3465" t="s">
        <v>1465</v>
      </c>
      <c r="W179" s="3468" t="s">
        <v>1276</v>
      </c>
      <c r="X179" s="3465" t="s">
        <v>1277</v>
      </c>
      <c r="Y179" s="1399">
        <f>SUM('6층_부하량(월간_AVG)'!L144:N144)</f>
        <v>0</v>
      </c>
      <c r="Z179" s="1399">
        <f>SUM('6층_부하량(월간_AVG)'!L173:N173)</f>
        <v>0</v>
      </c>
      <c r="AA179" s="2435">
        <f t="shared" ref="AA179:AA187" si="83">SUM(Y179:Z179)</f>
        <v>0</v>
      </c>
      <c r="AB179" s="2778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692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3224">
        <f>VLOOKUP(I179&amp;J179,'7층~4층_매핑테이블'!$Q$6:$X$2020,8,0)</f>
        <v>0</v>
      </c>
      <c r="AE179" s="3140" t="e">
        <f t="shared" si="64"/>
        <v>#N/A</v>
      </c>
      <c r="AF179" s="2766" t="s">
        <v>1466</v>
      </c>
      <c r="AH179" s="2351" t="e">
        <f t="shared" si="72"/>
        <v>#N/A</v>
      </c>
      <c r="AI179" s="2351" t="e">
        <f t="shared" si="73"/>
        <v>#N/A</v>
      </c>
      <c r="AJ179" s="123" t="e">
        <f t="shared" si="61"/>
        <v>#N/A</v>
      </c>
      <c r="AK179" t="e">
        <f t="shared" si="62"/>
        <v>#N/A</v>
      </c>
      <c r="AL179" t="e">
        <f t="shared" si="63"/>
        <v>#N/A</v>
      </c>
      <c r="AQ179" s="123"/>
      <c r="AR179" s="123"/>
      <c r="AS179" s="123"/>
      <c r="AT179" s="2982"/>
      <c r="AU179" s="123"/>
      <c r="AV179" s="123"/>
      <c r="AW179" s="2983"/>
      <c r="AX179" s="2984"/>
      <c r="AY179" s="2985"/>
      <c r="AZ179" s="2986"/>
      <c r="BA179" s="2987"/>
      <c r="BB179" s="3194"/>
      <c r="BC179" s="2989"/>
    </row>
    <row r="180" spans="1:55" ht="27.75" customHeight="1" x14ac:dyDescent="0.25">
      <c r="A180" s="2620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09" t="s">
        <v>1471</v>
      </c>
      <c r="H180" s="2604" t="s">
        <v>1472</v>
      </c>
      <c r="I180" s="2122" t="str">
        <f t="shared" si="81"/>
        <v>6-DaHall 1-PDU-11-30-4</v>
      </c>
      <c r="J180" s="2123" t="str">
        <f t="shared" si="82"/>
        <v>6-DaHall 1-PDU-12-30-4</v>
      </c>
      <c r="K180" s="1460">
        <v>220</v>
      </c>
      <c r="L180" s="1461">
        <v>30</v>
      </c>
      <c r="M180" s="2419" t="s">
        <v>6541</v>
      </c>
      <c r="N180" s="1462">
        <v>4</v>
      </c>
      <c r="O180" s="1463">
        <v>220</v>
      </c>
      <c r="P180" s="1464">
        <v>30</v>
      </c>
      <c r="Q180" s="2425" t="s">
        <v>6548</v>
      </c>
      <c r="R180" s="1465">
        <v>4</v>
      </c>
      <c r="S180" s="3472"/>
      <c r="T180" s="3465"/>
      <c r="U180" s="3472"/>
      <c r="V180" s="3465"/>
      <c r="W180" s="3472"/>
      <c r="X180" s="3471"/>
      <c r="Y180" s="1399">
        <f>SUM('6층_부하량(월간_AVG)'!L145:N145)</f>
        <v>0</v>
      </c>
      <c r="Z180" s="1399">
        <f>SUM('6층_부하량(월간_AVG)'!L174:N174)</f>
        <v>0</v>
      </c>
      <c r="AA180" s="2435">
        <f t="shared" si="83"/>
        <v>0</v>
      </c>
      <c r="AB180" s="2778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692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3224">
        <f>VLOOKUP(I180&amp;J180,'7층~4층_매핑테이블'!$Q$6:$X$2020,8,0)</f>
        <v>0</v>
      </c>
      <c r="AE180" s="3140" t="e">
        <f t="shared" si="64"/>
        <v>#N/A</v>
      </c>
      <c r="AF180" s="2766" t="s">
        <v>1473</v>
      </c>
      <c r="AH180" s="2351" t="e">
        <f t="shared" si="72"/>
        <v>#N/A</v>
      </c>
      <c r="AI180" s="2351" t="e">
        <f t="shared" si="73"/>
        <v>#N/A</v>
      </c>
      <c r="AJ180" s="123" t="e">
        <f t="shared" si="61"/>
        <v>#N/A</v>
      </c>
      <c r="AK180" t="e">
        <f t="shared" si="62"/>
        <v>#N/A</v>
      </c>
      <c r="AL180" t="e">
        <f t="shared" si="63"/>
        <v>#N/A</v>
      </c>
      <c r="AQ180" s="123"/>
      <c r="AR180" s="123"/>
      <c r="AS180" s="123"/>
      <c r="AT180" s="2982"/>
      <c r="AU180" s="123"/>
      <c r="AV180" s="123"/>
      <c r="AW180" s="2983"/>
      <c r="AX180" s="2984"/>
      <c r="AY180" s="2985"/>
      <c r="AZ180" s="2986"/>
      <c r="BA180" s="2987"/>
      <c r="BB180" s="3194"/>
      <c r="BC180" s="2989"/>
    </row>
    <row r="181" spans="1:55" ht="27.75" customHeight="1" x14ac:dyDescent="0.25">
      <c r="A181" s="2620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09" t="s">
        <v>1478</v>
      </c>
      <c r="H181" s="2604" t="s">
        <v>1479</v>
      </c>
      <c r="I181" s="2122" t="str">
        <f t="shared" si="81"/>
        <v>6-DaHall 1-PDU-11-30-6</v>
      </c>
      <c r="J181" s="2123" t="str">
        <f t="shared" si="82"/>
        <v>6-DaHall 1-PDU-12-30-6</v>
      </c>
      <c r="K181" s="1460">
        <v>220</v>
      </c>
      <c r="L181" s="1461">
        <v>30</v>
      </c>
      <c r="M181" s="2419" t="s">
        <v>6541</v>
      </c>
      <c r="N181" s="1462">
        <v>6</v>
      </c>
      <c r="O181" s="1463">
        <v>220</v>
      </c>
      <c r="P181" s="1464">
        <v>30</v>
      </c>
      <c r="Q181" s="2425" t="s">
        <v>6548</v>
      </c>
      <c r="R181" s="1465">
        <v>6</v>
      </c>
      <c r="S181" s="3472"/>
      <c r="T181" s="3465"/>
      <c r="U181" s="3472"/>
      <c r="V181" s="3465"/>
      <c r="W181" s="3472"/>
      <c r="X181" s="3471"/>
      <c r="Y181" s="1399">
        <f>SUM('6층_부하량(월간_AVG)'!L146:N146)</f>
        <v>0</v>
      </c>
      <c r="Z181" s="1399">
        <f>SUM('6층_부하량(월간_AVG)'!L175:N175)</f>
        <v>0</v>
      </c>
      <c r="AA181" s="2435">
        <f t="shared" si="83"/>
        <v>0</v>
      </c>
      <c r="AB181" s="2778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692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3224">
        <f>VLOOKUP(I181&amp;J181,'7층~4층_매핑테이블'!$Q$6:$X$2020,8,0)</f>
        <v>0</v>
      </c>
      <c r="AE181" s="3140" t="e">
        <f t="shared" si="64"/>
        <v>#N/A</v>
      </c>
      <c r="AF181" s="2766" t="s">
        <v>1473</v>
      </c>
      <c r="AH181" s="2351" t="e">
        <f t="shared" si="72"/>
        <v>#N/A</v>
      </c>
      <c r="AI181" s="2351" t="e">
        <f t="shared" si="73"/>
        <v>#N/A</v>
      </c>
      <c r="AJ181" s="123" t="e">
        <f t="shared" si="61"/>
        <v>#N/A</v>
      </c>
      <c r="AK181" t="e">
        <f t="shared" si="62"/>
        <v>#N/A</v>
      </c>
      <c r="AL181" t="e">
        <f t="shared" si="63"/>
        <v>#N/A</v>
      </c>
      <c r="AQ181" s="123"/>
      <c r="AR181" s="123"/>
      <c r="AS181" s="123"/>
      <c r="AT181" s="2982"/>
      <c r="AU181" s="123"/>
      <c r="AV181" s="123"/>
      <c r="AW181" s="2983"/>
      <c r="AX181" s="2984"/>
      <c r="AY181" s="2985"/>
      <c r="AZ181" s="2986"/>
      <c r="BA181" s="2987"/>
      <c r="BB181" s="3194"/>
      <c r="BC181" s="2989"/>
    </row>
    <row r="182" spans="1:55" ht="27.75" customHeight="1" x14ac:dyDescent="0.25">
      <c r="A182" s="2620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09" t="s">
        <v>1484</v>
      </c>
      <c r="H182" s="2604" t="s">
        <v>1485</v>
      </c>
      <c r="I182" s="2122" t="str">
        <f t="shared" si="81"/>
        <v>6-DaHall 1-PDU-11-30-8</v>
      </c>
      <c r="J182" s="2123" t="str">
        <f t="shared" si="82"/>
        <v>6-DaHall 1-PDU-12-30-8</v>
      </c>
      <c r="K182" s="1460">
        <v>220</v>
      </c>
      <c r="L182" s="1461">
        <v>30</v>
      </c>
      <c r="M182" s="2419" t="s">
        <v>6541</v>
      </c>
      <c r="N182" s="1462">
        <v>8</v>
      </c>
      <c r="O182" s="1463">
        <v>220</v>
      </c>
      <c r="P182" s="1464">
        <v>30</v>
      </c>
      <c r="Q182" s="2425" t="s">
        <v>6548</v>
      </c>
      <c r="R182" s="1465">
        <v>8</v>
      </c>
      <c r="S182" s="3472"/>
      <c r="T182" s="3465"/>
      <c r="U182" s="3472"/>
      <c r="V182" s="3465"/>
      <c r="W182" s="3472"/>
      <c r="X182" s="3471"/>
      <c r="Y182" s="1399">
        <f>SUM('6층_부하량(월간_AVG)'!L147:N147)</f>
        <v>0</v>
      </c>
      <c r="Z182" s="1399">
        <f>SUM('6층_부하량(월간_AVG)'!L176:N176)</f>
        <v>0</v>
      </c>
      <c r="AA182" s="2435">
        <f t="shared" si="83"/>
        <v>0</v>
      </c>
      <c r="AB182" s="2778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692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3224">
        <f>VLOOKUP(I182&amp;J182,'7층~4층_매핑테이블'!$Q$6:$X$2020,8,0)</f>
        <v>0</v>
      </c>
      <c r="AE182" s="3140" t="e">
        <f t="shared" si="64"/>
        <v>#N/A</v>
      </c>
      <c r="AF182" s="2766" t="s">
        <v>1473</v>
      </c>
      <c r="AH182" s="2351" t="e">
        <f t="shared" si="72"/>
        <v>#N/A</v>
      </c>
      <c r="AI182" s="2351" t="e">
        <f t="shared" si="73"/>
        <v>#N/A</v>
      </c>
      <c r="AJ182" s="123" t="e">
        <f t="shared" si="61"/>
        <v>#N/A</v>
      </c>
      <c r="AK182" t="e">
        <f t="shared" si="62"/>
        <v>#N/A</v>
      </c>
      <c r="AL182" t="e">
        <f t="shared" si="63"/>
        <v>#N/A</v>
      </c>
      <c r="AQ182" s="123"/>
      <c r="AR182" s="123"/>
      <c r="AS182" s="123"/>
      <c r="AT182" s="2982"/>
      <c r="AU182" s="123"/>
      <c r="AV182" s="123"/>
      <c r="AW182" s="2983"/>
      <c r="AX182" s="2984"/>
      <c r="AY182" s="2985"/>
      <c r="AZ182" s="2986"/>
      <c r="BA182" s="2987"/>
      <c r="BB182" s="3194"/>
      <c r="BC182" s="2989"/>
    </row>
    <row r="183" spans="1:55" ht="27.75" customHeight="1" x14ac:dyDescent="0.25">
      <c r="A183" s="2620" t="s">
        <v>1486</v>
      </c>
      <c r="B183" s="250" t="s">
        <v>1487</v>
      </c>
      <c r="C183" s="2632"/>
      <c r="D183" s="2632"/>
      <c r="E183" s="250" t="s">
        <v>1488</v>
      </c>
      <c r="F183" s="250" t="s">
        <v>1489</v>
      </c>
      <c r="G183" s="2609" t="s">
        <v>1490</v>
      </c>
      <c r="H183" s="2604" t="s">
        <v>1491</v>
      </c>
      <c r="I183" s="2122" t="str">
        <f t="shared" si="81"/>
        <v>6-DaHall 1-PDU-11-30-10</v>
      </c>
      <c r="J183" s="2123" t="str">
        <f t="shared" si="82"/>
        <v>6-DaHall 1-PDU-12-30-10</v>
      </c>
      <c r="K183" s="1460">
        <v>220</v>
      </c>
      <c r="L183" s="1461">
        <v>30</v>
      </c>
      <c r="M183" s="2419" t="s">
        <v>6541</v>
      </c>
      <c r="N183" s="1462">
        <v>10</v>
      </c>
      <c r="O183" s="1463">
        <v>220</v>
      </c>
      <c r="P183" s="1464">
        <v>30</v>
      </c>
      <c r="Q183" s="2425" t="s">
        <v>6548</v>
      </c>
      <c r="R183" s="1465">
        <v>10</v>
      </c>
      <c r="S183" s="3472"/>
      <c r="T183" s="3465"/>
      <c r="U183" s="3472"/>
      <c r="V183" s="3465"/>
      <c r="W183" s="3472"/>
      <c r="X183" s="3471"/>
      <c r="Y183" s="268">
        <f>SUM('6층_부하량(월간_AVG)'!L148:N148)</f>
        <v>0</v>
      </c>
      <c r="Z183" s="268">
        <f>SUM('6층_부하량(월간_AVG)'!L177:N177)</f>
        <v>0</v>
      </c>
      <c r="AA183" s="2436">
        <f t="shared" si="83"/>
        <v>0</v>
      </c>
      <c r="AB183" s="2778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692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3224">
        <f>VLOOKUP(I183&amp;J183,'7층~4층_매핑테이블'!$Q$6:$X$2020,8,0)</f>
        <v>0</v>
      </c>
      <c r="AE183" s="3140" t="e">
        <f t="shared" si="64"/>
        <v>#N/A</v>
      </c>
      <c r="AF183" s="2490" t="s">
        <v>1492</v>
      </c>
      <c r="AH183" s="2351" t="e">
        <f t="shared" si="72"/>
        <v>#N/A</v>
      </c>
      <c r="AI183" s="2351" t="e">
        <f t="shared" si="73"/>
        <v>#N/A</v>
      </c>
      <c r="AJ183" s="123" t="e">
        <f t="shared" si="61"/>
        <v>#N/A</v>
      </c>
      <c r="AK183" t="e">
        <f t="shared" si="62"/>
        <v>#N/A</v>
      </c>
      <c r="AL183" t="e">
        <f t="shared" si="63"/>
        <v>#N/A</v>
      </c>
      <c r="AQ183" s="123"/>
      <c r="AR183" s="123"/>
      <c r="AS183" s="123"/>
      <c r="AT183" s="2982"/>
      <c r="AU183" s="123"/>
      <c r="AV183" s="123"/>
      <c r="AW183" s="2983"/>
      <c r="AX183" s="2984"/>
      <c r="AY183" s="2985"/>
      <c r="AZ183" s="2986"/>
      <c r="BA183" s="2987"/>
      <c r="BB183" s="3194"/>
      <c r="BC183" s="2989"/>
    </row>
    <row r="184" spans="1:55" ht="27.75" customHeight="1" x14ac:dyDescent="0.25">
      <c r="A184" s="2620" t="s">
        <v>1493</v>
      </c>
      <c r="B184" s="250" t="s">
        <v>1494</v>
      </c>
      <c r="C184" s="2632"/>
      <c r="D184" s="2632"/>
      <c r="E184" s="250" t="s">
        <v>1495</v>
      </c>
      <c r="F184" s="250" t="s">
        <v>1496</v>
      </c>
      <c r="G184" s="2609" t="s">
        <v>1497</v>
      </c>
      <c r="H184" s="2604" t="s">
        <v>1498</v>
      </c>
      <c r="I184" s="2122" t="str">
        <f t="shared" si="81"/>
        <v>6-DaHall 1-PDU-11-30-12</v>
      </c>
      <c r="J184" s="2123" t="str">
        <f t="shared" si="82"/>
        <v>6-DaHall 1-PDU-12-30-12</v>
      </c>
      <c r="K184" s="1460">
        <v>220</v>
      </c>
      <c r="L184" s="1461">
        <v>30</v>
      </c>
      <c r="M184" s="2419" t="s">
        <v>6541</v>
      </c>
      <c r="N184" s="1462">
        <v>12</v>
      </c>
      <c r="O184" s="1463">
        <v>220</v>
      </c>
      <c r="P184" s="1464">
        <v>30</v>
      </c>
      <c r="Q184" s="2425" t="s">
        <v>6548</v>
      </c>
      <c r="R184" s="1465">
        <v>12</v>
      </c>
      <c r="S184" s="3472"/>
      <c r="T184" s="3465"/>
      <c r="U184" s="3472"/>
      <c r="V184" s="3465"/>
      <c r="W184" s="3472"/>
      <c r="X184" s="3471"/>
      <c r="Y184" s="268">
        <f>SUM('6층_부하량(월간_AVG)'!L149:N149)</f>
        <v>0</v>
      </c>
      <c r="Z184" s="268">
        <f>SUM('6층_부하량(월간_AVG)'!L178:N178)</f>
        <v>0</v>
      </c>
      <c r="AA184" s="2436">
        <f t="shared" si="83"/>
        <v>0</v>
      </c>
      <c r="AB184" s="2778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692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3224">
        <f>VLOOKUP(I184&amp;J184,'7층~4층_매핑테이블'!$Q$6:$X$2020,8,0)</f>
        <v>0</v>
      </c>
      <c r="AE184" s="3140" t="e">
        <f t="shared" si="64"/>
        <v>#N/A</v>
      </c>
      <c r="AF184" s="2766"/>
      <c r="AH184" s="2351" t="e">
        <f t="shared" si="72"/>
        <v>#N/A</v>
      </c>
      <c r="AI184" s="2351" t="e">
        <f t="shared" si="73"/>
        <v>#N/A</v>
      </c>
      <c r="AJ184" s="123" t="e">
        <f t="shared" si="61"/>
        <v>#N/A</v>
      </c>
      <c r="AK184" t="e">
        <f t="shared" si="62"/>
        <v>#N/A</v>
      </c>
      <c r="AL184" t="e">
        <f t="shared" si="63"/>
        <v>#N/A</v>
      </c>
      <c r="AQ184" s="123"/>
      <c r="AR184" s="123"/>
      <c r="AS184" s="123"/>
      <c r="AT184" s="2982"/>
      <c r="AU184" s="123"/>
      <c r="AV184" s="123"/>
      <c r="AW184" s="2983"/>
      <c r="AX184" s="2984"/>
      <c r="AY184" s="2985"/>
      <c r="AZ184" s="2986"/>
      <c r="BA184" s="2987"/>
      <c r="BB184" s="3194"/>
      <c r="BC184" s="2989"/>
    </row>
    <row r="185" spans="1:55" ht="27.75" customHeight="1" x14ac:dyDescent="0.25">
      <c r="A185" s="2620" t="s">
        <v>1499</v>
      </c>
      <c r="B185" s="250" t="s">
        <v>1500</v>
      </c>
      <c r="C185" s="250"/>
      <c r="D185" s="250"/>
      <c r="E185" s="250" t="s">
        <v>1501</v>
      </c>
      <c r="F185" s="2615" t="s">
        <v>1502</v>
      </c>
      <c r="G185" s="2609" t="s">
        <v>1503</v>
      </c>
      <c r="H185" s="2604" t="s">
        <v>1504</v>
      </c>
      <c r="I185" s="2122" t="str">
        <f t="shared" si="81"/>
        <v>6-DaHall 1-PDU-11-30-14</v>
      </c>
      <c r="J185" s="2123" t="str">
        <f t="shared" si="82"/>
        <v>6-DaHall 1-PDU-10-30-21</v>
      </c>
      <c r="K185" s="1460">
        <v>220</v>
      </c>
      <c r="L185" s="1461">
        <v>30</v>
      </c>
      <c r="M185" s="2419" t="s">
        <v>6541</v>
      </c>
      <c r="N185" s="1462">
        <v>14</v>
      </c>
      <c r="O185" s="1463">
        <v>220</v>
      </c>
      <c r="P185" s="1464">
        <v>30</v>
      </c>
      <c r="Q185" s="2425" t="s">
        <v>6585</v>
      </c>
      <c r="R185" s="1465">
        <v>21</v>
      </c>
      <c r="S185" s="3472"/>
      <c r="T185" s="2604" t="s">
        <v>1273</v>
      </c>
      <c r="U185" s="3472"/>
      <c r="V185" s="2604" t="s">
        <v>1275</v>
      </c>
      <c r="W185" s="3472"/>
      <c r="X185" s="3471"/>
      <c r="Y185" s="268">
        <f>SUM('6층_부하량(월간_AVG)'!L150:N150)</f>
        <v>0</v>
      </c>
      <c r="Z185" s="268">
        <f>SUM('6층_부하량(월간_AVG)'!D124:F124)</f>
        <v>0</v>
      </c>
      <c r="AA185" s="2436">
        <f t="shared" si="83"/>
        <v>0</v>
      </c>
      <c r="AB185" s="2778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692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3224">
        <f>VLOOKUP(I185&amp;J185,'7층~4층_매핑테이블'!$Q$6:$X$2020,8,0)</f>
        <v>0</v>
      </c>
      <c r="AE185" s="3140" t="e">
        <f t="shared" si="64"/>
        <v>#N/A</v>
      </c>
      <c r="AF185" s="2766"/>
      <c r="AH185" s="2351" t="e">
        <f t="shared" si="72"/>
        <v>#N/A</v>
      </c>
      <c r="AI185" s="2351" t="e">
        <f t="shared" si="73"/>
        <v>#N/A</v>
      </c>
      <c r="AJ185" s="123" t="e">
        <f t="shared" si="61"/>
        <v>#N/A</v>
      </c>
      <c r="AK185" t="e">
        <f t="shared" si="62"/>
        <v>#N/A</v>
      </c>
      <c r="AL185" t="e">
        <f t="shared" si="63"/>
        <v>#N/A</v>
      </c>
      <c r="AQ185" s="123"/>
      <c r="AR185" s="123"/>
      <c r="AS185" s="123"/>
      <c r="AT185" s="2982"/>
      <c r="AU185" s="123"/>
      <c r="AV185" s="123"/>
      <c r="AW185" s="2983"/>
      <c r="AX185" s="2984"/>
      <c r="AY185" s="2985"/>
      <c r="AZ185" s="2986"/>
      <c r="BA185" s="2987"/>
      <c r="BB185" s="3194"/>
      <c r="BC185" s="2989"/>
    </row>
    <row r="186" spans="1:55" ht="27.75" customHeight="1" x14ac:dyDescent="0.25">
      <c r="A186" s="2620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09" t="s">
        <v>1509</v>
      </c>
      <c r="H186" s="2604" t="s">
        <v>1510</v>
      </c>
      <c r="I186" s="2122" t="str">
        <f t="shared" si="81"/>
        <v>6-DaHall 1-PDU-11-30-16</v>
      </c>
      <c r="J186" s="2123" t="str">
        <f t="shared" si="82"/>
        <v>6-DaHall 1-PDU-12-30-16</v>
      </c>
      <c r="K186" s="1460">
        <v>220</v>
      </c>
      <c r="L186" s="1461">
        <v>30</v>
      </c>
      <c r="M186" s="2419" t="s">
        <v>6541</v>
      </c>
      <c r="N186" s="1462">
        <v>16</v>
      </c>
      <c r="O186" s="1463">
        <v>220</v>
      </c>
      <c r="P186" s="1464">
        <v>30</v>
      </c>
      <c r="Q186" s="2425" t="s">
        <v>6548</v>
      </c>
      <c r="R186" s="1465">
        <v>16</v>
      </c>
      <c r="S186" s="3472"/>
      <c r="T186" s="3465" t="s">
        <v>1511</v>
      </c>
      <c r="U186" s="3472"/>
      <c r="V186" s="3465" t="s">
        <v>1512</v>
      </c>
      <c r="W186" s="3472"/>
      <c r="X186" s="3471"/>
      <c r="Y186" s="268">
        <f>SUM('6층_부하량(월간_AVG)'!L151:N151)</f>
        <v>0</v>
      </c>
      <c r="Z186" s="268">
        <f>SUM('6층_부하량(월간_AVG)'!L180:N180)</f>
        <v>0</v>
      </c>
      <c r="AA186" s="2436">
        <f t="shared" si="83"/>
        <v>0</v>
      </c>
      <c r="AB186" s="2778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692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3224">
        <f>VLOOKUP(I186&amp;J186,'7층~4층_매핑테이블'!$Q$6:$X$2020,8,0)</f>
        <v>0</v>
      </c>
      <c r="AE186" s="3140" t="e">
        <f t="shared" si="64"/>
        <v>#N/A</v>
      </c>
      <c r="AF186" s="2766"/>
      <c r="AH186" s="2351" t="e">
        <f t="shared" si="72"/>
        <v>#N/A</v>
      </c>
      <c r="AI186" s="2351" t="e">
        <f t="shared" si="73"/>
        <v>#N/A</v>
      </c>
      <c r="AJ186" s="123" t="e">
        <f t="shared" si="61"/>
        <v>#N/A</v>
      </c>
      <c r="AK186" t="e">
        <f t="shared" si="62"/>
        <v>#N/A</v>
      </c>
      <c r="AL186" t="e">
        <f t="shared" si="63"/>
        <v>#N/A</v>
      </c>
      <c r="AQ186" s="123"/>
      <c r="AR186" s="123"/>
      <c r="AS186" s="123"/>
      <c r="AT186" s="2982"/>
      <c r="AU186" s="123"/>
      <c r="AV186" s="123"/>
      <c r="AW186" s="2983"/>
      <c r="AX186" s="2984"/>
      <c r="AY186" s="2985"/>
      <c r="AZ186" s="2986"/>
      <c r="BA186" s="2987"/>
      <c r="BB186" s="3194"/>
      <c r="BC186" s="2989"/>
    </row>
    <row r="187" spans="1:55" ht="27.75" customHeight="1" thickBot="1" x14ac:dyDescent="0.3">
      <c r="A187" s="2628" t="s">
        <v>1513</v>
      </c>
      <c r="B187" s="2629" t="s">
        <v>1514</v>
      </c>
      <c r="C187" s="2629"/>
      <c r="D187" s="2629"/>
      <c r="E187" s="2629" t="s">
        <v>1515</v>
      </c>
      <c r="F187" s="2629" t="s">
        <v>1516</v>
      </c>
      <c r="G187" s="2611" t="s">
        <v>1517</v>
      </c>
      <c r="H187" s="2605" t="s">
        <v>1518</v>
      </c>
      <c r="I187" s="2124" t="str">
        <f t="shared" si="81"/>
        <v>6-DaHall 1-PDU-11-30-18</v>
      </c>
      <c r="J187" s="2125" t="str">
        <f t="shared" si="82"/>
        <v>6-DaHall 1-PDU-12-30-18</v>
      </c>
      <c r="K187" s="1468">
        <v>220</v>
      </c>
      <c r="L187" s="1469">
        <v>30</v>
      </c>
      <c r="M187" s="2422" t="s">
        <v>6541</v>
      </c>
      <c r="N187" s="1470">
        <v>18</v>
      </c>
      <c r="O187" s="1471">
        <v>220</v>
      </c>
      <c r="P187" s="1472">
        <v>30</v>
      </c>
      <c r="Q187" s="2428" t="s">
        <v>6548</v>
      </c>
      <c r="R187" s="1473">
        <v>18</v>
      </c>
      <c r="S187" s="3499"/>
      <c r="T187" s="3486"/>
      <c r="U187" s="3499"/>
      <c r="V187" s="3486"/>
      <c r="W187" s="3499"/>
      <c r="X187" s="3498"/>
      <c r="Y187" s="330">
        <f>SUM('6층_부하량(월간_AVG)'!L152:N152)</f>
        <v>0</v>
      </c>
      <c r="Z187" s="330">
        <f>SUM('6층_부하량(월간_AVG)'!L181:N181)</f>
        <v>0</v>
      </c>
      <c r="AA187" s="2437">
        <f t="shared" si="83"/>
        <v>0</v>
      </c>
      <c r="AB187" s="2778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696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4032">
        <f>VLOOKUP(I187&amp;J187,'7층~4층_매핑테이블'!$Q$6:$X$2020,8,0)</f>
        <v>0</v>
      </c>
      <c r="AE187" s="3209" t="e">
        <f t="shared" si="64"/>
        <v>#N/A</v>
      </c>
      <c r="AF187" s="2768"/>
      <c r="AH187" s="2351" t="e">
        <f t="shared" si="72"/>
        <v>#N/A</v>
      </c>
      <c r="AI187" s="2351" t="e">
        <f t="shared" si="73"/>
        <v>#N/A</v>
      </c>
      <c r="AJ187" s="123" t="e">
        <f t="shared" si="61"/>
        <v>#N/A</v>
      </c>
      <c r="AK187" t="e">
        <f t="shared" si="62"/>
        <v>#N/A</v>
      </c>
      <c r="AL187" t="e">
        <f t="shared" si="63"/>
        <v>#N/A</v>
      </c>
      <c r="AQ187" s="123"/>
      <c r="AR187" s="123"/>
      <c r="AS187" s="123"/>
      <c r="AT187" s="2982"/>
      <c r="AU187" s="123"/>
      <c r="AV187" s="123"/>
      <c r="AW187" s="2983"/>
      <c r="AX187" s="2984"/>
      <c r="AY187" s="2985"/>
      <c r="AZ187" s="2986"/>
      <c r="BA187" s="2987"/>
      <c r="BB187" s="3194"/>
      <c r="BC187" s="2989"/>
    </row>
    <row r="188" spans="1:55" ht="15" thickTop="1" x14ac:dyDescent="0.25">
      <c r="A188" s="1081" t="s">
        <v>1382</v>
      </c>
      <c r="B188" s="828"/>
      <c r="C188" s="828"/>
      <c r="D188" s="828"/>
      <c r="E188" s="828"/>
      <c r="F188" s="828"/>
      <c r="G188" s="884"/>
      <c r="H188" s="885"/>
      <c r="I188" s="2120"/>
      <c r="J188" s="2121"/>
      <c r="K188" s="1452"/>
      <c r="L188" s="1453"/>
      <c r="M188" s="884"/>
      <c r="N188" s="1454"/>
      <c r="O188" s="1455"/>
      <c r="P188" s="1456"/>
      <c r="Q188" s="885"/>
      <c r="R188" s="1457"/>
      <c r="S188" s="829"/>
      <c r="T188" s="830"/>
      <c r="U188" s="829"/>
      <c r="V188" s="830"/>
      <c r="W188" s="829"/>
      <c r="X188" s="830"/>
      <c r="Y188" s="835"/>
      <c r="Z188" s="835"/>
      <c r="AA188" s="2439"/>
      <c r="AB188" s="2771"/>
      <c r="AC188" s="2701"/>
      <c r="AD188" s="3223"/>
      <c r="AE188" s="3207">
        <f t="shared" si="64"/>
        <v>0</v>
      </c>
      <c r="AF188" s="2772" t="s">
        <v>1265</v>
      </c>
      <c r="AH188" s="2351">
        <f t="shared" si="72"/>
        <v>0</v>
      </c>
      <c r="AI188" s="2351">
        <f t="shared" si="73"/>
        <v>0</v>
      </c>
      <c r="AJ188" s="123" t="str">
        <f t="shared" si="61"/>
        <v>무부하 랙</v>
      </c>
      <c r="AK188" t="str">
        <f t="shared" si="62"/>
        <v/>
      </c>
      <c r="AL188" t="str">
        <f t="shared" si="63"/>
        <v/>
      </c>
      <c r="AQ188" s="123"/>
      <c r="AR188" s="123"/>
      <c r="AS188" s="123"/>
      <c r="AT188" s="2982"/>
      <c r="AU188" s="123"/>
      <c r="AV188" s="123"/>
      <c r="AW188" s="2983"/>
      <c r="AX188" s="2984"/>
      <c r="AY188" s="2985"/>
      <c r="AZ188" s="2986"/>
      <c r="BA188" s="2987"/>
      <c r="BB188" s="3194"/>
      <c r="BC188" s="2989"/>
    </row>
    <row r="189" spans="1:55" ht="28.8" x14ac:dyDescent="0.25">
      <c r="A189" s="2620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09" t="s">
        <v>1387</v>
      </c>
      <c r="H189" s="2604" t="s">
        <v>1388</v>
      </c>
      <c r="I189" s="2122" t="str">
        <f t="shared" ref="I189:I201" si="84">"6-DaHall 1-PDU-"&amp;M189&amp;"-"&amp;L189&amp;"-"&amp;N189</f>
        <v>6-DaHall 1-PDU-09-30-1</v>
      </c>
      <c r="J189" s="2123" t="str">
        <f t="shared" ref="J189:J201" si="85">"6-DaHall 1-PDU-"&amp;Q189&amp;"-"&amp;P189&amp;"-"&amp;R189</f>
        <v>6-DaHall 1-PDU-10-30-1</v>
      </c>
      <c r="K189" s="1460">
        <v>220</v>
      </c>
      <c r="L189" s="1461">
        <v>30</v>
      </c>
      <c r="M189" s="2419" t="s">
        <v>6584</v>
      </c>
      <c r="N189" s="1462">
        <v>1</v>
      </c>
      <c r="O189" s="1463">
        <v>220</v>
      </c>
      <c r="P189" s="1464">
        <v>30</v>
      </c>
      <c r="Q189" s="2425" t="s">
        <v>6585</v>
      </c>
      <c r="R189" s="1465">
        <v>1</v>
      </c>
      <c r="S189" s="3468" t="s">
        <v>1272</v>
      </c>
      <c r="T189" s="3465" t="s">
        <v>1273</v>
      </c>
      <c r="U189" s="3468" t="s">
        <v>1274</v>
      </c>
      <c r="V189" s="3465" t="s">
        <v>1275</v>
      </c>
      <c r="W189" s="3468" t="s">
        <v>1276</v>
      </c>
      <c r="X189" s="3465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36">
        <f t="shared" ref="AA189:AA190" si="86">SUM(Y189:Z189)</f>
        <v>0</v>
      </c>
      <c r="AB189" s="2683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692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3224">
        <f>VLOOKUP(I189&amp;J189,'7층~4층_매핑테이블'!$Q$6:$X$2020,8,0)</f>
        <v>0</v>
      </c>
      <c r="AE189" s="3140" t="e">
        <f t="shared" si="64"/>
        <v>#N/A</v>
      </c>
      <c r="AF189" s="2766"/>
      <c r="AH189" s="2351" t="e">
        <f t="shared" si="72"/>
        <v>#N/A</v>
      </c>
      <c r="AI189" s="2351" t="e">
        <f t="shared" si="73"/>
        <v>#N/A</v>
      </c>
      <c r="AJ189" s="123" t="e">
        <f t="shared" si="61"/>
        <v>#N/A</v>
      </c>
      <c r="AK189" t="e">
        <f t="shared" si="62"/>
        <v>#N/A</v>
      </c>
      <c r="AL189" t="e">
        <f t="shared" si="63"/>
        <v>#N/A</v>
      </c>
      <c r="AQ189" s="123"/>
      <c r="AR189" s="123"/>
      <c r="AS189" s="123"/>
      <c r="AT189" s="2982"/>
      <c r="AU189" s="123"/>
      <c r="AV189" s="123"/>
      <c r="AW189" s="2983"/>
      <c r="AX189" s="2984"/>
      <c r="AY189" s="2985"/>
      <c r="AZ189" s="2986"/>
      <c r="BA189" s="2987"/>
      <c r="BB189" s="3194"/>
      <c r="BC189" s="2989"/>
    </row>
    <row r="190" spans="1:55" ht="28.8" x14ac:dyDescent="0.25">
      <c r="A190" s="2620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09" t="s">
        <v>1393</v>
      </c>
      <c r="H190" s="2604" t="s">
        <v>1394</v>
      </c>
      <c r="I190" s="2122" t="str">
        <f t="shared" si="84"/>
        <v>6-DaHall 1-PDU-09-30-3</v>
      </c>
      <c r="J190" s="2123" t="str">
        <f t="shared" si="85"/>
        <v>6-DaHall 1-PDU-10-30-3</v>
      </c>
      <c r="K190" s="1460">
        <v>220</v>
      </c>
      <c r="L190" s="1461">
        <v>30</v>
      </c>
      <c r="M190" s="2419" t="s">
        <v>6584</v>
      </c>
      <c r="N190" s="1462">
        <v>3</v>
      </c>
      <c r="O190" s="1463">
        <v>220</v>
      </c>
      <c r="P190" s="1464">
        <v>30</v>
      </c>
      <c r="Q190" s="2425" t="s">
        <v>6585</v>
      </c>
      <c r="R190" s="1465">
        <v>3</v>
      </c>
      <c r="S190" s="3472"/>
      <c r="T190" s="3471"/>
      <c r="U190" s="3472"/>
      <c r="V190" s="3471"/>
      <c r="W190" s="3468"/>
      <c r="X190" s="3465"/>
      <c r="Y190" s="268">
        <f>SUM('6층_부하량(월간_AVG)'!D85:F85)</f>
        <v>0</v>
      </c>
      <c r="Z190" s="268">
        <f>SUM('6층_부하량(월간_AVG)'!D115:F115)</f>
        <v>0</v>
      </c>
      <c r="AA190" s="2436">
        <f t="shared" si="86"/>
        <v>0</v>
      </c>
      <c r="AB190" s="2683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692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3224">
        <f>VLOOKUP(I190&amp;J190,'7층~4층_매핑테이블'!$Q$6:$X$2020,8,0)</f>
        <v>0</v>
      </c>
      <c r="AE190" s="3140" t="e">
        <f t="shared" si="64"/>
        <v>#N/A</v>
      </c>
      <c r="AF190" s="2766"/>
      <c r="AH190" s="2351" t="e">
        <f t="shared" si="72"/>
        <v>#N/A</v>
      </c>
      <c r="AI190" s="2351" t="e">
        <f t="shared" si="73"/>
        <v>#N/A</v>
      </c>
      <c r="AJ190" s="123" t="e">
        <f t="shared" si="61"/>
        <v>#N/A</v>
      </c>
      <c r="AK190" t="e">
        <f t="shared" si="62"/>
        <v>#N/A</v>
      </c>
      <c r="AL190" t="e">
        <f t="shared" si="63"/>
        <v>#N/A</v>
      </c>
      <c r="AQ190" s="123"/>
      <c r="AR190" s="123"/>
      <c r="AS190" s="123"/>
      <c r="AT190" s="2982"/>
      <c r="AU190" s="123"/>
      <c r="AV190" s="123"/>
      <c r="AW190" s="2983"/>
      <c r="AX190" s="2984"/>
      <c r="AY190" s="2985"/>
      <c r="AZ190" s="2986"/>
      <c r="BA190" s="2987"/>
      <c r="BB190" s="3194"/>
      <c r="BC190" s="2989"/>
    </row>
    <row r="191" spans="1:55" ht="28.8" x14ac:dyDescent="0.25">
      <c r="A191" s="3459" t="s">
        <v>1395</v>
      </c>
      <c r="B191" s="3456" t="s">
        <v>1396</v>
      </c>
      <c r="C191" s="3456"/>
      <c r="D191" s="250"/>
      <c r="E191" s="250" t="s">
        <v>1397</v>
      </c>
      <c r="F191" s="250" t="s">
        <v>1398</v>
      </c>
      <c r="G191" s="2609" t="s">
        <v>1399</v>
      </c>
      <c r="H191" s="2604" t="s">
        <v>1400</v>
      </c>
      <c r="I191" s="2122" t="str">
        <f t="shared" si="84"/>
        <v>6-DaHall 1-PDU-09-30-5</v>
      </c>
      <c r="J191" s="2123" t="str">
        <f t="shared" si="85"/>
        <v>6-DaHall 1-PDU-10-30-5</v>
      </c>
      <c r="K191" s="1460">
        <v>220</v>
      </c>
      <c r="L191" s="1461">
        <v>30</v>
      </c>
      <c r="M191" s="2419" t="s">
        <v>6584</v>
      </c>
      <c r="N191" s="1462">
        <v>5</v>
      </c>
      <c r="O191" s="1463">
        <v>220</v>
      </c>
      <c r="P191" s="1464">
        <v>30</v>
      </c>
      <c r="Q191" s="2425" t="s">
        <v>6585</v>
      </c>
      <c r="R191" s="1465">
        <v>5</v>
      </c>
      <c r="S191" s="3472"/>
      <c r="T191" s="3471"/>
      <c r="U191" s="3472"/>
      <c r="V191" s="3471"/>
      <c r="W191" s="3468"/>
      <c r="X191" s="3465"/>
      <c r="Y191" s="268">
        <f>SUM('6층_부하량(월간_AVG)'!D86:F86)</f>
        <v>0</v>
      </c>
      <c r="Z191" s="268">
        <f>SUM('6층_부하량(월간_AVG)'!D116:F116)</f>
        <v>0</v>
      </c>
      <c r="AA191" s="3519">
        <f>SUM(Y191:Z193)</f>
        <v>0</v>
      </c>
      <c r="AB191" s="2683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3199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3224">
        <f>VLOOKUP(I191&amp;J191,'7층~4층_매핑테이블'!$Q$6:$X$2020,8,0)</f>
        <v>0</v>
      </c>
      <c r="AE191" s="3140" t="e">
        <f t="shared" si="64"/>
        <v>#N/A</v>
      </c>
      <c r="AF191" s="2766"/>
      <c r="AH191" s="2351" t="e">
        <f t="shared" si="72"/>
        <v>#N/A</v>
      </c>
      <c r="AI191" s="2351" t="e">
        <f t="shared" si="73"/>
        <v>#N/A</v>
      </c>
      <c r="AJ191" s="123" t="e">
        <f t="shared" si="61"/>
        <v>#N/A</v>
      </c>
      <c r="AK191" t="e">
        <f t="shared" si="62"/>
        <v>#N/A</v>
      </c>
      <c r="AL191" t="e">
        <f t="shared" si="63"/>
        <v>#N/A</v>
      </c>
      <c r="AQ191" s="123"/>
      <c r="AR191" s="123"/>
      <c r="AS191" s="123"/>
      <c r="AT191" s="2982"/>
      <c r="AU191" s="123"/>
      <c r="AV191" s="123"/>
      <c r="AW191" s="2983"/>
      <c r="AX191" s="2984"/>
      <c r="AY191" s="2985"/>
      <c r="AZ191" s="2986"/>
      <c r="BA191" s="2987"/>
      <c r="BB191" s="3194"/>
      <c r="BC191" s="2989"/>
    </row>
    <row r="192" spans="1:55" ht="26.25" customHeight="1" x14ac:dyDescent="0.25">
      <c r="A192" s="3460"/>
      <c r="B192" s="3456"/>
      <c r="C192" s="3456"/>
      <c r="D192" s="250"/>
      <c r="E192" s="250" t="s">
        <v>1401</v>
      </c>
      <c r="F192" s="250" t="s">
        <v>1402</v>
      </c>
      <c r="G192" s="2609" t="s">
        <v>1403</v>
      </c>
      <c r="H192" s="2604" t="s">
        <v>1404</v>
      </c>
      <c r="I192" s="2122" t="str">
        <f t="shared" si="84"/>
        <v>6-DaHall 1-PDU-13-30-32</v>
      </c>
      <c r="J192" s="2123" t="str">
        <f t="shared" si="85"/>
        <v>6-DaHall 1-PDU-14-30-34</v>
      </c>
      <c r="K192" s="1460">
        <v>220</v>
      </c>
      <c r="L192" s="1461">
        <v>30</v>
      </c>
      <c r="M192" s="2419" t="s">
        <v>6542</v>
      </c>
      <c r="N192" s="1462">
        <v>32</v>
      </c>
      <c r="O192" s="1466">
        <v>220</v>
      </c>
      <c r="P192" s="1467">
        <v>30</v>
      </c>
      <c r="Q192" s="2425" t="s">
        <v>6549</v>
      </c>
      <c r="R192" s="1465">
        <v>34</v>
      </c>
      <c r="S192" s="3468" t="s">
        <v>1405</v>
      </c>
      <c r="T192" s="3465" t="s">
        <v>1406</v>
      </c>
      <c r="U192" s="3468" t="s">
        <v>1407</v>
      </c>
      <c r="V192" s="3465" t="s">
        <v>1408</v>
      </c>
      <c r="W192" s="3468"/>
      <c r="X192" s="3465"/>
      <c r="Y192" s="268">
        <f>SUM('6층_부하량(월간_AVG)'!L35:N35)</f>
        <v>0</v>
      </c>
      <c r="Z192" s="268">
        <f>SUM('6층_부하량(월간_AVG)'!L68:N68)</f>
        <v>0</v>
      </c>
      <c r="AA192" s="3519"/>
      <c r="AB192" s="2683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3199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3224">
        <f>VLOOKUP(I192&amp;J192,'7층~4층_매핑테이블'!$Q$6:$X$2020,8,0)</f>
        <v>0</v>
      </c>
      <c r="AE192" s="3140" t="e">
        <f t="shared" si="64"/>
        <v>#N/A</v>
      </c>
      <c r="AF192" s="2766"/>
      <c r="AH192" s="2351" t="e">
        <f t="shared" si="72"/>
        <v>#N/A</v>
      </c>
      <c r="AI192" s="2351" t="e">
        <f t="shared" si="73"/>
        <v>#N/A</v>
      </c>
      <c r="AJ192" s="123" t="e">
        <f t="shared" si="61"/>
        <v>#N/A</v>
      </c>
      <c r="AK192" t="e">
        <f t="shared" si="62"/>
        <v>#N/A</v>
      </c>
      <c r="AL192" t="e">
        <f t="shared" si="63"/>
        <v>#N/A</v>
      </c>
      <c r="AQ192" s="123"/>
      <c r="AR192" s="123"/>
      <c r="AS192" s="123"/>
      <c r="AT192" s="2982"/>
      <c r="AU192" s="123"/>
      <c r="AV192" s="123"/>
      <c r="AW192" s="2983"/>
      <c r="AX192" s="2984"/>
      <c r="AY192" s="2985"/>
      <c r="AZ192" s="2986"/>
      <c r="BA192" s="2987"/>
      <c r="BB192" s="3194"/>
      <c r="BC192" s="2989"/>
    </row>
    <row r="193" spans="1:55" ht="26.25" customHeight="1" x14ac:dyDescent="0.25">
      <c r="A193" s="3461"/>
      <c r="B193" s="3456"/>
      <c r="C193" s="3456"/>
      <c r="D193" s="250"/>
      <c r="E193" s="250" t="s">
        <v>1409</v>
      </c>
      <c r="F193" s="250" t="s">
        <v>1410</v>
      </c>
      <c r="G193" s="2609" t="s">
        <v>1411</v>
      </c>
      <c r="H193" s="2604" t="s">
        <v>1412</v>
      </c>
      <c r="I193" s="2122" t="str">
        <f t="shared" si="84"/>
        <v>6-DaHall 1-PDU-13-30-30</v>
      </c>
      <c r="J193" s="2123" t="str">
        <f t="shared" si="85"/>
        <v>6-DaHall 1-PDU-14-30-30</v>
      </c>
      <c r="K193" s="1460">
        <v>220</v>
      </c>
      <c r="L193" s="1461">
        <v>30</v>
      </c>
      <c r="M193" s="2419" t="s">
        <v>6542</v>
      </c>
      <c r="N193" s="1462">
        <v>30</v>
      </c>
      <c r="O193" s="1463">
        <v>220</v>
      </c>
      <c r="P193" s="1464">
        <v>30</v>
      </c>
      <c r="Q193" s="2425" t="s">
        <v>6549</v>
      </c>
      <c r="R193" s="1465">
        <v>30</v>
      </c>
      <c r="S193" s="3472"/>
      <c r="T193" s="3471"/>
      <c r="U193" s="3472"/>
      <c r="V193" s="3471"/>
      <c r="W193" s="3468"/>
      <c r="X193" s="3465"/>
      <c r="Y193" s="268">
        <f>SUM('6층_부하량(월간_AVG)'!L34:N34)</f>
        <v>0</v>
      </c>
      <c r="Z193" s="268">
        <f>SUM('6층_부하량(월간_AVG)'!L66:M66)</f>
        <v>0</v>
      </c>
      <c r="AA193" s="3519"/>
      <c r="AB193" s="2683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3199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3224">
        <f>VLOOKUP(I193&amp;J193,'7층~4층_매핑테이블'!$Q$6:$X$2020,8,0)</f>
        <v>0</v>
      </c>
      <c r="AE193" s="3140" t="e">
        <f t="shared" si="64"/>
        <v>#N/A</v>
      </c>
      <c r="AF193" s="2766"/>
      <c r="AH193" s="2351" t="e">
        <f t="shared" si="72"/>
        <v>#N/A</v>
      </c>
      <c r="AI193" s="2351" t="e">
        <f t="shared" si="73"/>
        <v>#N/A</v>
      </c>
      <c r="AJ193" s="123" t="e">
        <f t="shared" si="61"/>
        <v>#N/A</v>
      </c>
      <c r="AK193" t="e">
        <f t="shared" si="62"/>
        <v>#N/A</v>
      </c>
      <c r="AL193" t="e">
        <f t="shared" si="63"/>
        <v>#N/A</v>
      </c>
      <c r="AQ193" s="123"/>
      <c r="AR193" s="123"/>
      <c r="AS193" s="123"/>
      <c r="AT193" s="2982"/>
      <c r="AU193" s="123"/>
      <c r="AV193" s="123"/>
      <c r="AW193" s="2983"/>
      <c r="AX193" s="2984"/>
      <c r="AY193" s="2985"/>
      <c r="AZ193" s="2986"/>
      <c r="BA193" s="2987"/>
      <c r="BB193" s="3194"/>
      <c r="BC193" s="2989"/>
    </row>
    <row r="194" spans="1:55" ht="54" customHeight="1" x14ac:dyDescent="0.25">
      <c r="A194" s="3454" t="s">
        <v>316</v>
      </c>
      <c r="B194" s="3456" t="s">
        <v>1413</v>
      </c>
      <c r="C194" s="3456"/>
      <c r="D194" s="250"/>
      <c r="E194" s="250" t="s">
        <v>1414</v>
      </c>
      <c r="F194" s="250" t="s">
        <v>1415</v>
      </c>
      <c r="G194" s="2609" t="s">
        <v>1416</v>
      </c>
      <c r="H194" s="2604" t="s">
        <v>1417</v>
      </c>
      <c r="I194" s="2122" t="str">
        <f t="shared" si="84"/>
        <v>6-DaHall 1-PDU-09-30-7</v>
      </c>
      <c r="J194" s="2123" t="str">
        <f t="shared" si="85"/>
        <v>6-DaHall 1-PDU-10-30-7</v>
      </c>
      <c r="K194" s="1460">
        <v>220</v>
      </c>
      <c r="L194" s="1461">
        <v>30</v>
      </c>
      <c r="M194" s="2419" t="s">
        <v>6584</v>
      </c>
      <c r="N194" s="1462">
        <v>7</v>
      </c>
      <c r="O194" s="1463">
        <v>220</v>
      </c>
      <c r="P194" s="1464">
        <v>30</v>
      </c>
      <c r="Q194" s="2425" t="s">
        <v>6585</v>
      </c>
      <c r="R194" s="1465">
        <v>7</v>
      </c>
      <c r="S194" s="2609" t="s">
        <v>1272</v>
      </c>
      <c r="T194" s="2604" t="s">
        <v>1273</v>
      </c>
      <c r="U194" s="2609" t="s">
        <v>1274</v>
      </c>
      <c r="V194" s="2604" t="s">
        <v>1275</v>
      </c>
      <c r="W194" s="3468"/>
      <c r="X194" s="3465"/>
      <c r="Y194" s="268">
        <f>SUM('6층_부하량(월간_AVG)'!D87:F87)</f>
        <v>0</v>
      </c>
      <c r="Z194" s="268">
        <f>SUM('6층_부하량(월간_AVG)'!D117:F117)</f>
        <v>0</v>
      </c>
      <c r="AA194" s="3519">
        <f>SUM(Y194:Z196)</f>
        <v>0</v>
      </c>
      <c r="AB194" s="2683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3199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224">
        <f>VLOOKUP(I194&amp;J194,'7층~4층_매핑테이블'!$Q$6:$X$2020,8,0)</f>
        <v>0</v>
      </c>
      <c r="AE194" s="3212" t="e">
        <f>SUM(AB194:AC196)</f>
        <v>#N/A</v>
      </c>
      <c r="AF194" s="2766"/>
      <c r="AH194" s="2351" t="e">
        <f t="shared" si="72"/>
        <v>#N/A</v>
      </c>
      <c r="AI194" s="2351" t="e">
        <f t="shared" si="73"/>
        <v>#N/A</v>
      </c>
      <c r="AJ194" s="123" t="e">
        <f t="shared" si="61"/>
        <v>#N/A</v>
      </c>
      <c r="AK194" t="e">
        <f t="shared" si="62"/>
        <v>#N/A</v>
      </c>
      <c r="AL194" t="e">
        <f t="shared" si="63"/>
        <v>#N/A</v>
      </c>
      <c r="AQ194" s="123"/>
      <c r="AR194" s="123"/>
      <c r="AS194" s="123"/>
      <c r="AT194" s="2982"/>
      <c r="AU194" s="123"/>
      <c r="AV194" s="123"/>
      <c r="AW194" s="2983"/>
      <c r="AX194" s="2984"/>
      <c r="AY194" s="2985"/>
      <c r="AZ194" s="2986"/>
      <c r="BA194" s="2987"/>
      <c r="BB194" s="3194"/>
      <c r="BC194" s="2989"/>
    </row>
    <row r="195" spans="1:55" ht="27" customHeight="1" x14ac:dyDescent="0.25">
      <c r="A195" s="3454"/>
      <c r="B195" s="3456"/>
      <c r="C195" s="3456"/>
      <c r="D195" s="250"/>
      <c r="E195" s="250" t="s">
        <v>1418</v>
      </c>
      <c r="F195" s="250" t="s">
        <v>1419</v>
      </c>
      <c r="G195" s="2609" t="s">
        <v>1420</v>
      </c>
      <c r="H195" s="2604" t="s">
        <v>1421</v>
      </c>
      <c r="I195" s="2122" t="str">
        <f t="shared" si="84"/>
        <v>6-DaHall 1-PDU-13-30-34</v>
      </c>
      <c r="J195" s="2123" t="str">
        <f t="shared" si="85"/>
        <v>6-DaHall 1-PDU-14-30-32</v>
      </c>
      <c r="K195" s="1460">
        <v>220</v>
      </c>
      <c r="L195" s="1461">
        <v>30</v>
      </c>
      <c r="M195" s="2419" t="s">
        <v>6542</v>
      </c>
      <c r="N195" s="1462">
        <v>34</v>
      </c>
      <c r="O195" s="1463">
        <v>220</v>
      </c>
      <c r="P195" s="1464">
        <v>30</v>
      </c>
      <c r="Q195" s="2425" t="s">
        <v>6549</v>
      </c>
      <c r="R195" s="1465">
        <v>32</v>
      </c>
      <c r="S195" s="3468" t="s">
        <v>1405</v>
      </c>
      <c r="T195" s="3465" t="s">
        <v>1406</v>
      </c>
      <c r="U195" s="3468" t="s">
        <v>1407</v>
      </c>
      <c r="V195" s="3465" t="s">
        <v>1408</v>
      </c>
      <c r="W195" s="3468"/>
      <c r="X195" s="3465"/>
      <c r="Y195" s="268">
        <f>SUM('6층_부하량(월간_AVG)'!L36:N36)</f>
        <v>0</v>
      </c>
      <c r="Z195" s="268">
        <f>SUM('6층_부하량(월간_AVG)'!L67:N67)</f>
        <v>0</v>
      </c>
      <c r="AA195" s="3519"/>
      <c r="AB195" s="2776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3199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224">
        <f>VLOOKUP(I195&amp;J195,'7층~4층_매핑테이블'!$Q$6:$X$2020,8,0)</f>
        <v>0</v>
      </c>
      <c r="AE195" s="3214" t="e">
        <f>$AE$194</f>
        <v>#N/A</v>
      </c>
      <c r="AF195" s="2766"/>
      <c r="AH195" s="2351" t="e">
        <f t="shared" si="72"/>
        <v>#N/A</v>
      </c>
      <c r="AI195" s="2351" t="e">
        <f t="shared" si="73"/>
        <v>#N/A</v>
      </c>
      <c r="AJ195" s="123" t="e">
        <f t="shared" si="61"/>
        <v>#N/A</v>
      </c>
      <c r="AK195" t="e">
        <f t="shared" si="62"/>
        <v>#N/A</v>
      </c>
      <c r="AL195" t="e">
        <f t="shared" si="63"/>
        <v>#N/A</v>
      </c>
      <c r="AQ195" s="123"/>
      <c r="AR195" s="123"/>
      <c r="AS195" s="123"/>
      <c r="AT195" s="2982"/>
      <c r="AU195" s="123"/>
      <c r="AV195" s="123"/>
      <c r="AW195" s="2983"/>
      <c r="AX195" s="2984"/>
      <c r="AY195" s="2985"/>
      <c r="AZ195" s="2986"/>
      <c r="BA195" s="2987"/>
      <c r="BB195" s="3194"/>
      <c r="BC195" s="2989"/>
    </row>
    <row r="196" spans="1:55" ht="27" customHeight="1" x14ac:dyDescent="0.25">
      <c r="A196" s="3454"/>
      <c r="B196" s="3456"/>
      <c r="C196" s="3456"/>
      <c r="D196" s="250"/>
      <c r="E196" s="250" t="s">
        <v>1422</v>
      </c>
      <c r="F196" s="250" t="s">
        <v>1423</v>
      </c>
      <c r="G196" s="2609" t="s">
        <v>1424</v>
      </c>
      <c r="H196" s="2604" t="s">
        <v>1425</v>
      </c>
      <c r="I196" s="2122" t="str">
        <f t="shared" si="84"/>
        <v>6-DaHall 1-PDU-13-30-28</v>
      </c>
      <c r="J196" s="2123" t="str">
        <f t="shared" si="85"/>
        <v>6-DaHall 1-PDU-14-30-28</v>
      </c>
      <c r="K196" s="1460">
        <v>220</v>
      </c>
      <c r="L196" s="1461">
        <v>30</v>
      </c>
      <c r="M196" s="2419" t="s">
        <v>6542</v>
      </c>
      <c r="N196" s="1462">
        <v>28</v>
      </c>
      <c r="O196" s="1463">
        <v>220</v>
      </c>
      <c r="P196" s="1464">
        <v>30</v>
      </c>
      <c r="Q196" s="2425" t="s">
        <v>6549</v>
      </c>
      <c r="R196" s="1465">
        <v>28</v>
      </c>
      <c r="S196" s="3472"/>
      <c r="T196" s="3471"/>
      <c r="U196" s="3472"/>
      <c r="V196" s="3471"/>
      <c r="W196" s="3468"/>
      <c r="X196" s="3465"/>
      <c r="Y196" s="268">
        <f>SUM('6층_부하량(월간_AVG)'!L33:N33)</f>
        <v>0</v>
      </c>
      <c r="Z196" s="268">
        <f>SUM('6층_부하량(월간_AVG)'!L65:N65)</f>
        <v>0</v>
      </c>
      <c r="AA196" s="3519"/>
      <c r="AB196" s="2777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3199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224">
        <f>VLOOKUP(I196&amp;J196,'7층~4층_매핑테이블'!$Q$6:$X$2020,8,0)</f>
        <v>0</v>
      </c>
      <c r="AE196" s="3214" t="e">
        <f>$AE$194</f>
        <v>#N/A</v>
      </c>
      <c r="AF196" s="2766"/>
      <c r="AH196" s="2351" t="e">
        <f t="shared" si="72"/>
        <v>#N/A</v>
      </c>
      <c r="AI196" s="2351" t="e">
        <f t="shared" si="73"/>
        <v>#N/A</v>
      </c>
      <c r="AJ196" s="123" t="e">
        <f t="shared" si="61"/>
        <v>#N/A</v>
      </c>
      <c r="AK196" t="e">
        <f t="shared" si="62"/>
        <v>#N/A</v>
      </c>
      <c r="AL196" t="e">
        <f t="shared" si="63"/>
        <v>#N/A</v>
      </c>
      <c r="AQ196" s="123"/>
      <c r="AR196" s="123"/>
      <c r="AS196" s="123"/>
      <c r="AT196" s="2982"/>
      <c r="AU196" s="123"/>
      <c r="AV196" s="123"/>
      <c r="AW196" s="2983"/>
      <c r="AX196" s="2984"/>
      <c r="AY196" s="2985"/>
      <c r="AZ196" s="2986"/>
      <c r="BA196" s="2987"/>
      <c r="BB196" s="3194"/>
      <c r="BC196" s="2989"/>
    </row>
    <row r="197" spans="1:55" ht="28.8" x14ac:dyDescent="0.25">
      <c r="A197" s="2620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09" t="s">
        <v>1429</v>
      </c>
      <c r="H197" s="2604" t="s">
        <v>1430</v>
      </c>
      <c r="I197" s="2122" t="str">
        <f t="shared" si="84"/>
        <v>6-DaHall 1-PDU-09-30-9</v>
      </c>
      <c r="J197" s="2123" t="str">
        <f t="shared" si="85"/>
        <v>6-DaHall 1-PDU-10-30-9</v>
      </c>
      <c r="K197" s="1460">
        <v>220</v>
      </c>
      <c r="L197" s="1461">
        <v>30</v>
      </c>
      <c r="M197" s="2419" t="s">
        <v>6584</v>
      </c>
      <c r="N197" s="1462">
        <v>9</v>
      </c>
      <c r="O197" s="1463">
        <v>220</v>
      </c>
      <c r="P197" s="1464">
        <v>30</v>
      </c>
      <c r="Q197" s="2425" t="s">
        <v>6585</v>
      </c>
      <c r="R197" s="1465">
        <v>9</v>
      </c>
      <c r="S197" s="3468" t="s">
        <v>1272</v>
      </c>
      <c r="T197" s="3465" t="s">
        <v>1273</v>
      </c>
      <c r="U197" s="3468" t="s">
        <v>1274</v>
      </c>
      <c r="V197" s="3465" t="s">
        <v>1275</v>
      </c>
      <c r="W197" s="3468"/>
      <c r="X197" s="3465"/>
      <c r="Y197" s="268">
        <f>SUM('6층_부하량(월간_AVG)'!D88:F88)</f>
        <v>0</v>
      </c>
      <c r="Z197" s="268">
        <f>SUM('6층_부하량(월간_AVG)'!D118:F118)</f>
        <v>0</v>
      </c>
      <c r="AA197" s="2436">
        <f t="shared" ref="AA197:AA201" si="87">SUM(Y197:Z197)</f>
        <v>0</v>
      </c>
      <c r="AB197" s="2683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692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3224">
        <f>VLOOKUP(I197&amp;J197,'7층~4층_매핑테이블'!$Q$6:$X$2020,8,0)</f>
        <v>0</v>
      </c>
      <c r="AE197" s="3140" t="e">
        <f>SUM(AB197:AC197)</f>
        <v>#N/A</v>
      </c>
      <c r="AF197" s="2459" t="s">
        <v>1431</v>
      </c>
      <c r="AH197" s="2351" t="e">
        <f t="shared" si="72"/>
        <v>#N/A</v>
      </c>
      <c r="AI197" s="2351" t="e">
        <f t="shared" si="73"/>
        <v>#N/A</v>
      </c>
      <c r="AJ197" s="123" t="e">
        <f t="shared" ref="AJ197:AJ250" si="88">IF(SIGN(AI197)&gt;=0,IF(AE197=0,"무부하 랙","적정함"),"사용초과")</f>
        <v>#N/A</v>
      </c>
      <c r="AK197" t="e">
        <f t="shared" si="62"/>
        <v>#N/A</v>
      </c>
      <c r="AL197" t="e">
        <f t="shared" si="63"/>
        <v>#N/A</v>
      </c>
      <c r="AQ197" s="123"/>
      <c r="AR197" s="123"/>
      <c r="AS197" s="123"/>
      <c r="AT197" s="2982"/>
      <c r="AU197" s="123"/>
      <c r="AV197" s="123"/>
      <c r="AW197" s="2983"/>
      <c r="AX197" s="2984"/>
      <c r="AY197" s="2985"/>
      <c r="AZ197" s="2986"/>
      <c r="BA197" s="2987"/>
      <c r="BB197" s="3194"/>
      <c r="BC197" s="2989"/>
    </row>
    <row r="198" spans="1:55" ht="27.75" customHeight="1" x14ac:dyDescent="0.25">
      <c r="A198" s="2620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09" t="s">
        <v>1436</v>
      </c>
      <c r="H198" s="2604" t="s">
        <v>1437</v>
      </c>
      <c r="I198" s="2122" t="str">
        <f t="shared" si="84"/>
        <v>6-DaHall 1-PDU-09-30-11</v>
      </c>
      <c r="J198" s="2123" t="str">
        <f t="shared" si="85"/>
        <v>6-DaHall 1-PDU-10-30-11</v>
      </c>
      <c r="K198" s="1460">
        <v>220</v>
      </c>
      <c r="L198" s="1461">
        <v>30</v>
      </c>
      <c r="M198" s="2419" t="s">
        <v>6584</v>
      </c>
      <c r="N198" s="1462">
        <v>11</v>
      </c>
      <c r="O198" s="1463">
        <v>220</v>
      </c>
      <c r="P198" s="1464">
        <v>30</v>
      </c>
      <c r="Q198" s="2425" t="s">
        <v>6585</v>
      </c>
      <c r="R198" s="1465">
        <v>11</v>
      </c>
      <c r="S198" s="3472"/>
      <c r="T198" s="3471"/>
      <c r="U198" s="3472"/>
      <c r="V198" s="3465"/>
      <c r="W198" s="3468"/>
      <c r="X198" s="3465"/>
      <c r="Y198" s="268">
        <f>SUM('6층_부하량(월간_AVG)'!D89:F89)</f>
        <v>0</v>
      </c>
      <c r="Z198" s="268">
        <f>SUM('6층_부하량(월간_AVG)'!D119:F119)</f>
        <v>0</v>
      </c>
      <c r="AA198" s="2436">
        <f t="shared" si="87"/>
        <v>0</v>
      </c>
      <c r="AB198" s="2683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692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3224">
        <f>VLOOKUP(I198&amp;J198,'7층~4층_매핑테이블'!$Q$6:$X$2020,8,0)</f>
        <v>0</v>
      </c>
      <c r="AE198" s="3140" t="e">
        <f>SUM(AB198:AC198)</f>
        <v>#N/A</v>
      </c>
      <c r="AF198" s="2766"/>
      <c r="AH198" s="2351" t="e">
        <f t="shared" si="72"/>
        <v>#N/A</v>
      </c>
      <c r="AI198" s="2351" t="e">
        <f t="shared" si="73"/>
        <v>#N/A</v>
      </c>
      <c r="AJ198" s="123" t="e">
        <f t="shared" si="88"/>
        <v>#N/A</v>
      </c>
      <c r="AK198" t="e">
        <f t="shared" ref="AK198:AK250" si="89">IF(AJ198="사용초과",C198,"")</f>
        <v>#N/A</v>
      </c>
      <c r="AL198" t="e">
        <f t="shared" ref="AL198:AL250" si="90">IF(AK198="","",A198)</f>
        <v>#N/A</v>
      </c>
      <c r="AQ198" s="123"/>
      <c r="AR198" s="123"/>
      <c r="AS198" s="123"/>
      <c r="AT198" s="2982"/>
      <c r="AU198" s="123"/>
      <c r="AV198" s="123"/>
      <c r="AW198" s="2983"/>
      <c r="AX198" s="2984"/>
      <c r="AY198" s="2985"/>
      <c r="AZ198" s="2986"/>
      <c r="BA198" s="2987"/>
      <c r="BB198" s="3194"/>
      <c r="BC198" s="2989"/>
    </row>
    <row r="199" spans="1:55" ht="27.75" customHeight="1" x14ac:dyDescent="0.25">
      <c r="A199" s="2620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09" t="s">
        <v>1442</v>
      </c>
      <c r="H199" s="2604" t="s">
        <v>1443</v>
      </c>
      <c r="I199" s="2122" t="str">
        <f t="shared" si="84"/>
        <v>6-DaHall 1-PDU-09-30-13</v>
      </c>
      <c r="J199" s="2123" t="str">
        <f t="shared" si="85"/>
        <v>6-DaHall 1-PDU-10-30-13</v>
      </c>
      <c r="K199" s="1460">
        <v>220</v>
      </c>
      <c r="L199" s="1461">
        <v>30</v>
      </c>
      <c r="M199" s="2419" t="s">
        <v>6584</v>
      </c>
      <c r="N199" s="1462">
        <v>13</v>
      </c>
      <c r="O199" s="1463">
        <v>220</v>
      </c>
      <c r="P199" s="1464">
        <v>30</v>
      </c>
      <c r="Q199" s="2425" t="s">
        <v>6585</v>
      </c>
      <c r="R199" s="1465">
        <v>13</v>
      </c>
      <c r="S199" s="3472"/>
      <c r="T199" s="3471"/>
      <c r="U199" s="3472"/>
      <c r="V199" s="3465"/>
      <c r="W199" s="3468"/>
      <c r="X199" s="3465"/>
      <c r="Y199" s="268">
        <f>SUM('6층_부하량(월간_AVG)'!D90:F90)</f>
        <v>0</v>
      </c>
      <c r="Z199" s="268">
        <f>SUM('6층_부하량(월간_AVG)'!D120:F120)</f>
        <v>0</v>
      </c>
      <c r="AA199" s="2436">
        <f t="shared" si="87"/>
        <v>0</v>
      </c>
      <c r="AB199" s="2683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692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3224">
        <f>VLOOKUP(I199&amp;J199,'7층~4층_매핑테이블'!$Q$6:$X$2020,8,0)</f>
        <v>0</v>
      </c>
      <c r="AE199" s="3140" t="e">
        <f>SUM(AB199:AC199)</f>
        <v>#N/A</v>
      </c>
      <c r="AF199" s="2766"/>
      <c r="AH199" s="2351" t="e">
        <f t="shared" si="72"/>
        <v>#N/A</v>
      </c>
      <c r="AI199" s="2351" t="e">
        <f t="shared" si="73"/>
        <v>#N/A</v>
      </c>
      <c r="AJ199" s="123" t="e">
        <f t="shared" si="88"/>
        <v>#N/A</v>
      </c>
      <c r="AK199" t="e">
        <f t="shared" si="89"/>
        <v>#N/A</v>
      </c>
      <c r="AL199" t="e">
        <f t="shared" si="90"/>
        <v>#N/A</v>
      </c>
      <c r="AQ199" s="123"/>
      <c r="AR199" s="123"/>
      <c r="AS199" s="123"/>
      <c r="AT199" s="2982"/>
      <c r="AU199" s="123"/>
      <c r="AV199" s="123"/>
      <c r="AW199" s="2983"/>
      <c r="AX199" s="2984"/>
      <c r="AY199" s="2985"/>
      <c r="AZ199" s="2986"/>
      <c r="BA199" s="2987"/>
      <c r="BB199" s="3194"/>
      <c r="BC199" s="2989"/>
    </row>
    <row r="200" spans="1:55" ht="27.75" customHeight="1" x14ac:dyDescent="0.25">
      <c r="A200" s="2620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09" t="s">
        <v>1448</v>
      </c>
      <c r="H200" s="2604" t="s">
        <v>1449</v>
      </c>
      <c r="I200" s="2122" t="str">
        <f t="shared" si="84"/>
        <v>6-DaHall 1-PDU-09-30-15</v>
      </c>
      <c r="J200" s="2123" t="str">
        <f t="shared" si="85"/>
        <v>6-DaHall 1-PDU-10-30-15</v>
      </c>
      <c r="K200" s="1460">
        <v>220</v>
      </c>
      <c r="L200" s="1461">
        <v>30</v>
      </c>
      <c r="M200" s="2419" t="s">
        <v>6584</v>
      </c>
      <c r="N200" s="1462">
        <v>15</v>
      </c>
      <c r="O200" s="1463">
        <v>220</v>
      </c>
      <c r="P200" s="1464">
        <v>30</v>
      </c>
      <c r="Q200" s="2425" t="s">
        <v>6585</v>
      </c>
      <c r="R200" s="1465">
        <v>15</v>
      </c>
      <c r="S200" s="3472"/>
      <c r="T200" s="3471"/>
      <c r="U200" s="3472"/>
      <c r="V200" s="3465"/>
      <c r="W200" s="3468"/>
      <c r="X200" s="3465"/>
      <c r="Y200" s="268">
        <f>SUM('6층_부하량(월간_AVG)'!D91:F91)</f>
        <v>0</v>
      </c>
      <c r="Z200" s="268">
        <f>SUM('6층_부하량(월간_AVG)'!D121:F121)</f>
        <v>0</v>
      </c>
      <c r="AA200" s="2436">
        <f t="shared" si="87"/>
        <v>0</v>
      </c>
      <c r="AB200" s="2683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692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3224">
        <f>VLOOKUP(I200&amp;J200,'7층~4층_매핑테이블'!$Q$6:$X$2020,8,0)</f>
        <v>0</v>
      </c>
      <c r="AE200" s="3140" t="e">
        <f>SUM(AB200:AC200)</f>
        <v>#N/A</v>
      </c>
      <c r="AF200" s="2766"/>
      <c r="AH200" s="2351" t="e">
        <f t="shared" si="72"/>
        <v>#N/A</v>
      </c>
      <c r="AI200" s="2351" t="e">
        <f t="shared" si="73"/>
        <v>#N/A</v>
      </c>
      <c r="AJ200" s="123" t="e">
        <f t="shared" si="88"/>
        <v>#N/A</v>
      </c>
      <c r="AK200" t="e">
        <f t="shared" si="89"/>
        <v>#N/A</v>
      </c>
      <c r="AL200" t="e">
        <f t="shared" si="90"/>
        <v>#N/A</v>
      </c>
      <c r="AQ200" s="123"/>
      <c r="AR200" s="123"/>
      <c r="AS200" s="123"/>
      <c r="AT200" s="2982"/>
      <c r="AU200" s="123"/>
      <c r="AV200" s="123"/>
      <c r="AW200" s="2983"/>
      <c r="AX200" s="2984"/>
      <c r="AY200" s="2985"/>
      <c r="AZ200" s="2986"/>
      <c r="BA200" s="2987"/>
      <c r="BB200" s="3194"/>
      <c r="BC200" s="2989"/>
    </row>
    <row r="201" spans="1:55" ht="27.75" customHeight="1" thickBot="1" x14ac:dyDescent="0.3">
      <c r="A201" s="2628" t="s">
        <v>1450</v>
      </c>
      <c r="B201" s="2629" t="s">
        <v>1451</v>
      </c>
      <c r="C201" s="2629"/>
      <c r="D201" s="2629"/>
      <c r="E201" s="2629" t="s">
        <v>1452</v>
      </c>
      <c r="F201" s="2629" t="s">
        <v>1453</v>
      </c>
      <c r="G201" s="2611" t="s">
        <v>1454</v>
      </c>
      <c r="H201" s="2605" t="s">
        <v>1455</v>
      </c>
      <c r="I201" s="2122" t="str">
        <f t="shared" si="84"/>
        <v>6-DaHall 1-PDU-09-30-17</v>
      </c>
      <c r="J201" s="2123" t="str">
        <f t="shared" si="85"/>
        <v>6-DaHall 1-PDU-10-30-17</v>
      </c>
      <c r="K201" s="1468">
        <v>220</v>
      </c>
      <c r="L201" s="1469">
        <v>30</v>
      </c>
      <c r="M201" s="2422" t="s">
        <v>6584</v>
      </c>
      <c r="N201" s="1470">
        <v>17</v>
      </c>
      <c r="O201" s="1471">
        <v>220</v>
      </c>
      <c r="P201" s="1472">
        <v>30</v>
      </c>
      <c r="Q201" s="2428" t="s">
        <v>6585</v>
      </c>
      <c r="R201" s="1473">
        <v>17</v>
      </c>
      <c r="S201" s="3499"/>
      <c r="T201" s="3498"/>
      <c r="U201" s="3499"/>
      <c r="V201" s="3486"/>
      <c r="W201" s="3469"/>
      <c r="X201" s="3486"/>
      <c r="Y201" s="330">
        <f>SUM('6층_부하량(월간_AVG)'!D92:F92)</f>
        <v>0</v>
      </c>
      <c r="Z201" s="330">
        <f>SUM('6층_부하량(월간_AVG)'!D122:F122)</f>
        <v>0</v>
      </c>
      <c r="AA201" s="2437">
        <f t="shared" si="87"/>
        <v>0</v>
      </c>
      <c r="AB201" s="2683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696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4032">
        <f>VLOOKUP(I201&amp;J201,'7층~4층_매핑테이블'!$Q$6:$X$2020,8,0)</f>
        <v>0</v>
      </c>
      <c r="AE201" s="3209" t="e">
        <f>SUM(AB201:AC201)</f>
        <v>#N/A</v>
      </c>
      <c r="AF201" s="2768"/>
      <c r="AH201" s="2351" t="e">
        <f t="shared" si="72"/>
        <v>#N/A</v>
      </c>
      <c r="AI201" s="2351" t="e">
        <f t="shared" si="73"/>
        <v>#N/A</v>
      </c>
      <c r="AJ201" s="123" t="e">
        <f t="shared" si="88"/>
        <v>#N/A</v>
      </c>
      <c r="AK201" t="e">
        <f t="shared" si="89"/>
        <v>#N/A</v>
      </c>
      <c r="AL201" t="e">
        <f t="shared" si="90"/>
        <v>#N/A</v>
      </c>
      <c r="AQ201" s="123"/>
      <c r="AR201" s="123"/>
      <c r="AS201" s="123"/>
      <c r="AT201" s="2982"/>
      <c r="AU201" s="123"/>
      <c r="AV201" s="123"/>
      <c r="AW201" s="2983"/>
      <c r="AX201" s="2984"/>
      <c r="AY201" s="2985"/>
      <c r="AZ201" s="2986"/>
      <c r="BA201" s="2987"/>
      <c r="BB201" s="3194"/>
      <c r="BC201" s="2989"/>
    </row>
    <row r="202" spans="1:55" ht="15" thickTop="1" x14ac:dyDescent="0.25">
      <c r="A202" s="1081" t="s">
        <v>145</v>
      </c>
      <c r="B202" s="828"/>
      <c r="C202" s="828"/>
      <c r="D202" s="828"/>
      <c r="E202" s="828"/>
      <c r="F202" s="828"/>
      <c r="G202" s="884"/>
      <c r="H202" s="885"/>
      <c r="I202" s="2120"/>
      <c r="J202" s="2121"/>
      <c r="K202" s="1452"/>
      <c r="L202" s="1453"/>
      <c r="M202" s="884"/>
      <c r="N202" s="1454"/>
      <c r="O202" s="1455"/>
      <c r="P202" s="1456"/>
      <c r="Q202" s="885"/>
      <c r="R202" s="1457"/>
      <c r="S202" s="829"/>
      <c r="T202" s="830"/>
      <c r="U202" s="829"/>
      <c r="V202" s="830"/>
      <c r="W202" s="829"/>
      <c r="X202" s="830"/>
      <c r="Y202" s="831"/>
      <c r="Z202" s="831"/>
      <c r="AA202" s="2439"/>
      <c r="AB202" s="2771"/>
      <c r="AC202" s="2701"/>
      <c r="AD202" s="3223"/>
      <c r="AE202" s="3207">
        <f t="shared" ref="AE202:AE211" si="91">SUM(AB202:AC202)</f>
        <v>0</v>
      </c>
      <c r="AF202" s="2772" t="s">
        <v>1265</v>
      </c>
      <c r="AH202" s="2351">
        <f t="shared" si="72"/>
        <v>0</v>
      </c>
      <c r="AI202" s="2351">
        <f t="shared" si="73"/>
        <v>0</v>
      </c>
      <c r="AJ202" s="123" t="str">
        <f t="shared" si="88"/>
        <v>무부하 랙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82"/>
      <c r="AU202" s="123"/>
      <c r="AV202" s="123"/>
      <c r="AW202" s="2983"/>
      <c r="AX202" s="2984"/>
      <c r="AY202" s="2985"/>
      <c r="AZ202" s="2986"/>
      <c r="BA202" s="2987"/>
      <c r="BB202" s="3194"/>
      <c r="BC202" s="2989"/>
    </row>
    <row r="203" spans="1:55" ht="27.75" customHeight="1" x14ac:dyDescent="0.25">
      <c r="A203" s="2620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09" t="s">
        <v>1330</v>
      </c>
      <c r="H203" s="2604" t="s">
        <v>1331</v>
      </c>
      <c r="I203" s="2122" t="str">
        <f t="shared" ref="I203:I211" si="92">"6-DaHall 1-PDU-"&amp;M203&amp;"-"&amp;L203&amp;"-"&amp;N203</f>
        <v>6-DaHall 1-PDU-09-30-2</v>
      </c>
      <c r="J203" s="2123" t="str">
        <f t="shared" ref="J203:J211" si="93">"6-DaHall 1-PDU-"&amp;Q203&amp;"-"&amp;P203&amp;"-"&amp;R203</f>
        <v>6-DaHall 1-PDU-10-30-2</v>
      </c>
      <c r="K203" s="1460">
        <v>220</v>
      </c>
      <c r="L203" s="1461">
        <v>30</v>
      </c>
      <c r="M203" s="2419" t="s">
        <v>6584</v>
      </c>
      <c r="N203" s="1462">
        <v>2</v>
      </c>
      <c r="O203" s="1463">
        <v>220</v>
      </c>
      <c r="P203" s="1464">
        <v>30</v>
      </c>
      <c r="Q203" s="2425" t="s">
        <v>6585</v>
      </c>
      <c r="R203" s="1465">
        <v>2</v>
      </c>
      <c r="S203" s="3468" t="s">
        <v>1272</v>
      </c>
      <c r="T203" s="3465" t="s">
        <v>1273</v>
      </c>
      <c r="U203" s="3468" t="s">
        <v>1274</v>
      </c>
      <c r="V203" s="3465" t="s">
        <v>1275</v>
      </c>
      <c r="W203" s="3468" t="s">
        <v>1276</v>
      </c>
      <c r="X203" s="3465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36">
        <f t="shared" ref="AA203:AA211" si="94">SUM(Y203:Z203)</f>
        <v>0</v>
      </c>
      <c r="AB203" s="2683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692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3224">
        <f>VLOOKUP(I203&amp;J203,'7층~4층_매핑테이블'!$Q$6:$X$2020,8,0)</f>
        <v>0</v>
      </c>
      <c r="AE203" s="3140" t="e">
        <f t="shared" si="91"/>
        <v>#N/A</v>
      </c>
      <c r="AF203" s="2766"/>
      <c r="AH203" s="2351" t="e">
        <f t="shared" si="72"/>
        <v>#N/A</v>
      </c>
      <c r="AI203" s="2351" t="e">
        <f t="shared" si="73"/>
        <v>#N/A</v>
      </c>
      <c r="AJ203" s="123" t="e">
        <f t="shared" si="88"/>
        <v>#N/A</v>
      </c>
      <c r="AK203" t="e">
        <f t="shared" si="89"/>
        <v>#N/A</v>
      </c>
      <c r="AL203" t="e">
        <f t="shared" si="90"/>
        <v>#N/A</v>
      </c>
      <c r="AQ203" s="123"/>
      <c r="AR203" s="123"/>
      <c r="AS203" s="123"/>
      <c r="AT203" s="2982"/>
      <c r="AU203" s="123"/>
      <c r="AV203" s="123"/>
      <c r="AW203" s="2983"/>
      <c r="AX203" s="2984"/>
      <c r="AY203" s="2985"/>
      <c r="AZ203" s="2986"/>
      <c r="BA203" s="2987"/>
      <c r="BB203" s="3194"/>
      <c r="BC203" s="2989"/>
    </row>
    <row r="204" spans="1:55" ht="27.75" customHeight="1" x14ac:dyDescent="0.25">
      <c r="A204" s="2620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09" t="s">
        <v>1336</v>
      </c>
      <c r="H204" s="2604" t="s">
        <v>1337</v>
      </c>
      <c r="I204" s="2122" t="str">
        <f t="shared" si="92"/>
        <v>6-DaHall 1-PDU-09-30-4</v>
      </c>
      <c r="J204" s="2123" t="str">
        <f t="shared" si="93"/>
        <v>6-DaHall 1-PDU-10-30-4</v>
      </c>
      <c r="K204" s="1460">
        <v>220</v>
      </c>
      <c r="L204" s="1461">
        <v>30</v>
      </c>
      <c r="M204" s="2419" t="s">
        <v>6584</v>
      </c>
      <c r="N204" s="1462">
        <v>4</v>
      </c>
      <c r="O204" s="1463">
        <v>220</v>
      </c>
      <c r="P204" s="1464">
        <v>30</v>
      </c>
      <c r="Q204" s="2425" t="s">
        <v>6585</v>
      </c>
      <c r="R204" s="1465">
        <v>4</v>
      </c>
      <c r="S204" s="3468"/>
      <c r="T204" s="3471"/>
      <c r="U204" s="3472"/>
      <c r="V204" s="3471"/>
      <c r="W204" s="3472"/>
      <c r="X204" s="3471"/>
      <c r="Y204" s="253">
        <f>SUM('6층_부하량(월간_AVG)'!L85:N85)</f>
        <v>0</v>
      </c>
      <c r="Z204" s="253">
        <f>SUM('6층_부하량(월간_AVG)'!L115:N115)</f>
        <v>0</v>
      </c>
      <c r="AA204" s="2436">
        <f t="shared" si="94"/>
        <v>0</v>
      </c>
      <c r="AB204" s="2683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692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3224">
        <f>VLOOKUP(I204&amp;J204,'7층~4층_매핑테이블'!$Q$6:$X$2020,8,0)</f>
        <v>0</v>
      </c>
      <c r="AE204" s="3140" t="e">
        <f t="shared" si="91"/>
        <v>#N/A</v>
      </c>
      <c r="AF204" s="2766"/>
      <c r="AH204" s="2351" t="e">
        <f t="shared" si="72"/>
        <v>#N/A</v>
      </c>
      <c r="AI204" s="2351" t="e">
        <f t="shared" si="73"/>
        <v>#N/A</v>
      </c>
      <c r="AJ204" s="123" t="e">
        <f t="shared" si="88"/>
        <v>#N/A</v>
      </c>
      <c r="AK204" t="e">
        <f t="shared" si="89"/>
        <v>#N/A</v>
      </c>
      <c r="AL204" t="e">
        <f t="shared" si="90"/>
        <v>#N/A</v>
      </c>
      <c r="AQ204" s="123"/>
      <c r="AR204" s="123"/>
      <c r="AS204" s="123"/>
      <c r="AT204" s="2982"/>
      <c r="AU204" s="123"/>
      <c r="AV204" s="123"/>
      <c r="AW204" s="2983"/>
      <c r="AX204" s="2984"/>
      <c r="AY204" s="2985"/>
      <c r="AZ204" s="2986"/>
      <c r="BA204" s="2987"/>
      <c r="BB204" s="3194"/>
      <c r="BC204" s="2989"/>
    </row>
    <row r="205" spans="1:55" ht="27.75" customHeight="1" x14ac:dyDescent="0.25">
      <c r="A205" s="2620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09" t="s">
        <v>1342</v>
      </c>
      <c r="H205" s="2604" t="s">
        <v>1343</v>
      </c>
      <c r="I205" s="2122" t="str">
        <f t="shared" si="92"/>
        <v>6-DaHall 1-PDU-09-30-6</v>
      </c>
      <c r="J205" s="2123" t="str">
        <f t="shared" si="93"/>
        <v>6-DaHall 1-PDU-10-30-6</v>
      </c>
      <c r="K205" s="1460">
        <v>220</v>
      </c>
      <c r="L205" s="1461">
        <v>30</v>
      </c>
      <c r="M205" s="2419" t="s">
        <v>6584</v>
      </c>
      <c r="N205" s="1462">
        <v>6</v>
      </c>
      <c r="O205" s="1463">
        <v>220</v>
      </c>
      <c r="P205" s="1464">
        <v>30</v>
      </c>
      <c r="Q205" s="2425" t="s">
        <v>6585</v>
      </c>
      <c r="R205" s="1465">
        <v>6</v>
      </c>
      <c r="S205" s="3468"/>
      <c r="T205" s="3471"/>
      <c r="U205" s="3472"/>
      <c r="V205" s="3471"/>
      <c r="W205" s="3472"/>
      <c r="X205" s="3471"/>
      <c r="Y205" s="253">
        <f>SUM('6층_부하량(월간_AVG)'!L86:N86)</f>
        <v>0</v>
      </c>
      <c r="Z205" s="253">
        <f>SUM('6층_부하량(월간_AVG)'!L116:N116)</f>
        <v>0</v>
      </c>
      <c r="AA205" s="2436">
        <f t="shared" si="94"/>
        <v>0</v>
      </c>
      <c r="AB205" s="2683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692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3224">
        <f>VLOOKUP(I205&amp;J205,'7층~4층_매핑테이블'!$Q$6:$X$2020,8,0)</f>
        <v>0</v>
      </c>
      <c r="AE205" s="3140" t="e">
        <f t="shared" si="91"/>
        <v>#N/A</v>
      </c>
      <c r="AF205" s="2766"/>
      <c r="AH205" s="2351" t="e">
        <f t="shared" si="72"/>
        <v>#N/A</v>
      </c>
      <c r="AI205" s="2351" t="e">
        <f t="shared" si="73"/>
        <v>#N/A</v>
      </c>
      <c r="AJ205" s="123" t="e">
        <f t="shared" si="88"/>
        <v>#N/A</v>
      </c>
      <c r="AK205" t="e">
        <f t="shared" si="89"/>
        <v>#N/A</v>
      </c>
      <c r="AL205" t="e">
        <f t="shared" si="90"/>
        <v>#N/A</v>
      </c>
      <c r="AQ205" s="123"/>
      <c r="AR205" s="123"/>
      <c r="AS205" s="123"/>
      <c r="AT205" s="2982"/>
      <c r="AU205" s="123"/>
      <c r="AV205" s="123"/>
      <c r="AW205" s="2983"/>
      <c r="AX205" s="2984"/>
      <c r="AY205" s="2985"/>
      <c r="AZ205" s="2986"/>
      <c r="BA205" s="2987"/>
      <c r="BB205" s="3194"/>
      <c r="BC205" s="2989"/>
    </row>
    <row r="206" spans="1:55" ht="27.75" customHeight="1" x14ac:dyDescent="0.25">
      <c r="A206" s="2620" t="s">
        <v>1344</v>
      </c>
      <c r="B206" s="2621" t="s">
        <v>1345</v>
      </c>
      <c r="C206" s="250"/>
      <c r="D206" s="250"/>
      <c r="E206" s="250" t="s">
        <v>1346</v>
      </c>
      <c r="F206" s="250" t="s">
        <v>1347</v>
      </c>
      <c r="G206" s="2609" t="s">
        <v>1348</v>
      </c>
      <c r="H206" s="2604" t="s">
        <v>1349</v>
      </c>
      <c r="I206" s="2122" t="str">
        <f t="shared" si="92"/>
        <v>6-DaHall 1-PDU-09-30-8</v>
      </c>
      <c r="J206" s="2123" t="str">
        <f t="shared" si="93"/>
        <v>6-DaHall 1-PDU-10-30-8</v>
      </c>
      <c r="K206" s="1460">
        <v>220</v>
      </c>
      <c r="L206" s="1461">
        <v>30</v>
      </c>
      <c r="M206" s="2419" t="s">
        <v>6584</v>
      </c>
      <c r="N206" s="1462">
        <v>8</v>
      </c>
      <c r="O206" s="1463">
        <v>220</v>
      </c>
      <c r="P206" s="1464">
        <v>30</v>
      </c>
      <c r="Q206" s="2425" t="s">
        <v>6585</v>
      </c>
      <c r="R206" s="1465">
        <v>8</v>
      </c>
      <c r="S206" s="3468"/>
      <c r="T206" s="3471"/>
      <c r="U206" s="3472"/>
      <c r="V206" s="3471"/>
      <c r="W206" s="3472"/>
      <c r="X206" s="3471"/>
      <c r="Y206" s="253">
        <f>SUM('6층_부하량(월간_AVG)'!L87:N87)</f>
        <v>0</v>
      </c>
      <c r="Z206" s="253">
        <f>SUM('6층_부하량(월간_AVG)'!L117:N117)</f>
        <v>0</v>
      </c>
      <c r="AA206" s="2436">
        <f t="shared" si="94"/>
        <v>0</v>
      </c>
      <c r="AB206" s="2683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692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3224">
        <f>VLOOKUP(I206&amp;J206,'7층~4층_매핑테이블'!$Q$6:$X$2020,8,0)</f>
        <v>0</v>
      </c>
      <c r="AE206" s="3140" t="e">
        <f t="shared" si="91"/>
        <v>#N/A</v>
      </c>
      <c r="AF206" s="2766"/>
      <c r="AG206" s="2062" t="s">
        <v>1350</v>
      </c>
      <c r="AH206" s="2351" t="e">
        <f t="shared" si="72"/>
        <v>#N/A</v>
      </c>
      <c r="AI206" s="2351" t="e">
        <f t="shared" si="73"/>
        <v>#N/A</v>
      </c>
      <c r="AJ206" s="123" t="e">
        <f t="shared" si="88"/>
        <v>#N/A</v>
      </c>
      <c r="AK206" t="e">
        <f t="shared" si="89"/>
        <v>#N/A</v>
      </c>
      <c r="AL206" t="e">
        <f t="shared" si="90"/>
        <v>#N/A</v>
      </c>
      <c r="AQ206" s="123"/>
      <c r="AR206" s="123"/>
      <c r="AS206" s="123"/>
      <c r="AT206" s="2982"/>
      <c r="AU206" s="123"/>
      <c r="AV206" s="123"/>
      <c r="AW206" s="2983"/>
      <c r="AX206" s="2984"/>
      <c r="AY206" s="2985"/>
      <c r="AZ206" s="2986"/>
      <c r="BA206" s="2987"/>
      <c r="BB206" s="3194"/>
      <c r="BC206" s="2989"/>
    </row>
    <row r="207" spans="1:55" ht="27.75" customHeight="1" x14ac:dyDescent="0.25">
      <c r="A207" s="2620" t="s">
        <v>1351</v>
      </c>
      <c r="B207" s="2621" t="s">
        <v>1352</v>
      </c>
      <c r="C207" s="250"/>
      <c r="D207" s="250"/>
      <c r="E207" s="250" t="s">
        <v>1353</v>
      </c>
      <c r="F207" s="250" t="s">
        <v>1354</v>
      </c>
      <c r="G207" s="2609" t="s">
        <v>1355</v>
      </c>
      <c r="H207" s="2604" t="s">
        <v>1356</v>
      </c>
      <c r="I207" s="2122" t="str">
        <f t="shared" si="92"/>
        <v>6-DaHall 1-PDU-09-30-10</v>
      </c>
      <c r="J207" s="2123" t="str">
        <f t="shared" si="93"/>
        <v>6-DaHall 1-PDU-10-30-10</v>
      </c>
      <c r="K207" s="1460">
        <v>220</v>
      </c>
      <c r="L207" s="1461">
        <v>30</v>
      </c>
      <c r="M207" s="2419" t="s">
        <v>6584</v>
      </c>
      <c r="N207" s="1462">
        <v>10</v>
      </c>
      <c r="O207" s="1463">
        <v>220</v>
      </c>
      <c r="P207" s="1464">
        <v>30</v>
      </c>
      <c r="Q207" s="2425" t="s">
        <v>6585</v>
      </c>
      <c r="R207" s="1465">
        <v>10</v>
      </c>
      <c r="S207" s="3468"/>
      <c r="T207" s="3471"/>
      <c r="U207" s="3472"/>
      <c r="V207" s="3471"/>
      <c r="W207" s="3472"/>
      <c r="X207" s="3471"/>
      <c r="Y207" s="253">
        <f>SUM('6층_부하량(월간_AVG)'!L88:N88)</f>
        <v>0</v>
      </c>
      <c r="Z207" s="253">
        <f>SUM('6층_부하량(월간_AVG)'!L118:N118)</f>
        <v>0</v>
      </c>
      <c r="AA207" s="2436">
        <f t="shared" si="94"/>
        <v>0</v>
      </c>
      <c r="AB207" s="2683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692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3224">
        <f>VLOOKUP(I207&amp;J207,'7층~4층_매핑테이블'!$Q$6:$X$2020,8,0)</f>
        <v>0</v>
      </c>
      <c r="AE207" s="3140" t="e">
        <f t="shared" si="91"/>
        <v>#N/A</v>
      </c>
      <c r="AF207" s="2766"/>
      <c r="AG207" s="2062" t="s">
        <v>1350</v>
      </c>
      <c r="AH207" s="2351" t="e">
        <f t="shared" si="72"/>
        <v>#N/A</v>
      </c>
      <c r="AI207" s="2351" t="e">
        <f t="shared" si="73"/>
        <v>#N/A</v>
      </c>
      <c r="AJ207" s="123" t="e">
        <f t="shared" si="88"/>
        <v>#N/A</v>
      </c>
      <c r="AK207" t="e">
        <f t="shared" si="89"/>
        <v>#N/A</v>
      </c>
      <c r="AL207" t="e">
        <f t="shared" si="90"/>
        <v>#N/A</v>
      </c>
      <c r="AQ207" s="123"/>
      <c r="AR207" s="123"/>
      <c r="AS207" s="123"/>
      <c r="AT207" s="2982"/>
      <c r="AU207" s="123"/>
      <c r="AV207" s="123"/>
      <c r="AW207" s="2983"/>
      <c r="AX207" s="2984"/>
      <c r="AY207" s="2985"/>
      <c r="AZ207" s="2986"/>
      <c r="BA207" s="2987"/>
      <c r="BB207" s="3194"/>
      <c r="BC207" s="2989"/>
    </row>
    <row r="208" spans="1:55" ht="27.75" customHeight="1" x14ac:dyDescent="0.25">
      <c r="A208" s="2620" t="s">
        <v>1357</v>
      </c>
      <c r="B208" s="2621" t="s">
        <v>1358</v>
      </c>
      <c r="C208" s="250"/>
      <c r="D208" s="250"/>
      <c r="E208" s="250" t="s">
        <v>1359</v>
      </c>
      <c r="F208" s="250" t="s">
        <v>1360</v>
      </c>
      <c r="G208" s="2609" t="s">
        <v>1361</v>
      </c>
      <c r="H208" s="2604" t="s">
        <v>1362</v>
      </c>
      <c r="I208" s="2122" t="str">
        <f t="shared" si="92"/>
        <v>6-DaHall 1-PDU-09-30-12</v>
      </c>
      <c r="J208" s="2123" t="str">
        <f t="shared" si="93"/>
        <v>6-DaHall 1-PDU-10-30-12</v>
      </c>
      <c r="K208" s="1460">
        <v>220</v>
      </c>
      <c r="L208" s="1461">
        <v>30</v>
      </c>
      <c r="M208" s="2419" t="s">
        <v>6584</v>
      </c>
      <c r="N208" s="1462">
        <v>12</v>
      </c>
      <c r="O208" s="1463">
        <v>220</v>
      </c>
      <c r="P208" s="1464">
        <v>30</v>
      </c>
      <c r="Q208" s="2425" t="s">
        <v>6585</v>
      </c>
      <c r="R208" s="1465">
        <v>12</v>
      </c>
      <c r="S208" s="3468"/>
      <c r="T208" s="3471"/>
      <c r="U208" s="3472"/>
      <c r="V208" s="3471"/>
      <c r="W208" s="3472"/>
      <c r="X208" s="3471"/>
      <c r="Y208" s="253">
        <f>SUM('6층_부하량(월간_AVG)'!L89:N89)</f>
        <v>0</v>
      </c>
      <c r="Z208" s="253">
        <f>SUM('6층_부하량(월간_AVG)'!L119:N119)</f>
        <v>0</v>
      </c>
      <c r="AA208" s="2436">
        <f t="shared" si="94"/>
        <v>0</v>
      </c>
      <c r="AB208" s="2683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692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3224">
        <f>VLOOKUP(I208&amp;J208,'7층~4층_매핑테이블'!$Q$6:$X$2020,8,0)</f>
        <v>0</v>
      </c>
      <c r="AE208" s="3140" t="e">
        <f t="shared" si="91"/>
        <v>#N/A</v>
      </c>
      <c r="AF208" s="2766"/>
      <c r="AG208" s="2062" t="s">
        <v>1350</v>
      </c>
      <c r="AH208" s="2351" t="e">
        <f t="shared" si="72"/>
        <v>#N/A</v>
      </c>
      <c r="AI208" s="2351" t="e">
        <f t="shared" si="73"/>
        <v>#N/A</v>
      </c>
      <c r="AJ208" s="123" t="e">
        <f t="shared" si="88"/>
        <v>#N/A</v>
      </c>
      <c r="AK208" t="e">
        <f t="shared" si="89"/>
        <v>#N/A</v>
      </c>
      <c r="AL208" t="e">
        <f t="shared" si="90"/>
        <v>#N/A</v>
      </c>
      <c r="AQ208" s="123"/>
      <c r="AR208" s="123"/>
      <c r="AS208" s="123"/>
      <c r="AT208" s="2982"/>
      <c r="AU208" s="123"/>
      <c r="AV208" s="123"/>
      <c r="AW208" s="2983"/>
      <c r="AX208" s="2984"/>
      <c r="AY208" s="2985"/>
      <c r="AZ208" s="2986"/>
      <c r="BA208" s="2987"/>
      <c r="BB208" s="3194"/>
      <c r="BC208" s="2989"/>
    </row>
    <row r="209" spans="1:55" ht="27.75" customHeight="1" x14ac:dyDescent="0.25">
      <c r="A209" s="2620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09" t="s">
        <v>1367</v>
      </c>
      <c r="H209" s="2604" t="s">
        <v>1368</v>
      </c>
      <c r="I209" s="2122" t="str">
        <f t="shared" si="92"/>
        <v>6-DaHall 1-PDU-09-30-14</v>
      </c>
      <c r="J209" s="2123" t="str">
        <f t="shared" si="93"/>
        <v>6-DaHall 1-PDU-10-30-14</v>
      </c>
      <c r="K209" s="1460">
        <v>220</v>
      </c>
      <c r="L209" s="1461">
        <v>30</v>
      </c>
      <c r="M209" s="2419" t="s">
        <v>6584</v>
      </c>
      <c r="N209" s="1462">
        <v>14</v>
      </c>
      <c r="O209" s="1463">
        <v>220</v>
      </c>
      <c r="P209" s="1464">
        <v>30</v>
      </c>
      <c r="Q209" s="2425" t="s">
        <v>6585</v>
      </c>
      <c r="R209" s="1465">
        <v>14</v>
      </c>
      <c r="S209" s="3468"/>
      <c r="T209" s="3471"/>
      <c r="U209" s="3472"/>
      <c r="V209" s="3471"/>
      <c r="W209" s="3472"/>
      <c r="X209" s="3471"/>
      <c r="Y209" s="253">
        <f>SUM('6층_부하량(월간_AVG)'!L90:N90)</f>
        <v>0</v>
      </c>
      <c r="Z209" s="253">
        <f>SUM('6층_부하량(월간_AVG)'!L120:N120)</f>
        <v>0</v>
      </c>
      <c r="AA209" s="2436">
        <f t="shared" si="94"/>
        <v>0</v>
      </c>
      <c r="AB209" s="2683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692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3224">
        <f>VLOOKUP(I209&amp;J209,'7층~4층_매핑테이블'!$Q$6:$X$2020,8,0)</f>
        <v>0</v>
      </c>
      <c r="AE209" s="3140" t="e">
        <f t="shared" si="91"/>
        <v>#N/A</v>
      </c>
      <c r="AF209" s="2766"/>
      <c r="AH209" s="2351" t="e">
        <f t="shared" si="72"/>
        <v>#N/A</v>
      </c>
      <c r="AI209" s="2351" t="e">
        <f t="shared" si="73"/>
        <v>#N/A</v>
      </c>
      <c r="AJ209" s="123" t="e">
        <f t="shared" si="88"/>
        <v>#N/A</v>
      </c>
      <c r="AK209" t="e">
        <f t="shared" si="89"/>
        <v>#N/A</v>
      </c>
      <c r="AL209" t="e">
        <f t="shared" si="90"/>
        <v>#N/A</v>
      </c>
      <c r="AQ209" s="123"/>
      <c r="AR209" s="123"/>
      <c r="AS209" s="123"/>
      <c r="AT209" s="2982"/>
      <c r="AU209" s="123"/>
      <c r="AV209" s="123"/>
      <c r="AW209" s="2983"/>
      <c r="AX209" s="2984"/>
      <c r="AY209" s="2985"/>
      <c r="AZ209" s="2986"/>
      <c r="BA209" s="2987"/>
      <c r="BB209" s="3194"/>
      <c r="BC209" s="2989"/>
    </row>
    <row r="210" spans="1:55" ht="27.75" customHeight="1" x14ac:dyDescent="0.25">
      <c r="A210" s="2620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09" t="s">
        <v>1373</v>
      </c>
      <c r="H210" s="2604" t="s">
        <v>1374</v>
      </c>
      <c r="I210" s="2122" t="str">
        <f t="shared" si="92"/>
        <v>6-DaHall 1-PDU-09-30-16</v>
      </c>
      <c r="J210" s="2123" t="str">
        <f t="shared" si="93"/>
        <v>6-DaHall 1-PDU-10-30-16</v>
      </c>
      <c r="K210" s="1460">
        <v>220</v>
      </c>
      <c r="L210" s="1461">
        <v>30</v>
      </c>
      <c r="M210" s="2419" t="s">
        <v>6584</v>
      </c>
      <c r="N210" s="1462">
        <v>16</v>
      </c>
      <c r="O210" s="1463">
        <v>220</v>
      </c>
      <c r="P210" s="1464">
        <v>30</v>
      </c>
      <c r="Q210" s="2425" t="s">
        <v>6585</v>
      </c>
      <c r="R210" s="1465">
        <v>16</v>
      </c>
      <c r="S210" s="3468"/>
      <c r="T210" s="3471"/>
      <c r="U210" s="3472"/>
      <c r="V210" s="3471"/>
      <c r="W210" s="3472"/>
      <c r="X210" s="3471"/>
      <c r="Y210" s="268">
        <f>SUM('6층_부하량(월간_AVG)'!L91:N91)</f>
        <v>0</v>
      </c>
      <c r="Z210" s="268">
        <f>SUM('6층_부하량(월간_AVG)'!L121:N121)</f>
        <v>0</v>
      </c>
      <c r="AA210" s="2436">
        <f t="shared" si="94"/>
        <v>0</v>
      </c>
      <c r="AB210" s="2683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692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3224">
        <f>VLOOKUP(I210&amp;J210,'7층~4층_매핑테이블'!$Q$6:$X$2020,8,0)</f>
        <v>0</v>
      </c>
      <c r="AE210" s="3140" t="e">
        <f t="shared" si="91"/>
        <v>#N/A</v>
      </c>
      <c r="AF210" s="2766" t="s">
        <v>1375</v>
      </c>
      <c r="AH210" s="2351" t="e">
        <f t="shared" si="72"/>
        <v>#N/A</v>
      </c>
      <c r="AI210" s="2351" t="e">
        <f t="shared" si="73"/>
        <v>#N/A</v>
      </c>
      <c r="AJ210" s="123" t="e">
        <f t="shared" si="88"/>
        <v>#N/A</v>
      </c>
      <c r="AK210" t="e">
        <f t="shared" si="89"/>
        <v>#N/A</v>
      </c>
      <c r="AL210" t="e">
        <f t="shared" si="90"/>
        <v>#N/A</v>
      </c>
      <c r="AQ210" s="123"/>
      <c r="AR210" s="123"/>
      <c r="AS210" s="123"/>
      <c r="AT210" s="2982"/>
      <c r="AU210" s="123"/>
      <c r="AV210" s="123"/>
      <c r="AW210" s="2983"/>
      <c r="AX210" s="2984"/>
      <c r="AY210" s="2985"/>
      <c r="AZ210" s="2986"/>
      <c r="BA210" s="2987"/>
      <c r="BB210" s="3194"/>
      <c r="BC210" s="2989"/>
    </row>
    <row r="211" spans="1:55" ht="27.75" customHeight="1" thickBot="1" x14ac:dyDescent="0.3">
      <c r="A211" s="2628" t="s">
        <v>1376</v>
      </c>
      <c r="B211" s="2629" t="s">
        <v>1377</v>
      </c>
      <c r="C211" s="2629"/>
      <c r="D211" s="2629"/>
      <c r="E211" s="2629" t="s">
        <v>1378</v>
      </c>
      <c r="F211" s="2629" t="s">
        <v>1379</v>
      </c>
      <c r="G211" s="2611" t="s">
        <v>1380</v>
      </c>
      <c r="H211" s="2605" t="s">
        <v>1381</v>
      </c>
      <c r="I211" s="2122" t="str">
        <f t="shared" si="92"/>
        <v>6-DaHall 1-PDU-09-30-18</v>
      </c>
      <c r="J211" s="2123" t="str">
        <f t="shared" si="93"/>
        <v>6-DaHall 1-PDU-10-30-18</v>
      </c>
      <c r="K211" s="1468">
        <v>220</v>
      </c>
      <c r="L211" s="1469">
        <v>30</v>
      </c>
      <c r="M211" s="2422" t="s">
        <v>6584</v>
      </c>
      <c r="N211" s="1470">
        <v>18</v>
      </c>
      <c r="O211" s="1471">
        <v>220</v>
      </c>
      <c r="P211" s="1472">
        <v>30</v>
      </c>
      <c r="Q211" s="2428" t="s">
        <v>6585</v>
      </c>
      <c r="R211" s="1473">
        <v>18</v>
      </c>
      <c r="S211" s="3469"/>
      <c r="T211" s="3498"/>
      <c r="U211" s="3499"/>
      <c r="V211" s="3498"/>
      <c r="W211" s="3499"/>
      <c r="X211" s="3498"/>
      <c r="Y211" s="330">
        <f>SUM('6층_부하량(월간_AVG)'!L92:N92)</f>
        <v>0</v>
      </c>
      <c r="Z211" s="330">
        <f>SUM('6층_부하량(월간_AVG)'!L122:N122)</f>
        <v>0</v>
      </c>
      <c r="AA211" s="2437">
        <f t="shared" si="94"/>
        <v>0</v>
      </c>
      <c r="AB211" s="2683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696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4032">
        <f>VLOOKUP(I211&amp;J211,'7층~4층_매핑테이블'!$Q$6:$X$2020,8,0)</f>
        <v>0</v>
      </c>
      <c r="AE211" s="3209" t="e">
        <f t="shared" si="91"/>
        <v>#N/A</v>
      </c>
      <c r="AF211" s="2768" t="s">
        <v>1375</v>
      </c>
      <c r="AH211" s="2351" t="e">
        <f t="shared" si="72"/>
        <v>#N/A</v>
      </c>
      <c r="AI211" s="2351" t="e">
        <f t="shared" si="73"/>
        <v>#N/A</v>
      </c>
      <c r="AJ211" s="123" t="e">
        <f t="shared" si="88"/>
        <v>#N/A</v>
      </c>
      <c r="AK211" t="e">
        <f t="shared" si="89"/>
        <v>#N/A</v>
      </c>
      <c r="AL211" t="e">
        <f t="shared" si="90"/>
        <v>#N/A</v>
      </c>
      <c r="AQ211" s="123"/>
      <c r="AR211" s="123"/>
      <c r="AS211" s="123"/>
      <c r="AT211" s="2982"/>
      <c r="AU211" s="123"/>
      <c r="AV211" s="123"/>
      <c r="AW211" s="2983"/>
      <c r="AX211" s="2984"/>
      <c r="AY211" s="2985"/>
      <c r="AZ211" s="2986"/>
      <c r="BA211" s="2987"/>
      <c r="BB211" s="3194"/>
      <c r="BC211" s="2989"/>
    </row>
    <row r="212" spans="1:55" ht="15" thickTop="1" x14ac:dyDescent="0.25">
      <c r="A212" s="1081" t="s">
        <v>771</v>
      </c>
      <c r="B212" s="828"/>
      <c r="C212" s="828"/>
      <c r="D212" s="828"/>
      <c r="E212" s="828"/>
      <c r="F212" s="828"/>
      <c r="G212" s="884"/>
      <c r="H212" s="885"/>
      <c r="I212" s="2120"/>
      <c r="J212" s="2121"/>
      <c r="K212" s="1452"/>
      <c r="L212" s="1453"/>
      <c r="M212" s="884"/>
      <c r="N212" s="1454"/>
      <c r="O212" s="1455"/>
      <c r="P212" s="1456"/>
      <c r="Q212" s="885"/>
      <c r="R212" s="1457"/>
      <c r="S212" s="829"/>
      <c r="T212" s="830"/>
      <c r="U212" s="829"/>
      <c r="V212" s="830"/>
      <c r="W212" s="829"/>
      <c r="X212" s="830"/>
      <c r="Y212" s="831"/>
      <c r="Z212" s="831"/>
      <c r="AA212" s="2439"/>
      <c r="AB212" s="2771"/>
      <c r="AC212" s="2701"/>
      <c r="AD212" s="3223"/>
      <c r="AE212" s="3215">
        <f t="shared" ref="AE212:AE221" si="95">SUM(AB212:AC212)</f>
        <v>0</v>
      </c>
      <c r="AF212" s="2772" t="s">
        <v>1265</v>
      </c>
      <c r="AH212" s="2351">
        <f t="shared" si="72"/>
        <v>0</v>
      </c>
      <c r="AI212" s="2351">
        <f t="shared" si="73"/>
        <v>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82"/>
      <c r="AU212" s="123"/>
      <c r="AV212" s="123"/>
      <c r="AW212" s="2983"/>
      <c r="AX212" s="2984"/>
      <c r="AY212" s="2985"/>
      <c r="AZ212" s="2986"/>
      <c r="BA212" s="2987"/>
      <c r="BB212" s="3194"/>
      <c r="BC212" s="2989"/>
    </row>
    <row r="213" spans="1:55" ht="27.75" customHeight="1" x14ac:dyDescent="0.25">
      <c r="A213" s="2620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09" t="s">
        <v>1270</v>
      </c>
      <c r="H213" s="2604" t="s">
        <v>1271</v>
      </c>
      <c r="I213" s="2122" t="str">
        <f t="shared" ref="I213:I221" si="96">"6-DaHall 1-PDU-"&amp;M213&amp;"-"&amp;L213&amp;"-"&amp;N213</f>
        <v>6-DaHall 1-PDU-09-30-20</v>
      </c>
      <c r="J213" s="2123" t="str">
        <f t="shared" ref="J213:J221" si="97">"6-DaHall 1-PDU-"&amp;Q213&amp;"-"&amp;P213&amp;"-"&amp;R213</f>
        <v>6-DaHall 1-PDU-10-30-20</v>
      </c>
      <c r="K213" s="1460">
        <v>220</v>
      </c>
      <c r="L213" s="1461">
        <v>30</v>
      </c>
      <c r="M213" s="2419" t="s">
        <v>6584</v>
      </c>
      <c r="N213" s="1462">
        <v>20</v>
      </c>
      <c r="O213" s="1463">
        <v>220</v>
      </c>
      <c r="P213" s="1464">
        <v>30</v>
      </c>
      <c r="Q213" s="2425" t="s">
        <v>6585</v>
      </c>
      <c r="R213" s="1465">
        <v>20</v>
      </c>
      <c r="S213" s="3468" t="s">
        <v>1272</v>
      </c>
      <c r="T213" s="3465" t="s">
        <v>1273</v>
      </c>
      <c r="U213" s="3468" t="s">
        <v>1274</v>
      </c>
      <c r="V213" s="3465" t="s">
        <v>1275</v>
      </c>
      <c r="W213" s="3468" t="s">
        <v>1276</v>
      </c>
      <c r="X213" s="3465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36">
        <f t="shared" ref="AA213:AA221" si="98">SUM(Y213:Z213)</f>
        <v>0</v>
      </c>
      <c r="AB213" s="2683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692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3224">
        <f>VLOOKUP(I213&amp;J213,'7층~4층_매핑테이블'!$Q$6:$X$2020,8,0)</f>
        <v>0</v>
      </c>
      <c r="AE213" s="3140" t="e">
        <f t="shared" si="95"/>
        <v>#N/A</v>
      </c>
      <c r="AF213" s="2766"/>
      <c r="AH213" s="2351" t="e">
        <f t="shared" si="72"/>
        <v>#N/A</v>
      </c>
      <c r="AI213" s="2351" t="e">
        <f t="shared" si="73"/>
        <v>#N/A</v>
      </c>
      <c r="AJ213" s="123" t="e">
        <f t="shared" si="88"/>
        <v>#N/A</v>
      </c>
      <c r="AK213" t="e">
        <f t="shared" si="89"/>
        <v>#N/A</v>
      </c>
      <c r="AL213" t="e">
        <f t="shared" si="90"/>
        <v>#N/A</v>
      </c>
      <c r="AQ213" s="123"/>
      <c r="AR213" s="123"/>
      <c r="AS213" s="123"/>
      <c r="AT213" s="2982"/>
      <c r="AU213" s="123"/>
      <c r="AV213" s="123"/>
      <c r="AW213" s="2983"/>
      <c r="AX213" s="2984"/>
      <c r="AY213" s="2985"/>
      <c r="AZ213" s="2986"/>
      <c r="BA213" s="2987"/>
      <c r="BB213" s="3194"/>
      <c r="BC213" s="2989"/>
    </row>
    <row r="214" spans="1:55" ht="27.75" customHeight="1" x14ac:dyDescent="0.25">
      <c r="A214" s="2620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09" t="s">
        <v>1282</v>
      </c>
      <c r="H214" s="2604" t="s">
        <v>1283</v>
      </c>
      <c r="I214" s="2122" t="str">
        <f t="shared" si="96"/>
        <v>6-DaHall 1-PDU-09-30-22</v>
      </c>
      <c r="J214" s="2123" t="str">
        <f t="shared" si="97"/>
        <v>6-DaHall 1-PDU-10-30-22</v>
      </c>
      <c r="K214" s="1460">
        <v>220</v>
      </c>
      <c r="L214" s="1461">
        <v>30</v>
      </c>
      <c r="M214" s="2419" t="s">
        <v>6584</v>
      </c>
      <c r="N214" s="1462">
        <v>22</v>
      </c>
      <c r="O214" s="1463">
        <v>220</v>
      </c>
      <c r="P214" s="1464">
        <v>30</v>
      </c>
      <c r="Q214" s="2425" t="s">
        <v>6585</v>
      </c>
      <c r="R214" s="1465">
        <v>22</v>
      </c>
      <c r="S214" s="3468"/>
      <c r="T214" s="3471"/>
      <c r="U214" s="3472"/>
      <c r="V214" s="3471"/>
      <c r="W214" s="3472"/>
      <c r="X214" s="3471"/>
      <c r="Y214" s="253">
        <f>SUM('6층_부하량(월간_AVG)'!L94:N94)</f>
        <v>0</v>
      </c>
      <c r="Z214" s="253">
        <f>SUM('6층_부하량(월간_AVG)'!L124:N124)</f>
        <v>0</v>
      </c>
      <c r="AA214" s="2436">
        <f t="shared" si="98"/>
        <v>0</v>
      </c>
      <c r="AB214" s="2683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692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3224">
        <f>VLOOKUP(I214&amp;J214,'7층~4층_매핑테이블'!$Q$6:$X$2020,8,0)</f>
        <v>0</v>
      </c>
      <c r="AE214" s="3140" t="e">
        <f t="shared" si="95"/>
        <v>#N/A</v>
      </c>
      <c r="AF214" s="2766"/>
      <c r="AH214" s="2351" t="e">
        <f t="shared" si="72"/>
        <v>#N/A</v>
      </c>
      <c r="AI214" s="2351" t="e">
        <f t="shared" si="73"/>
        <v>#N/A</v>
      </c>
      <c r="AJ214" s="123" t="e">
        <f t="shared" si="88"/>
        <v>#N/A</v>
      </c>
      <c r="AK214" t="e">
        <f t="shared" si="89"/>
        <v>#N/A</v>
      </c>
      <c r="AL214" t="e">
        <f t="shared" si="90"/>
        <v>#N/A</v>
      </c>
      <c r="AQ214" s="123"/>
      <c r="AR214" s="123"/>
      <c r="AS214" s="123"/>
      <c r="AT214" s="2982"/>
      <c r="AU214" s="123"/>
      <c r="AV214" s="123"/>
      <c r="AW214" s="2983"/>
      <c r="AX214" s="2984"/>
      <c r="AY214" s="2985"/>
      <c r="AZ214" s="2986"/>
      <c r="BA214" s="2987"/>
      <c r="BB214" s="3194"/>
      <c r="BC214" s="2989"/>
    </row>
    <row r="215" spans="1:55" ht="27.75" customHeight="1" x14ac:dyDescent="0.25">
      <c r="A215" s="2620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09" t="s">
        <v>1288</v>
      </c>
      <c r="H215" s="2604" t="s">
        <v>1289</v>
      </c>
      <c r="I215" s="2122" t="str">
        <f t="shared" si="96"/>
        <v>6-DaHall 1-PDU-09-30-24</v>
      </c>
      <c r="J215" s="2123" t="str">
        <f t="shared" si="97"/>
        <v>6-DaHall 1-PDU-10-30-48</v>
      </c>
      <c r="K215" s="1460">
        <v>220</v>
      </c>
      <c r="L215" s="1461">
        <v>30</v>
      </c>
      <c r="M215" s="2419" t="s">
        <v>6584</v>
      </c>
      <c r="N215" s="1462">
        <v>24</v>
      </c>
      <c r="O215" s="1466">
        <v>220</v>
      </c>
      <c r="P215" s="1467">
        <v>30</v>
      </c>
      <c r="Q215" s="2425" t="s">
        <v>6585</v>
      </c>
      <c r="R215" s="1465">
        <v>48</v>
      </c>
      <c r="S215" s="3468"/>
      <c r="T215" s="3471"/>
      <c r="U215" s="3472"/>
      <c r="V215" s="3471"/>
      <c r="W215" s="3472"/>
      <c r="X215" s="3471"/>
      <c r="Y215" s="253">
        <f>SUM('6층_부하량(월간_AVG)'!L95:N95)</f>
        <v>0</v>
      </c>
      <c r="Z215" s="260">
        <f>SUM('6층_부하량(월간_AVG)'!L137:N137)</f>
        <v>0</v>
      </c>
      <c r="AA215" s="2436">
        <f t="shared" si="98"/>
        <v>0</v>
      </c>
      <c r="AB215" s="2683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692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3224">
        <f>VLOOKUP(I215&amp;J215,'7층~4층_매핑테이블'!$Q$6:$X$2020,8,0)</f>
        <v>0</v>
      </c>
      <c r="AE215" s="3140" t="e">
        <f t="shared" si="95"/>
        <v>#N/A</v>
      </c>
      <c r="AF215" s="2459"/>
      <c r="AH215" s="2351" t="e">
        <f t="shared" si="72"/>
        <v>#N/A</v>
      </c>
      <c r="AI215" s="2351" t="e">
        <f t="shared" si="73"/>
        <v>#N/A</v>
      </c>
      <c r="AJ215" s="123" t="e">
        <f t="shared" si="88"/>
        <v>#N/A</v>
      </c>
      <c r="AK215" t="e">
        <f t="shared" si="89"/>
        <v>#N/A</v>
      </c>
      <c r="AL215" t="e">
        <f t="shared" si="90"/>
        <v>#N/A</v>
      </c>
      <c r="AQ215" s="123"/>
      <c r="AR215" s="123"/>
      <c r="AS215" s="123"/>
      <c r="AT215" s="2982"/>
      <c r="AU215" s="123"/>
      <c r="AV215" s="123"/>
      <c r="AW215" s="2983"/>
      <c r="AX215" s="2984"/>
      <c r="AY215" s="2985"/>
      <c r="AZ215" s="2986"/>
      <c r="BA215" s="2987"/>
      <c r="BB215" s="3194"/>
      <c r="BC215" s="2989"/>
    </row>
    <row r="216" spans="1:55" ht="27.75" customHeight="1" x14ac:dyDescent="0.25">
      <c r="A216" s="2620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09" t="s">
        <v>1294</v>
      </c>
      <c r="H216" s="2604" t="s">
        <v>1295</v>
      </c>
      <c r="I216" s="2122" t="str">
        <f t="shared" si="96"/>
        <v>6-DaHall 1-PDU-09-30-26</v>
      </c>
      <c r="J216" s="2123" t="str">
        <f t="shared" si="97"/>
        <v>6-DaHall 1-PDU-10-30-26</v>
      </c>
      <c r="K216" s="1460">
        <v>220</v>
      </c>
      <c r="L216" s="1461">
        <v>30</v>
      </c>
      <c r="M216" s="2419" t="s">
        <v>6584</v>
      </c>
      <c r="N216" s="1462">
        <v>26</v>
      </c>
      <c r="O216" s="1463">
        <v>220</v>
      </c>
      <c r="P216" s="1464">
        <v>30</v>
      </c>
      <c r="Q216" s="2425" t="s">
        <v>6585</v>
      </c>
      <c r="R216" s="1465">
        <v>26</v>
      </c>
      <c r="S216" s="3468"/>
      <c r="T216" s="3471"/>
      <c r="U216" s="3472"/>
      <c r="V216" s="3471"/>
      <c r="W216" s="3472"/>
      <c r="X216" s="3471"/>
      <c r="Y216" s="253">
        <f>SUM('6층_부하량(월간_AVG)'!L96:N96)</f>
        <v>0</v>
      </c>
      <c r="Z216" s="253">
        <f>SUM('6층_부하량(월간_AVG)'!L126:N126)</f>
        <v>0</v>
      </c>
      <c r="AA216" s="2436">
        <f t="shared" si="98"/>
        <v>0</v>
      </c>
      <c r="AB216" s="2683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692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3224">
        <f>VLOOKUP(I216&amp;J216,'7층~4층_매핑테이블'!$Q$6:$X$2020,8,0)</f>
        <v>0</v>
      </c>
      <c r="AE216" s="3140" t="e">
        <f t="shared" si="95"/>
        <v>#N/A</v>
      </c>
      <c r="AF216" s="2773"/>
      <c r="AH216" s="2351" t="e">
        <f t="shared" si="72"/>
        <v>#N/A</v>
      </c>
      <c r="AI216" s="2351" t="e">
        <f t="shared" si="73"/>
        <v>#N/A</v>
      </c>
      <c r="AJ216" s="123" t="e">
        <f t="shared" si="88"/>
        <v>#N/A</v>
      </c>
      <c r="AK216" t="e">
        <f t="shared" si="89"/>
        <v>#N/A</v>
      </c>
      <c r="AL216" t="e">
        <f t="shared" si="90"/>
        <v>#N/A</v>
      </c>
      <c r="AQ216" s="123"/>
      <c r="AR216" s="123"/>
      <c r="AS216" s="123"/>
      <c r="AT216" s="2982"/>
      <c r="AU216" s="123"/>
      <c r="AV216" s="123"/>
      <c r="AW216" s="2983"/>
      <c r="AX216" s="2984"/>
      <c r="AY216" s="2985"/>
      <c r="AZ216" s="2986"/>
      <c r="BA216" s="2987"/>
      <c r="BB216" s="3194"/>
      <c r="BC216" s="2989"/>
    </row>
    <row r="217" spans="1:55" ht="27.75" customHeight="1" x14ac:dyDescent="0.25">
      <c r="A217" s="2620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09" t="s">
        <v>1300</v>
      </c>
      <c r="H217" s="2604" t="s">
        <v>1301</v>
      </c>
      <c r="I217" s="2122" t="str">
        <f t="shared" si="96"/>
        <v>6-DaHall 1-PDU-09-30-28</v>
      </c>
      <c r="J217" s="2123" t="str">
        <f t="shared" si="97"/>
        <v>6-DaHall 1-PDU-10-30-28</v>
      </c>
      <c r="K217" s="1460">
        <v>220</v>
      </c>
      <c r="L217" s="1461">
        <v>30</v>
      </c>
      <c r="M217" s="2419" t="s">
        <v>6584</v>
      </c>
      <c r="N217" s="1462">
        <v>28</v>
      </c>
      <c r="O217" s="1463">
        <v>220</v>
      </c>
      <c r="P217" s="1464">
        <v>30</v>
      </c>
      <c r="Q217" s="2425" t="s">
        <v>6585</v>
      </c>
      <c r="R217" s="1465">
        <v>28</v>
      </c>
      <c r="S217" s="3468"/>
      <c r="T217" s="3471"/>
      <c r="U217" s="3472"/>
      <c r="V217" s="3471"/>
      <c r="W217" s="3472"/>
      <c r="X217" s="3471"/>
      <c r="Y217" s="253">
        <f>SUM('6층_부하량(월간_AVG)'!L97:N97)</f>
        <v>0</v>
      </c>
      <c r="Z217" s="253">
        <f>SUM('6층_부하량(월간_AVG)'!L127:N127)</f>
        <v>0</v>
      </c>
      <c r="AA217" s="2436">
        <f t="shared" si="98"/>
        <v>0</v>
      </c>
      <c r="AB217" s="2683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692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3224">
        <f>VLOOKUP(I217&amp;J217,'7층~4층_매핑테이블'!$Q$6:$X$2020,8,0)</f>
        <v>0</v>
      </c>
      <c r="AE217" s="3140" t="e">
        <f t="shared" si="95"/>
        <v>#N/A</v>
      </c>
      <c r="AF217" s="2774"/>
      <c r="AH217" s="2351" t="e">
        <f t="shared" si="72"/>
        <v>#N/A</v>
      </c>
      <c r="AI217" s="2351" t="e">
        <f t="shared" si="73"/>
        <v>#N/A</v>
      </c>
      <c r="AJ217" s="123" t="e">
        <f t="shared" si="88"/>
        <v>#N/A</v>
      </c>
      <c r="AK217" t="e">
        <f t="shared" si="89"/>
        <v>#N/A</v>
      </c>
      <c r="AL217" t="e">
        <f t="shared" si="90"/>
        <v>#N/A</v>
      </c>
      <c r="AQ217" s="123"/>
      <c r="AR217" s="123"/>
      <c r="AS217" s="123"/>
      <c r="AT217" s="2982"/>
      <c r="AU217" s="123"/>
      <c r="AV217" s="123"/>
      <c r="AW217" s="2983"/>
      <c r="AX217" s="2984"/>
      <c r="AY217" s="2985"/>
      <c r="AZ217" s="2986"/>
      <c r="BA217" s="2987"/>
      <c r="BB217" s="3194"/>
      <c r="BC217" s="2989"/>
    </row>
    <row r="218" spans="1:55" ht="27.75" customHeight="1" x14ac:dyDescent="0.25">
      <c r="A218" s="2620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09" t="s">
        <v>1306</v>
      </c>
      <c r="H218" s="2604" t="s">
        <v>1307</v>
      </c>
      <c r="I218" s="2122" t="str">
        <f t="shared" si="96"/>
        <v>6-DaHall 1-PDU-09-30-30</v>
      </c>
      <c r="J218" s="2123" t="str">
        <f t="shared" si="97"/>
        <v>6-DaHall 1-PDU-10-30-30</v>
      </c>
      <c r="K218" s="1460">
        <v>220</v>
      </c>
      <c r="L218" s="1461">
        <v>30</v>
      </c>
      <c r="M218" s="2419" t="s">
        <v>6584</v>
      </c>
      <c r="N218" s="1462">
        <v>30</v>
      </c>
      <c r="O218" s="1463">
        <v>220</v>
      </c>
      <c r="P218" s="1464">
        <v>30</v>
      </c>
      <c r="Q218" s="2425" t="s">
        <v>6585</v>
      </c>
      <c r="R218" s="1465">
        <v>30</v>
      </c>
      <c r="S218" s="3468"/>
      <c r="T218" s="3471"/>
      <c r="U218" s="3472"/>
      <c r="V218" s="3471"/>
      <c r="W218" s="3472"/>
      <c r="X218" s="3471"/>
      <c r="Y218" s="253">
        <f>SUM('6층_부하량(월간_AVG)'!L98:N98)</f>
        <v>0</v>
      </c>
      <c r="Z218" s="253">
        <f>SUM('6층_부하량(월간_AVG)'!L128:N128)</f>
        <v>0</v>
      </c>
      <c r="AA218" s="2436">
        <f t="shared" si="98"/>
        <v>0</v>
      </c>
      <c r="AB218" s="2683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692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3224">
        <f>VLOOKUP(I218&amp;J218,'7층~4층_매핑테이블'!$Q$6:$X$2020,8,0)</f>
        <v>0</v>
      </c>
      <c r="AE218" s="3140" t="e">
        <f t="shared" si="95"/>
        <v>#N/A</v>
      </c>
      <c r="AF218" s="2775"/>
      <c r="AH218" s="2351" t="e">
        <f t="shared" ref="AH218:AH250" si="99">AE218/(24*31)</f>
        <v>#N/A</v>
      </c>
      <c r="AI218" s="2351" t="e">
        <f t="shared" ref="AI218:AI250" si="100">D218-AH218</f>
        <v>#N/A</v>
      </c>
      <c r="AJ218" s="123" t="e">
        <f t="shared" si="88"/>
        <v>#N/A</v>
      </c>
      <c r="AK218" t="e">
        <f t="shared" si="89"/>
        <v>#N/A</v>
      </c>
      <c r="AL218" t="e">
        <f t="shared" si="90"/>
        <v>#N/A</v>
      </c>
      <c r="AQ218" s="123"/>
      <c r="AR218" s="123"/>
      <c r="AS218" s="123"/>
      <c r="AT218" s="2982"/>
      <c r="AU218" s="123"/>
      <c r="AV218" s="123"/>
      <c r="AW218" s="2983"/>
      <c r="AX218" s="2984"/>
      <c r="AY218" s="2985"/>
      <c r="AZ218" s="2986"/>
      <c r="BA218" s="2987"/>
      <c r="BB218" s="3194"/>
      <c r="BC218" s="2989"/>
    </row>
    <row r="219" spans="1:55" ht="27.75" customHeight="1" x14ac:dyDescent="0.25">
      <c r="A219" s="2620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09" t="s">
        <v>1312</v>
      </c>
      <c r="H219" s="2604" t="s">
        <v>1313</v>
      </c>
      <c r="I219" s="2122" t="str">
        <f t="shared" si="96"/>
        <v>6-DaHall 1-PDU-09-30-32</v>
      </c>
      <c r="J219" s="2123" t="str">
        <f t="shared" si="97"/>
        <v>6-DaHall 1-PDU-10-30-32</v>
      </c>
      <c r="K219" s="1460">
        <v>220</v>
      </c>
      <c r="L219" s="1461">
        <v>30</v>
      </c>
      <c r="M219" s="2419" t="s">
        <v>6584</v>
      </c>
      <c r="N219" s="1462">
        <v>32</v>
      </c>
      <c r="O219" s="1463">
        <v>220</v>
      </c>
      <c r="P219" s="1464">
        <v>30</v>
      </c>
      <c r="Q219" s="2425" t="s">
        <v>6585</v>
      </c>
      <c r="R219" s="1465">
        <v>32</v>
      </c>
      <c r="S219" s="3468"/>
      <c r="T219" s="3471"/>
      <c r="U219" s="3472"/>
      <c r="V219" s="3471"/>
      <c r="W219" s="3472"/>
      <c r="X219" s="3471"/>
      <c r="Y219" s="253">
        <f>SUM('6층_부하량(월간_AVG)'!L99:N99)</f>
        <v>0</v>
      </c>
      <c r="Z219" s="253">
        <f>SUM('6층_부하량(월간_AVG)'!L129:N129)</f>
        <v>0</v>
      </c>
      <c r="AA219" s="2436">
        <f t="shared" si="98"/>
        <v>0</v>
      </c>
      <c r="AB219" s="2683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692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3224">
        <f>VLOOKUP(I219&amp;J219,'7층~4층_매핑테이블'!$Q$6:$X$2020,8,0)</f>
        <v>0</v>
      </c>
      <c r="AE219" s="3140" t="e">
        <f t="shared" si="95"/>
        <v>#N/A</v>
      </c>
      <c r="AF219" s="2766"/>
      <c r="AH219" s="2351" t="e">
        <f t="shared" si="99"/>
        <v>#N/A</v>
      </c>
      <c r="AI219" s="2351" t="e">
        <f t="shared" si="100"/>
        <v>#N/A</v>
      </c>
      <c r="AJ219" s="123" t="e">
        <f t="shared" si="88"/>
        <v>#N/A</v>
      </c>
      <c r="AK219" t="e">
        <f t="shared" si="89"/>
        <v>#N/A</v>
      </c>
      <c r="AL219" t="e">
        <f t="shared" si="90"/>
        <v>#N/A</v>
      </c>
      <c r="AQ219" s="123"/>
      <c r="AR219" s="123"/>
      <c r="AS219" s="123"/>
      <c r="AT219" s="2982"/>
      <c r="AU219" s="123"/>
      <c r="AV219" s="123"/>
      <c r="AW219" s="2983"/>
      <c r="AX219" s="2984"/>
      <c r="AY219" s="2985"/>
      <c r="AZ219" s="2986"/>
      <c r="BA219" s="2987"/>
      <c r="BB219" s="3194"/>
      <c r="BC219" s="2989"/>
    </row>
    <row r="220" spans="1:55" ht="27.75" customHeight="1" x14ac:dyDescent="0.25">
      <c r="A220" s="2620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09" t="s">
        <v>1318</v>
      </c>
      <c r="H220" s="2604" t="s">
        <v>1319</v>
      </c>
      <c r="I220" s="2122" t="str">
        <f t="shared" si="96"/>
        <v>6-DaHall 1-PDU-09-30-34</v>
      </c>
      <c r="J220" s="2123" t="str">
        <f t="shared" si="97"/>
        <v>6-DaHall 1-PDU-10-30-34</v>
      </c>
      <c r="K220" s="1460">
        <v>220</v>
      </c>
      <c r="L220" s="1461">
        <v>30</v>
      </c>
      <c r="M220" s="2419" t="s">
        <v>6584</v>
      </c>
      <c r="N220" s="1462">
        <v>34</v>
      </c>
      <c r="O220" s="1463">
        <v>220</v>
      </c>
      <c r="P220" s="1464">
        <v>30</v>
      </c>
      <c r="Q220" s="2425" t="s">
        <v>6585</v>
      </c>
      <c r="R220" s="1465">
        <v>34</v>
      </c>
      <c r="S220" s="3468"/>
      <c r="T220" s="3471"/>
      <c r="U220" s="3472"/>
      <c r="V220" s="3471"/>
      <c r="W220" s="3472"/>
      <c r="X220" s="3471"/>
      <c r="Y220" s="253">
        <f>SUM('6층_부하량(월간_AVG)'!L100:N100)</f>
        <v>0</v>
      </c>
      <c r="Z220" s="253">
        <f>SUM('6층_부하량(월간_AVG)'!L130:N130)</f>
        <v>0</v>
      </c>
      <c r="AA220" s="2436">
        <f t="shared" si="98"/>
        <v>0</v>
      </c>
      <c r="AB220" s="2683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692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3224">
        <f>VLOOKUP(I220&amp;J220,'7층~4층_매핑테이블'!$Q$6:$X$2020,8,0)</f>
        <v>0</v>
      </c>
      <c r="AE220" s="3140" t="e">
        <f t="shared" si="95"/>
        <v>#N/A</v>
      </c>
      <c r="AF220" s="2766"/>
      <c r="AH220" s="2351" t="e">
        <f t="shared" si="99"/>
        <v>#N/A</v>
      </c>
      <c r="AI220" s="2351" t="e">
        <f t="shared" si="100"/>
        <v>#N/A</v>
      </c>
      <c r="AJ220" s="123" t="e">
        <f t="shared" si="88"/>
        <v>#N/A</v>
      </c>
      <c r="AK220" t="e">
        <f t="shared" si="89"/>
        <v>#N/A</v>
      </c>
      <c r="AL220" t="e">
        <f t="shared" si="90"/>
        <v>#N/A</v>
      </c>
      <c r="AQ220" s="123"/>
      <c r="AR220" s="123"/>
      <c r="AS220" s="123"/>
      <c r="AT220" s="2982"/>
      <c r="AU220" s="123"/>
      <c r="AV220" s="123"/>
      <c r="AW220" s="2983"/>
      <c r="AX220" s="2984"/>
      <c r="AY220" s="2985"/>
      <c r="AZ220" s="2986"/>
      <c r="BA220" s="2987"/>
      <c r="BB220" s="3194"/>
      <c r="BC220" s="2989"/>
    </row>
    <row r="221" spans="1:55" ht="27.75" customHeight="1" thickBot="1" x14ac:dyDescent="0.3">
      <c r="A221" s="2628" t="s">
        <v>1320</v>
      </c>
      <c r="B221" s="2629" t="s">
        <v>1321</v>
      </c>
      <c r="C221" s="2629"/>
      <c r="D221" s="2629"/>
      <c r="E221" s="2629" t="s">
        <v>1322</v>
      </c>
      <c r="F221" s="2629" t="s">
        <v>1323</v>
      </c>
      <c r="G221" s="2611" t="s">
        <v>1324</v>
      </c>
      <c r="H221" s="2605" t="s">
        <v>1325</v>
      </c>
      <c r="I221" s="2122" t="str">
        <f t="shared" si="96"/>
        <v>6-DaHall 1-PDU-09-30-36</v>
      </c>
      <c r="J221" s="2123" t="str">
        <f t="shared" si="97"/>
        <v>6-DaHall 1-PDU-10-30-36</v>
      </c>
      <c r="K221" s="1468">
        <v>220</v>
      </c>
      <c r="L221" s="1469">
        <v>30</v>
      </c>
      <c r="M221" s="2422" t="s">
        <v>6584</v>
      </c>
      <c r="N221" s="1470">
        <v>36</v>
      </c>
      <c r="O221" s="1471">
        <v>220</v>
      </c>
      <c r="P221" s="1472">
        <v>30</v>
      </c>
      <c r="Q221" s="2428" t="s">
        <v>6585</v>
      </c>
      <c r="R221" s="1473">
        <v>36</v>
      </c>
      <c r="S221" s="3469"/>
      <c r="T221" s="3498"/>
      <c r="U221" s="3499"/>
      <c r="V221" s="3498"/>
      <c r="W221" s="3499"/>
      <c r="X221" s="3498"/>
      <c r="Y221" s="329">
        <f>SUM('6층_부하량(월간_AVG)'!L101:N101)</f>
        <v>0</v>
      </c>
      <c r="Z221" s="329">
        <f>SUM('6층_부하량(월간_AVG)'!L131:N131)</f>
        <v>0</v>
      </c>
      <c r="AA221" s="2437">
        <f t="shared" si="98"/>
        <v>0</v>
      </c>
      <c r="AB221" s="2683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696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4032">
        <f>VLOOKUP(I221&amp;J221,'7층~4층_매핑테이블'!$Q$6:$X$2020,8,0)</f>
        <v>0</v>
      </c>
      <c r="AE221" s="3209" t="e">
        <f t="shared" si="95"/>
        <v>#N/A</v>
      </c>
      <c r="AF221" s="2768"/>
      <c r="AH221" s="2351" t="e">
        <f t="shared" si="99"/>
        <v>#N/A</v>
      </c>
      <c r="AI221" s="2351" t="e">
        <f t="shared" si="100"/>
        <v>#N/A</v>
      </c>
      <c r="AJ221" s="123" t="e">
        <f t="shared" si="88"/>
        <v>#N/A</v>
      </c>
      <c r="AK221" t="e">
        <f t="shared" si="89"/>
        <v>#N/A</v>
      </c>
      <c r="AL221" t="e">
        <f t="shared" si="90"/>
        <v>#N/A</v>
      </c>
      <c r="AQ221" s="123"/>
      <c r="AR221" s="123"/>
      <c r="AS221" s="123"/>
      <c r="AT221" s="2982"/>
      <c r="AU221" s="123"/>
      <c r="AV221" s="123"/>
      <c r="AW221" s="2983"/>
      <c r="AX221" s="2984"/>
      <c r="AY221" s="2985"/>
      <c r="AZ221" s="2986"/>
      <c r="BA221" s="2987"/>
      <c r="BB221" s="3194"/>
      <c r="BC221" s="2989"/>
    </row>
    <row r="222" spans="1:55" ht="28.5" hidden="1" customHeight="1" x14ac:dyDescent="0.3">
      <c r="A222" s="1082"/>
      <c r="B222" s="327" t="s">
        <v>2337</v>
      </c>
      <c r="C222" s="327"/>
      <c r="D222" s="327"/>
      <c r="E222" s="327" t="s">
        <v>2338</v>
      </c>
      <c r="F222" s="327" t="s">
        <v>2339</v>
      </c>
      <c r="G222" s="2608" t="s">
        <v>2340</v>
      </c>
      <c r="H222" s="2610" t="s">
        <v>2341</v>
      </c>
      <c r="I222" s="2129" t="str">
        <f t="shared" ref="I222:I244" si="101">"6-DaHall 1-PDU-"&amp;M222&amp;"-"&amp;L222&amp;"-"&amp;N222</f>
        <v>6-DaHall 1-PDU-01-30-17</v>
      </c>
      <c r="J222" s="2130" t="str">
        <f t="shared" ref="J222:J242" si="102">"6-DaHall 1-PDU-"&amp;Q222&amp;"-"&amp;P222&amp;"-"&amp;R222</f>
        <v>6-DaHall 1-PDU-02-30-17</v>
      </c>
      <c r="K222" s="1503">
        <v>220</v>
      </c>
      <c r="L222" s="1504">
        <v>30</v>
      </c>
      <c r="M222" s="2421" t="s">
        <v>6497</v>
      </c>
      <c r="N222" s="1485">
        <v>17</v>
      </c>
      <c r="O222" s="1505">
        <v>220</v>
      </c>
      <c r="P222" s="1506">
        <v>30</v>
      </c>
      <c r="Q222" s="2427" t="s">
        <v>6493</v>
      </c>
      <c r="R222" s="1488">
        <v>17</v>
      </c>
      <c r="S222" s="3467" t="s">
        <v>1694</v>
      </c>
      <c r="T222" s="3497" t="s">
        <v>1695</v>
      </c>
      <c r="U222" s="3467" t="s">
        <v>1696</v>
      </c>
      <c r="V222" s="3497" t="s">
        <v>1697</v>
      </c>
      <c r="W222" s="3467" t="s">
        <v>1276</v>
      </c>
      <c r="X222" s="3497" t="s">
        <v>1881</v>
      </c>
      <c r="Y222" s="1091"/>
      <c r="Z222" s="1091"/>
      <c r="AA222" s="2446"/>
      <c r="AB222" s="2788"/>
      <c r="AC222" s="3200"/>
      <c r="AD222" s="3240">
        <f>VLOOKUP(I222&amp;J222,'7층~4층_매핑테이블'!$Q$6:$X$2020,8,0)</f>
        <v>0</v>
      </c>
      <c r="AE222" s="3216">
        <f t="shared" ref="AE222:AE231" si="103">SUM(AB222:AC222)</f>
        <v>0</v>
      </c>
      <c r="AF222" s="2789"/>
      <c r="AG222" s="3535" t="s">
        <v>2342</v>
      </c>
      <c r="AH222" s="2351">
        <f t="shared" si="99"/>
        <v>0</v>
      </c>
      <c r="AI222" s="2351">
        <f t="shared" si="100"/>
        <v>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82"/>
      <c r="AU222" s="123"/>
      <c r="AV222" s="123"/>
      <c r="AW222" s="2983"/>
      <c r="AX222" s="2984"/>
      <c r="AY222" s="2985"/>
      <c r="AZ222" s="2986"/>
      <c r="BA222" s="2987"/>
      <c r="BB222" s="3194"/>
      <c r="BC222" s="2989"/>
    </row>
    <row r="223" spans="1:55" ht="28.5" hidden="1" customHeight="1" x14ac:dyDescent="0.3">
      <c r="A223" s="1083"/>
      <c r="B223" s="250" t="s">
        <v>2343</v>
      </c>
      <c r="C223" s="250"/>
      <c r="D223" s="250"/>
      <c r="E223" s="250" t="s">
        <v>2344</v>
      </c>
      <c r="F223" s="250" t="s">
        <v>2345</v>
      </c>
      <c r="G223" s="2609" t="s">
        <v>2346</v>
      </c>
      <c r="H223" s="2604" t="s">
        <v>2347</v>
      </c>
      <c r="I223" s="2122" t="str">
        <f t="shared" si="101"/>
        <v>6-DaHall 1-PDU-01-30-15</v>
      </c>
      <c r="J223" s="2123" t="str">
        <f t="shared" si="102"/>
        <v>6-DaHall 1-PDU-02-30-15</v>
      </c>
      <c r="K223" s="1474">
        <v>220</v>
      </c>
      <c r="L223" s="1475">
        <v>30</v>
      </c>
      <c r="M223" s="2419" t="s">
        <v>6497</v>
      </c>
      <c r="N223" s="1462">
        <v>15</v>
      </c>
      <c r="O223" s="1466">
        <v>220</v>
      </c>
      <c r="P223" s="1467">
        <v>30</v>
      </c>
      <c r="Q223" s="2425" t="s">
        <v>6493</v>
      </c>
      <c r="R223" s="1465">
        <v>15</v>
      </c>
      <c r="S223" s="3468"/>
      <c r="T223" s="3465"/>
      <c r="U223" s="3468"/>
      <c r="V223" s="3465"/>
      <c r="W223" s="3468"/>
      <c r="X223" s="3465"/>
      <c r="Y223" s="1092"/>
      <c r="Z223" s="1092"/>
      <c r="AA223" s="2447"/>
      <c r="AB223" s="2788"/>
      <c r="AC223" s="3200"/>
      <c r="AD223" s="3224">
        <f>VLOOKUP(I223&amp;J223,'7층~4층_매핑테이블'!$Q$6:$X$2020,8,0)</f>
        <v>0</v>
      </c>
      <c r="AE223" s="3217">
        <f t="shared" si="103"/>
        <v>0</v>
      </c>
      <c r="AF223" s="2790"/>
      <c r="AG223" s="3536"/>
      <c r="AH223" s="2351">
        <f t="shared" si="99"/>
        <v>0</v>
      </c>
      <c r="AI223" s="2351">
        <f t="shared" si="100"/>
        <v>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82"/>
      <c r="AU223" s="123"/>
      <c r="AV223" s="123"/>
      <c r="AW223" s="2983"/>
      <c r="AX223" s="2984"/>
      <c r="AY223" s="2985"/>
      <c r="AZ223" s="2986"/>
      <c r="BA223" s="2987"/>
      <c r="BB223" s="3194"/>
      <c r="BC223" s="2989"/>
    </row>
    <row r="224" spans="1:55" ht="28.5" hidden="1" customHeight="1" x14ac:dyDescent="0.3">
      <c r="A224" s="1083"/>
      <c r="B224" s="250" t="s">
        <v>2348</v>
      </c>
      <c r="C224" s="250"/>
      <c r="D224" s="250"/>
      <c r="E224" s="250" t="s">
        <v>2349</v>
      </c>
      <c r="F224" s="250" t="s">
        <v>2350</v>
      </c>
      <c r="G224" s="2609" t="s">
        <v>2351</v>
      </c>
      <c r="H224" s="2604" t="s">
        <v>2352</v>
      </c>
      <c r="I224" s="2122" t="str">
        <f t="shared" si="101"/>
        <v>6-DaHall 1-PDU-01-30-13</v>
      </c>
      <c r="J224" s="2123" t="str">
        <f t="shared" si="102"/>
        <v>6-DaHall 1-PDU-02-30-13</v>
      </c>
      <c r="K224" s="1474">
        <v>220</v>
      </c>
      <c r="L224" s="1475">
        <v>30</v>
      </c>
      <c r="M224" s="2419" t="s">
        <v>6497</v>
      </c>
      <c r="N224" s="1462">
        <v>13</v>
      </c>
      <c r="O224" s="1466">
        <v>220</v>
      </c>
      <c r="P224" s="1467">
        <v>30</v>
      </c>
      <c r="Q224" s="2425" t="s">
        <v>6493</v>
      </c>
      <c r="R224" s="1465">
        <v>13</v>
      </c>
      <c r="S224" s="3468"/>
      <c r="T224" s="3465"/>
      <c r="U224" s="3468"/>
      <c r="V224" s="3465"/>
      <c r="W224" s="3468"/>
      <c r="X224" s="3465"/>
      <c r="Y224" s="1092"/>
      <c r="Z224" s="1092"/>
      <c r="AA224" s="2447"/>
      <c r="AB224" s="2788"/>
      <c r="AC224" s="3200"/>
      <c r="AD224" s="3224">
        <f>VLOOKUP(I224&amp;J224,'7층~4층_매핑테이블'!$Q$6:$X$2020,8,0)</f>
        <v>0</v>
      </c>
      <c r="AE224" s="3217">
        <f t="shared" si="103"/>
        <v>0</v>
      </c>
      <c r="AF224" s="2790"/>
      <c r="AG224" s="3536"/>
      <c r="AH224" s="2351">
        <f t="shared" si="99"/>
        <v>0</v>
      </c>
      <c r="AI224" s="2351">
        <f t="shared" si="100"/>
        <v>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82"/>
      <c r="AU224" s="123"/>
      <c r="AV224" s="123"/>
      <c r="AW224" s="2983"/>
      <c r="AX224" s="2984"/>
      <c r="AY224" s="2985"/>
      <c r="AZ224" s="2986"/>
      <c r="BA224" s="2987"/>
      <c r="BB224" s="3194"/>
      <c r="BC224" s="2989"/>
    </row>
    <row r="225" spans="1:55" ht="28.5" hidden="1" customHeight="1" x14ac:dyDescent="0.3">
      <c r="A225" s="1083"/>
      <c r="B225" s="250" t="s">
        <v>2353</v>
      </c>
      <c r="C225" s="250"/>
      <c r="D225" s="250"/>
      <c r="E225" s="250" t="s">
        <v>2354</v>
      </c>
      <c r="F225" s="250" t="s">
        <v>2355</v>
      </c>
      <c r="G225" s="2609" t="s">
        <v>2356</v>
      </c>
      <c r="H225" s="2604" t="s">
        <v>2357</v>
      </c>
      <c r="I225" s="2122" t="str">
        <f t="shared" si="101"/>
        <v>6-DaHall 1-PDU-01-30-11</v>
      </c>
      <c r="J225" s="2123" t="str">
        <f t="shared" si="102"/>
        <v>6-DaHall 1-PDU-02-30-11</v>
      </c>
      <c r="K225" s="1474">
        <v>220</v>
      </c>
      <c r="L225" s="1475">
        <v>30</v>
      </c>
      <c r="M225" s="2419" t="s">
        <v>6497</v>
      </c>
      <c r="N225" s="1462">
        <v>11</v>
      </c>
      <c r="O225" s="1466">
        <v>220</v>
      </c>
      <c r="P225" s="1467">
        <v>30</v>
      </c>
      <c r="Q225" s="2425" t="s">
        <v>6493</v>
      </c>
      <c r="R225" s="1465">
        <v>11</v>
      </c>
      <c r="S225" s="3468"/>
      <c r="T225" s="3465"/>
      <c r="U225" s="3468"/>
      <c r="V225" s="3465"/>
      <c r="W225" s="3468"/>
      <c r="X225" s="3465"/>
      <c r="Y225" s="1092"/>
      <c r="Z225" s="1092"/>
      <c r="AA225" s="2447"/>
      <c r="AB225" s="2788"/>
      <c r="AC225" s="3200"/>
      <c r="AD225" s="3224">
        <f>VLOOKUP(I225&amp;J225,'7층~4층_매핑테이블'!$Q$6:$X$2020,8,0)</f>
        <v>0</v>
      </c>
      <c r="AE225" s="3217">
        <f t="shared" si="103"/>
        <v>0</v>
      </c>
      <c r="AF225" s="2790"/>
      <c r="AG225" s="3536"/>
      <c r="AH225" s="2351">
        <f t="shared" si="99"/>
        <v>0</v>
      </c>
      <c r="AI225" s="2351">
        <f t="shared" si="100"/>
        <v>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82"/>
      <c r="AU225" s="123"/>
      <c r="AV225" s="123"/>
      <c r="AW225" s="2983"/>
      <c r="AX225" s="2984"/>
      <c r="AY225" s="2985"/>
      <c r="AZ225" s="2986"/>
      <c r="BA225" s="2987"/>
      <c r="BB225" s="3194"/>
      <c r="BC225" s="2989"/>
    </row>
    <row r="226" spans="1:55" ht="28.5" hidden="1" customHeight="1" x14ac:dyDescent="0.3">
      <c r="A226" s="1083"/>
      <c r="B226" s="250" t="s">
        <v>2358</v>
      </c>
      <c r="C226" s="250"/>
      <c r="D226" s="250"/>
      <c r="E226" s="250" t="s">
        <v>2359</v>
      </c>
      <c r="F226" s="250" t="s">
        <v>2360</v>
      </c>
      <c r="G226" s="2609" t="s">
        <v>2361</v>
      </c>
      <c r="H226" s="2604" t="s">
        <v>2362</v>
      </c>
      <c r="I226" s="2122" t="str">
        <f t="shared" si="101"/>
        <v>6-DaHall 1-PDU-01-30-9</v>
      </c>
      <c r="J226" s="2123" t="str">
        <f t="shared" si="102"/>
        <v>6-DaHall 1-PDU-02-30-9</v>
      </c>
      <c r="K226" s="1474">
        <v>220</v>
      </c>
      <c r="L226" s="1475">
        <v>30</v>
      </c>
      <c r="M226" s="2419" t="s">
        <v>6497</v>
      </c>
      <c r="N226" s="1462">
        <v>9</v>
      </c>
      <c r="O226" s="1466">
        <v>220</v>
      </c>
      <c r="P226" s="1467">
        <v>30</v>
      </c>
      <c r="Q226" s="2425" t="s">
        <v>6493</v>
      </c>
      <c r="R226" s="1465">
        <v>9</v>
      </c>
      <c r="S226" s="3468"/>
      <c r="T226" s="3465"/>
      <c r="U226" s="3468"/>
      <c r="V226" s="3465"/>
      <c r="W226" s="3468"/>
      <c r="X226" s="3465"/>
      <c r="Y226" s="1092"/>
      <c r="Z226" s="1092"/>
      <c r="AA226" s="2447"/>
      <c r="AB226" s="2788"/>
      <c r="AC226" s="3200"/>
      <c r="AD226" s="3224">
        <f>VLOOKUP(I226&amp;J226,'7층~4층_매핑테이블'!$Q$6:$X$2020,8,0)</f>
        <v>0</v>
      </c>
      <c r="AE226" s="3217">
        <f t="shared" si="103"/>
        <v>0</v>
      </c>
      <c r="AF226" s="2790"/>
      <c r="AG226" s="3536"/>
      <c r="AH226" s="2351">
        <f t="shared" si="99"/>
        <v>0</v>
      </c>
      <c r="AI226" s="2351">
        <f t="shared" si="100"/>
        <v>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82"/>
      <c r="AU226" s="123"/>
      <c r="AV226" s="123"/>
      <c r="AW226" s="2983"/>
      <c r="AX226" s="2984"/>
      <c r="AY226" s="2985"/>
      <c r="AZ226" s="2986"/>
      <c r="BA226" s="2987"/>
      <c r="BB226" s="3194"/>
      <c r="BC226" s="2989"/>
    </row>
    <row r="227" spans="1:55" ht="28.5" hidden="1" customHeight="1" x14ac:dyDescent="0.3">
      <c r="A227" s="1083"/>
      <c r="B227" s="250" t="s">
        <v>2363</v>
      </c>
      <c r="C227" s="250"/>
      <c r="D227" s="250"/>
      <c r="E227" s="250" t="s">
        <v>2364</v>
      </c>
      <c r="F227" s="250" t="s">
        <v>2365</v>
      </c>
      <c r="G227" s="2609" t="s">
        <v>2366</v>
      </c>
      <c r="H227" s="2604" t="s">
        <v>2367</v>
      </c>
      <c r="I227" s="2122" t="str">
        <f t="shared" si="101"/>
        <v>6-DaHall 1-PDU-01-30-7</v>
      </c>
      <c r="J227" s="2123" t="str">
        <f t="shared" si="102"/>
        <v>6-DaHall 1-PDU-02-30-7</v>
      </c>
      <c r="K227" s="1474">
        <v>220</v>
      </c>
      <c r="L227" s="1475">
        <v>30</v>
      </c>
      <c r="M227" s="2419" t="s">
        <v>6497</v>
      </c>
      <c r="N227" s="1462">
        <v>7</v>
      </c>
      <c r="O227" s="1466">
        <v>220</v>
      </c>
      <c r="P227" s="1467">
        <v>30</v>
      </c>
      <c r="Q227" s="2425" t="s">
        <v>6493</v>
      </c>
      <c r="R227" s="1465">
        <v>7</v>
      </c>
      <c r="S227" s="3468"/>
      <c r="T227" s="3465"/>
      <c r="U227" s="3468"/>
      <c r="V227" s="3465"/>
      <c r="W227" s="3468"/>
      <c r="X227" s="3465"/>
      <c r="Y227" s="1092"/>
      <c r="Z227" s="1092"/>
      <c r="AA227" s="2447"/>
      <c r="AB227" s="2788"/>
      <c r="AC227" s="3200"/>
      <c r="AD227" s="3224">
        <f>VLOOKUP(I227&amp;J227,'7층~4층_매핑테이블'!$Q$6:$X$2020,8,0)</f>
        <v>0</v>
      </c>
      <c r="AE227" s="3217">
        <f t="shared" si="103"/>
        <v>0</v>
      </c>
      <c r="AF227" s="2790"/>
      <c r="AG227" s="3536"/>
      <c r="AH227" s="2351">
        <f t="shared" si="99"/>
        <v>0</v>
      </c>
      <c r="AI227" s="2351">
        <f t="shared" si="100"/>
        <v>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82"/>
      <c r="AU227" s="123"/>
      <c r="AV227" s="123"/>
      <c r="AW227" s="2983"/>
      <c r="AX227" s="2984"/>
      <c r="AY227" s="2985"/>
      <c r="AZ227" s="2986"/>
      <c r="BA227" s="2987"/>
      <c r="BB227" s="3194"/>
      <c r="BC227" s="2989"/>
    </row>
    <row r="228" spans="1:55" ht="15" hidden="1" customHeight="1" x14ac:dyDescent="0.3">
      <c r="A228" s="1083"/>
      <c r="B228" s="2680" t="s">
        <v>2368</v>
      </c>
      <c r="C228" s="2680"/>
      <c r="D228" s="2680"/>
      <c r="E228" s="2680"/>
      <c r="F228" s="2680"/>
      <c r="G228" s="2676"/>
      <c r="H228" s="2659"/>
      <c r="I228" s="2131" t="str">
        <f t="shared" si="101"/>
        <v>6-DaHall 1-PDU--30-</v>
      </c>
      <c r="J228" s="2132" t="str">
        <f t="shared" si="102"/>
        <v>6-DaHall 1-PDU--30-</v>
      </c>
      <c r="K228" s="1489">
        <v>220</v>
      </c>
      <c r="L228" s="1490">
        <v>30</v>
      </c>
      <c r="M228" s="2676"/>
      <c r="N228" s="1491"/>
      <c r="O228" s="1492">
        <v>220</v>
      </c>
      <c r="P228" s="1493">
        <v>30</v>
      </c>
      <c r="Q228" s="2659"/>
      <c r="R228" s="1494"/>
      <c r="S228" s="832"/>
      <c r="T228" s="833"/>
      <c r="U228" s="832"/>
      <c r="V228" s="833"/>
      <c r="W228" s="832"/>
      <c r="X228" s="833"/>
      <c r="Y228" s="834"/>
      <c r="Z228" s="834"/>
      <c r="AA228" s="2441">
        <f t="shared" ref="AA228:AA230" si="104">SUM(Y228:Z228)</f>
        <v>0</v>
      </c>
      <c r="AB228" s="2791"/>
      <c r="AC228" s="3201"/>
      <c r="AD228" s="3224" t="e">
        <f>VLOOKUP(I228&amp;J228,'7층~4층_매핑테이블'!$Q$6:$X$2020,8,0)</f>
        <v>#N/A</v>
      </c>
      <c r="AE228" s="3208">
        <f t="shared" si="103"/>
        <v>0</v>
      </c>
      <c r="AF228" s="2781" t="s">
        <v>1265</v>
      </c>
      <c r="AG228" s="3536"/>
      <c r="AH228" s="2351">
        <f t="shared" si="99"/>
        <v>0</v>
      </c>
      <c r="AI228" s="2351">
        <f t="shared" si="100"/>
        <v>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82"/>
      <c r="AU228" s="123"/>
      <c r="AV228" s="123"/>
      <c r="AW228" s="2983"/>
      <c r="AX228" s="2984"/>
      <c r="AY228" s="2985"/>
      <c r="AZ228" s="2986"/>
      <c r="BA228" s="2987"/>
      <c r="BB228" s="3194"/>
      <c r="BC228" s="2989"/>
    </row>
    <row r="229" spans="1:55" ht="15" hidden="1" customHeight="1" x14ac:dyDescent="0.3">
      <c r="A229" s="1083"/>
      <c r="B229" s="2680" t="s">
        <v>2369</v>
      </c>
      <c r="C229" s="2680"/>
      <c r="D229" s="2680"/>
      <c r="E229" s="2680"/>
      <c r="F229" s="2680"/>
      <c r="G229" s="2676"/>
      <c r="H229" s="2659"/>
      <c r="I229" s="2131" t="str">
        <f t="shared" si="101"/>
        <v>6-DaHall 1-PDU--30-</v>
      </c>
      <c r="J229" s="2132" t="str">
        <f t="shared" si="102"/>
        <v>6-DaHall 1-PDU--30-</v>
      </c>
      <c r="K229" s="1489">
        <v>220</v>
      </c>
      <c r="L229" s="1490">
        <v>30</v>
      </c>
      <c r="M229" s="2676"/>
      <c r="N229" s="1491"/>
      <c r="O229" s="1492">
        <v>220</v>
      </c>
      <c r="P229" s="1493">
        <v>30</v>
      </c>
      <c r="Q229" s="2659"/>
      <c r="R229" s="1494"/>
      <c r="S229" s="832"/>
      <c r="T229" s="833"/>
      <c r="U229" s="832"/>
      <c r="V229" s="833"/>
      <c r="W229" s="832"/>
      <c r="X229" s="833"/>
      <c r="Y229" s="834"/>
      <c r="Z229" s="834"/>
      <c r="AA229" s="2441">
        <f t="shared" si="104"/>
        <v>0</v>
      </c>
      <c r="AB229" s="2791"/>
      <c r="AC229" s="3201"/>
      <c r="AD229" s="3224" t="e">
        <f>VLOOKUP(I229&amp;J229,'7층~4층_매핑테이블'!$Q$6:$X$2020,8,0)</f>
        <v>#N/A</v>
      </c>
      <c r="AE229" s="3208">
        <f t="shared" si="103"/>
        <v>0</v>
      </c>
      <c r="AF229" s="2781" t="s">
        <v>1265</v>
      </c>
      <c r="AG229" s="3536"/>
      <c r="AH229" s="2351">
        <f t="shared" si="99"/>
        <v>0</v>
      </c>
      <c r="AI229" s="2351">
        <f t="shared" si="100"/>
        <v>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82"/>
      <c r="AU229" s="123"/>
      <c r="AV229" s="123"/>
      <c r="AW229" s="2983"/>
      <c r="AX229" s="2984"/>
      <c r="AY229" s="2985"/>
      <c r="AZ229" s="2986"/>
      <c r="BA229" s="2987"/>
      <c r="BB229" s="3194"/>
      <c r="BC229" s="2989"/>
    </row>
    <row r="230" spans="1:55" ht="15" hidden="1" customHeight="1" x14ac:dyDescent="0.3">
      <c r="A230" s="1084"/>
      <c r="B230" s="839" t="s">
        <v>2370</v>
      </c>
      <c r="C230" s="839"/>
      <c r="D230" s="839"/>
      <c r="E230" s="839"/>
      <c r="F230" s="839"/>
      <c r="G230" s="2677"/>
      <c r="H230" s="2660"/>
      <c r="I230" s="2127" t="str">
        <f t="shared" si="101"/>
        <v>6-DaHall 1-PDU--30-</v>
      </c>
      <c r="J230" s="2128" t="str">
        <f t="shared" si="102"/>
        <v>6-DaHall 1-PDU--30-</v>
      </c>
      <c r="K230" s="1477">
        <v>220</v>
      </c>
      <c r="L230" s="1478">
        <v>30</v>
      </c>
      <c r="M230" s="2677"/>
      <c r="N230" s="1479"/>
      <c r="O230" s="1480">
        <v>220</v>
      </c>
      <c r="P230" s="1481">
        <v>30</v>
      </c>
      <c r="Q230" s="2660"/>
      <c r="R230" s="1482"/>
      <c r="S230" s="840"/>
      <c r="T230" s="849"/>
      <c r="U230" s="840"/>
      <c r="V230" s="849"/>
      <c r="W230" s="840"/>
      <c r="X230" s="849"/>
      <c r="Y230" s="850"/>
      <c r="Z230" s="850"/>
      <c r="AA230" s="2440">
        <f t="shared" si="104"/>
        <v>0</v>
      </c>
      <c r="AB230" s="2791"/>
      <c r="AC230" s="2752"/>
      <c r="AD230" s="3224" t="e">
        <f>VLOOKUP(I230&amp;J230,'7층~4층_매핑테이블'!$Q$6:$X$2020,8,0)</f>
        <v>#N/A</v>
      </c>
      <c r="AE230" s="3209">
        <f t="shared" si="103"/>
        <v>0</v>
      </c>
      <c r="AF230" s="2792" t="s">
        <v>1265</v>
      </c>
      <c r="AG230" s="3536"/>
      <c r="AH230" s="2351">
        <f t="shared" si="99"/>
        <v>0</v>
      </c>
      <c r="AI230" s="2351">
        <f t="shared" si="100"/>
        <v>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82"/>
      <c r="AU230" s="123"/>
      <c r="AV230" s="123"/>
      <c r="AW230" s="2983"/>
      <c r="AX230" s="2984"/>
      <c r="AY230" s="2985"/>
      <c r="AZ230" s="2986"/>
      <c r="BA230" s="2987"/>
      <c r="BB230" s="3194"/>
      <c r="BC230" s="2989"/>
    </row>
    <row r="231" spans="1:55" ht="27.75" customHeight="1" thickTop="1" x14ac:dyDescent="0.25">
      <c r="A231" s="1081" t="s">
        <v>2371</v>
      </c>
      <c r="B231" s="993" t="s">
        <v>2372</v>
      </c>
      <c r="C231" s="2632" t="s">
        <v>2380</v>
      </c>
      <c r="D231" s="2951">
        <v>2.2000000000000002</v>
      </c>
      <c r="E231" s="327" t="s">
        <v>2373</v>
      </c>
      <c r="F231" s="327" t="s">
        <v>2374</v>
      </c>
      <c r="G231" s="2608" t="s">
        <v>2375</v>
      </c>
      <c r="H231" s="2610" t="s">
        <v>2376</v>
      </c>
      <c r="I231" s="2129" t="str">
        <f t="shared" si="101"/>
        <v>6-DaHall 1-PDU-01-30-2</v>
      </c>
      <c r="J231" s="2130" t="str">
        <f t="shared" si="102"/>
        <v>6-DaHall 1-PDU-02-30-2</v>
      </c>
      <c r="K231" s="1483">
        <v>220</v>
      </c>
      <c r="L231" s="1484">
        <v>30</v>
      </c>
      <c r="M231" s="2421" t="s">
        <v>6497</v>
      </c>
      <c r="N231" s="1485">
        <v>2</v>
      </c>
      <c r="O231" s="1486">
        <v>220</v>
      </c>
      <c r="P231" s="1487">
        <v>30</v>
      </c>
      <c r="Q231" s="2427" t="s">
        <v>6493</v>
      </c>
      <c r="R231" s="1488">
        <v>2</v>
      </c>
      <c r="S231" s="3467" t="s">
        <v>1694</v>
      </c>
      <c r="T231" s="3497" t="s">
        <v>1695</v>
      </c>
      <c r="U231" s="3467" t="s">
        <v>1696</v>
      </c>
      <c r="V231" s="3497" t="s">
        <v>1697</v>
      </c>
      <c r="W231" s="3467" t="s">
        <v>1880</v>
      </c>
      <c r="X231" s="3497" t="s">
        <v>1277</v>
      </c>
      <c r="Y231" s="328">
        <f>SUM('6층_부하량(월간_AVG)'!L202:N202)</f>
        <v>0</v>
      </c>
      <c r="Z231" s="328">
        <f>SUM('6층_부하량(월간_AVG)'!L232:N232)</f>
        <v>0</v>
      </c>
      <c r="AA231" s="2793">
        <f>SUM(Y231:Z231)</f>
        <v>0</v>
      </c>
      <c r="AB231" s="2794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3202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3224">
        <f>VLOOKUP(I231&amp;J231,'7층~4층_매핑테이블'!$Q$6:$X$2020,8,0)</f>
        <v>0.58200000000000007</v>
      </c>
      <c r="AE231" s="3211" t="e">
        <f t="shared" si="103"/>
        <v>#N/A</v>
      </c>
      <c r="AF231" s="2795" t="s">
        <v>2377</v>
      </c>
      <c r="AG231" s="851"/>
      <c r="AH231" s="2351" t="e">
        <f t="shared" si="99"/>
        <v>#N/A</v>
      </c>
      <c r="AI231" s="2351" t="e">
        <f t="shared" si="100"/>
        <v>#N/A</v>
      </c>
      <c r="AJ231" s="123" t="e">
        <f t="shared" si="88"/>
        <v>#N/A</v>
      </c>
      <c r="AK231" t="e">
        <f t="shared" si="89"/>
        <v>#N/A</v>
      </c>
      <c r="AL231" t="e">
        <f t="shared" si="90"/>
        <v>#N/A</v>
      </c>
      <c r="AQ231" s="123"/>
      <c r="AR231" s="123"/>
      <c r="AS231" s="123"/>
      <c r="AT231" s="2982"/>
      <c r="AU231" s="123"/>
      <c r="AV231" s="123"/>
      <c r="AW231" s="2983"/>
      <c r="AX231" s="2984"/>
      <c r="AY231" s="2985"/>
      <c r="AZ231" s="2986"/>
      <c r="BA231" s="2987"/>
      <c r="BB231" s="3194"/>
      <c r="BC231" s="2989"/>
    </row>
    <row r="232" spans="1:55" ht="27" customHeight="1" x14ac:dyDescent="0.25">
      <c r="A232" s="3454" t="s">
        <v>2378</v>
      </c>
      <c r="B232" s="3470" t="s">
        <v>2379</v>
      </c>
      <c r="C232" s="3528" t="s">
        <v>2380</v>
      </c>
      <c r="D232" s="3453">
        <v>4</v>
      </c>
      <c r="E232" s="853" t="s">
        <v>2381</v>
      </c>
      <c r="F232" s="853" t="s">
        <v>2382</v>
      </c>
      <c r="G232" s="2609" t="s">
        <v>2383</v>
      </c>
      <c r="H232" s="2604" t="s">
        <v>2384</v>
      </c>
      <c r="I232" s="2122" t="str">
        <f t="shared" si="101"/>
        <v>6-DaHall 1-PDU-01-30-36</v>
      </c>
      <c r="J232" s="2123" t="str">
        <f t="shared" si="102"/>
        <v>6-DaHall 1-PDU-02-30-36</v>
      </c>
      <c r="K232" s="1460">
        <v>220</v>
      </c>
      <c r="L232" s="1461">
        <v>30</v>
      </c>
      <c r="M232" s="2419" t="s">
        <v>6497</v>
      </c>
      <c r="N232" s="1462">
        <v>36</v>
      </c>
      <c r="O232" s="1463">
        <v>220</v>
      </c>
      <c r="P232" s="1464">
        <v>30</v>
      </c>
      <c r="Q232" s="2425" t="s">
        <v>6493</v>
      </c>
      <c r="R232" s="1465">
        <v>36</v>
      </c>
      <c r="S232" s="3468"/>
      <c r="T232" s="3465"/>
      <c r="U232" s="3468"/>
      <c r="V232" s="3465"/>
      <c r="W232" s="3468"/>
      <c r="X232" s="3465"/>
      <c r="Y232" s="253">
        <f>SUM('6층_부하량(월간_AVG)'!L219:N219)</f>
        <v>0</v>
      </c>
      <c r="Z232" s="253">
        <f>SUM('6층_부하량(월간_AVG)'!L249:N249)</f>
        <v>0</v>
      </c>
      <c r="AA232" s="3519">
        <f>SUM(Y232:Z233)</f>
        <v>0</v>
      </c>
      <c r="AB232" s="2683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3196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224">
        <f>VLOOKUP(I232&amp;J232,'7층~4층_매핑테이블'!$Q$6:$X$2020,8,0)</f>
        <v>1.4039999999999999</v>
      </c>
      <c r="AE232" s="3531" t="e">
        <f>SUM(AB232:AC233)</f>
        <v>#N/A</v>
      </c>
      <c r="AF232" s="2796" t="s">
        <v>2385</v>
      </c>
      <c r="AH232" s="2351" t="e">
        <f t="shared" si="99"/>
        <v>#N/A</v>
      </c>
      <c r="AI232" s="2351" t="e">
        <f t="shared" si="100"/>
        <v>#N/A</v>
      </c>
      <c r="AJ232" s="123" t="e">
        <f t="shared" si="88"/>
        <v>#N/A</v>
      </c>
      <c r="AK232" t="e">
        <f t="shared" si="89"/>
        <v>#N/A</v>
      </c>
      <c r="AL232" t="e">
        <f t="shared" si="90"/>
        <v>#N/A</v>
      </c>
      <c r="AQ232" s="123"/>
      <c r="AR232" s="123"/>
      <c r="AS232" s="123"/>
      <c r="AT232" s="2982"/>
      <c r="AU232" s="123"/>
      <c r="AV232" s="123"/>
      <c r="AW232" s="2983"/>
      <c r="AX232" s="2984"/>
      <c r="AY232" s="2985"/>
      <c r="AZ232" s="2986"/>
      <c r="BA232" s="2987"/>
      <c r="BB232" s="3194"/>
      <c r="BC232" s="2989"/>
    </row>
    <row r="233" spans="1:55" ht="27" customHeight="1" x14ac:dyDescent="0.25">
      <c r="A233" s="3454"/>
      <c r="B233" s="3470"/>
      <c r="C233" s="3529"/>
      <c r="D233" s="3453"/>
      <c r="E233" s="2033" t="s">
        <v>2386</v>
      </c>
      <c r="F233" s="853" t="s">
        <v>2387</v>
      </c>
      <c r="G233" s="2676" t="s">
        <v>2388</v>
      </c>
      <c r="H233" s="2604" t="s">
        <v>2389</v>
      </c>
      <c r="I233" s="2131" t="str">
        <f t="shared" si="101"/>
        <v>6-DaHall 1-PDU-01-30-38</v>
      </c>
      <c r="J233" s="2123" t="str">
        <f t="shared" si="102"/>
        <v>6-DaHall 1-PDU-02-30-38</v>
      </c>
      <c r="K233" s="1460">
        <v>220</v>
      </c>
      <c r="L233" s="1461">
        <v>30</v>
      </c>
      <c r="M233" s="2419" t="s">
        <v>6497</v>
      </c>
      <c r="N233" s="1462">
        <v>38</v>
      </c>
      <c r="O233" s="1463">
        <v>220</v>
      </c>
      <c r="P233" s="1464">
        <v>30</v>
      </c>
      <c r="Q233" s="2425" t="s">
        <v>6493</v>
      </c>
      <c r="R233" s="1465">
        <v>38</v>
      </c>
      <c r="S233" s="3468"/>
      <c r="T233" s="3465"/>
      <c r="U233" s="3468"/>
      <c r="V233" s="3465"/>
      <c r="W233" s="3468"/>
      <c r="X233" s="3465"/>
      <c r="Y233" s="834">
        <f>SUM('6층_부하량(월간_AVG)'!L220:N220)</f>
        <v>0</v>
      </c>
      <c r="Z233" s="253">
        <f>SUM('6층_부하량(월간_AVG)'!L250:N250)</f>
        <v>0</v>
      </c>
      <c r="AA233" s="3519"/>
      <c r="AB233" s="2683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3196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224">
        <f>VLOOKUP(I233&amp;J233,'7층~4층_매핑테이블'!$Q$6:$X$2020,8,0)</f>
        <v>0</v>
      </c>
      <c r="AE233" s="3532"/>
      <c r="AF233" s="2766" t="s">
        <v>2390</v>
      </c>
      <c r="AH233" s="2351">
        <f t="shared" si="99"/>
        <v>0</v>
      </c>
      <c r="AI233" s="2351">
        <f t="shared" si="100"/>
        <v>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82"/>
      <c r="AU233" s="123"/>
      <c r="AV233" s="123"/>
      <c r="AW233" s="2983"/>
      <c r="AX233" s="2984"/>
      <c r="AY233" s="2985"/>
      <c r="AZ233" s="2986"/>
      <c r="BA233" s="2987"/>
      <c r="BB233" s="3194"/>
      <c r="BC233" s="2989"/>
    </row>
    <row r="234" spans="1:55" ht="29.4" thickBot="1" x14ac:dyDescent="0.3">
      <c r="A234" s="2628" t="s">
        <v>2391</v>
      </c>
      <c r="B234" s="2629" t="s">
        <v>2392</v>
      </c>
      <c r="C234" s="2656" t="s">
        <v>2380</v>
      </c>
      <c r="D234" s="2951">
        <v>4</v>
      </c>
      <c r="E234" s="2629" t="s">
        <v>2393</v>
      </c>
      <c r="F234" s="2629" t="s">
        <v>2394</v>
      </c>
      <c r="G234" s="2611" t="s">
        <v>2395</v>
      </c>
      <c r="H234" s="2605" t="s">
        <v>2396</v>
      </c>
      <c r="I234" s="2124" t="str">
        <f t="shared" si="101"/>
        <v>6-DaHall 1-PDU-01-30-4</v>
      </c>
      <c r="J234" s="2125" t="str">
        <f t="shared" si="102"/>
        <v>6-DaHall 1-PDU-02-30-4</v>
      </c>
      <c r="K234" s="1468">
        <v>220</v>
      </c>
      <c r="L234" s="1469">
        <v>30</v>
      </c>
      <c r="M234" s="2422" t="s">
        <v>6497</v>
      </c>
      <c r="N234" s="1470">
        <v>4</v>
      </c>
      <c r="O234" s="1471">
        <v>220</v>
      </c>
      <c r="P234" s="1472">
        <v>30</v>
      </c>
      <c r="Q234" s="2428" t="s">
        <v>6493</v>
      </c>
      <c r="R234" s="1473">
        <v>4</v>
      </c>
      <c r="S234" s="3469"/>
      <c r="T234" s="3486"/>
      <c r="U234" s="3469"/>
      <c r="V234" s="3486"/>
      <c r="W234" s="3469"/>
      <c r="X234" s="3486"/>
      <c r="Y234" s="329">
        <f>SUM('6층_부하량(월간_AVG)'!L203:N203)</f>
        <v>0</v>
      </c>
      <c r="Z234" s="329">
        <f>SUM('6층_부하량(월간_AVG)'!L233:N233)</f>
        <v>0</v>
      </c>
      <c r="AA234" s="2797">
        <f>SUM(Y234:Z234)</f>
        <v>0</v>
      </c>
      <c r="AB234" s="2787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3198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4032">
        <f>VLOOKUP(I234&amp;J234,'7층~4층_매핑테이블'!$Q$6:$X$2020,8,0)</f>
        <v>3.4059999999999997</v>
      </c>
      <c r="AE234" s="3209" t="e">
        <f t="shared" ref="AE234:AE250" si="105">SUM(AB234:AC234)</f>
        <v>#N/A</v>
      </c>
      <c r="AF234" s="2768" t="s">
        <v>2397</v>
      </c>
      <c r="AH234" s="2351" t="e">
        <f t="shared" si="99"/>
        <v>#N/A</v>
      </c>
      <c r="AI234" s="2351" t="e">
        <f t="shared" si="100"/>
        <v>#N/A</v>
      </c>
      <c r="AJ234" s="123" t="e">
        <f t="shared" si="88"/>
        <v>#N/A</v>
      </c>
      <c r="AK234" t="e">
        <f t="shared" si="89"/>
        <v>#N/A</v>
      </c>
      <c r="AL234" t="e">
        <f t="shared" si="90"/>
        <v>#N/A</v>
      </c>
      <c r="AQ234" s="123"/>
      <c r="AR234" s="123"/>
      <c r="AS234" s="123"/>
      <c r="AT234" s="2982"/>
      <c r="AU234" s="123"/>
      <c r="AV234" s="123"/>
      <c r="AW234" s="2983"/>
      <c r="AX234" s="2984"/>
      <c r="AY234" s="2985"/>
      <c r="AZ234" s="2986"/>
      <c r="BA234" s="2987"/>
      <c r="BB234" s="3194"/>
      <c r="BC234" s="2989"/>
    </row>
    <row r="235" spans="1:55" ht="43.8" thickTop="1" x14ac:dyDescent="0.25">
      <c r="A235" s="1081" t="s">
        <v>2398</v>
      </c>
      <c r="B235" s="993" t="s">
        <v>2399</v>
      </c>
      <c r="C235" s="2874" t="s">
        <v>9248</v>
      </c>
      <c r="D235" s="2951">
        <v>2.2000000000000002</v>
      </c>
      <c r="E235" s="327" t="s">
        <v>2400</v>
      </c>
      <c r="F235" s="327" t="s">
        <v>2401</v>
      </c>
      <c r="G235" s="2608" t="s">
        <v>2402</v>
      </c>
      <c r="H235" s="2610" t="s">
        <v>2403</v>
      </c>
      <c r="I235" s="2129" t="str">
        <f t="shared" si="101"/>
        <v>6-DaHall 1-PDU-01-30-6</v>
      </c>
      <c r="J235" s="2130" t="str">
        <f t="shared" si="102"/>
        <v>6-DaHall 1-PDU-02-30-6</v>
      </c>
      <c r="K235" s="1483">
        <v>220</v>
      </c>
      <c r="L235" s="1484">
        <v>30</v>
      </c>
      <c r="M235" s="2421" t="s">
        <v>6497</v>
      </c>
      <c r="N235" s="1485">
        <v>6</v>
      </c>
      <c r="O235" s="1486">
        <v>220</v>
      </c>
      <c r="P235" s="1487">
        <v>30</v>
      </c>
      <c r="Q235" s="2427" t="s">
        <v>6493</v>
      </c>
      <c r="R235" s="1488">
        <v>6</v>
      </c>
      <c r="S235" s="3467" t="s">
        <v>1694</v>
      </c>
      <c r="T235" s="3497" t="s">
        <v>1695</v>
      </c>
      <c r="U235" s="3467" t="s">
        <v>1696</v>
      </c>
      <c r="V235" s="3497" t="s">
        <v>1697</v>
      </c>
      <c r="W235" s="3467" t="s">
        <v>1880</v>
      </c>
      <c r="X235" s="3497" t="s">
        <v>1277</v>
      </c>
      <c r="Y235" s="328">
        <f>SUM('6층_부하량(월간_AVG)'!L204:N204)</f>
        <v>0</v>
      </c>
      <c r="Z235" s="328">
        <f>SUM('6층_부하량(월간_AVG)'!L234:N234)</f>
        <v>0</v>
      </c>
      <c r="AA235" s="2798">
        <f t="shared" ref="AA235:AA249" si="106">SUM(Y235:Z235)</f>
        <v>0</v>
      </c>
      <c r="AB235" s="2794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3202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3240">
        <f>VLOOKUP(I235&amp;J235,'7층~4층_매핑테이블'!$Q$6:$X$2020,8,0)</f>
        <v>1.6639999999999999</v>
      </c>
      <c r="AE235" s="3211" t="e">
        <f t="shared" si="105"/>
        <v>#N/A</v>
      </c>
      <c r="AF235" s="2770"/>
      <c r="AH235" s="2351" t="e">
        <f t="shared" si="99"/>
        <v>#N/A</v>
      </c>
      <c r="AI235" s="2351" t="e">
        <f t="shared" si="100"/>
        <v>#N/A</v>
      </c>
      <c r="AJ235" s="123" t="e">
        <f t="shared" si="88"/>
        <v>#N/A</v>
      </c>
      <c r="AK235" t="e">
        <f t="shared" si="89"/>
        <v>#N/A</v>
      </c>
      <c r="AL235" t="e">
        <f t="shared" si="90"/>
        <v>#N/A</v>
      </c>
      <c r="AQ235" s="123"/>
      <c r="AR235" s="123"/>
      <c r="AS235" s="123"/>
      <c r="AT235" s="2982"/>
      <c r="AU235" s="123"/>
      <c r="AV235" s="123"/>
      <c r="AW235" s="2983"/>
      <c r="AX235" s="2984"/>
      <c r="AY235" s="2985"/>
      <c r="AZ235" s="2986"/>
      <c r="BA235" s="2987"/>
      <c r="BB235" s="3194"/>
      <c r="BC235" s="2989"/>
    </row>
    <row r="236" spans="1:55" ht="43.2" x14ac:dyDescent="0.25">
      <c r="A236" s="2620" t="s">
        <v>2404</v>
      </c>
      <c r="B236" s="2621" t="s">
        <v>2405</v>
      </c>
      <c r="C236" s="2632" t="s">
        <v>9248</v>
      </c>
      <c r="D236" s="2951">
        <v>2.2000000000000002</v>
      </c>
      <c r="E236" s="250" t="s">
        <v>2406</v>
      </c>
      <c r="F236" s="250" t="s">
        <v>2407</v>
      </c>
      <c r="G236" s="2609" t="s">
        <v>2408</v>
      </c>
      <c r="H236" s="2604" t="s">
        <v>2409</v>
      </c>
      <c r="I236" s="2122" t="str">
        <f t="shared" si="101"/>
        <v>6-DaHall 1-PDU-01-30-8</v>
      </c>
      <c r="J236" s="2123" t="str">
        <f t="shared" si="102"/>
        <v>6-DaHall 1-PDU-02-30-8</v>
      </c>
      <c r="K236" s="1460">
        <v>220</v>
      </c>
      <c r="L236" s="1461">
        <v>30</v>
      </c>
      <c r="M236" s="2419" t="s">
        <v>6497</v>
      </c>
      <c r="N236" s="1462">
        <v>8</v>
      </c>
      <c r="O236" s="1463">
        <v>220</v>
      </c>
      <c r="P236" s="1464">
        <v>30</v>
      </c>
      <c r="Q236" s="2425" t="s">
        <v>6493</v>
      </c>
      <c r="R236" s="1465">
        <v>8</v>
      </c>
      <c r="S236" s="3468"/>
      <c r="T236" s="3465"/>
      <c r="U236" s="3468"/>
      <c r="V236" s="3465"/>
      <c r="W236" s="3468"/>
      <c r="X236" s="3465"/>
      <c r="Y236" s="253">
        <f>SUM('6층_부하량(월간_AVG)'!L205:N205)</f>
        <v>0</v>
      </c>
      <c r="Z236" s="253">
        <f>SUM('6층_부하량(월간_AVG)'!L235:N235)</f>
        <v>0</v>
      </c>
      <c r="AA236" s="2450">
        <f t="shared" si="106"/>
        <v>0</v>
      </c>
      <c r="AB236" s="2683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3196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3224">
        <f>VLOOKUP(I236&amp;J236,'7층~4층_매핑테이블'!$Q$6:$X$2020,8,0)</f>
        <v>1.6619999999999999</v>
      </c>
      <c r="AE236" s="3140" t="e">
        <f t="shared" si="105"/>
        <v>#N/A</v>
      </c>
      <c r="AF236" s="2766"/>
      <c r="AH236" s="2351" t="e">
        <f t="shared" si="99"/>
        <v>#N/A</v>
      </c>
      <c r="AI236" s="2351" t="e">
        <f t="shared" si="100"/>
        <v>#N/A</v>
      </c>
      <c r="AJ236" s="123" t="e">
        <f t="shared" si="88"/>
        <v>#N/A</v>
      </c>
      <c r="AK236" t="e">
        <f t="shared" si="89"/>
        <v>#N/A</v>
      </c>
      <c r="AL236" t="e">
        <f t="shared" si="90"/>
        <v>#N/A</v>
      </c>
      <c r="AQ236" s="123"/>
      <c r="AR236" s="123"/>
      <c r="AS236" s="123"/>
      <c r="AT236" s="2982"/>
      <c r="AU236" s="123"/>
      <c r="AV236" s="123"/>
      <c r="AW236" s="2983"/>
      <c r="AX236" s="2984"/>
      <c r="AY236" s="2985"/>
      <c r="AZ236" s="2986"/>
      <c r="BA236" s="2987"/>
      <c r="BB236" s="3194"/>
      <c r="BC236" s="2989"/>
    </row>
    <row r="237" spans="1:55" ht="43.2" x14ac:dyDescent="0.25">
      <c r="A237" s="2620" t="s">
        <v>2410</v>
      </c>
      <c r="B237" s="2621" t="s">
        <v>2411</v>
      </c>
      <c r="C237" s="2632" t="s">
        <v>9248</v>
      </c>
      <c r="D237" s="2951">
        <v>2.2000000000000002</v>
      </c>
      <c r="E237" s="250" t="s">
        <v>2412</v>
      </c>
      <c r="F237" s="250" t="s">
        <v>2413</v>
      </c>
      <c r="G237" s="2609" t="s">
        <v>2414</v>
      </c>
      <c r="H237" s="2604" t="s">
        <v>2415</v>
      </c>
      <c r="I237" s="2122" t="str">
        <f t="shared" si="101"/>
        <v>6-DaHall 1-PDU-01-30-10</v>
      </c>
      <c r="J237" s="2123" t="str">
        <f t="shared" si="102"/>
        <v>6-DaHall 1-PDU-02-30-10</v>
      </c>
      <c r="K237" s="1460">
        <v>220</v>
      </c>
      <c r="L237" s="1461">
        <v>30</v>
      </c>
      <c r="M237" s="2419" t="s">
        <v>6497</v>
      </c>
      <c r="N237" s="1462">
        <v>10</v>
      </c>
      <c r="O237" s="1463">
        <v>220</v>
      </c>
      <c r="P237" s="1464">
        <v>30</v>
      </c>
      <c r="Q237" s="2425" t="s">
        <v>6493</v>
      </c>
      <c r="R237" s="1465">
        <v>10</v>
      </c>
      <c r="S237" s="3468"/>
      <c r="T237" s="3465"/>
      <c r="U237" s="3468"/>
      <c r="V237" s="3465"/>
      <c r="W237" s="3468"/>
      <c r="X237" s="3465"/>
      <c r="Y237" s="253">
        <f>SUM('6층_부하량(월간_AVG)'!L206:N206)</f>
        <v>0</v>
      </c>
      <c r="Z237" s="253">
        <f>SUM('6층_부하량(월간_AVG)'!L236:N236)</f>
        <v>0</v>
      </c>
      <c r="AA237" s="2450">
        <f t="shared" si="106"/>
        <v>0</v>
      </c>
      <c r="AB237" s="2683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3196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3224">
        <f>VLOOKUP(I237&amp;J237,'7층~4층_매핑테이블'!$Q$6:$X$2020,8,0)</f>
        <v>3.8580000000000001</v>
      </c>
      <c r="AE237" s="3140" t="e">
        <f t="shared" si="105"/>
        <v>#N/A</v>
      </c>
      <c r="AF237" s="2766"/>
      <c r="AH237" s="2351" t="e">
        <f t="shared" si="99"/>
        <v>#N/A</v>
      </c>
      <c r="AI237" s="2351" t="e">
        <f t="shared" si="100"/>
        <v>#N/A</v>
      </c>
      <c r="AJ237" s="123" t="e">
        <f t="shared" si="88"/>
        <v>#N/A</v>
      </c>
      <c r="AK237" t="e">
        <f t="shared" si="89"/>
        <v>#N/A</v>
      </c>
      <c r="AL237" t="e">
        <f t="shared" si="90"/>
        <v>#N/A</v>
      </c>
      <c r="AQ237" s="123"/>
      <c r="AR237" s="123"/>
      <c r="AS237" s="123"/>
      <c r="AT237" s="2982"/>
      <c r="AU237" s="123"/>
      <c r="AV237" s="123"/>
      <c r="AW237" s="2983"/>
      <c r="AX237" s="2984"/>
      <c r="AY237" s="2985"/>
      <c r="AZ237" s="2986"/>
      <c r="BA237" s="2987"/>
      <c r="BB237" s="3194"/>
      <c r="BC237" s="2989"/>
    </row>
    <row r="238" spans="1:55" ht="43.2" x14ac:dyDescent="0.25">
      <c r="A238" s="2620" t="s">
        <v>2416</v>
      </c>
      <c r="B238" s="2621" t="s">
        <v>2417</v>
      </c>
      <c r="C238" s="2632" t="s">
        <v>9248</v>
      </c>
      <c r="D238" s="2951">
        <v>2.2000000000000002</v>
      </c>
      <c r="E238" s="250" t="s">
        <v>2418</v>
      </c>
      <c r="F238" s="250" t="s">
        <v>2419</v>
      </c>
      <c r="G238" s="2609" t="s">
        <v>2420</v>
      </c>
      <c r="H238" s="2604" t="s">
        <v>2421</v>
      </c>
      <c r="I238" s="2122" t="str">
        <f t="shared" si="101"/>
        <v>6-DaHall 1-PDU-01-30-12</v>
      </c>
      <c r="J238" s="2123" t="str">
        <f t="shared" si="102"/>
        <v>6-DaHall 1-PDU-02-30-12</v>
      </c>
      <c r="K238" s="1474">
        <v>220</v>
      </c>
      <c r="L238" s="1475">
        <v>30</v>
      </c>
      <c r="M238" s="2419" t="s">
        <v>6497</v>
      </c>
      <c r="N238" s="1462">
        <v>12</v>
      </c>
      <c r="O238" s="1466">
        <v>220</v>
      </c>
      <c r="P238" s="1467">
        <v>30</v>
      </c>
      <c r="Q238" s="2425" t="s">
        <v>6493</v>
      </c>
      <c r="R238" s="1465">
        <v>12</v>
      </c>
      <c r="S238" s="3468"/>
      <c r="T238" s="3465"/>
      <c r="U238" s="3468"/>
      <c r="V238" s="3465"/>
      <c r="W238" s="3468"/>
      <c r="X238" s="3465"/>
      <c r="Y238" s="253">
        <f>SUM('6층_부하량(월간_AVG)'!L207:N207)</f>
        <v>0</v>
      </c>
      <c r="Z238" s="253">
        <f>SUM('6층_부하량(월간_AVG)'!L237:N237)</f>
        <v>0</v>
      </c>
      <c r="AA238" s="2450">
        <f t="shared" si="106"/>
        <v>0</v>
      </c>
      <c r="AB238" s="2683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3196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3224">
        <f>VLOOKUP(I238&amp;J238,'7층~4층_매핑테이블'!$Q$6:$X$2020,8,0)</f>
        <v>4.1319999999999997</v>
      </c>
      <c r="AE238" s="3140" t="e">
        <f t="shared" si="105"/>
        <v>#N/A</v>
      </c>
      <c r="AF238" s="2766"/>
      <c r="AH238" s="2351" t="e">
        <f t="shared" si="99"/>
        <v>#N/A</v>
      </c>
      <c r="AI238" s="2351" t="e">
        <f t="shared" si="100"/>
        <v>#N/A</v>
      </c>
      <c r="AJ238" s="123" t="e">
        <f t="shared" si="88"/>
        <v>#N/A</v>
      </c>
      <c r="AK238" t="e">
        <f t="shared" si="89"/>
        <v>#N/A</v>
      </c>
      <c r="AL238" t="e">
        <f t="shared" si="90"/>
        <v>#N/A</v>
      </c>
      <c r="AQ238" s="123"/>
      <c r="AR238" s="123"/>
      <c r="AS238" s="123"/>
      <c r="AT238" s="2982"/>
      <c r="AU238" s="123"/>
      <c r="AV238" s="123"/>
      <c r="AW238" s="2983"/>
      <c r="AX238" s="2984"/>
      <c r="AY238" s="2985"/>
      <c r="AZ238" s="2986"/>
      <c r="BA238" s="2987"/>
      <c r="BB238" s="3194"/>
      <c r="BC238" s="2989"/>
    </row>
    <row r="239" spans="1:55" ht="43.2" x14ac:dyDescent="0.25">
      <c r="A239" s="2620" t="s">
        <v>2422</v>
      </c>
      <c r="B239" s="2621" t="s">
        <v>2423</v>
      </c>
      <c r="C239" s="2632" t="s">
        <v>9248</v>
      </c>
      <c r="D239" s="2951">
        <v>2.2000000000000002</v>
      </c>
      <c r="E239" s="250" t="s">
        <v>2424</v>
      </c>
      <c r="F239" s="250" t="s">
        <v>2425</v>
      </c>
      <c r="G239" s="2609" t="s">
        <v>2426</v>
      </c>
      <c r="H239" s="2604" t="s">
        <v>2427</v>
      </c>
      <c r="I239" s="2122" t="str">
        <f t="shared" si="101"/>
        <v>6-DaHall 1-PDU-01-30-14</v>
      </c>
      <c r="J239" s="2123" t="str">
        <f t="shared" si="102"/>
        <v>6-DaHall 1-PDU-02-30-14</v>
      </c>
      <c r="K239" s="1474">
        <v>220</v>
      </c>
      <c r="L239" s="1475">
        <v>30</v>
      </c>
      <c r="M239" s="2419" t="s">
        <v>6497</v>
      </c>
      <c r="N239" s="1462">
        <v>14</v>
      </c>
      <c r="O239" s="1466">
        <v>220</v>
      </c>
      <c r="P239" s="1467">
        <v>30</v>
      </c>
      <c r="Q239" s="2425" t="s">
        <v>6493</v>
      </c>
      <c r="R239" s="1465">
        <v>14</v>
      </c>
      <c r="S239" s="3468"/>
      <c r="T239" s="3465"/>
      <c r="U239" s="3468"/>
      <c r="V239" s="3465"/>
      <c r="W239" s="3468"/>
      <c r="X239" s="3465"/>
      <c r="Y239" s="253">
        <f>SUM('6층_부하량(월간_AVG)'!L208:N208)</f>
        <v>0</v>
      </c>
      <c r="Z239" s="253">
        <f>SUM('6층_부하량(월간_AVG)'!L238:N238)</f>
        <v>0</v>
      </c>
      <c r="AA239" s="2450">
        <f t="shared" si="106"/>
        <v>0</v>
      </c>
      <c r="AB239" s="2683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3196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3224">
        <f>VLOOKUP(I239&amp;J239,'7층~4층_매핑테이블'!$Q$6:$X$2020,8,0)</f>
        <v>3.2909999999999999</v>
      </c>
      <c r="AE239" s="3140" t="e">
        <f t="shared" si="105"/>
        <v>#N/A</v>
      </c>
      <c r="AF239" s="2766"/>
      <c r="AH239" s="2351" t="e">
        <f t="shared" si="99"/>
        <v>#N/A</v>
      </c>
      <c r="AI239" s="2351" t="e">
        <f t="shared" si="100"/>
        <v>#N/A</v>
      </c>
      <c r="AJ239" s="123" t="e">
        <f t="shared" si="88"/>
        <v>#N/A</v>
      </c>
      <c r="AK239" t="e">
        <f t="shared" si="89"/>
        <v>#N/A</v>
      </c>
      <c r="AL239" t="e">
        <f t="shared" si="90"/>
        <v>#N/A</v>
      </c>
      <c r="AQ239" s="123"/>
      <c r="AR239" s="123"/>
      <c r="AS239" s="123"/>
      <c r="AT239" s="2982"/>
      <c r="AU239" s="123"/>
      <c r="AV239" s="123"/>
      <c r="AW239" s="2983"/>
      <c r="AX239" s="2984"/>
      <c r="AY239" s="2985"/>
      <c r="AZ239" s="2986"/>
      <c r="BA239" s="2987"/>
      <c r="BB239" s="3194"/>
      <c r="BC239" s="2989"/>
    </row>
    <row r="240" spans="1:55" ht="43.2" x14ac:dyDescent="0.25">
      <c r="A240" s="2620" t="s">
        <v>2428</v>
      </c>
      <c r="B240" s="2621" t="s">
        <v>2429</v>
      </c>
      <c r="C240" s="2632" t="s">
        <v>9248</v>
      </c>
      <c r="D240" s="2951">
        <v>2.2000000000000002</v>
      </c>
      <c r="E240" s="250" t="s">
        <v>2430</v>
      </c>
      <c r="F240" s="250" t="s">
        <v>2431</v>
      </c>
      <c r="G240" s="2609" t="s">
        <v>2432</v>
      </c>
      <c r="H240" s="2604" t="s">
        <v>2433</v>
      </c>
      <c r="I240" s="2122" t="str">
        <f t="shared" si="101"/>
        <v>6-DaHall 1-PDU-01-30-16</v>
      </c>
      <c r="J240" s="2123" t="str">
        <f t="shared" si="102"/>
        <v>6-DaHall 1-PDU-02-30-16</v>
      </c>
      <c r="K240" s="1460">
        <v>220</v>
      </c>
      <c r="L240" s="1461">
        <v>30</v>
      </c>
      <c r="M240" s="2419" t="s">
        <v>6497</v>
      </c>
      <c r="N240" s="1462">
        <v>16</v>
      </c>
      <c r="O240" s="1463">
        <v>220</v>
      </c>
      <c r="P240" s="1464">
        <v>30</v>
      </c>
      <c r="Q240" s="2425" t="s">
        <v>6493</v>
      </c>
      <c r="R240" s="1465">
        <v>16</v>
      </c>
      <c r="S240" s="3468"/>
      <c r="T240" s="3465"/>
      <c r="U240" s="3468"/>
      <c r="V240" s="3465"/>
      <c r="W240" s="3468"/>
      <c r="X240" s="3465"/>
      <c r="Y240" s="253">
        <f>SUM('6층_부하량(월간_AVG)'!L209:N209)</f>
        <v>0</v>
      </c>
      <c r="Z240" s="253">
        <f>SUM('6층_부하량(월간_AVG)'!L239:N239)</f>
        <v>0</v>
      </c>
      <c r="AA240" s="2450">
        <f t="shared" si="106"/>
        <v>0</v>
      </c>
      <c r="AB240" s="2683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3196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3224">
        <f>VLOOKUP(I240&amp;J240,'7층~4층_매핑테이블'!$Q$6:$X$2020,8,0)</f>
        <v>2.613</v>
      </c>
      <c r="AE240" s="3140" t="e">
        <f t="shared" si="105"/>
        <v>#N/A</v>
      </c>
      <c r="AF240" s="2766"/>
      <c r="AH240" s="2351" t="e">
        <f t="shared" si="99"/>
        <v>#N/A</v>
      </c>
      <c r="AI240" s="2351" t="e">
        <f t="shared" si="100"/>
        <v>#N/A</v>
      </c>
      <c r="AJ240" s="123" t="e">
        <f t="shared" si="88"/>
        <v>#N/A</v>
      </c>
      <c r="AK240" t="e">
        <f t="shared" si="89"/>
        <v>#N/A</v>
      </c>
      <c r="AL240" t="e">
        <f t="shared" si="90"/>
        <v>#N/A</v>
      </c>
      <c r="AQ240" s="123"/>
      <c r="AR240" s="123"/>
      <c r="AS240" s="123"/>
      <c r="AT240" s="2982"/>
      <c r="AU240" s="123"/>
      <c r="AV240" s="123"/>
      <c r="AW240" s="2983"/>
      <c r="AX240" s="2984"/>
      <c r="AY240" s="2985"/>
      <c r="AZ240" s="2986"/>
      <c r="BA240" s="2987"/>
      <c r="BB240" s="3194"/>
      <c r="BC240" s="2989"/>
    </row>
    <row r="241" spans="1:55" ht="27" customHeight="1" x14ac:dyDescent="0.25">
      <c r="A241" s="2620" t="s">
        <v>2434</v>
      </c>
      <c r="B241" s="2621" t="s">
        <v>2435</v>
      </c>
      <c r="C241" s="2632" t="s">
        <v>9248</v>
      </c>
      <c r="D241" s="2951">
        <v>2.2000000000000002</v>
      </c>
      <c r="E241" s="250" t="s">
        <v>2436</v>
      </c>
      <c r="F241" s="250" t="s">
        <v>2437</v>
      </c>
      <c r="G241" s="2609" t="s">
        <v>2438</v>
      </c>
      <c r="H241" s="2604" t="s">
        <v>2439</v>
      </c>
      <c r="I241" s="2122" t="str">
        <f t="shared" si="101"/>
        <v>6-DaHall 1-PDU-11-30-19</v>
      </c>
      <c r="J241" s="2123" t="str">
        <f t="shared" si="102"/>
        <v>6-DaHall 1-PDU-12-30-19</v>
      </c>
      <c r="K241" s="1460">
        <v>220</v>
      </c>
      <c r="L241" s="1461">
        <v>30</v>
      </c>
      <c r="M241" s="2419" t="s">
        <v>6541</v>
      </c>
      <c r="N241" s="1462">
        <v>19</v>
      </c>
      <c r="O241" s="1463">
        <v>220</v>
      </c>
      <c r="P241" s="1464">
        <v>30</v>
      </c>
      <c r="Q241" s="2425" t="s">
        <v>6548</v>
      </c>
      <c r="R241" s="1465">
        <v>19</v>
      </c>
      <c r="S241" s="3468" t="s">
        <v>2440</v>
      </c>
      <c r="T241" s="3465" t="s">
        <v>1511</v>
      </c>
      <c r="U241" s="3468" t="s">
        <v>2441</v>
      </c>
      <c r="V241" s="3465" t="s">
        <v>1512</v>
      </c>
      <c r="W241" s="3468"/>
      <c r="X241" s="3465"/>
      <c r="Y241" s="253">
        <f>SUM('6층_부하량(월간_AVG)'!D153:F153)</f>
        <v>0</v>
      </c>
      <c r="Z241" s="253">
        <f>SUM('6층_부하량(월간_AVG)'!D182:F182)</f>
        <v>0</v>
      </c>
      <c r="AA241" s="2450">
        <f t="shared" si="106"/>
        <v>0</v>
      </c>
      <c r="AB241" s="2683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3196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3224">
        <f>VLOOKUP(I241&amp;J241,'7층~4층_매핑테이블'!$Q$6:$X$2020,8,0)</f>
        <v>2.585</v>
      </c>
      <c r="AE241" s="3140" t="e">
        <f t="shared" si="105"/>
        <v>#N/A</v>
      </c>
      <c r="AF241" s="2766"/>
      <c r="AH241" s="2351" t="e">
        <f t="shared" si="99"/>
        <v>#N/A</v>
      </c>
      <c r="AI241" s="2351" t="e">
        <f t="shared" si="100"/>
        <v>#N/A</v>
      </c>
      <c r="AJ241" s="123" t="e">
        <f t="shared" si="88"/>
        <v>#N/A</v>
      </c>
      <c r="AK241" t="e">
        <f t="shared" si="89"/>
        <v>#N/A</v>
      </c>
      <c r="AL241" t="e">
        <f t="shared" si="90"/>
        <v>#N/A</v>
      </c>
      <c r="AQ241" s="123"/>
      <c r="AR241" s="123"/>
      <c r="AS241" s="123"/>
      <c r="AT241" s="2982"/>
      <c r="AU241" s="123"/>
      <c r="AV241" s="123"/>
      <c r="AW241" s="2983"/>
      <c r="AX241" s="2984"/>
      <c r="AY241" s="2985"/>
      <c r="AZ241" s="2986"/>
      <c r="BA241" s="2987"/>
      <c r="BB241" s="3194"/>
      <c r="BC241" s="2989"/>
    </row>
    <row r="242" spans="1:55" ht="25.5" customHeight="1" thickBot="1" x14ac:dyDescent="0.3">
      <c r="A242" s="2628" t="s">
        <v>2442</v>
      </c>
      <c r="B242" s="2629" t="s">
        <v>2443</v>
      </c>
      <c r="C242" s="2629"/>
      <c r="D242" s="2952">
        <v>2.2000000000000002</v>
      </c>
      <c r="E242" s="2629" t="s">
        <v>2444</v>
      </c>
      <c r="F242" s="2629" t="s">
        <v>2445</v>
      </c>
      <c r="G242" s="2611" t="s">
        <v>2446</v>
      </c>
      <c r="H242" s="2605" t="s">
        <v>2447</v>
      </c>
      <c r="I242" s="2124" t="str">
        <f t="shared" si="101"/>
        <v>6-DaHall 1-PDU-11-30-44</v>
      </c>
      <c r="J242" s="2125" t="str">
        <f t="shared" si="102"/>
        <v>6-DaHall 1-PDU-12-30-44</v>
      </c>
      <c r="K242" s="1468">
        <v>220</v>
      </c>
      <c r="L242" s="1469">
        <v>30</v>
      </c>
      <c r="M242" s="2422" t="s">
        <v>6541</v>
      </c>
      <c r="N242" s="1470">
        <v>44</v>
      </c>
      <c r="O242" s="1471">
        <v>220</v>
      </c>
      <c r="P242" s="1472">
        <v>30</v>
      </c>
      <c r="Q242" s="2428" t="s">
        <v>6548</v>
      </c>
      <c r="R242" s="1473">
        <v>44</v>
      </c>
      <c r="S242" s="3469"/>
      <c r="T242" s="3486"/>
      <c r="U242" s="3469"/>
      <c r="V242" s="3486"/>
      <c r="W242" s="3469"/>
      <c r="X242" s="3486"/>
      <c r="Y242" s="329">
        <f>SUM('6층_부하량(월간_AVG)'!L165:N165)</f>
        <v>0</v>
      </c>
      <c r="Z242" s="329">
        <f>SUM('6층_부하량(월간_AVG)'!L194:N194)</f>
        <v>0</v>
      </c>
      <c r="AA242" s="2797">
        <f t="shared" si="106"/>
        <v>0</v>
      </c>
      <c r="AB242" s="2799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3203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4032">
        <f>VLOOKUP(I242&amp;J242,'7층~4층_매핑테이블'!$Q$6:$X$2020,8,0)</f>
        <v>0</v>
      </c>
      <c r="AE242" s="3209" t="e">
        <f t="shared" si="105"/>
        <v>#N/A</v>
      </c>
      <c r="AF242" s="2457" t="s">
        <v>2448</v>
      </c>
      <c r="AH242" s="2351" t="e">
        <f t="shared" si="99"/>
        <v>#N/A</v>
      </c>
      <c r="AI242" s="2351" t="e">
        <f t="shared" si="100"/>
        <v>#N/A</v>
      </c>
      <c r="AJ242" s="123" t="e">
        <f t="shared" si="88"/>
        <v>#N/A</v>
      </c>
      <c r="AK242" t="e">
        <f t="shared" si="89"/>
        <v>#N/A</v>
      </c>
      <c r="AL242" t="e">
        <f t="shared" si="90"/>
        <v>#N/A</v>
      </c>
      <c r="AQ242" s="123"/>
      <c r="AR242" s="123"/>
      <c r="AS242" s="123"/>
      <c r="AT242" s="2982"/>
      <c r="AU242" s="123"/>
      <c r="AV242" s="123"/>
      <c r="AW242" s="2983"/>
      <c r="AX242" s="2984"/>
      <c r="AY242" s="2985"/>
      <c r="AZ242" s="2986"/>
      <c r="BA242" s="2987"/>
      <c r="BB242" s="3194"/>
      <c r="BC242" s="2989"/>
    </row>
    <row r="243" spans="1:55" ht="25.5" customHeight="1" thickTop="1" x14ac:dyDescent="0.25">
      <c r="A243" s="1353"/>
      <c r="B243" s="327" t="s">
        <v>2449</v>
      </c>
      <c r="C243" s="3523" t="s">
        <v>2450</v>
      </c>
      <c r="D243" s="2884"/>
      <c r="E243" s="327" t="s">
        <v>2451</v>
      </c>
      <c r="F243" s="1354"/>
      <c r="G243" s="2608" t="s">
        <v>2452</v>
      </c>
      <c r="H243" s="2600"/>
      <c r="I243" s="2129" t="str">
        <f t="shared" si="101"/>
        <v>6-DaHall 1-PDU-13-30-2</v>
      </c>
      <c r="J243" s="2133"/>
      <c r="K243" s="1483">
        <v>220</v>
      </c>
      <c r="L243" s="1484">
        <v>30</v>
      </c>
      <c r="M243" s="2421" t="s">
        <v>6542</v>
      </c>
      <c r="N243" s="1485">
        <v>2</v>
      </c>
      <c r="O243" s="1507"/>
      <c r="P243" s="1508"/>
      <c r="Q243" s="2600"/>
      <c r="R243" s="1509"/>
      <c r="S243" s="3467" t="s">
        <v>1405</v>
      </c>
      <c r="T243" s="3526"/>
      <c r="U243" s="3489" t="s">
        <v>1407</v>
      </c>
      <c r="V243" s="3526"/>
      <c r="W243" s="3489" t="s">
        <v>1276</v>
      </c>
      <c r="X243" s="3526"/>
      <c r="Y243" s="328">
        <f>SUM('6층_부하량(월간_AVG)'!L20:N20)</f>
        <v>0</v>
      </c>
      <c r="Z243" s="848"/>
      <c r="AA243" s="2450">
        <f t="shared" si="106"/>
        <v>0</v>
      </c>
      <c r="AB243" s="2800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3204"/>
      <c r="AD243" s="3240">
        <f>VLOOKUP(I243&amp;J243,'7층~4층_매핑테이블'!$Q$6:$X$2020,8,0)</f>
        <v>0</v>
      </c>
      <c r="AE243" s="3139" t="e">
        <f t="shared" si="105"/>
        <v>#N/A</v>
      </c>
      <c r="AF243" s="2458" t="s">
        <v>2453</v>
      </c>
      <c r="AH243" s="2351" t="e">
        <f t="shared" si="99"/>
        <v>#N/A</v>
      </c>
      <c r="AI243" s="2351" t="e">
        <f t="shared" si="100"/>
        <v>#N/A</v>
      </c>
      <c r="AJ243" s="123" t="e">
        <f t="shared" si="88"/>
        <v>#N/A</v>
      </c>
      <c r="AK243" t="e">
        <f t="shared" si="89"/>
        <v>#N/A</v>
      </c>
      <c r="AL243" t="e">
        <f t="shared" si="90"/>
        <v>#N/A</v>
      </c>
      <c r="AQ243" s="123"/>
      <c r="AR243" s="123"/>
      <c r="AS243" s="123"/>
      <c r="AT243" s="2982"/>
      <c r="AU243" s="123"/>
      <c r="AV243" s="123"/>
      <c r="AW243" s="2983"/>
      <c r="AX243" s="2984"/>
      <c r="AY243" s="2985"/>
      <c r="AZ243" s="2986"/>
      <c r="BA243" s="2987"/>
      <c r="BB243" s="3194"/>
      <c r="BC243" s="2989"/>
    </row>
    <row r="244" spans="1:55" ht="25.5" customHeight="1" x14ac:dyDescent="0.25">
      <c r="A244" s="1353"/>
      <c r="B244" s="250" t="s">
        <v>2454</v>
      </c>
      <c r="C244" s="3524"/>
      <c r="D244" s="2612"/>
      <c r="E244" s="250" t="s">
        <v>2455</v>
      </c>
      <c r="F244" s="1355"/>
      <c r="G244" s="2609" t="s">
        <v>2456</v>
      </c>
      <c r="H244" s="2601"/>
      <c r="I244" s="2122" t="str">
        <f t="shared" si="101"/>
        <v>6-DaHall 1-PDU-13-30-4</v>
      </c>
      <c r="J244" s="2134"/>
      <c r="K244" s="1460">
        <v>220</v>
      </c>
      <c r="L244" s="1461">
        <v>30</v>
      </c>
      <c r="M244" s="2419" t="s">
        <v>6542</v>
      </c>
      <c r="N244" s="1462">
        <v>4</v>
      </c>
      <c r="O244" s="1510"/>
      <c r="P244" s="1511"/>
      <c r="Q244" s="2601"/>
      <c r="R244" s="1512"/>
      <c r="S244" s="3468"/>
      <c r="T244" s="3527"/>
      <c r="U244" s="3487"/>
      <c r="V244" s="3527"/>
      <c r="W244" s="3487"/>
      <c r="X244" s="3527"/>
      <c r="Y244" s="253">
        <f>SUM('6층_부하량(월간_AVG)'!L21:N21)</f>
        <v>0</v>
      </c>
      <c r="Z244" s="252"/>
      <c r="AA244" s="2450">
        <f t="shared" si="106"/>
        <v>0</v>
      </c>
      <c r="AB244" s="2801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692"/>
      <c r="AD244" s="3224">
        <f>VLOOKUP(I244&amp;J244,'7층~4층_매핑테이블'!$Q$6:$X$2020,8,0)</f>
        <v>0</v>
      </c>
      <c r="AE244" s="3140" t="e">
        <f t="shared" si="105"/>
        <v>#N/A</v>
      </c>
      <c r="AF244" s="2459" t="s">
        <v>2457</v>
      </c>
      <c r="AH244" s="2351" t="e">
        <f t="shared" si="99"/>
        <v>#N/A</v>
      </c>
      <c r="AI244" s="2351" t="e">
        <f t="shared" si="100"/>
        <v>#N/A</v>
      </c>
      <c r="AJ244" s="123" t="e">
        <f t="shared" si="88"/>
        <v>#N/A</v>
      </c>
      <c r="AK244" t="e">
        <f t="shared" si="89"/>
        <v>#N/A</v>
      </c>
      <c r="AL244" t="e">
        <f t="shared" si="90"/>
        <v>#N/A</v>
      </c>
      <c r="AQ244" s="123"/>
      <c r="AR244" s="123"/>
      <c r="AS244" s="123"/>
      <c r="AT244" s="2982"/>
      <c r="AU244" s="123"/>
      <c r="AV244" s="123"/>
      <c r="AW244" s="2983"/>
      <c r="AX244" s="2984"/>
      <c r="AY244" s="2985"/>
      <c r="AZ244" s="2986"/>
      <c r="BA244" s="2987"/>
      <c r="BB244" s="3194"/>
      <c r="BC244" s="2989"/>
    </row>
    <row r="245" spans="1:55" ht="25.5" customHeight="1" x14ac:dyDescent="0.25">
      <c r="A245" s="1353"/>
      <c r="B245" s="250" t="s">
        <v>2458</v>
      </c>
      <c r="C245" s="3524"/>
      <c r="D245" s="2612"/>
      <c r="E245" s="1355"/>
      <c r="F245" s="250" t="s">
        <v>2459</v>
      </c>
      <c r="G245" s="2602"/>
      <c r="H245" s="2604" t="s">
        <v>2460</v>
      </c>
      <c r="I245" s="2135"/>
      <c r="J245" s="2123" t="str">
        <f>"6-DaHall 1-PDU-"&amp;Q245&amp;"-"&amp;P245&amp;"-"&amp;R245</f>
        <v>6-DaHall 1-PDU-14-30-2</v>
      </c>
      <c r="K245" s="1513"/>
      <c r="L245" s="1514"/>
      <c r="M245" s="2602"/>
      <c r="N245" s="1515"/>
      <c r="O245" s="1463">
        <v>220</v>
      </c>
      <c r="P245" s="1464">
        <v>30</v>
      </c>
      <c r="Q245" s="2425" t="s">
        <v>6549</v>
      </c>
      <c r="R245" s="1465">
        <v>2</v>
      </c>
      <c r="S245" s="3543"/>
      <c r="T245" s="3465" t="s">
        <v>1406</v>
      </c>
      <c r="U245" s="3545"/>
      <c r="V245" s="3473" t="s">
        <v>1408</v>
      </c>
      <c r="W245" s="3545"/>
      <c r="X245" s="3473" t="s">
        <v>1277</v>
      </c>
      <c r="Y245" s="252"/>
      <c r="Z245" s="253">
        <f>SUM('6층_부하량(월간_AVG)'!L52:N52)</f>
        <v>0</v>
      </c>
      <c r="AA245" s="2450">
        <f t="shared" si="106"/>
        <v>0</v>
      </c>
      <c r="AB245" s="2801"/>
      <c r="AC245" s="2692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3224">
        <f>VLOOKUP(I245&amp;J245,'7층~4층_매핑테이블'!$Q$6:$X$2020,8,0)</f>
        <v>0</v>
      </c>
      <c r="AE245" s="3140" t="e">
        <f t="shared" si="105"/>
        <v>#N/A</v>
      </c>
      <c r="AF245" s="2459" t="s">
        <v>2457</v>
      </c>
      <c r="AH245" s="2351" t="e">
        <f t="shared" si="99"/>
        <v>#N/A</v>
      </c>
      <c r="AI245" s="2351" t="e">
        <f t="shared" si="100"/>
        <v>#N/A</v>
      </c>
      <c r="AJ245" s="123" t="e">
        <f t="shared" si="88"/>
        <v>#N/A</v>
      </c>
      <c r="AK245" t="e">
        <f t="shared" si="89"/>
        <v>#N/A</v>
      </c>
      <c r="AL245" t="e">
        <f t="shared" si="90"/>
        <v>#N/A</v>
      </c>
      <c r="AQ245" s="123"/>
      <c r="AR245" s="123"/>
      <c r="AS245" s="123"/>
      <c r="AT245" s="2982"/>
      <c r="AU245" s="123"/>
      <c r="AV245" s="123"/>
      <c r="AW245" s="2983"/>
      <c r="AX245" s="2984"/>
      <c r="AY245" s="2985"/>
      <c r="AZ245" s="2986"/>
      <c r="BA245" s="2987"/>
      <c r="BB245" s="3194"/>
      <c r="BC245" s="2989"/>
    </row>
    <row r="246" spans="1:55" ht="25.5" customHeight="1" thickBot="1" x14ac:dyDescent="0.3">
      <c r="A246" s="1353"/>
      <c r="B246" s="2629" t="s">
        <v>2461</v>
      </c>
      <c r="C246" s="3525"/>
      <c r="D246" s="2885"/>
      <c r="E246" s="1351"/>
      <c r="F246" s="2629" t="s">
        <v>2462</v>
      </c>
      <c r="G246" s="2603"/>
      <c r="H246" s="2605" t="s">
        <v>2463</v>
      </c>
      <c r="I246" s="2136"/>
      <c r="J246" s="2125" t="str">
        <f>"6-DaHall 1-PDU-"&amp;Q246&amp;"-"&amp;P246&amp;"-"&amp;R246</f>
        <v>6-DaHall 1-PDU-14-30-4</v>
      </c>
      <c r="K246" s="1516"/>
      <c r="L246" s="1517"/>
      <c r="M246" s="2603"/>
      <c r="N246" s="1518"/>
      <c r="O246" s="1471">
        <v>220</v>
      </c>
      <c r="P246" s="1472">
        <v>30</v>
      </c>
      <c r="Q246" s="2428" t="s">
        <v>6549</v>
      </c>
      <c r="R246" s="1473">
        <v>4</v>
      </c>
      <c r="S246" s="3544"/>
      <c r="T246" s="3486"/>
      <c r="U246" s="3546"/>
      <c r="V246" s="3474"/>
      <c r="W246" s="3546"/>
      <c r="X246" s="3474"/>
      <c r="Y246" s="1352"/>
      <c r="Z246" s="329">
        <f>SUM('6층_부하량(월간_AVG)'!L53:N53)</f>
        <v>0</v>
      </c>
      <c r="AA246" s="2450">
        <f t="shared" si="106"/>
        <v>0</v>
      </c>
      <c r="AB246" s="2802"/>
      <c r="AC246" s="3205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4032">
        <f>VLOOKUP(I246&amp;J246,'7층~4층_매핑테이블'!$Q$6:$X$2020,8,0)</f>
        <v>0</v>
      </c>
      <c r="AE246" s="3141" t="e">
        <f t="shared" si="105"/>
        <v>#N/A</v>
      </c>
      <c r="AF246" s="2457" t="s">
        <v>2457</v>
      </c>
      <c r="AH246" s="2351" t="e">
        <f t="shared" si="99"/>
        <v>#N/A</v>
      </c>
      <c r="AI246" s="2351" t="e">
        <f t="shared" si="100"/>
        <v>#N/A</v>
      </c>
      <c r="AJ246" s="123" t="e">
        <f t="shared" si="88"/>
        <v>#N/A</v>
      </c>
      <c r="AK246" t="e">
        <f t="shared" si="89"/>
        <v>#N/A</v>
      </c>
      <c r="AL246" t="e">
        <f t="shared" si="90"/>
        <v>#N/A</v>
      </c>
      <c r="AQ246" s="123"/>
      <c r="AR246" s="123"/>
      <c r="AS246" s="123"/>
      <c r="AT246" s="2982"/>
      <c r="AU246" s="123"/>
      <c r="AV246" s="123"/>
      <c r="AW246" s="2983"/>
      <c r="AX246" s="2984"/>
      <c r="AY246" s="2985"/>
      <c r="AZ246" s="2986"/>
      <c r="BA246" s="2987"/>
      <c r="BB246" s="3194"/>
      <c r="BC246" s="2989"/>
    </row>
    <row r="247" spans="1:55" ht="43.8" thickTop="1" x14ac:dyDescent="0.25">
      <c r="A247" s="1081"/>
      <c r="B247" s="993" t="s">
        <v>2464</v>
      </c>
      <c r="C247" s="327"/>
      <c r="D247" s="327"/>
      <c r="E247" s="971"/>
      <c r="F247" s="327" t="s">
        <v>1211</v>
      </c>
      <c r="G247" s="971"/>
      <c r="H247" s="2610" t="s">
        <v>2465</v>
      </c>
      <c r="I247" s="2137"/>
      <c r="J247" s="2130" t="str">
        <f>"6-DaHall 1-PDU-"&amp;Q247&amp;"-"&amp;P247&amp;"-"&amp;R247</f>
        <v>6-DaHall 1-PDU-14-30-20</v>
      </c>
      <c r="K247" s="1499"/>
      <c r="L247" s="1500"/>
      <c r="M247" s="971"/>
      <c r="N247" s="1519"/>
      <c r="O247" s="1486">
        <v>220</v>
      </c>
      <c r="P247" s="1487">
        <v>30</v>
      </c>
      <c r="Q247" s="2427" t="s">
        <v>6549</v>
      </c>
      <c r="R247" s="1488">
        <v>20</v>
      </c>
      <c r="S247" s="971"/>
      <c r="T247" s="2610" t="s">
        <v>1406</v>
      </c>
      <c r="U247" s="971"/>
      <c r="V247" s="2610" t="s">
        <v>1408</v>
      </c>
      <c r="W247" s="971"/>
      <c r="X247" s="2610" t="s">
        <v>1277</v>
      </c>
      <c r="Y247" s="328"/>
      <c r="Z247" s="328">
        <f>SUM('6층_부하량(월간_AVG)'!L61:N61)</f>
        <v>0</v>
      </c>
      <c r="AA247" s="2798">
        <f t="shared" si="106"/>
        <v>0</v>
      </c>
      <c r="AB247" s="2777"/>
      <c r="AC247" s="2708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3240">
        <f>VLOOKUP(I247&amp;J247,'7층~4층_매핑테이블'!$Q$6:$X$2020,8,0)</f>
        <v>0</v>
      </c>
      <c r="AE247" s="3211" t="e">
        <f t="shared" si="105"/>
        <v>#N/A</v>
      </c>
      <c r="AF247" s="2458"/>
      <c r="AH247" s="2351" t="e">
        <f t="shared" si="99"/>
        <v>#N/A</v>
      </c>
      <c r="AI247" s="2351" t="e">
        <f t="shared" si="100"/>
        <v>#N/A</v>
      </c>
      <c r="AJ247" s="123" t="e">
        <f t="shared" si="88"/>
        <v>#N/A</v>
      </c>
      <c r="AK247" t="e">
        <f t="shared" si="89"/>
        <v>#N/A</v>
      </c>
      <c r="AL247" t="e">
        <f t="shared" si="90"/>
        <v>#N/A</v>
      </c>
      <c r="AQ247" s="123"/>
      <c r="AR247" s="123"/>
      <c r="AS247" s="123"/>
      <c r="AT247" s="2982"/>
      <c r="AU247" s="123"/>
      <c r="AV247" s="123"/>
      <c r="AW247" s="2983"/>
      <c r="AX247" s="2984"/>
      <c r="AY247" s="2985"/>
      <c r="AZ247" s="2986"/>
      <c r="BA247" s="2987"/>
      <c r="BB247" s="3194"/>
      <c r="BC247" s="2989"/>
    </row>
    <row r="248" spans="1:55" s="56" customFormat="1" ht="43.2" x14ac:dyDescent="0.25">
      <c r="A248" s="1093"/>
      <c r="B248" s="2654" t="s">
        <v>2466</v>
      </c>
      <c r="C248" s="2632"/>
      <c r="D248" s="2632"/>
      <c r="E248" s="2632" t="s">
        <v>2467</v>
      </c>
      <c r="F248" s="886"/>
      <c r="G248" s="2609" t="s">
        <v>2468</v>
      </c>
      <c r="H248" s="886"/>
      <c r="I248" s="2122" t="str">
        <f>"6-DaHall 1-PDU-"&amp;M248&amp;"-"&amp;L248&amp;"-"&amp;N248</f>
        <v>6-DaHall 1-PDU-13-30-40</v>
      </c>
      <c r="J248" s="2138"/>
      <c r="K248" s="1460">
        <v>220</v>
      </c>
      <c r="L248" s="1461">
        <v>30</v>
      </c>
      <c r="M248" s="2419" t="s">
        <v>6542</v>
      </c>
      <c r="N248" s="1462">
        <v>40</v>
      </c>
      <c r="O248" s="1520"/>
      <c r="P248" s="1521"/>
      <c r="Q248" s="886"/>
      <c r="R248" s="1522"/>
      <c r="S248" s="2609" t="s">
        <v>1405</v>
      </c>
      <c r="T248" s="886"/>
      <c r="U248" s="2609" t="s">
        <v>1407</v>
      </c>
      <c r="V248" s="886"/>
      <c r="W248" s="3468" t="s">
        <v>1276</v>
      </c>
      <c r="X248" s="886"/>
      <c r="Y248" s="852">
        <f>SUM('6층_부하량(월간_AVG)'!L39:N39)</f>
        <v>0</v>
      </c>
      <c r="Z248" s="886"/>
      <c r="AA248" s="2448">
        <f t="shared" si="106"/>
        <v>0</v>
      </c>
      <c r="AB248" s="2683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3206"/>
      <c r="AD248" s="3224">
        <f>VLOOKUP(I248&amp;J248,'7층~4층_매핑테이블'!$Q$6:$X$2020,8,0)</f>
        <v>0</v>
      </c>
      <c r="AE248" s="3218" t="e">
        <f t="shared" si="105"/>
        <v>#N/A</v>
      </c>
      <c r="AF248" s="2481"/>
      <c r="AH248" s="2351" t="e">
        <f t="shared" si="99"/>
        <v>#N/A</v>
      </c>
      <c r="AI248" s="2351" t="e">
        <f t="shared" si="100"/>
        <v>#N/A</v>
      </c>
      <c r="AJ248" s="123" t="e">
        <f t="shared" si="88"/>
        <v>#N/A</v>
      </c>
      <c r="AK248" t="e">
        <f t="shared" si="89"/>
        <v>#N/A</v>
      </c>
      <c r="AL248" t="e">
        <f t="shared" si="90"/>
        <v>#N/A</v>
      </c>
      <c r="AQ248" s="123"/>
      <c r="AR248" s="123"/>
      <c r="AS248" s="123"/>
      <c r="AT248" s="2982"/>
      <c r="AU248" s="123"/>
      <c r="AV248" s="123"/>
      <c r="AW248" s="2983"/>
      <c r="AX248" s="2984"/>
      <c r="AY248" s="2985"/>
      <c r="AZ248" s="2986"/>
      <c r="BA248" s="2987"/>
      <c r="BB248" s="3194"/>
      <c r="BC248" s="2989"/>
    </row>
    <row r="249" spans="1:55" ht="58.2" thickBot="1" x14ac:dyDescent="0.3">
      <c r="A249" s="2628"/>
      <c r="B249" s="2655" t="s">
        <v>2469</v>
      </c>
      <c r="C249" s="2656"/>
      <c r="D249" s="2656"/>
      <c r="E249" s="2629"/>
      <c r="F249" s="972"/>
      <c r="G249" s="2611" t="s">
        <v>2470</v>
      </c>
      <c r="H249" s="972"/>
      <c r="I249" s="2139" t="str">
        <f>"6-DaHall 1-PDU-"&amp;M249&amp;"-"&amp;L249&amp;"-"&amp;N249</f>
        <v>6-DaHall 1-PDU-01-30-50</v>
      </c>
      <c r="J249" s="2140"/>
      <c r="K249" s="1523">
        <v>220</v>
      </c>
      <c r="L249" s="1524">
        <v>30</v>
      </c>
      <c r="M249" s="2423" t="s">
        <v>6497</v>
      </c>
      <c r="N249" s="1525">
        <v>50</v>
      </c>
      <c r="O249" s="1526"/>
      <c r="P249" s="1527"/>
      <c r="Q249" s="1528"/>
      <c r="R249" s="1529"/>
      <c r="S249" s="2611" t="s">
        <v>1694</v>
      </c>
      <c r="T249" s="972"/>
      <c r="U249" s="2611" t="s">
        <v>1696</v>
      </c>
      <c r="V249" s="972"/>
      <c r="W249" s="3469"/>
      <c r="X249" s="972"/>
      <c r="Y249" s="329">
        <f>SUM('6층_부하량(월간_AVG)'!L226:N226)</f>
        <v>0</v>
      </c>
      <c r="Z249" s="972"/>
      <c r="AA249" s="2797">
        <f t="shared" si="106"/>
        <v>0</v>
      </c>
      <c r="AB249" s="2787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696"/>
      <c r="AD249" s="3224">
        <f>VLOOKUP(I249&amp;J249,'7층~4층_매핑테이블'!$Q$6:$X$2020,8,0)</f>
        <v>0</v>
      </c>
      <c r="AE249" s="3209" t="e">
        <f t="shared" si="105"/>
        <v>#N/A</v>
      </c>
      <c r="AF249" s="2457"/>
      <c r="AH249" s="2351" t="e">
        <f t="shared" si="99"/>
        <v>#N/A</v>
      </c>
      <c r="AI249" s="2351" t="e">
        <f t="shared" si="100"/>
        <v>#N/A</v>
      </c>
      <c r="AJ249" s="123" t="e">
        <f t="shared" si="88"/>
        <v>#N/A</v>
      </c>
      <c r="AK249" t="e">
        <f t="shared" si="89"/>
        <v>#N/A</v>
      </c>
      <c r="AL249" t="e">
        <f t="shared" si="90"/>
        <v>#N/A</v>
      </c>
      <c r="AQ249" s="123"/>
      <c r="AR249" s="123"/>
      <c r="AS249" s="123"/>
      <c r="AT249" s="2982"/>
      <c r="AU249" s="123"/>
      <c r="AV249" s="123"/>
      <c r="AW249" s="2983"/>
      <c r="AX249" s="2984"/>
      <c r="AY249" s="2985"/>
      <c r="AZ249" s="2986"/>
      <c r="BA249" s="2987"/>
      <c r="BB249" s="3194"/>
      <c r="BC249" s="2989"/>
    </row>
    <row r="250" spans="1:55" ht="58.8" thickTop="1" thickBot="1" x14ac:dyDescent="0.3">
      <c r="A250" s="2269"/>
      <c r="B250" s="2270" t="s">
        <v>2471</v>
      </c>
      <c r="C250" s="1117"/>
      <c r="D250" s="2954">
        <v>2.2000000000000002</v>
      </c>
      <c r="E250" s="1095"/>
      <c r="F250" s="1117"/>
      <c r="G250" s="2271"/>
      <c r="H250" s="1117"/>
      <c r="I250" s="2272" t="str">
        <f>"6-DaHall 1-PDU-"&amp;M250&amp;"-"&amp;L250&amp;"-"&amp;N250</f>
        <v>6-DaHall 1-PDU-01-30-46</v>
      </c>
      <c r="J250" s="2273"/>
      <c r="K250" s="2274">
        <v>220</v>
      </c>
      <c r="L250" s="2275">
        <v>30</v>
      </c>
      <c r="M250" s="2424" t="s">
        <v>6497</v>
      </c>
      <c r="N250" s="2276">
        <v>46</v>
      </c>
      <c r="O250" s="2277"/>
      <c r="P250" s="2278"/>
      <c r="Q250" s="2279"/>
      <c r="R250" s="2280"/>
      <c r="S250" s="2271" t="s">
        <v>1694</v>
      </c>
      <c r="T250" s="2279"/>
      <c r="U250" s="2271" t="s">
        <v>1696</v>
      </c>
      <c r="V250" s="2279"/>
      <c r="W250" s="2271"/>
      <c r="X250" s="1117"/>
      <c r="Y250" s="1120">
        <f>SUM('6층_부하량(월간_AVG)'!L224:N224)</f>
        <v>0</v>
      </c>
      <c r="Z250" s="2279"/>
      <c r="AA250" s="2803">
        <f t="shared" ref="AA250" si="107">SUM(Y250:Z250)</f>
        <v>0</v>
      </c>
      <c r="AB250" s="2804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752"/>
      <c r="AD250" s="4032">
        <f>VLOOKUP(I250&amp;J250,'7층~4층_매핑테이블'!$Q$6:$X$2020,8,0)</f>
        <v>0.129</v>
      </c>
      <c r="AE250" s="3219" t="e">
        <f t="shared" si="105"/>
        <v>#N/A</v>
      </c>
      <c r="AF250" s="2805"/>
      <c r="AH250" s="2351" t="e">
        <f t="shared" si="99"/>
        <v>#N/A</v>
      </c>
      <c r="AI250" s="2351" t="e">
        <f t="shared" si="100"/>
        <v>#N/A</v>
      </c>
      <c r="AJ250" s="123" t="e">
        <f t="shared" si="88"/>
        <v>#N/A</v>
      </c>
      <c r="AK250" t="e">
        <f t="shared" si="89"/>
        <v>#N/A</v>
      </c>
      <c r="AL250" t="e">
        <f t="shared" si="90"/>
        <v>#N/A</v>
      </c>
      <c r="AQ250" s="123"/>
      <c r="AR250" s="123"/>
      <c r="AS250" s="123"/>
      <c r="AT250" s="2982"/>
      <c r="AU250" s="123"/>
      <c r="AV250" s="123"/>
      <c r="AW250" s="2983"/>
      <c r="AX250" s="2984"/>
      <c r="AY250" s="2985"/>
      <c r="AZ250" s="2986"/>
      <c r="BA250" s="2987"/>
      <c r="BB250" s="3194"/>
      <c r="BC250" s="2989"/>
    </row>
    <row r="251" spans="1:55" ht="15" thickTop="1" x14ac:dyDescent="0.25"/>
    <row r="252" spans="1:55" x14ac:dyDescent="0.25">
      <c r="AA252" s="249">
        <f>SUM(AA5:AA250)</f>
        <v>0</v>
      </c>
      <c r="AB252" s="1356" t="e">
        <f>SUM(AB5:AB249)/1000</f>
        <v>#N/A</v>
      </c>
      <c r="AC252" s="1356"/>
      <c r="AD252" s="1356"/>
      <c r="AE252" s="3142"/>
    </row>
    <row r="253" spans="1:55" x14ac:dyDescent="0.25">
      <c r="Z253" s="249" t="s">
        <v>2472</v>
      </c>
    </row>
  </sheetData>
  <mergeCells count="303">
    <mergeCell ref="AU3:AV3"/>
    <mergeCell ref="AW3:AY3"/>
    <mergeCell ref="AZ3:BA3"/>
    <mergeCell ref="BB3:BB4"/>
    <mergeCell ref="BC3:BC4"/>
    <mergeCell ref="AI3:AI4"/>
    <mergeCell ref="AJ3:AJ4"/>
    <mergeCell ref="AF126:AF128"/>
    <mergeCell ref="AF129:AF130"/>
    <mergeCell ref="AF131:AF132"/>
    <mergeCell ref="AF133:AF134"/>
    <mergeCell ref="AH3:AH4"/>
    <mergeCell ref="AG222:AG230"/>
    <mergeCell ref="AQ3:AQ4"/>
    <mergeCell ref="AR3:AR4"/>
    <mergeCell ref="AS3:AS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X179:X187"/>
    <mergeCell ref="W169:W177"/>
    <mergeCell ref="W235:W242"/>
    <mergeCell ref="U195:U196"/>
    <mergeCell ref="V195:V196"/>
    <mergeCell ref="V192:V193"/>
    <mergeCell ref="T192:T193"/>
    <mergeCell ref="U192:U193"/>
    <mergeCell ref="AE232:AE233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W147:W156"/>
    <mergeCell ref="W158:W166"/>
    <mergeCell ref="AA133:AA134"/>
    <mergeCell ref="X231:X234"/>
    <mergeCell ref="AA129:AA130"/>
    <mergeCell ref="C232:C233"/>
    <mergeCell ref="U189:U191"/>
    <mergeCell ref="V189:V191"/>
    <mergeCell ref="V163:V166"/>
    <mergeCell ref="W136:W144"/>
    <mergeCell ref="V213:V221"/>
    <mergeCell ref="W213:W221"/>
    <mergeCell ref="W189:W201"/>
    <mergeCell ref="AA61:AA62"/>
    <mergeCell ref="AA131:AA132"/>
    <mergeCell ref="W74:W81"/>
    <mergeCell ref="V65:V71"/>
    <mergeCell ref="W65:W71"/>
    <mergeCell ref="X65:X71"/>
    <mergeCell ref="X189:X201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35:X40"/>
    <mergeCell ref="U39:U40"/>
    <mergeCell ref="V39:V40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C126:C128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77:AA78"/>
    <mergeCell ref="W117:W134"/>
    <mergeCell ref="X117:X134"/>
    <mergeCell ref="AB3:AC3"/>
    <mergeCell ref="AF3:AF4"/>
    <mergeCell ref="U53:U57"/>
    <mergeCell ref="C3:C4"/>
    <mergeCell ref="E3:F3"/>
    <mergeCell ref="G3:H3"/>
    <mergeCell ref="Y3:AA3"/>
    <mergeCell ref="AE3:AE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4:B196"/>
    <mergeCell ref="S195:S196"/>
    <mergeCell ref="T195:T196"/>
    <mergeCell ref="T155:T156"/>
    <mergeCell ref="A42:A43"/>
    <mergeCell ref="A44:A45"/>
    <mergeCell ref="B44:B45"/>
    <mergeCell ref="A59:A60"/>
    <mergeCell ref="B59:B60"/>
    <mergeCell ref="A77:A78"/>
    <mergeCell ref="A57:A58"/>
    <mergeCell ref="C194:C196"/>
    <mergeCell ref="A85:A86"/>
    <mergeCell ref="A88:A89"/>
    <mergeCell ref="A194:A196"/>
    <mergeCell ref="A191:A193"/>
    <mergeCell ref="S192:S193"/>
    <mergeCell ref="S136:S144"/>
    <mergeCell ref="S107:S108"/>
    <mergeCell ref="T107:T108"/>
    <mergeCell ref="T186:T187"/>
    <mergeCell ref="S158:S162"/>
    <mergeCell ref="S163:S166"/>
    <mergeCell ref="T163:T166"/>
    <mergeCell ref="V107:V108"/>
    <mergeCell ref="S83:S90"/>
    <mergeCell ref="T83:T90"/>
    <mergeCell ref="U83:U90"/>
    <mergeCell ref="U74:U81"/>
    <mergeCell ref="B191:B193"/>
    <mergeCell ref="S189:S191"/>
    <mergeCell ref="T189:T191"/>
    <mergeCell ref="A3:A4"/>
    <mergeCell ref="C191:C193"/>
    <mergeCell ref="B3:B4"/>
    <mergeCell ref="U107:U108"/>
    <mergeCell ref="T147:T154"/>
    <mergeCell ref="U147:U154"/>
    <mergeCell ref="S117:S125"/>
    <mergeCell ref="T117:T125"/>
    <mergeCell ref="U117:U125"/>
    <mergeCell ref="S147:S154"/>
    <mergeCell ref="U155:U156"/>
    <mergeCell ref="T35:T38"/>
    <mergeCell ref="S35:S38"/>
    <mergeCell ref="S95:S105"/>
    <mergeCell ref="T95:T105"/>
    <mergeCell ref="U95:U105"/>
    <mergeCell ref="T74:T81"/>
    <mergeCell ref="W42:W50"/>
    <mergeCell ref="S65:S71"/>
    <mergeCell ref="T65:T71"/>
    <mergeCell ref="C59:C60"/>
    <mergeCell ref="V53:V57"/>
    <mergeCell ref="U65:U71"/>
    <mergeCell ref="C57:C58"/>
    <mergeCell ref="C77:C78"/>
    <mergeCell ref="V74:V81"/>
    <mergeCell ref="V95:V105"/>
    <mergeCell ref="B122:B124"/>
    <mergeCell ref="C122:C124"/>
    <mergeCell ref="B126:B128"/>
    <mergeCell ref="B85:B86"/>
    <mergeCell ref="B88:B89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42:B43"/>
    <mergeCell ref="V126:V134"/>
    <mergeCell ref="C42:C43"/>
    <mergeCell ref="S42:S50"/>
    <mergeCell ref="W95:W105"/>
    <mergeCell ref="U126:U134"/>
    <mergeCell ref="C44:C45"/>
    <mergeCell ref="D133:D134"/>
    <mergeCell ref="A232:A233"/>
    <mergeCell ref="S231:S234"/>
    <mergeCell ref="W27:W32"/>
    <mergeCell ref="B232:B233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B57:B58"/>
    <mergeCell ref="A75:A76"/>
    <mergeCell ref="C75:C76"/>
    <mergeCell ref="B77:B78"/>
    <mergeCell ref="S126:S134"/>
    <mergeCell ref="S155:S156"/>
    <mergeCell ref="BD3:BD4"/>
    <mergeCell ref="AD3:AD4"/>
    <mergeCell ref="A1:AF1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</mergeCells>
  <phoneticPr fontId="14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EFD8-7803-4E49-B1AB-D99815DF91F3}">
  <sheetPr>
    <tabColor rgb="FFFFFF00"/>
  </sheetPr>
  <dimension ref="A1:AF324"/>
  <sheetViews>
    <sheetView tabSelected="1" topLeftCell="C56" workbookViewId="0">
      <selection activeCell="J71" sqref="J71"/>
    </sheetView>
  </sheetViews>
  <sheetFormatPr defaultRowHeight="14.4" x14ac:dyDescent="0.25"/>
  <cols>
    <col min="1" max="1" width="50.3984375" bestFit="1" customWidth="1"/>
    <col min="2" max="3" width="25.59765625" bestFit="1" customWidth="1"/>
    <col min="4" max="5" width="19.19921875" bestFit="1" customWidth="1"/>
    <col min="6" max="6" width="17.8984375" bestFit="1" customWidth="1"/>
    <col min="7" max="7" width="19.19921875" bestFit="1" customWidth="1"/>
    <col min="8" max="8" width="25.59765625" bestFit="1" customWidth="1"/>
    <col min="9" max="9" width="48.296875" bestFit="1" customWidth="1"/>
    <col min="10" max="11" width="24.3984375" bestFit="1" customWidth="1"/>
    <col min="12" max="12" width="17.8984375" bestFit="1" customWidth="1"/>
    <col min="13" max="13" width="23.19921875" bestFit="1" customWidth="1"/>
    <col min="14" max="14" width="17.8984375" bestFit="1" customWidth="1"/>
    <col min="15" max="15" width="23.19921875" bestFit="1" customWidth="1"/>
    <col min="16" max="16" width="25.59765625" bestFit="1" customWidth="1"/>
    <col min="17" max="17" width="48.296875" style="1" bestFit="1" customWidth="1"/>
    <col min="18" max="19" width="24.3984375" bestFit="1" customWidth="1"/>
    <col min="20" max="20" width="17.8984375" bestFit="1" customWidth="1"/>
    <col min="21" max="21" width="19.19921875" bestFit="1" customWidth="1"/>
    <col min="22" max="22" width="17.8984375" bestFit="1" customWidth="1"/>
    <col min="23" max="23" width="19.19921875" bestFit="1" customWidth="1"/>
    <col min="24" max="24" width="25.59765625" bestFit="1" customWidth="1"/>
    <col min="25" max="25" width="58.296875" bestFit="1" customWidth="1"/>
    <col min="26" max="27" width="29.3984375" bestFit="1" customWidth="1"/>
    <col min="28" max="28" width="17.8984375" bestFit="1" customWidth="1"/>
    <col min="29" max="29" width="21.59765625" bestFit="1" customWidth="1"/>
    <col min="30" max="30" width="17.8984375" bestFit="1" customWidth="1"/>
    <col min="31" max="31" width="21.59765625" bestFit="1" customWidth="1"/>
    <col min="32" max="32" width="25.59765625" bestFit="1" customWidth="1"/>
  </cols>
  <sheetData>
    <row r="1" spans="1:32" x14ac:dyDescent="0.25">
      <c r="D1" s="2989"/>
      <c r="E1" s="2989"/>
      <c r="F1" s="2989"/>
      <c r="G1" s="2989"/>
      <c r="P1" s="2989"/>
      <c r="X1" s="2989"/>
      <c r="Y1" s="3100"/>
    </row>
    <row r="2" spans="1:32" x14ac:dyDescent="0.25">
      <c r="B2" s="3963" t="s">
        <v>9311</v>
      </c>
      <c r="C2" s="3963"/>
      <c r="D2" s="2989"/>
      <c r="E2" s="2989"/>
      <c r="F2" s="2989"/>
      <c r="G2" s="2989"/>
      <c r="J2" s="3963" t="s">
        <v>8724</v>
      </c>
      <c r="K2" s="3963"/>
      <c r="P2" s="2989"/>
      <c r="R2" s="3963" t="s">
        <v>9312</v>
      </c>
      <c r="S2" s="3963"/>
      <c r="X2" s="2989">
        <v>0</v>
      </c>
      <c r="Y2" s="3100"/>
      <c r="Z2" s="3963" t="s">
        <v>9313</v>
      </c>
      <c r="AA2" s="3963"/>
    </row>
    <row r="3" spans="1:32" x14ac:dyDescent="0.25">
      <c r="B3" s="3963" t="s">
        <v>6630</v>
      </c>
      <c r="C3" s="3963"/>
      <c r="D3" s="2989"/>
      <c r="E3" s="2989">
        <v>1</v>
      </c>
      <c r="F3" s="2989"/>
      <c r="G3" s="2989"/>
      <c r="J3" s="3963" t="s">
        <v>6630</v>
      </c>
      <c r="K3" s="3963"/>
      <c r="P3" s="2989"/>
      <c r="R3" s="3963" t="s">
        <v>6630</v>
      </c>
      <c r="S3" s="3963"/>
      <c r="T3" s="1266"/>
      <c r="U3" s="1266"/>
      <c r="V3" s="1266"/>
      <c r="W3" s="1266"/>
      <c r="X3" s="2989"/>
      <c r="Y3" s="3100"/>
      <c r="Z3" s="3963" t="s">
        <v>6630</v>
      </c>
      <c r="AA3" s="3963"/>
      <c r="AB3">
        <v>23</v>
      </c>
      <c r="AC3">
        <v>20</v>
      </c>
    </row>
    <row r="4" spans="1:32" x14ac:dyDescent="0.25">
      <c r="B4" s="3962" t="s">
        <v>9314</v>
      </c>
      <c r="C4" s="3962"/>
      <c r="D4" s="1" t="str">
        <f>IF(0&amp;MID(A6,23,2)="0","","[branch#0"&amp;0&amp;MID(A6,23,2)&amp;"] [A] W")</f>
        <v>[branch#001] [A] W</v>
      </c>
      <c r="E4" s="2989" t="s">
        <v>9315</v>
      </c>
      <c r="F4" s="2989" t="s">
        <v>9316</v>
      </c>
      <c r="G4" s="2989"/>
      <c r="H4">
        <v>8</v>
      </c>
      <c r="J4" s="3962" t="s">
        <v>9314</v>
      </c>
      <c r="K4" s="3962"/>
      <c r="L4">
        <v>2</v>
      </c>
      <c r="P4" s="2989"/>
      <c r="R4" s="3962" t="s">
        <v>9314</v>
      </c>
      <c r="S4" s="3962"/>
      <c r="T4" s="2989">
        <v>2</v>
      </c>
      <c r="U4" s="2989"/>
      <c r="V4" s="3100"/>
      <c r="W4" s="3100"/>
      <c r="X4" s="2989"/>
      <c r="Y4" s="3100"/>
      <c r="Z4" s="3962" t="s">
        <v>9314</v>
      </c>
      <c r="AA4" s="3962"/>
      <c r="AB4" s="2989"/>
      <c r="AC4" s="2989">
        <v>1</v>
      </c>
    </row>
    <row r="5" spans="1:32" x14ac:dyDescent="0.25">
      <c r="A5" s="3101" t="s">
        <v>9317</v>
      </c>
      <c r="B5" s="1131" t="s">
        <v>9318</v>
      </c>
      <c r="C5" s="3102" t="s">
        <v>9319</v>
      </c>
      <c r="D5" s="3103" t="s">
        <v>9320</v>
      </c>
      <c r="E5" s="3103" t="s">
        <v>9321</v>
      </c>
      <c r="F5" s="3104" t="s">
        <v>9322</v>
      </c>
      <c r="G5" s="3104" t="s">
        <v>9323</v>
      </c>
      <c r="H5" s="3105" t="s">
        <v>9324</v>
      </c>
      <c r="I5" s="3101" t="s">
        <v>9325</v>
      </c>
      <c r="J5" s="1131" t="s">
        <v>9318</v>
      </c>
      <c r="K5" s="3102" t="s">
        <v>9319</v>
      </c>
      <c r="L5" s="3103" t="s">
        <v>9326</v>
      </c>
      <c r="M5" s="3103" t="s">
        <v>9327</v>
      </c>
      <c r="N5" s="3104" t="s">
        <v>9328</v>
      </c>
      <c r="O5" s="3104" t="s">
        <v>9329</v>
      </c>
      <c r="P5" s="3105" t="s">
        <v>9330</v>
      </c>
      <c r="Q5" s="3101" t="s">
        <v>9331</v>
      </c>
      <c r="R5" s="1131" t="s">
        <v>9318</v>
      </c>
      <c r="S5" s="3102" t="s">
        <v>9319</v>
      </c>
      <c r="T5" s="3103" t="s">
        <v>9332</v>
      </c>
      <c r="U5" s="3103" t="s">
        <v>9333</v>
      </c>
      <c r="V5" s="3104" t="s">
        <v>9334</v>
      </c>
      <c r="W5" s="3104" t="s">
        <v>9335</v>
      </c>
      <c r="X5" s="3105" t="s">
        <v>9336</v>
      </c>
      <c r="Y5" s="3101" t="s">
        <v>9337</v>
      </c>
      <c r="Z5" s="1131" t="s">
        <v>9318</v>
      </c>
      <c r="AA5" s="3102" t="s">
        <v>9319</v>
      </c>
      <c r="AB5" s="3103" t="s">
        <v>9338</v>
      </c>
      <c r="AC5" s="3103" t="s">
        <v>9339</v>
      </c>
      <c r="AD5" s="3104" t="s">
        <v>9340</v>
      </c>
      <c r="AE5" s="3104" t="s">
        <v>9341</v>
      </c>
      <c r="AF5" s="3105" t="s">
        <v>9342</v>
      </c>
    </row>
    <row r="6" spans="1:32" x14ac:dyDescent="0.25">
      <c r="A6" t="str">
        <f>B6&amp;C6</f>
        <v>4-DaHall 1-PDU-02-100-1</v>
      </c>
      <c r="B6" s="3099" t="s">
        <v>9343</v>
      </c>
      <c r="C6" s="217"/>
      <c r="D6" s="2989" t="str">
        <f>IF(MID(B6,16,2)="0","",MID(B6,1,15)&amp;MID(B6,16,2))</f>
        <v>4-DaHall 1-PDU-02</v>
      </c>
      <c r="E6" s="2989" t="str">
        <f>IF(IF(LEN(MID(B6,23,2))=1, "[branch#0"&amp;0&amp;MID(B6,23,2)&amp;"] [A] W", "[branch#0"&amp;MID(B6,23,2)&amp;"] [A] W")="[branch#0] [A] W", "", IF(LEN(MID(B6,23,2))=1, "[branch#0"&amp;0&amp;MID(B6,23,2)&amp;"] [A] W", "[branch#0"&amp;MID(B6,23,2)&amp;"] [A] W"))</f>
        <v>[branch#001] [A] W</v>
      </c>
      <c r="F6" s="2989" t="str">
        <f>IF(MID(C6,16,2)="0","",MID(C6,1,15)&amp;MID(C6,16,2))</f>
        <v/>
      </c>
      <c r="G6" s="2989" t="str">
        <f>IF(IF(LEN(MID(C6,23,2))=1, "[branch#0"&amp;0&amp;MID(C6,23,2)&amp;"] [A] W", "[branch#0"&amp;MID(C6,23,2)&amp;"] [A] W")="[branch#0] [A] W", "", IF(LEN(MID(C6,23,2))=1, "[branch#0"&amp;0&amp;MID(C6,23,2)&amp;"] [A] W", "[branch#0"&amp;MID(C6,23,2)&amp;"] [A] W"))</f>
        <v/>
      </c>
      <c r="H6" s="2989" cm="1">
        <f t="array" ref="H6">INDEX('각층분기별_유효전력최대(전월)'!$C$4:$C$2020,MATCH(1, ('각층분기별_유효전력최대(전월)'!$A$4:$A$2020='7층~4층_매핑테이블'!D6) * ('각층분기별_유효전력최대(전월)'!$B$4:$B$2020='7층~4층_매핑테이블'!E6),0)) + INDEX('각층분기별_유효전력최대(전월)'!$C$4:$C$2020,MATCH(1, ('각층분기별_유효전력최대(전월)'!$A$4:$A$2020='7층~4층_매핑테이블'!F6) * ('각층분기별_유효전력최대(전월)'!$B$4:$B$2020='7층~4층_매핑테이블'!G6),0))</f>
        <v>0.39100000000000001</v>
      </c>
      <c r="I6" s="4023" t="str">
        <f>J6&amp;K6</f>
        <v>5-DaHall 1-PDU-11-30-35-DaHall 1-PDU-12-30-3</v>
      </c>
      <c r="J6" s="217" t="s">
        <v>9345</v>
      </c>
      <c r="K6" s="217" t="s">
        <v>9346</v>
      </c>
      <c r="L6" t="str">
        <f>IF(MID(J6,16,2)="0","",MID(J6,1,15)&amp;MID(J6,16,2))</f>
        <v>5-DaHall 1-PDU-11</v>
      </c>
      <c r="M6" t="str">
        <f>IF(IF(LEN((MID(J6,22,2)))=1, "[branch#0"&amp;0&amp;MID(J6,22,2)&amp;"] [A] W", "[branch#0"&amp;MID(J6,22,2)&amp;"] [A] W")="[branch#0] [A] W", "", IF(LEN((MID(J6,22,2)))=1, "[branch#0"&amp;0&amp;MID(J6,22,2)&amp;"] [A] W", "[branch#0"&amp;MID(J6,22,2)&amp;"] [A] W"))</f>
        <v>[branch#003] [A] W</v>
      </c>
      <c r="N6" t="str">
        <f>IF(MID(K6,16,2)="0","",MID(K6,1,15)&amp;MID(K6,16,2))</f>
        <v>5-DaHall 1-PDU-12</v>
      </c>
      <c r="O6" t="str">
        <f>IF(IF(LEN((MID(K6,22,2)))=1, "[branch#0"&amp;0&amp;MID(K6,22,2)&amp;"] [A] W", "[branch#0"&amp;MID(K6,22,2)&amp;"] [A] W")="[branch#0] [A] W", "", IF(LEN((MID(K6,22,2)))=1, "[branch#0"&amp;0&amp;MID(K6,22,2)&amp;"] [A] W", "[branch#0"&amp;MID(K6,22,2)&amp;"] [A] W"))</f>
        <v>[branch#003] [A] W</v>
      </c>
      <c r="P6" s="2989" cm="1">
        <f t="array" ref="P6">INDEX('각층분기별_유효전력최대(전월)'!$F$4:$F$2020,MATCH(1, ('각층분기별_유효전력최대(전월)'!$D$4:$D$2020='7층~4층_매핑테이블'!L6) * ('각층분기별_유효전력최대(전월)'!$E$4:$E$2020='7층~4층_매핑테이블'!M6),0)) + INDEX('각층분기별_유효전력최대(전월)'!$F$4:$F$2020,MATCH(1, ('각층분기별_유효전력최대(전월)'!$D$4:$D$2020='7층~4층_매핑테이블'!N6) * ('각층분기별_유효전력최대(전월)'!$E$4:$E$2020='7층~4층_매핑테이블'!O6),0))</f>
        <v>0</v>
      </c>
      <c r="Q6" s="1" t="str">
        <f>R6&amp;S6</f>
        <v>6-DaHall 1-PDU-07-30-366-DaHall 1-PDU-08-30-36</v>
      </c>
      <c r="R6" s="217" t="s">
        <v>9347</v>
      </c>
      <c r="S6" s="217" t="s">
        <v>9348</v>
      </c>
      <c r="T6" t="str">
        <f>IF(MID(R6,16,2)="0","",MID(R6,1,15)&amp;MID(R6,16,2))</f>
        <v>6-DaHall 1-PDU-07</v>
      </c>
      <c r="U6" t="str">
        <f>IF(IF(LEN((MID(R6,22,2)))=1, "[branch#0"&amp;0&amp;MID(R6,22,2)&amp;"] [A] W", "[branch#0"&amp;MID(R6,22,2)&amp;"] [A] W")="[branch#0] [A] W", "", IF(LEN((MID(R6,22,2)))=1, "[branch#0"&amp;0&amp;MID(R6,22,2)&amp;"] [A] W", "[branch#0"&amp;MID(R6,22,2)&amp;"] [A] W"))</f>
        <v>[branch#036] [A] W</v>
      </c>
      <c r="V6" t="str">
        <f>IF(MID(S6,16,2)="0","",MID(S6,1,15)&amp;MID(S6,16,2))</f>
        <v>6-DaHall 1-PDU-08</v>
      </c>
      <c r="W6" t="str">
        <f>IF(IF(LEN((MID(S6,22,2)))=1, "[branch#0"&amp;0&amp;MID(S6,22,2)&amp;"] [A] W", "[branch#0"&amp;MID(S6,22,2)&amp;"] [A] W")="[branch#0] [A] W", "", IF(LEN((MID(S6,22,2)))=1, "[branch#0"&amp;0&amp;MID(S6,22,2)&amp;"] [A] W", "[branch#0"&amp;MID(S6,22,2)&amp;"] [A] W"))</f>
        <v>[branch#036] [A] W</v>
      </c>
      <c r="X6" s="2989" cm="1">
        <f t="array" ref="X6">INDEX('각층분기별_유효전력최대(전월)'!$I$4:$I$2020,MATCH(1, ('각층분기별_유효전력최대(전월)'!$G$4:$G$2020='7층~4층_매핑테이블'!T6) * ('각층분기별_유효전력최대(전월)'!$H$4:$H$2020='7층~4층_매핑테이블'!U6),0)) + INDEX('각층분기별_유효전력최대(전월)'!$I$4:$I$2020,MATCH(1, ('각층분기별_유효전력최대(전월)'!$G$4:$G$2020='7층~4층_매핑테이블'!V6) * ('각층분기별_유효전력최대(전월)'!$H$4:$H$2020='7층~4층_매핑테이블'!W6),0))</f>
        <v>0</v>
      </c>
      <c r="Y6" s="3100" t="str">
        <f>Z6&amp;AA6</f>
        <v>7-DaHall 1-PDU-03-225-6</v>
      </c>
      <c r="Z6" s="217" t="s">
        <v>9350</v>
      </c>
      <c r="AA6" s="217"/>
      <c r="AB6" s="3100" t="str">
        <f>IF(MID(Z6,16,2)="0","",MID(Z6,1,15)&amp;MID(Z6,16,2))</f>
        <v>7-DaHall 1-PDU-03</v>
      </c>
      <c r="AC6" t="s">
        <v>9351</v>
      </c>
      <c r="AD6" t="str">
        <f>IF(MID(AA6,16,2)="0","",MID(AA6,1,15)&amp;MID(AA6,16,2))</f>
        <v/>
      </c>
      <c r="AF6" s="2989" cm="1">
        <f t="array" ref="AF6">INDEX('각층분기별_유효전력최대(전월)'!$L$4:$L$2020,MATCH(1, ('각층분기별_유효전력최대(전월)'!$J$4:$J$2020='7층~4층_매핑테이블'!AB6) * ('각층분기별_유효전력최대(전월)'!$K$4:$K$2020='7층~4층_매핑테이블'!AC6),0)) + INDEX('각층분기별_유효전력최대(전월)'!$L$4:$L$2020,MATCH(1, ('각층분기별_유효전력최대(전월)'!$J$4:$J$2020='7층~4층_매핑테이블'!AD6) * ('각층분기별_유효전력최대(전월)'!$K$4:$K$2020='7층~4층_매핑테이블'!AE6),0))</f>
        <v>32.356000000000002</v>
      </c>
    </row>
    <row r="7" spans="1:32" x14ac:dyDescent="0.25">
      <c r="A7" t="str">
        <f t="shared" ref="A7:A15" si="0">B7&amp;C7</f>
        <v>4-DaHall 1-PDU-01-100-1</v>
      </c>
      <c r="B7" s="3099"/>
      <c r="C7" s="3098" t="s">
        <v>9352</v>
      </c>
      <c r="D7" s="2989" t="str">
        <f>IF(MID(B7,16,2)="0","",MID(B7,1,15)&amp;MID(B7,16,2))</f>
        <v/>
      </c>
      <c r="E7" s="2989" t="str">
        <f>IF(IF(LEN(MID(B7,23,2))=1, "[branch#0"&amp;0&amp;MID(B7,23,2)&amp;"] [A] W", "[branch#0"&amp;MID(B7,23,2)&amp;"] [A] W")="[branch#0] [A] W", "", IF(LEN(MID(B7,23,2))=1, "[branch#0"&amp;0&amp;MID(B7,23,2)&amp;"] [A] W", "[branch#0"&amp;MID(B7,23,2)&amp;"] [A] W"))</f>
        <v/>
      </c>
      <c r="F7" s="2989" t="str">
        <f>IF(MID(C7,16,2)="0","",MID(C7,1,15)&amp;MID(C7,16,2))</f>
        <v>4-DaHall 1-PDU-01</v>
      </c>
      <c r="G7" s="2989" t="str">
        <f>IF(IF(LEN(MID(C7,23,2))=1, "[branch#0"&amp;0&amp;MID(C7,23,2)&amp;"] [A] W", "[branch#0"&amp;MID(C7,23,2)&amp;"] [A] W")="[branch#0] [A] W", "", IF(LEN(MID(C7,23,2))=1, "[branch#0"&amp;0&amp;MID(C7,23,2)&amp;"] [A] W", "[branch#0"&amp;MID(C7,23,2)&amp;"] [A] W"))</f>
        <v>[branch#001] [A] W</v>
      </c>
      <c r="H7" s="2989" cm="1">
        <f t="array" ref="H7">INDEX('각층분기별_유효전력최대(전월)'!$C$4:$C$2020,MATCH(1, ('각층분기별_유효전력최대(전월)'!$A$4:$A$2020='7층~4층_매핑테이블'!D7) * ('각층분기별_유효전력최대(전월)'!$B$4:$B$2020='7층~4층_매핑테이블'!E7),0)) + INDEX('각층분기별_유효전력최대(전월)'!$C$4:$C$2020,MATCH(1, ('각층분기별_유효전력최대(전월)'!$A$4:$A$2020='7층~4층_매핑테이블'!F7) * ('각층분기별_유효전력최대(전월)'!$B$4:$B$2020='7층~4층_매핑테이블'!G7),0))</f>
        <v>0.69599999999999995</v>
      </c>
      <c r="I7" t="str">
        <f t="shared" ref="I7:I33" si="1">J7&amp;K7</f>
        <v>5-DaHall 1-PDU-11-30-55-DaHall 1-PDU-12-30-5</v>
      </c>
      <c r="J7" s="217" t="s">
        <v>9353</v>
      </c>
      <c r="K7" s="217" t="s">
        <v>9354</v>
      </c>
      <c r="L7" t="str">
        <f t="shared" ref="L7:L70" si="2">IF(MID(J7,16,2)="0","",MID(J7,1,15)&amp;MID(J7,16,2))</f>
        <v>5-DaHall 1-PDU-11</v>
      </c>
      <c r="M7" t="str">
        <f t="shared" ref="M7:M33" si="3">IF(IF(LEN((MID(J7,22,2)))=1, "[branch#0"&amp;0&amp;MID(J7,22,2)&amp;"] [A] W", "[branch#0"&amp;MID(J7,22,2)&amp;"] [A] W")="[branch#0] [A] W", "", IF(LEN((MID(J7,22,2)))=1, "[branch#0"&amp;0&amp;MID(J7,22,2)&amp;"] [A] W", "[branch#0"&amp;MID(J7,22,2)&amp;"] [A] W"))</f>
        <v>[branch#005] [A] W</v>
      </c>
      <c r="N7" t="str">
        <f t="shared" ref="N7:N33" si="4">IF(MID(K7,16,2)="0","",MID(K7,1,15)&amp;MID(K7,16,2))</f>
        <v>5-DaHall 1-PDU-12</v>
      </c>
      <c r="O7" t="str">
        <f t="shared" ref="O7:O33" si="5">IF(IF(LEN((MID(K7,22,2)))=1, "[branch#0"&amp;0&amp;MID(K7,22,2)&amp;"] [A] W", "[branch#0"&amp;MID(K7,22,2)&amp;"] [A] W")="[branch#0] [A] W", "", IF(LEN((MID(K7,22,2)))=1, "[branch#0"&amp;0&amp;MID(K7,22,2)&amp;"] [A] W", "[branch#0"&amp;MID(K7,22,2)&amp;"] [A] W"))</f>
        <v>[branch#005] [A] W</v>
      </c>
      <c r="P7" s="2989" cm="1">
        <f t="array" ref="P7">INDEX('각층분기별_유효전력최대(전월)'!$F$4:$F$2020,MATCH(1, ('각층분기별_유효전력최대(전월)'!$D$4:$D$2020='7층~4층_매핑테이블'!L7) * ('각층분기별_유효전력최대(전월)'!$E$4:$E$2020='7층~4층_매핑테이블'!M7),0)) + INDEX('각층분기별_유효전력최대(전월)'!$F$4:$F$2020,MATCH(1, ('각층분기별_유효전력최대(전월)'!$D$4:$D$2020='7층~4층_매핑테이블'!N7) * ('각층분기별_유효전력최대(전월)'!$E$4:$E$2020='7층~4층_매핑테이블'!O7),0))</f>
        <v>0</v>
      </c>
      <c r="Q7" s="1" t="str">
        <f t="shared" ref="Q7:Q37" si="6">R7&amp;S7</f>
        <v>6-DaHall 1-PDU-07-30-386-DaHall 1-PDU-08-30-38</v>
      </c>
      <c r="R7" s="217" t="s">
        <v>9356</v>
      </c>
      <c r="S7" s="217" t="s">
        <v>9357</v>
      </c>
      <c r="T7" t="str">
        <f t="shared" ref="T7:T72" si="7">IF(MID(R7,16,2)="0","",MID(R7,1,15)&amp;MID(R7,16,2))</f>
        <v>6-DaHall 1-PDU-07</v>
      </c>
      <c r="U7" t="str">
        <f t="shared" ref="U7:U37" si="8">IF(IF(LEN((MID(R7,22,2)))=1, "[branch#0"&amp;0&amp;MID(R7,22,2)&amp;"] [A] W", "[branch#0"&amp;MID(R7,22,2)&amp;"] [A] W")="[branch#0] [A] W", "", IF(LEN((MID(R7,22,2)))=1, "[branch#0"&amp;0&amp;MID(R7,22,2)&amp;"] [A] W", "[branch#0"&amp;MID(R7,22,2)&amp;"] [A] W"))</f>
        <v>[branch#038] [A] W</v>
      </c>
      <c r="V7" t="str">
        <f t="shared" ref="V7:V37" si="9">IF(MID(S7,16,2)="0","",MID(S7,1,15)&amp;MID(S7,16,2))</f>
        <v>6-DaHall 1-PDU-08</v>
      </c>
      <c r="W7" t="str">
        <f t="shared" ref="W7:W37" si="10">IF(IF(LEN((MID(S7,22,2)))=1, "[branch#0"&amp;0&amp;MID(S7,22,2)&amp;"] [A] W", "[branch#0"&amp;MID(S7,22,2)&amp;"] [A] W")="[branch#0] [A] W", "", IF(LEN((MID(S7,22,2)))=1, "[branch#0"&amp;0&amp;MID(S7,22,2)&amp;"] [A] W", "[branch#0"&amp;MID(S7,22,2)&amp;"] [A] W"))</f>
        <v>[branch#038] [A] W</v>
      </c>
      <c r="X7" s="2989" cm="1">
        <f t="array" ref="X7">INDEX('각층분기별_유효전력최대(전월)'!$I$4:$I$2020,MATCH(1, ('각층분기별_유효전력최대(전월)'!$G$4:$G$2020='7층~4층_매핑테이블'!T7) * ('각층분기별_유효전력최대(전월)'!$H$4:$H$2020='7층~4층_매핑테이블'!U7),0)) + INDEX('각층분기별_유효전력최대(전월)'!$I$4:$I$2020,MATCH(1, ('각층분기별_유효전력최대(전월)'!$G$4:$G$2020='7층~4층_매핑테이블'!V7) * ('각층분기별_유효전력최대(전월)'!$H$4:$H$2020='7층~4층_매핑테이블'!W7),0))</f>
        <v>0</v>
      </c>
      <c r="Y7" s="3274" t="str">
        <f t="shared" ref="Y7:Y22" si="11">Z7&amp;AA7</f>
        <v>7-DaHall 1-PDU-04-150-1</v>
      </c>
      <c r="Z7" s="217"/>
      <c r="AA7" s="217" t="s">
        <v>9359</v>
      </c>
      <c r="AB7" s="3274" t="str">
        <f>IF(MID(Z7,16,2)="0","",MID(Z7,1,15)&amp;MID(Z7,16,2))</f>
        <v/>
      </c>
      <c r="AD7" t="str">
        <f t="shared" ref="AD7:AD70" si="12">IF(MID(AA7,16,2)="0","",MID(AA7,1,15)&amp;MID(AA7,16,2))</f>
        <v>7-DaHall 1-PDU-04</v>
      </c>
      <c r="AE7" t="s">
        <v>9344</v>
      </c>
      <c r="AF7" s="2989" cm="1">
        <f t="array" ref="AF7">INDEX('각층분기별_유효전력최대(전월)'!$L$4:$L$2020,MATCH(1, ('각층분기별_유효전력최대(전월)'!$J$4:$J$2020='7층~4층_매핑테이블'!AB7) * ('각층분기별_유효전력최대(전월)'!$K$4:$K$2020='7층~4층_매핑테이블'!AC7),0)) + INDEX('각층분기별_유효전력최대(전월)'!$L$4:$L$2020,MATCH(1, ('각층분기별_유효전력최대(전월)'!$J$4:$J$2020='7층~4층_매핑테이블'!AD7) * ('각층분기별_유효전력최대(전월)'!$K$4:$K$2020='7층~4층_매핑테이블'!AE7),0))</f>
        <v>28.323</v>
      </c>
    </row>
    <row r="8" spans="1:32" x14ac:dyDescent="0.25">
      <c r="A8" t="str">
        <f t="shared" si="0"/>
        <v>4-DaHall 1-PDU-10-200-2</v>
      </c>
      <c r="B8" s="3099" t="s">
        <v>9360</v>
      </c>
      <c r="C8" s="217"/>
      <c r="D8" s="2989" t="str">
        <f t="shared" ref="D8:D15" si="13">IF(MID(B8,16,2)="0","",MID(B8,1,15)&amp;MID(B8,16,2))</f>
        <v>4-DaHall 1-PDU-10</v>
      </c>
      <c r="E8" s="2989" t="str">
        <f t="shared" ref="E8:E71" si="14">IF(IF(LEN(MID(B8,23,2))=1, "[branch#0"&amp;0&amp;MID(B8,23,2)&amp;"] [A] W", "[branch#0"&amp;MID(B8,23,2)&amp;"] [A] W")="[branch#0] [A] W", "", IF(LEN(MID(B8,23,2))=1, "[branch#0"&amp;0&amp;MID(B8,23,2)&amp;"] [A] W", "[branch#0"&amp;MID(B8,23,2)&amp;"] [A] W"))</f>
        <v>[branch#002] [A] W</v>
      </c>
      <c r="F8" s="2989" t="str">
        <f>IF(MID(C8,16,2)="0","",MID(C8,1,15)&amp;MID(C8,16,2))</f>
        <v/>
      </c>
      <c r="G8" s="2989" t="str">
        <f>IF(IF(LEN(MID(C8,23,2))=1, "[branch#0"&amp;0&amp;MID(C8,23,2)&amp;"] [A] W", "[branch#0"&amp;MID(C8,23,2)&amp;"] [A] W")="[branch#0] [A] W", "", IF(LEN(MID(C8,23,2))=1, "[branch#0"&amp;0&amp;MID(C8,23,2)&amp;"] [A] W", "[branch#0"&amp;MID(C8,23,2)&amp;"] [A] W"))</f>
        <v/>
      </c>
      <c r="H8" s="2989" cm="1">
        <f t="array" ref="H8">INDEX('각층분기별_유효전력최대(전월)'!$C$4:$C$2020,MATCH(1, ('각층분기별_유효전력최대(전월)'!$A$4:$A$2020='7층~4층_매핑테이블'!D8) * ('각층분기별_유효전력최대(전월)'!$B$4:$B$2020='7층~4층_매핑테이블'!E8),0)) + INDEX('각층분기별_유효전력최대(전월)'!$C$4:$C$2020,MATCH(1, ('각층분기별_유효전력최대(전월)'!$A$4:$A$2020='7층~4층_매핑테이블'!F8) * ('각층분기별_유효전력최대(전월)'!$B$4:$B$2020='7층~4층_매핑테이블'!G8),0))</f>
        <v>19.681999999999999</v>
      </c>
      <c r="I8" t="str">
        <f t="shared" si="1"/>
        <v>5-DaHall 1-PDU-11-30-95-DaHall 1-PDU-12-20-26</v>
      </c>
      <c r="J8" s="217" t="s">
        <v>9362</v>
      </c>
      <c r="K8" s="217" t="s">
        <v>9363</v>
      </c>
      <c r="L8" t="str">
        <f t="shared" si="2"/>
        <v>5-DaHall 1-PDU-11</v>
      </c>
      <c r="M8" t="str">
        <f t="shared" si="3"/>
        <v>[branch#009] [A] W</v>
      </c>
      <c r="N8" t="str">
        <f t="shared" si="4"/>
        <v>5-DaHall 1-PDU-12</v>
      </c>
      <c r="O8" t="str">
        <f t="shared" si="5"/>
        <v>[branch#026] [A] W</v>
      </c>
      <c r="P8" s="2989" cm="1">
        <f t="array" ref="P8">INDEX('각층분기별_유효전력최대(전월)'!$F$4:$F$2020,MATCH(1, ('각층분기별_유효전력최대(전월)'!$D$4:$D$2020='7층~4층_매핑테이블'!L8) * ('각층분기별_유효전력최대(전월)'!$E$4:$E$2020='7층~4층_매핑테이블'!M8),0)) + INDEX('각층분기별_유효전력최대(전월)'!$F$4:$F$2020,MATCH(1, ('각층분기별_유효전력최대(전월)'!$D$4:$D$2020='7층~4층_매핑테이블'!N8) * ('각층분기별_유효전력최대(전월)'!$E$4:$E$2020='7층~4층_매핑테이블'!O8),0))</f>
        <v>2.2249999999999996</v>
      </c>
      <c r="Q8" s="1" t="str">
        <f t="shared" si="6"/>
        <v>6-DaHall 1-PDU-07-30-406-DaHall 1-PDU-08-30-40</v>
      </c>
      <c r="R8" s="217" t="s">
        <v>9366</v>
      </c>
      <c r="S8" s="217" t="s">
        <v>9367</v>
      </c>
      <c r="T8" t="str">
        <f t="shared" si="7"/>
        <v>6-DaHall 1-PDU-07</v>
      </c>
      <c r="U8" t="str">
        <f t="shared" si="8"/>
        <v>[branch#040] [A] W</v>
      </c>
      <c r="V8" t="str">
        <f t="shared" si="9"/>
        <v>6-DaHall 1-PDU-08</v>
      </c>
      <c r="W8" t="str">
        <f t="shared" si="10"/>
        <v>[branch#040] [A] W</v>
      </c>
      <c r="X8" s="2989" cm="1">
        <f t="array" ref="X8">INDEX('각층분기별_유효전력최대(전월)'!$I$4:$I$2020,MATCH(1, ('각층분기별_유효전력최대(전월)'!$G$4:$G$2020='7층~4층_매핑테이블'!T8) * ('각층분기별_유효전력최대(전월)'!$H$4:$H$2020='7층~4층_매핑테이블'!U8),0)) + INDEX('각층분기별_유효전력최대(전월)'!$I$4:$I$2020,MATCH(1, ('각층분기별_유효전력최대(전월)'!$G$4:$G$2020='7층~4층_매핑테이블'!V8) * ('각층분기별_유효전력최대(전월)'!$H$4:$H$2020='7층~4층_매핑테이블'!W8),0))</f>
        <v>0</v>
      </c>
      <c r="Y8" s="3274" t="str">
        <f t="shared" si="11"/>
        <v>7-DaHall 1-A-4-35-327-DaHall 1-B-4-35-32</v>
      </c>
      <c r="Z8" s="217" t="s">
        <v>9369</v>
      </c>
      <c r="AA8" s="217" t="s">
        <v>9370</v>
      </c>
      <c r="AB8" s="3274" t="str">
        <f t="shared" ref="AB8:AB13" si="15">IF(MID(Z8,16,2)="0","",MID(Z8,1,15)&amp;MID(Z8,16,2))</f>
        <v>7-DaHall 1-A-4-35</v>
      </c>
      <c r="AC8" t="s">
        <v>9371</v>
      </c>
      <c r="AD8" t="str">
        <f t="shared" si="12"/>
        <v>7-DaHall 1-B-4-35</v>
      </c>
      <c r="AE8" t="s">
        <v>9371</v>
      </c>
      <c r="AF8" s="2989" t="e" cm="1">
        <f t="array" ref="AF8">INDEX('각층분기별_유효전력최대(전월)'!$L$4:$L$2020,MATCH(1, ('각층분기별_유효전력최대(전월)'!$J$4:$J$2020='7층~4층_매핑테이블'!AB8) * ('각층분기별_유효전력최대(전월)'!$K$4:$K$2020='7층~4층_매핑테이블'!AC8),0)) + INDEX('각층분기별_유효전력최대(전월)'!$L$4:$L$2020,MATCH(1, ('각층분기별_유효전력최대(전월)'!$J$4:$J$2020='7층~4층_매핑테이블'!AD8) * ('각층분기별_유효전력최대(전월)'!$K$4:$K$2020='7층~4층_매핑테이블'!AE8),0))</f>
        <v>#N/A</v>
      </c>
    </row>
    <row r="9" spans="1:32" x14ac:dyDescent="0.25">
      <c r="A9" t="str">
        <f t="shared" si="0"/>
        <v>4-DaHall 1-PDU-10-200-3</v>
      </c>
      <c r="B9" s="3099" t="s">
        <v>9372</v>
      </c>
      <c r="C9" s="3098"/>
      <c r="D9" s="2989" t="str">
        <f t="shared" si="13"/>
        <v>4-DaHall 1-PDU-10</v>
      </c>
      <c r="E9" s="2989" t="str">
        <f t="shared" si="14"/>
        <v>[branch#003] [A] W</v>
      </c>
      <c r="F9" s="2989" t="str">
        <f>IF(MID(C9,16,2)="0","",MID(C9,1,15)&amp;MID(C9,16,2))</f>
        <v/>
      </c>
      <c r="G9" s="2989" t="str">
        <f>IF(IF(LEN(MID(C9,23,2))=1, "[branch#0"&amp;0&amp;MID(C9,23,2)&amp;"] [A] W", "[branch#0"&amp;MID(C9,23,2)&amp;"] [A] W")="[branch#0] [A] W", "", IF(LEN(MID(C9,23,2))=1, "[branch#0"&amp;0&amp;MID(C9,23,2)&amp;"] [A] W", "[branch#0"&amp;MID(C9,23,2)&amp;"] [A] W"))</f>
        <v/>
      </c>
      <c r="H9" s="2989" cm="1">
        <f t="array" ref="H9">INDEX('각층분기별_유효전력최대(전월)'!$C$4:$C$2020,MATCH(1, ('각층분기별_유효전력최대(전월)'!$A$4:$A$2020='7층~4층_매핑테이블'!D9) * ('각층분기별_유효전력최대(전월)'!$B$4:$B$2020='7층~4층_매핑테이블'!E9),0)) + INDEX('각층분기별_유효전력최대(전월)'!$C$4:$C$2020,MATCH(1, ('각층분기별_유효전력최대(전월)'!$A$4:$A$2020='7층~4층_매핑테이블'!F9) * ('각층분기별_유효전력최대(전월)'!$B$4:$B$2020='7층~4층_매핑테이블'!G9),0))</f>
        <v>17.48</v>
      </c>
      <c r="I9" t="str">
        <f t="shared" si="1"/>
        <v>5-DaHall 1-PDU-11-20-265-DaHall 1-PDU-12-20-30</v>
      </c>
      <c r="J9" s="217" t="s">
        <v>9373</v>
      </c>
      <c r="K9" s="217" t="s">
        <v>9374</v>
      </c>
      <c r="L9" t="str">
        <f t="shared" si="2"/>
        <v>5-DaHall 1-PDU-11</v>
      </c>
      <c r="M9" t="str">
        <f t="shared" si="3"/>
        <v>[branch#026] [A] W</v>
      </c>
      <c r="N9" t="str">
        <f t="shared" si="4"/>
        <v>5-DaHall 1-PDU-12</v>
      </c>
      <c r="O9" t="str">
        <f t="shared" si="5"/>
        <v>[branch#030] [A] W</v>
      </c>
      <c r="P9" s="2989" cm="1">
        <f t="array" ref="P9">INDEX('각층분기별_유효전력최대(전월)'!$F$4:$F$2020,MATCH(1, ('각층분기별_유효전력최대(전월)'!$D$4:$D$2020='7층~4층_매핑테이블'!L9) * ('각층분기별_유효전력최대(전월)'!$E$4:$E$2020='7층~4층_매핑테이블'!M9),0)) + INDEX('각층분기별_유효전력최대(전월)'!$F$4:$F$2020,MATCH(1, ('각층분기별_유효전력최대(전월)'!$D$4:$D$2020='7층~4층_매핑테이블'!N9) * ('각층분기별_유효전력최대(전월)'!$E$4:$E$2020='7층~4층_매핑테이블'!O9),0))</f>
        <v>2.6080000000000001</v>
      </c>
      <c r="Q9" s="1" t="str">
        <f t="shared" si="6"/>
        <v>6-DaHall 1-PDU-07-30-426-DaHall 1-PDU-08-30-42</v>
      </c>
      <c r="R9" s="217" t="s">
        <v>9376</v>
      </c>
      <c r="S9" s="217" t="s">
        <v>9377</v>
      </c>
      <c r="T9" t="str">
        <f t="shared" si="7"/>
        <v>6-DaHall 1-PDU-07</v>
      </c>
      <c r="U9" t="str">
        <f t="shared" si="8"/>
        <v>[branch#042] [A] W</v>
      </c>
      <c r="V9" t="str">
        <f t="shared" si="9"/>
        <v>6-DaHall 1-PDU-08</v>
      </c>
      <c r="W9" t="str">
        <f t="shared" si="10"/>
        <v>[branch#042] [A] W</v>
      </c>
      <c r="X9" s="2989" cm="1">
        <f t="array" ref="X9">INDEX('각층분기별_유효전력최대(전월)'!$I$4:$I$2020,MATCH(1, ('각층분기별_유효전력최대(전월)'!$G$4:$G$2020='7층~4층_매핑테이블'!T9) * ('각층분기별_유효전력최대(전월)'!$H$4:$H$2020='7층~4층_매핑테이블'!U9),0)) + INDEX('각층분기별_유효전력최대(전월)'!$I$4:$I$2020,MATCH(1, ('각층분기별_유효전력최대(전월)'!$G$4:$G$2020='7층~4층_매핑테이블'!V9) * ('각층분기별_유효전력최대(전월)'!$H$4:$H$2020='7층~4층_매핑테이블'!W9),0))</f>
        <v>0</v>
      </c>
      <c r="Y9" s="3274" t="str">
        <f t="shared" si="11"/>
        <v>7-DaHall 1-PDU-01-30-377-DaHall 1-PDU-02-30-37</v>
      </c>
      <c r="Z9" s="217" t="s">
        <v>9379</v>
      </c>
      <c r="AA9" s="217" t="s">
        <v>9380</v>
      </c>
      <c r="AB9" s="3274" t="str">
        <f t="shared" si="15"/>
        <v>7-DaHall 1-PDU-01</v>
      </c>
      <c r="AC9" t="s">
        <v>9381</v>
      </c>
      <c r="AD9" t="str">
        <f t="shared" si="12"/>
        <v>7-DaHall 1-PDU-02</v>
      </c>
      <c r="AE9" t="s">
        <v>9381</v>
      </c>
      <c r="AF9" s="2989" cm="1">
        <f t="array" ref="AF9">INDEX('각층분기별_유효전력최대(전월)'!$L$4:$L$2020,MATCH(1, ('각층분기별_유효전력최대(전월)'!$J$4:$J$2020='7층~4층_매핑테이블'!AB9) * ('각층분기별_유효전력최대(전월)'!$K$4:$K$2020='7층~4층_매핑테이블'!AC9),0)) + INDEX('각층분기별_유효전력최대(전월)'!$L$4:$L$2020,MATCH(1, ('각층분기별_유효전력최대(전월)'!$J$4:$J$2020='7층~4층_매핑테이블'!AD9) * ('각층분기별_유효전력최대(전월)'!$K$4:$K$2020='7층~4층_매핑테이블'!AE9),0))</f>
        <v>9.2999999999999999E-2</v>
      </c>
    </row>
    <row r="10" spans="1:32" x14ac:dyDescent="0.25">
      <c r="A10" t="str">
        <f t="shared" si="0"/>
        <v>4-DaHall 1-PDU-02-100-34-DaHall 1-PDU-01-100-3</v>
      </c>
      <c r="B10" s="3099" t="s">
        <v>9382</v>
      </c>
      <c r="C10" s="3098" t="s">
        <v>9383</v>
      </c>
      <c r="D10" s="2989" t="str">
        <f t="shared" si="13"/>
        <v>4-DaHall 1-PDU-02</v>
      </c>
      <c r="E10" s="2989" t="str">
        <f t="shared" si="14"/>
        <v>[branch#003] [A] W</v>
      </c>
      <c r="F10" s="2989" t="str">
        <f t="shared" ref="F10:F63" si="16">IF(MID(C10,16,2)="0","",MID(C10,1,15)&amp;MID(C10,16,2))</f>
        <v>4-DaHall 1-PDU-01</v>
      </c>
      <c r="G10" s="2989" t="str">
        <f t="shared" ref="G10:G63" si="17">IF(IF(LEN(MID(C10,23,2))=1, "[branch#0"&amp;0&amp;MID(C10,23,2)&amp;"] [A] W", "[branch#0"&amp;MID(C10,23,2)&amp;"] [A] W")="[branch#0] [A] W", "", IF(LEN(MID(C10,23,2))=1, "[branch#0"&amp;0&amp;MID(C10,23,2)&amp;"] [A] W", "[branch#0"&amp;MID(C10,23,2)&amp;"] [A] W"))</f>
        <v>[branch#003] [A] W</v>
      </c>
      <c r="H10" s="2989" cm="1">
        <f t="array" ref="H10">INDEX('각층분기별_유효전력최대(전월)'!$C$4:$C$2020,MATCH(1, ('각층분기별_유효전력최대(전월)'!$A$4:$A$2020='7층~4층_매핑테이블'!D10) * ('각층분기별_유효전력최대(전월)'!$B$4:$B$2020='7층~4층_매핑테이블'!E10),0)) + INDEX('각층분기별_유효전력최대(전월)'!$C$4:$C$2020,MATCH(1, ('각층분기별_유효전력최대(전월)'!$A$4:$A$2020='7층~4층_매핑테이블'!F10) * ('각층분기별_유효전력최대(전월)'!$B$4:$B$2020='7층~4층_매핑테이블'!G10),0))</f>
        <v>14.317</v>
      </c>
      <c r="I10" t="str">
        <f t="shared" si="1"/>
        <v>5-DaHall 1-PDU-11-30-115-DaHall 1-PDU-12-30-9</v>
      </c>
      <c r="J10" s="217" t="s">
        <v>9384</v>
      </c>
      <c r="K10" s="217" t="s">
        <v>9385</v>
      </c>
      <c r="L10" t="str">
        <f t="shared" si="2"/>
        <v>5-DaHall 1-PDU-11</v>
      </c>
      <c r="M10" t="str">
        <f t="shared" si="3"/>
        <v>[branch#011] [A] W</v>
      </c>
      <c r="N10" t="str">
        <f t="shared" si="4"/>
        <v>5-DaHall 1-PDU-12</v>
      </c>
      <c r="O10" t="str">
        <f t="shared" si="5"/>
        <v>[branch#009] [A] W</v>
      </c>
      <c r="P10" s="2989" cm="1">
        <f t="array" ref="P10">INDEX('각층분기별_유효전력최대(전월)'!$F$4:$F$2020,MATCH(1, ('각층분기별_유효전력최대(전월)'!$D$4:$D$2020='7층~4층_매핑테이블'!L10) * ('각층분기별_유효전력최대(전월)'!$E$4:$E$2020='7층~4층_매핑테이블'!M10),0)) + INDEX('각층분기별_유효전력최대(전월)'!$F$4:$F$2020,MATCH(1, ('각층분기별_유효전력최대(전월)'!$D$4:$D$2020='7층~4층_매핑테이블'!N10) * ('각층분기별_유효전력최대(전월)'!$E$4:$E$2020='7층~4층_매핑테이블'!O10),0))</f>
        <v>0.626</v>
      </c>
      <c r="Q10" s="1" t="str">
        <f t="shared" si="6"/>
        <v>6-DaHall 1-PDU-07-30-446-DaHall 1-PDU-08-30-44</v>
      </c>
      <c r="R10" s="217" t="s">
        <v>9387</v>
      </c>
      <c r="S10" s="217" t="s">
        <v>9388</v>
      </c>
      <c r="T10" t="str">
        <f t="shared" si="7"/>
        <v>6-DaHall 1-PDU-07</v>
      </c>
      <c r="U10" t="str">
        <f t="shared" si="8"/>
        <v>[branch#044] [A] W</v>
      </c>
      <c r="V10" t="str">
        <f t="shared" si="9"/>
        <v>6-DaHall 1-PDU-08</v>
      </c>
      <c r="W10" t="str">
        <f t="shared" si="10"/>
        <v>[branch#044] [A] W</v>
      </c>
      <c r="X10" s="2989" cm="1">
        <f t="array" ref="X10">INDEX('각층분기별_유효전력최대(전월)'!$I$4:$I$2020,MATCH(1, ('각층분기별_유효전력최대(전월)'!$G$4:$G$2020='7층~4층_매핑테이블'!T10) * ('각층분기별_유효전력최대(전월)'!$H$4:$H$2020='7층~4층_매핑테이블'!U10),0)) + INDEX('각층분기별_유효전력최대(전월)'!$I$4:$I$2020,MATCH(1, ('각층분기별_유효전력최대(전월)'!$G$4:$G$2020='7층~4층_매핑테이블'!V10) * ('각층분기별_유효전력최대(전월)'!$H$4:$H$2020='7층~4층_매핑테이블'!W10),0))</f>
        <v>0</v>
      </c>
      <c r="Y10" s="3274" t="str">
        <f t="shared" si="11"/>
        <v>7-DaHall 1-A-4-100-587-DaHall 1-B-4-100-58</v>
      </c>
      <c r="Z10" s="217" t="s">
        <v>9390</v>
      </c>
      <c r="AA10" s="217" t="s">
        <v>9391</v>
      </c>
      <c r="AB10" s="3274" t="str">
        <f t="shared" si="15"/>
        <v>7-DaHall 1-A-4-10</v>
      </c>
      <c r="AC10" t="s">
        <v>9392</v>
      </c>
      <c r="AD10" t="str">
        <f t="shared" si="12"/>
        <v>7-DaHall 1-B-4-10</v>
      </c>
      <c r="AE10" t="s">
        <v>9392</v>
      </c>
      <c r="AF10" s="2989" t="e" cm="1">
        <f t="array" ref="AF10">INDEX('각층분기별_유효전력최대(전월)'!$L$4:$L$2020,MATCH(1, ('각층분기별_유효전력최대(전월)'!$J$4:$J$2020='7층~4층_매핑테이블'!AB10) * ('각층분기별_유효전력최대(전월)'!$K$4:$K$2020='7층~4층_매핑테이블'!AC10),0)) + INDEX('각층분기별_유효전력최대(전월)'!$L$4:$L$2020,MATCH(1, ('각층분기별_유효전력최대(전월)'!$J$4:$J$2020='7층~4층_매핑테이블'!AD10) * ('각층분기별_유효전력최대(전월)'!$K$4:$K$2020='7층~4층_매핑테이블'!AE10),0))</f>
        <v>#N/A</v>
      </c>
    </row>
    <row r="11" spans="1:32" x14ac:dyDescent="0.25">
      <c r="A11" t="str">
        <f t="shared" si="0"/>
        <v>4-DaHall 1-PDU-02-100-44-DaHall 1-PDU-01-100-4</v>
      </c>
      <c r="B11" s="3099" t="s">
        <v>9393</v>
      </c>
      <c r="C11" s="3098" t="s">
        <v>9394</v>
      </c>
      <c r="D11" s="2989" t="str">
        <f t="shared" si="13"/>
        <v>4-DaHall 1-PDU-02</v>
      </c>
      <c r="E11" s="2989" t="str">
        <f t="shared" si="14"/>
        <v>[branch#004] [A] W</v>
      </c>
      <c r="F11" s="2989" t="str">
        <f t="shared" si="16"/>
        <v>4-DaHall 1-PDU-01</v>
      </c>
      <c r="G11" s="2989" t="str">
        <f t="shared" si="17"/>
        <v>[branch#004] [A] W</v>
      </c>
      <c r="H11" s="2989" cm="1">
        <f t="array" ref="H11">INDEX('각층분기별_유효전력최대(전월)'!$C$4:$C$2020,MATCH(1, ('각층분기별_유효전력최대(전월)'!$A$4:$A$2020='7층~4층_매핑테이블'!D11) * ('각층분기별_유효전력최대(전월)'!$B$4:$B$2020='7층~4층_매핑테이블'!E11),0)) + INDEX('각층분기별_유효전력최대(전월)'!$C$4:$C$2020,MATCH(1, ('각층분기별_유효전력최대(전월)'!$A$4:$A$2020='7층~4층_매핑테이블'!F11) * ('각층분기별_유효전력최대(전월)'!$B$4:$B$2020='7층~4층_매핑테이블'!G11),0))</f>
        <v>15.279</v>
      </c>
      <c r="I11" t="str">
        <f t="shared" si="1"/>
        <v>5-DaHall 1-PDU-11-30-135-DaHall 1-PDU-12-30-11</v>
      </c>
      <c r="J11" s="217" t="s">
        <v>9396</v>
      </c>
      <c r="K11" s="217" t="s">
        <v>9397</v>
      </c>
      <c r="L11" t="str">
        <f t="shared" si="2"/>
        <v>5-DaHall 1-PDU-11</v>
      </c>
      <c r="M11" t="str">
        <f t="shared" si="3"/>
        <v>[branch#013] [A] W</v>
      </c>
      <c r="N11" t="str">
        <f t="shared" si="4"/>
        <v>5-DaHall 1-PDU-12</v>
      </c>
      <c r="O11" t="str">
        <f t="shared" si="5"/>
        <v>[branch#011] [A] W</v>
      </c>
      <c r="P11" s="2989" cm="1">
        <f t="array" ref="P11">INDEX('각층분기별_유효전력최대(전월)'!$F$4:$F$2020,MATCH(1, ('각층분기별_유효전력최대(전월)'!$D$4:$D$2020='7층~4층_매핑테이블'!L11) * ('각층분기별_유효전력최대(전월)'!$E$4:$E$2020='7층~4층_매핑테이블'!M11),0)) + INDEX('각층분기별_유효전력최대(전월)'!$F$4:$F$2020,MATCH(1, ('각층분기별_유효전력최대(전월)'!$D$4:$D$2020='7층~4층_매핑테이블'!N11) * ('각층분기별_유효전력최대(전월)'!$E$4:$E$2020='7층~4층_매핑테이블'!O11),0))</f>
        <v>0.43099999999999999</v>
      </c>
      <c r="Q11" s="1" t="str">
        <f t="shared" si="6"/>
        <v>6-DaHall 1-PDU-07-30-466-DaHall 1-PDU-08-30-46</v>
      </c>
      <c r="R11" s="217" t="s">
        <v>9399</v>
      </c>
      <c r="S11" s="217" t="s">
        <v>9400</v>
      </c>
      <c r="T11" t="str">
        <f t="shared" si="7"/>
        <v>6-DaHall 1-PDU-07</v>
      </c>
      <c r="U11" t="str">
        <f t="shared" si="8"/>
        <v>[branch#046] [A] W</v>
      </c>
      <c r="V11" t="str">
        <f t="shared" si="9"/>
        <v>6-DaHall 1-PDU-08</v>
      </c>
      <c r="W11" t="str">
        <f t="shared" si="10"/>
        <v>[branch#046] [A] W</v>
      </c>
      <c r="X11" s="2989" cm="1">
        <f t="array" ref="X11">INDEX('각층분기별_유효전력최대(전월)'!$I$4:$I$2020,MATCH(1, ('각층분기별_유효전력최대(전월)'!$G$4:$G$2020='7층~4층_매핑테이블'!T11) * ('각층분기별_유효전력최대(전월)'!$H$4:$H$2020='7층~4층_매핑테이블'!U11),0)) + INDEX('각층분기별_유효전력최대(전월)'!$I$4:$I$2020,MATCH(1, ('각층분기별_유효전력최대(전월)'!$G$4:$G$2020='7층~4층_매핑테이블'!V11) * ('각층분기별_유효전력최대(전월)'!$H$4:$H$2020='7층~4층_매핑테이블'!W11),0))</f>
        <v>0</v>
      </c>
      <c r="Y11" s="3274" t="str">
        <f t="shared" si="11"/>
        <v>7-DaHall 1-A-4-100-567-DaHall 1-B-4-35-56</v>
      </c>
      <c r="Z11" s="217" t="s">
        <v>9402</v>
      </c>
      <c r="AA11" s="217" t="s">
        <v>9403</v>
      </c>
      <c r="AB11" s="3274" t="str">
        <f t="shared" si="15"/>
        <v>7-DaHall 1-A-4-10</v>
      </c>
      <c r="AC11" t="s">
        <v>9404</v>
      </c>
      <c r="AD11" t="str">
        <f t="shared" si="12"/>
        <v>7-DaHall 1-B-4-35</v>
      </c>
      <c r="AE11" t="s">
        <v>9404</v>
      </c>
      <c r="AF11" s="2989" t="e" cm="1">
        <f t="array" ref="AF11">INDEX('각층분기별_유효전력최대(전월)'!$L$4:$L$2020,MATCH(1, ('각층분기별_유효전력최대(전월)'!$J$4:$J$2020='7층~4층_매핑테이블'!AB11) * ('각층분기별_유효전력최대(전월)'!$K$4:$K$2020='7층~4층_매핑테이블'!AC11),0)) + INDEX('각층분기별_유효전력최대(전월)'!$L$4:$L$2020,MATCH(1, ('각층분기별_유효전력최대(전월)'!$J$4:$J$2020='7층~4층_매핑테이블'!AD11) * ('각층분기별_유효전력최대(전월)'!$K$4:$K$2020='7층~4층_매핑테이블'!AE11),0))</f>
        <v>#N/A</v>
      </c>
    </row>
    <row r="12" spans="1:32" x14ac:dyDescent="0.25">
      <c r="A12" t="str">
        <f t="shared" si="0"/>
        <v>4-DaHall 1-PDU-02-100-54-DaHall 1-PDU-01-100-5</v>
      </c>
      <c r="B12" s="3099" t="s">
        <v>9405</v>
      </c>
      <c r="C12" s="3098" t="s">
        <v>9406</v>
      </c>
      <c r="D12" s="2989" t="str">
        <f t="shared" si="13"/>
        <v>4-DaHall 1-PDU-02</v>
      </c>
      <c r="E12" s="2989" t="str">
        <f t="shared" si="14"/>
        <v>[branch#005] [A] W</v>
      </c>
      <c r="F12" s="2989" t="str">
        <f t="shared" si="16"/>
        <v>4-DaHall 1-PDU-01</v>
      </c>
      <c r="G12" s="2989" t="str">
        <f t="shared" si="17"/>
        <v>[branch#005] [A] W</v>
      </c>
      <c r="H12" s="2989" cm="1">
        <f t="array" ref="H12">INDEX('각층분기별_유효전력최대(전월)'!$C$4:$C$2020,MATCH(1, ('각층분기별_유효전력최대(전월)'!$A$4:$A$2020='7층~4층_매핑테이블'!D12) * ('각층분기별_유효전력최대(전월)'!$B$4:$B$2020='7층~4층_매핑테이블'!E12),0)) + INDEX('각층분기별_유효전력최대(전월)'!$C$4:$C$2020,MATCH(1, ('각층분기별_유효전력최대(전월)'!$A$4:$A$2020='7층~4층_매핑테이블'!F12) * ('각층분기별_유효전력최대(전월)'!$B$4:$B$2020='7층~4층_매핑테이블'!G12),0))</f>
        <v>18.469000000000001</v>
      </c>
      <c r="I12" t="str">
        <f t="shared" si="1"/>
        <v>5-DaHall 1-PDU-07-30-15-DaHall 1-PDU-08-30-7</v>
      </c>
      <c r="J12" s="217" t="s">
        <v>9407</v>
      </c>
      <c r="K12" s="217" t="s">
        <v>9408</v>
      </c>
      <c r="L12" t="str">
        <f t="shared" si="2"/>
        <v>5-DaHall 1-PDU-07</v>
      </c>
      <c r="M12" t="str">
        <f t="shared" si="3"/>
        <v>[branch#001] [A] W</v>
      </c>
      <c r="N12" t="str">
        <f t="shared" si="4"/>
        <v>5-DaHall 1-PDU-08</v>
      </c>
      <c r="O12" t="str">
        <f t="shared" si="5"/>
        <v>[branch#007] [A] W</v>
      </c>
      <c r="P12" s="2989" cm="1">
        <f t="array" ref="P12">INDEX('각층분기별_유효전력최대(전월)'!$F$4:$F$2020,MATCH(1, ('각층분기별_유효전력최대(전월)'!$D$4:$D$2020='7층~4층_매핑테이블'!L12) * ('각층분기별_유효전력최대(전월)'!$E$4:$E$2020='7층~4층_매핑테이블'!M12),0)) + INDEX('각층분기별_유효전력최대(전월)'!$F$4:$F$2020,MATCH(1, ('각층분기별_유효전력최대(전월)'!$D$4:$D$2020='7층~4층_매핑테이블'!N12) * ('각층분기별_유효전력최대(전월)'!$E$4:$E$2020='7층~4층_매핑테이블'!O12),0))</f>
        <v>2.7939999999999996</v>
      </c>
      <c r="Q12" s="1" t="str">
        <f>R12&amp;S12</f>
        <v/>
      </c>
      <c r="R12" s="217"/>
      <c r="S12" s="217"/>
      <c r="T12" t="str">
        <f t="shared" si="7"/>
        <v/>
      </c>
      <c r="U12" t="str">
        <f t="shared" si="8"/>
        <v/>
      </c>
      <c r="V12" t="str">
        <f>IF(MID(S12,16,2)="0","",MID(S12,1,15)&amp;MID(S12,16,2))</f>
        <v/>
      </c>
      <c r="W12" t="str">
        <f>IF(IF(LEN((MID(S12,22,2)))=1, "[branch#0"&amp;0&amp;MID(S12,22,2)&amp;"] [A] W", "[branch#0"&amp;MID(S12,22,2)&amp;"] [A] W")="[branch#0] [A] W", "", IF(LEN((MID(S12,22,2)))=1, "[branch#0"&amp;0&amp;MID(S12,22,2)&amp;"] [A] W", "[branch#0"&amp;MID(S12,22,2)&amp;"] [A] W"))</f>
        <v/>
      </c>
      <c r="X12" s="2989" cm="1">
        <f t="array" ref="X12">INDEX('각층분기별_유효전력최대(전월)'!$I$4:$I$2020,MATCH(1, ('각층분기별_유효전력최대(전월)'!$G$4:$G$2020='7층~4층_매핑테이블'!T12) * ('각층분기별_유효전력최대(전월)'!$H$4:$H$2020='7층~4층_매핑테이블'!U12),0)) + INDEX('각층분기별_유효전력최대(전월)'!$I$4:$I$2020,MATCH(1, ('각층분기별_유효전력최대(전월)'!$G$4:$G$2020='7층~4층_매핑테이블'!V12) * ('각층분기별_유효전력최대(전월)'!$H$4:$H$2020='7층~4층_매핑테이블'!W12),0))</f>
        <v>0</v>
      </c>
      <c r="Y12" s="3274" t="str">
        <f t="shared" si="11"/>
        <v>7-DaHall 1-A-4-50-597-DaHall 1-B-4-50-59</v>
      </c>
      <c r="Z12" s="217" t="s">
        <v>9410</v>
      </c>
      <c r="AA12" s="217" t="s">
        <v>9411</v>
      </c>
      <c r="AB12" s="3274" t="str">
        <f t="shared" si="15"/>
        <v>7-DaHall 1-A-4-50</v>
      </c>
      <c r="AC12" t="s">
        <v>9412</v>
      </c>
      <c r="AD12" t="str">
        <f t="shared" si="12"/>
        <v>7-DaHall 1-B-4-50</v>
      </c>
      <c r="AE12" t="s">
        <v>9412</v>
      </c>
      <c r="AF12" s="2989" t="e" cm="1">
        <f t="array" ref="AF12">INDEX('각층분기별_유효전력최대(전월)'!$L$4:$L$2020,MATCH(1, ('각층분기별_유효전력최대(전월)'!$J$4:$J$2020='7층~4층_매핑테이블'!AB12) * ('각층분기별_유효전력최대(전월)'!$K$4:$K$2020='7층~4층_매핑테이블'!AC12),0)) + INDEX('각층분기별_유효전력최대(전월)'!$L$4:$L$2020,MATCH(1, ('각층분기별_유효전력최대(전월)'!$J$4:$J$2020='7층~4층_매핑테이블'!AD12) * ('각층분기별_유효전력최대(전월)'!$K$4:$K$2020='7층~4층_매핑테이블'!AE12),0))</f>
        <v>#N/A</v>
      </c>
    </row>
    <row r="13" spans="1:32" x14ac:dyDescent="0.25">
      <c r="A13" t="str">
        <f t="shared" si="0"/>
        <v>4-DaHall 1-PDU-02-100-24-DaHall 1-PDU-01-100-2</v>
      </c>
      <c r="B13" s="3099" t="s">
        <v>9413</v>
      </c>
      <c r="C13" s="3098" t="s">
        <v>9414</v>
      </c>
      <c r="D13" s="2989" t="str">
        <f t="shared" si="13"/>
        <v>4-DaHall 1-PDU-02</v>
      </c>
      <c r="E13" s="2989" t="str">
        <f t="shared" si="14"/>
        <v>[branch#002] [A] W</v>
      </c>
      <c r="F13" s="2989" t="str">
        <f t="shared" si="16"/>
        <v>4-DaHall 1-PDU-01</v>
      </c>
      <c r="G13" s="2989" t="str">
        <f t="shared" si="17"/>
        <v>[branch#002] [A] W</v>
      </c>
      <c r="H13" s="2989" cm="1">
        <f t="array" ref="H13">INDEX('각층분기별_유효전력최대(전월)'!$C$4:$C$2020,MATCH(1, ('각층분기별_유효전력최대(전월)'!$A$4:$A$2020='7층~4층_매핑테이블'!D13) * ('각층분기별_유효전력최대(전월)'!$B$4:$B$2020='7층~4층_매핑테이블'!E13),0)) + INDEX('각층분기별_유효전력최대(전월)'!$C$4:$C$2020,MATCH(1, ('각층분기별_유효전력최대(전월)'!$A$4:$A$2020='7층~4층_매핑테이블'!F13) * ('각층분기별_유효전력최대(전월)'!$B$4:$B$2020='7층~4층_매핑테이블'!G13),0))</f>
        <v>15.489000000000001</v>
      </c>
      <c r="I13" t="str">
        <f t="shared" si="1"/>
        <v>5-DaHall 1-PDU-07-30-35-DaHall 1-PDU-08-30-3</v>
      </c>
      <c r="J13" s="217" t="s">
        <v>9415</v>
      </c>
      <c r="K13" s="217" t="s">
        <v>9416</v>
      </c>
      <c r="L13" t="str">
        <f t="shared" si="2"/>
        <v>5-DaHall 1-PDU-07</v>
      </c>
      <c r="M13" t="str">
        <f t="shared" si="3"/>
        <v>[branch#003] [A] W</v>
      </c>
      <c r="N13" t="str">
        <f t="shared" si="4"/>
        <v>5-DaHall 1-PDU-08</v>
      </c>
      <c r="O13" t="str">
        <f t="shared" si="5"/>
        <v>[branch#003] [A] W</v>
      </c>
      <c r="P13" s="2989" cm="1">
        <f t="array" ref="P13">INDEX('각층분기별_유효전력최대(전월)'!$F$4:$F$2020,MATCH(1, ('각층분기별_유효전력최대(전월)'!$D$4:$D$2020='7층~4층_매핑테이블'!L13) * ('각층분기별_유효전력최대(전월)'!$E$4:$E$2020='7층~4층_매핑테이블'!M13),0)) + INDEX('각층분기별_유효전력최대(전월)'!$F$4:$F$2020,MATCH(1, ('각층분기별_유효전력최대(전월)'!$D$4:$D$2020='7층~4층_매핑테이블'!N13) * ('각층분기별_유효전력최대(전월)'!$E$4:$E$2020='7층~4층_매핑테이블'!O13),0))</f>
        <v>0.34099999999999997</v>
      </c>
      <c r="Q13" s="1" t="str">
        <f t="shared" si="6"/>
        <v/>
      </c>
      <c r="R13" s="217"/>
      <c r="S13" s="217"/>
      <c r="T13" t="str">
        <f t="shared" si="7"/>
        <v/>
      </c>
      <c r="U13" t="str">
        <f t="shared" si="8"/>
        <v/>
      </c>
      <c r="V13" t="str">
        <f t="shared" si="9"/>
        <v/>
      </c>
      <c r="W13" t="str">
        <f t="shared" si="10"/>
        <v/>
      </c>
      <c r="X13" s="2989" cm="1">
        <f t="array" ref="X13">INDEX('각층분기별_유효전력최대(전월)'!$I$4:$I$2020,MATCH(1, ('각층분기별_유효전력최대(전월)'!$G$4:$G$2020='7층~4층_매핑테이블'!T13) * ('각층분기별_유효전력최대(전월)'!$H$4:$H$2020='7층~4층_매핑테이블'!U13),0)) + INDEX('각층분기별_유효전력최대(전월)'!$I$4:$I$2020,MATCH(1, ('각층분기별_유효전력최대(전월)'!$G$4:$G$2020='7층~4층_매핑테이블'!V13) * ('각층분기별_유효전력최대(전월)'!$H$4:$H$2020='7층~4층_매핑테이블'!W13),0))</f>
        <v>0</v>
      </c>
      <c r="Y13" s="3274" t="str">
        <f t="shared" si="11"/>
        <v>7-DaHall 1-A-4-50-257-DaHall 1-B-4-50-25</v>
      </c>
      <c r="Z13" s="217" t="s">
        <v>9417</v>
      </c>
      <c r="AA13" s="217" t="s">
        <v>9418</v>
      </c>
      <c r="AB13" s="3274" t="str">
        <f t="shared" si="15"/>
        <v>7-DaHall 1-A-4-50</v>
      </c>
      <c r="AC13" t="s">
        <v>9419</v>
      </c>
      <c r="AD13" t="str">
        <f t="shared" si="12"/>
        <v>7-DaHall 1-B-4-50</v>
      </c>
      <c r="AE13" t="s">
        <v>9419</v>
      </c>
      <c r="AF13" s="2989" t="e" cm="1">
        <f t="array" ref="AF13">INDEX('각층분기별_유효전력최대(전월)'!$L$4:$L$2020,MATCH(1, ('각층분기별_유효전력최대(전월)'!$J$4:$J$2020='7층~4층_매핑테이블'!AB13) * ('각층분기별_유효전력최대(전월)'!$K$4:$K$2020='7층~4층_매핑테이블'!AC13),0)) + INDEX('각층분기별_유효전력최대(전월)'!$L$4:$L$2020,MATCH(1, ('각층분기별_유효전력최대(전월)'!$J$4:$J$2020='7층~4층_매핑테이블'!AD13) * ('각층분기별_유효전력최대(전월)'!$K$4:$K$2020='7층~4층_매핑테이블'!AE13),0))</f>
        <v>#N/A</v>
      </c>
    </row>
    <row r="14" spans="1:32" x14ac:dyDescent="0.25">
      <c r="A14" t="str">
        <f t="shared" si="0"/>
        <v>4-DaHall 1-PDU-04-100-24-DaHall 1-PDU-03-100-2</v>
      </c>
      <c r="B14" s="3099" t="s">
        <v>9420</v>
      </c>
      <c r="C14" s="3098" t="s">
        <v>9421</v>
      </c>
      <c r="D14" s="2989" t="str">
        <f t="shared" si="13"/>
        <v>4-DaHall 1-PDU-04</v>
      </c>
      <c r="E14" s="2989" t="str">
        <f t="shared" si="14"/>
        <v>[branch#002] [A] W</v>
      </c>
      <c r="F14" s="2989" t="str">
        <f t="shared" si="16"/>
        <v>4-DaHall 1-PDU-03</v>
      </c>
      <c r="G14" s="2989" t="str">
        <f t="shared" si="17"/>
        <v>[branch#002] [A] W</v>
      </c>
      <c r="H14" s="2989" cm="1">
        <f t="array" ref="H14">INDEX('각층분기별_유효전력최대(전월)'!$C$4:$C$2020,MATCH(1, ('각층분기별_유효전력최대(전월)'!$A$4:$A$2020='7층~4층_매핑테이블'!D14) * ('각층분기별_유효전력최대(전월)'!$B$4:$B$2020='7층~4층_매핑테이블'!E14),0)) + INDEX('각층분기별_유효전력최대(전월)'!$C$4:$C$2020,MATCH(1, ('각층분기별_유효전력최대(전월)'!$A$4:$A$2020='7층~4층_매핑테이블'!F14) * ('각층분기별_유효전력최대(전월)'!$B$4:$B$2020='7층~4층_매핑테이블'!G14),0))</f>
        <v>16.236000000000001</v>
      </c>
      <c r="I14" t="str">
        <f t="shared" si="1"/>
        <v>5-DaHall 1-PDU-07-30-55-DaHall 1-PDU-08-30-5</v>
      </c>
      <c r="J14" s="217" t="s">
        <v>9422</v>
      </c>
      <c r="K14" s="217" t="s">
        <v>9423</v>
      </c>
      <c r="L14" t="str">
        <f t="shared" si="2"/>
        <v>5-DaHall 1-PDU-07</v>
      </c>
      <c r="M14" t="str">
        <f t="shared" si="3"/>
        <v>[branch#005] [A] W</v>
      </c>
      <c r="N14" t="str">
        <f t="shared" si="4"/>
        <v>5-DaHall 1-PDU-08</v>
      </c>
      <c r="O14" t="str">
        <f t="shared" si="5"/>
        <v>[branch#005] [A] W</v>
      </c>
      <c r="P14" s="2989" cm="1">
        <f t="array" ref="P14">INDEX('각층분기별_유효전력최대(전월)'!$F$4:$F$2020,MATCH(1, ('각층분기별_유효전력최대(전월)'!$D$4:$D$2020='7층~4층_매핑테이블'!L14) * ('각층분기별_유효전력최대(전월)'!$E$4:$E$2020='7층~4층_매핑테이블'!M14),0)) + INDEX('각층분기별_유효전력최대(전월)'!$F$4:$F$2020,MATCH(1, ('각층분기별_유효전력최대(전월)'!$D$4:$D$2020='7층~4층_매핑테이블'!N14) * ('각층분기별_유효전력최대(전월)'!$E$4:$E$2020='7층~4층_매핑테이블'!O14),0))</f>
        <v>8.2000000000000003E-2</v>
      </c>
      <c r="Q14" s="1" t="str">
        <f t="shared" si="6"/>
        <v/>
      </c>
      <c r="R14" s="217"/>
      <c r="S14" s="217"/>
      <c r="T14" t="str">
        <f t="shared" si="7"/>
        <v/>
      </c>
      <c r="U14" t="str">
        <f t="shared" si="8"/>
        <v/>
      </c>
      <c r="V14" t="str">
        <f t="shared" si="9"/>
        <v/>
      </c>
      <c r="W14" t="str">
        <f t="shared" si="10"/>
        <v/>
      </c>
      <c r="X14" s="2989" cm="1">
        <f t="array" ref="X14">INDEX('각층분기별_유효전력최대(전월)'!$I$4:$I$2020,MATCH(1, ('각층분기별_유효전력최대(전월)'!$G$4:$G$2020='7층~4층_매핑테이블'!T14) * ('각층분기별_유효전력최대(전월)'!$H$4:$H$2020='7층~4층_매핑테이블'!U14),0)) + INDEX('각층분기별_유효전력최대(전월)'!$I$4:$I$2020,MATCH(1, ('각층분기별_유효전력최대(전월)'!$G$4:$G$2020='7층~4층_매핑테이블'!V14) * ('각층분기별_유효전력최대(전월)'!$H$4:$H$2020='7층~4층_매핑테이블'!W14),0))</f>
        <v>0</v>
      </c>
      <c r="Y14" s="3274" t="str">
        <f>Z14&amp;AA14</f>
        <v/>
      </c>
      <c r="Z14" s="217"/>
      <c r="AA14" s="217"/>
      <c r="AB14" s="3274" t="str">
        <f>IF(MID(Z14,16,2)="0","",MID(Z14,1,15)&amp;MID(Z14,16,2))</f>
        <v/>
      </c>
      <c r="AD14" t="str">
        <f>IF(MID(AA14,16,2)="0","",MID(AA14,1,15)&amp;MID(AA14,16,2))</f>
        <v/>
      </c>
      <c r="AF14" s="2989" cm="1">
        <f t="array" ref="AF14">INDEX('각층분기별_유효전력최대(전월)'!$L$4:$L$2020,MATCH(1, ('각층분기별_유효전력최대(전월)'!$J$4:$J$2020='7층~4층_매핑테이블'!AB14) * ('각층분기별_유효전력최대(전월)'!$K$4:$K$2020='7층~4층_매핑테이블'!AC14),0)) + INDEX('각층분기별_유효전력최대(전월)'!$L$4:$L$2020,MATCH(1, ('각층분기별_유효전력최대(전월)'!$J$4:$J$2020='7층~4층_매핑테이블'!AD14) * ('각층분기별_유효전력최대(전월)'!$K$4:$K$2020='7층~4층_매핑테이블'!AE14),0))</f>
        <v>0</v>
      </c>
    </row>
    <row r="15" spans="1:32" x14ac:dyDescent="0.25">
      <c r="A15" t="str">
        <f t="shared" si="0"/>
        <v>4-DaHall 1-PDU-04-100-34-DaHall 1-PDU-03-100-3</v>
      </c>
      <c r="B15" s="3099" t="s">
        <v>9424</v>
      </c>
      <c r="C15" s="3098" t="s">
        <v>9425</v>
      </c>
      <c r="D15" s="2989" t="str">
        <f t="shared" si="13"/>
        <v>4-DaHall 1-PDU-04</v>
      </c>
      <c r="E15" s="2989" t="str">
        <f t="shared" si="14"/>
        <v>[branch#003] [A] W</v>
      </c>
      <c r="F15" s="2989" t="str">
        <f t="shared" si="16"/>
        <v>4-DaHall 1-PDU-03</v>
      </c>
      <c r="G15" s="2989" t="str">
        <f t="shared" si="17"/>
        <v>[branch#003] [A] W</v>
      </c>
      <c r="H15" s="2989" cm="1">
        <f t="array" ref="H15">INDEX('각층분기별_유효전력최대(전월)'!$C$4:$C$2020,MATCH(1, ('각층분기별_유효전력최대(전월)'!$A$4:$A$2020='7층~4층_매핑테이블'!D15) * ('각층분기별_유효전력최대(전월)'!$B$4:$B$2020='7층~4층_매핑테이블'!E15),0)) + INDEX('각층분기별_유효전력최대(전월)'!$C$4:$C$2020,MATCH(1, ('각층분기별_유효전력최대(전월)'!$A$4:$A$2020='7층~4층_매핑테이블'!F15) * ('각층분기별_유효전력최대(전월)'!$B$4:$B$2020='7층~4층_매핑테이블'!G15),0))</f>
        <v>12.522</v>
      </c>
      <c r="I15" t="str">
        <f t="shared" si="1"/>
        <v>5-DaHall 1-PDU-07-30-25-DaHall 1-PDU-08-30-2</v>
      </c>
      <c r="J15" s="217" t="s">
        <v>9426</v>
      </c>
      <c r="K15" s="217" t="s">
        <v>9427</v>
      </c>
      <c r="L15" t="str">
        <f t="shared" si="2"/>
        <v>5-DaHall 1-PDU-07</v>
      </c>
      <c r="M15" t="str">
        <f t="shared" si="3"/>
        <v>[branch#002] [A] W</v>
      </c>
      <c r="N15" t="str">
        <f t="shared" si="4"/>
        <v>5-DaHall 1-PDU-08</v>
      </c>
      <c r="O15" t="str">
        <f t="shared" si="5"/>
        <v>[branch#002] [A] W</v>
      </c>
      <c r="P15" s="2989" cm="1">
        <f t="array" ref="P15">INDEX('각층분기별_유효전력최대(전월)'!$F$4:$F$2020,MATCH(1, ('각층분기별_유효전력최대(전월)'!$D$4:$D$2020='7층~4층_매핑테이블'!L15) * ('각층분기별_유효전력최대(전월)'!$E$4:$E$2020='7층~4층_매핑테이블'!M15),0)) + INDEX('각층분기별_유효전력최대(전월)'!$F$4:$F$2020,MATCH(1, ('각층분기별_유효전력최대(전월)'!$D$4:$D$2020='7층~4층_매핑테이블'!N15) * ('각층분기별_유효전력최대(전월)'!$E$4:$E$2020='7층~4층_매핑테이블'!O15),0))</f>
        <v>0.39200000000000002</v>
      </c>
      <c r="Q15" s="1" t="str">
        <f t="shared" si="6"/>
        <v/>
      </c>
      <c r="R15" s="217"/>
      <c r="S15" s="217"/>
      <c r="T15" t="str">
        <f t="shared" si="7"/>
        <v/>
      </c>
      <c r="U15" t="str">
        <f t="shared" si="8"/>
        <v/>
      </c>
      <c r="V15" t="str">
        <f t="shared" si="9"/>
        <v/>
      </c>
      <c r="W15" t="str">
        <f t="shared" si="10"/>
        <v/>
      </c>
      <c r="X15" s="2989" cm="1">
        <f t="array" ref="X15">INDEX('각층분기별_유효전력최대(전월)'!$I$4:$I$2020,MATCH(1, ('각층분기별_유효전력최대(전월)'!$G$4:$G$2020='7층~4층_매핑테이블'!T15) * ('각층분기별_유효전력최대(전월)'!$H$4:$H$2020='7층~4층_매핑테이블'!U15),0)) + INDEX('각층분기별_유효전력최대(전월)'!$I$4:$I$2020,MATCH(1, ('각층분기별_유효전력최대(전월)'!$G$4:$G$2020='7층~4층_매핑테이블'!V15) * ('각층분기별_유효전력최대(전월)'!$H$4:$H$2020='7층~4층_매핑테이블'!W15),0))</f>
        <v>0</v>
      </c>
      <c r="Y15" s="3274" t="str">
        <f t="shared" si="11"/>
        <v/>
      </c>
      <c r="Z15" s="217"/>
      <c r="AA15" s="217"/>
      <c r="AB15" s="3274" t="str">
        <f>IF(MID(Z15,16,2)="0","",MID(Z15,1,15)&amp;MID(Z15,16,2))</f>
        <v/>
      </c>
      <c r="AD15" t="str">
        <f t="shared" si="12"/>
        <v/>
      </c>
      <c r="AF15" s="2989" cm="1">
        <f t="array" ref="AF15">INDEX('각층분기별_유효전력최대(전월)'!$L$4:$L$2020,MATCH(1, ('각층분기별_유효전력최대(전월)'!$J$4:$J$2020='7층~4층_매핑테이블'!AB15) * ('각층분기별_유효전력최대(전월)'!$K$4:$K$2020='7층~4층_매핑테이블'!AC15),0)) + INDEX('각층분기별_유효전력최대(전월)'!$L$4:$L$2020,MATCH(1, ('각층분기별_유효전력최대(전월)'!$J$4:$J$2020='7층~4층_매핑테이블'!AD15) * ('각층분기별_유효전력최대(전월)'!$K$4:$K$2020='7층~4층_매핑테이블'!AE15),0))</f>
        <v>0</v>
      </c>
    </row>
    <row r="16" spans="1:32" x14ac:dyDescent="0.25">
      <c r="A16" t="str">
        <f>B16&amp;C16</f>
        <v/>
      </c>
      <c r="B16" s="3099"/>
      <c r="C16" s="3106"/>
      <c r="D16" s="2989" t="str">
        <f>IF(MID(B16,16,2)="0","",MID(B16,1,15)&amp;MID(B16,16,2))</f>
        <v/>
      </c>
      <c r="E16" s="2989" t="str">
        <f t="shared" si="14"/>
        <v/>
      </c>
      <c r="F16" s="2989" t="str">
        <f t="shared" si="16"/>
        <v/>
      </c>
      <c r="G16" s="2989" t="str">
        <f t="shared" si="17"/>
        <v/>
      </c>
      <c r="H16" s="2989" cm="1">
        <f t="array" ref="H16">INDEX('각층분기별_유효전력최대(전월)'!$C$4:$C$2020,MATCH(1, ('각층분기별_유효전력최대(전월)'!$A$4:$A$2020='7층~4층_매핑테이블'!D16) * ('각층분기별_유효전력최대(전월)'!$B$4:$B$2020='7층~4층_매핑테이블'!E16),0)) + INDEX('각층분기별_유효전력최대(전월)'!$C$4:$C$2020,MATCH(1, ('각층분기별_유효전력최대(전월)'!$A$4:$A$2020='7층~4층_매핑테이블'!F16) * ('각층분기별_유효전력최대(전월)'!$B$4:$B$2020='7층~4층_매핑테이블'!G16),0))</f>
        <v>0</v>
      </c>
      <c r="I16" t="str">
        <f t="shared" si="1"/>
        <v>5-DaHall 1-PDU-11-20-285-DaHall 1-PDU-12-20-28</v>
      </c>
      <c r="J16" s="217" t="s">
        <v>9428</v>
      </c>
      <c r="K16" s="217" t="s">
        <v>9429</v>
      </c>
      <c r="L16" t="str">
        <f t="shared" si="2"/>
        <v>5-DaHall 1-PDU-11</v>
      </c>
      <c r="M16" t="str">
        <f t="shared" si="3"/>
        <v>[branch#028] [A] W</v>
      </c>
      <c r="N16" t="str">
        <f t="shared" si="4"/>
        <v>5-DaHall 1-PDU-12</v>
      </c>
      <c r="O16" t="str">
        <f t="shared" si="5"/>
        <v>[branch#028] [A] W</v>
      </c>
      <c r="P16" s="2989" cm="1">
        <f t="array" ref="P16">INDEX('각층분기별_유효전력최대(전월)'!$F$4:$F$2020,MATCH(1, ('각층분기별_유효전력최대(전월)'!$D$4:$D$2020='7층~4층_매핑테이블'!L16) * ('각층분기별_유효전력최대(전월)'!$E$4:$E$2020='7층~4층_매핑테이블'!M16),0)) + INDEX('각층분기별_유효전력최대(전월)'!$F$4:$F$2020,MATCH(1, ('각층분기별_유효전력최대(전월)'!$D$4:$D$2020='7층~4층_매핑테이블'!N16) * ('각층분기별_유효전력최대(전월)'!$E$4:$E$2020='7층~4층_매핑테이블'!O16),0))</f>
        <v>2.5060000000000002</v>
      </c>
      <c r="Q16" s="1" t="str">
        <f>R16&amp;S16</f>
        <v>6-DaHall 1-PDU-07-30-546-DaHall 1-PDU-08-30-54</v>
      </c>
      <c r="R16" s="217" t="s">
        <v>9431</v>
      </c>
      <c r="S16" s="217" t="s">
        <v>9432</v>
      </c>
      <c r="T16" t="str">
        <f t="shared" si="7"/>
        <v>6-DaHall 1-PDU-07</v>
      </c>
      <c r="U16" t="str">
        <f t="shared" si="8"/>
        <v>[branch#054] [A] W</v>
      </c>
      <c r="V16" t="str">
        <f>IF(MID(S16,16,2)="0","",MID(S16,1,15)&amp;MID(S16,16,2))</f>
        <v>6-DaHall 1-PDU-08</v>
      </c>
      <c r="W16" t="str">
        <f>IF(IF(LEN((MID(S16,22,2)))=1, "[branch#0"&amp;0&amp;MID(S16,22,2)&amp;"] [A] W", "[branch#0"&amp;MID(S16,22,2)&amp;"] [A] W")="[branch#0] [A] W", "", IF(LEN((MID(S16,22,2)))=1, "[branch#0"&amp;0&amp;MID(S16,22,2)&amp;"] [A] W", "[branch#0"&amp;MID(S16,22,2)&amp;"] [A] W"))</f>
        <v>[branch#054] [A] W</v>
      </c>
      <c r="X16" s="2989" cm="1">
        <f t="array" ref="X16">INDEX('각층분기별_유효전력최대(전월)'!$I$4:$I$2020,MATCH(1, ('각층분기별_유효전력최대(전월)'!$G$4:$G$2020='7층~4층_매핑테이블'!T16) * ('각층분기별_유효전력최대(전월)'!$H$4:$H$2020='7층~4층_매핑테이블'!U16),0)) + INDEX('각층분기별_유효전력최대(전월)'!$I$4:$I$2020,MATCH(1, ('각층분기별_유효전력최대(전월)'!$G$4:$G$2020='7층~4층_매핑테이블'!V16) * ('각층분기별_유효전력최대(전월)'!$H$4:$H$2020='7층~4층_매핑테이블'!W16),0))</f>
        <v>0</v>
      </c>
      <c r="Y16" s="3274" t="str">
        <f t="shared" si="11"/>
        <v/>
      </c>
      <c r="Z16" s="217"/>
      <c r="AA16" s="217"/>
      <c r="AB16" s="3274" t="str">
        <f t="shared" ref="AB16" si="18">IF(MID(Z16,16,2)="0","",MID(Z16,1,15)&amp;MID(Z16,16,2))</f>
        <v/>
      </c>
      <c r="AD16" t="str">
        <f t="shared" si="12"/>
        <v/>
      </c>
      <c r="AF16" s="2989" cm="1">
        <f t="array" ref="AF16">INDEX('각층분기별_유효전력최대(전월)'!$L$4:$L$2020,MATCH(1, ('각층분기별_유효전력최대(전월)'!$J$4:$J$2020='7층~4층_매핑테이블'!AB16) * ('각층분기별_유효전력최대(전월)'!$K$4:$K$2020='7층~4층_매핑테이블'!AC16),0)) + INDEX('각층분기별_유효전력최대(전월)'!$L$4:$L$2020,MATCH(1, ('각층분기별_유효전력최대(전월)'!$J$4:$J$2020='7층~4층_매핑테이블'!AD16) * ('각층분기별_유효전력최대(전월)'!$K$4:$K$2020='7층~4층_매핑테이블'!AE16),0))</f>
        <v>0</v>
      </c>
    </row>
    <row r="17" spans="1:32" x14ac:dyDescent="0.25">
      <c r="A17" t="str">
        <f>B17&amp;C17</f>
        <v>4-DaHall 1-PDU-08-100-24-DaHall 1-PDU-07-100-2</v>
      </c>
      <c r="B17" s="3099" t="s">
        <v>9434</v>
      </c>
      <c r="C17" s="3098" t="s">
        <v>9435</v>
      </c>
      <c r="D17" s="2989" t="str">
        <f>IF(MID(B17,16,2)="0","",MID(B17,1,15)&amp;MID(B17,16,2))</f>
        <v>4-DaHall 1-PDU-08</v>
      </c>
      <c r="E17" s="2989" t="str">
        <f t="shared" si="14"/>
        <v>[branch#002] [A] W</v>
      </c>
      <c r="F17" s="2989" t="str">
        <f t="shared" si="16"/>
        <v>4-DaHall 1-PDU-07</v>
      </c>
      <c r="G17" s="2989" t="str">
        <f t="shared" si="17"/>
        <v>[branch#002] [A] W</v>
      </c>
      <c r="H17" s="2989" cm="1">
        <f t="array" ref="H17">INDEX('각층분기별_유효전력최대(전월)'!$C$4:$C$2020,MATCH(1, ('각층분기별_유효전력최대(전월)'!$A$4:$A$2020='7층~4층_매핑테이블'!D17) * ('각층분기별_유효전력최대(전월)'!$B$4:$B$2020='7층~4층_매핑테이블'!E17),0)) + INDEX('각층분기별_유효전력최대(전월)'!$C$4:$C$2020,MATCH(1, ('각층분기별_유효전력최대(전월)'!$A$4:$A$2020='7층~4층_매핑테이블'!F17) * ('각층분기별_유효전력최대(전월)'!$B$4:$B$2020='7층~4층_매핑테이블'!G17),0))</f>
        <v>15.074</v>
      </c>
      <c r="I17" t="str">
        <f t="shared" si="1"/>
        <v>5-DaHall 1-PDU-07-30-45-DaHall 1-PDU-08-30-4</v>
      </c>
      <c r="J17" s="217" t="s">
        <v>9436</v>
      </c>
      <c r="K17" s="217" t="s">
        <v>9437</v>
      </c>
      <c r="L17" t="str">
        <f t="shared" si="2"/>
        <v>5-DaHall 1-PDU-07</v>
      </c>
      <c r="M17" t="str">
        <f t="shared" si="3"/>
        <v>[branch#004] [A] W</v>
      </c>
      <c r="N17" t="str">
        <f t="shared" si="4"/>
        <v>5-DaHall 1-PDU-08</v>
      </c>
      <c r="O17" t="str">
        <f t="shared" si="5"/>
        <v>[branch#004] [A] W</v>
      </c>
      <c r="P17" s="2989" cm="1">
        <f t="array" ref="P17">INDEX('각층분기별_유효전력최대(전월)'!$F$4:$F$2020,MATCH(1, ('각층분기별_유효전력최대(전월)'!$D$4:$D$2020='7층~4층_매핑테이블'!L17) * ('각층분기별_유효전력최대(전월)'!$E$4:$E$2020='7층~4층_매핑테이블'!M17),0)) + INDEX('각층분기별_유효전력최대(전월)'!$F$4:$F$2020,MATCH(1, ('각층분기별_유효전력최대(전월)'!$D$4:$D$2020='7층~4층_매핑테이블'!N17) * ('각층분기별_유효전력최대(전월)'!$E$4:$E$2020='7층~4층_매핑테이블'!O17),0))</f>
        <v>0</v>
      </c>
      <c r="Q17" s="1" t="str">
        <f t="shared" si="6"/>
        <v>6-DaHall 1-PDU-07-30-536-DaHall 1-PDU-08-30-53</v>
      </c>
      <c r="R17" s="217" t="s">
        <v>9438</v>
      </c>
      <c r="S17" s="217" t="s">
        <v>9439</v>
      </c>
      <c r="T17" t="str">
        <f t="shared" si="7"/>
        <v>6-DaHall 1-PDU-07</v>
      </c>
      <c r="U17" t="str">
        <f t="shared" si="8"/>
        <v>[branch#053] [A] W</v>
      </c>
      <c r="V17" t="str">
        <f t="shared" si="9"/>
        <v>6-DaHall 1-PDU-08</v>
      </c>
      <c r="W17" t="str">
        <f t="shared" si="10"/>
        <v>[branch#053] [A] W</v>
      </c>
      <c r="X17" s="2989" cm="1">
        <f t="array" ref="X17">INDEX('각층분기별_유효전력최대(전월)'!$I$4:$I$2020,MATCH(1, ('각층분기별_유효전력최대(전월)'!$G$4:$G$2020='7층~4층_매핑테이블'!T17) * ('각층분기별_유효전력최대(전월)'!$H$4:$H$2020='7층~4층_매핑테이블'!U17),0)) + INDEX('각층분기별_유효전력최대(전월)'!$I$4:$I$2020,MATCH(1, ('각층분기별_유효전력최대(전월)'!$G$4:$G$2020='7층~4층_매핑테이블'!V17) * ('각층분기별_유효전력최대(전월)'!$H$4:$H$2020='7층~4층_매핑테이블'!W17),0))</f>
        <v>0</v>
      </c>
      <c r="Y17" s="3274" t="str">
        <f>Z17&amp;AA17</f>
        <v>7-DaHall 1-B-4-100-317-DaHall 1-A-4-100-31</v>
      </c>
      <c r="Z17" s="217" t="s">
        <v>9441</v>
      </c>
      <c r="AA17" s="217" t="s">
        <v>9442</v>
      </c>
      <c r="AB17" s="3274" t="str">
        <f>IF(MID(Z17,16,2)="0","",MID(Z17,1,15)&amp;MID(Z17,16,2))</f>
        <v>7-DaHall 1-B-4-10</v>
      </c>
      <c r="AC17" t="s">
        <v>9443</v>
      </c>
      <c r="AD17" t="str">
        <f>IF(MID(AA17,16,2)="0","",MID(AA17,1,15)&amp;MID(AA17,16,2))</f>
        <v>7-DaHall 1-A-4-10</v>
      </c>
      <c r="AE17" t="s">
        <v>9443</v>
      </c>
      <c r="AF17" s="2989" t="e" cm="1">
        <f t="array" ref="AF17">INDEX('각층분기별_유효전력최대(전월)'!$L$4:$L$2020,MATCH(1, ('각층분기별_유효전력최대(전월)'!$J$4:$J$2020='7층~4층_매핑테이블'!AB17) * ('각층분기별_유효전력최대(전월)'!$K$4:$K$2020='7층~4층_매핑테이블'!AC17),0)) + INDEX('각층분기별_유효전력최대(전월)'!$L$4:$L$2020,MATCH(1, ('각층분기별_유효전력최대(전월)'!$J$4:$J$2020='7층~4층_매핑테이블'!AD17) * ('각층분기별_유효전력최대(전월)'!$K$4:$K$2020='7층~4층_매핑테이블'!AE17),0))</f>
        <v>#N/A</v>
      </c>
    </row>
    <row r="18" spans="1:32" x14ac:dyDescent="0.25">
      <c r="A18" t="str">
        <f>B18&amp;C18</f>
        <v/>
      </c>
      <c r="B18" s="3099"/>
      <c r="C18" s="3098"/>
      <c r="D18" s="2989" t="str">
        <f t="shared" ref="D18:D30" si="19">IF(MID(B18,16,2)="0","",MID(B18,1,15)&amp;MID(B18,16,2))</f>
        <v/>
      </c>
      <c r="E18" s="2989" t="str">
        <f t="shared" si="14"/>
        <v/>
      </c>
      <c r="F18" s="2989" t="str">
        <f t="shared" si="16"/>
        <v/>
      </c>
      <c r="G18" s="2989" t="str">
        <f t="shared" si="17"/>
        <v/>
      </c>
      <c r="H18" s="2989" cm="1">
        <f t="array" ref="H18">INDEX('각층분기별_유효전력최대(전월)'!$C$4:$C$2020,MATCH(1, ('각층분기별_유효전력최대(전월)'!$A$4:$A$2020='7층~4층_매핑테이블'!D18) * ('각층분기별_유효전력최대(전월)'!$B$4:$B$2020='7층~4층_매핑테이블'!E18),0)) + INDEX('각층분기별_유효전력최대(전월)'!$C$4:$C$2020,MATCH(1, ('각층분기별_유효전력최대(전월)'!$A$4:$A$2020='7층~4층_매핑테이블'!F18) * ('각층분기별_유효전력최대(전월)'!$B$4:$B$2020='7층~4층_매핑테이블'!G18),0))</f>
        <v>0</v>
      </c>
      <c r="I18" t="str">
        <f t="shared" si="1"/>
        <v>5-DaHall 1-PDU-07-30-65-DaHall 1-PDU-08-30-6</v>
      </c>
      <c r="J18" s="217" t="s">
        <v>9444</v>
      </c>
      <c r="K18" s="217" t="s">
        <v>9445</v>
      </c>
      <c r="L18" t="str">
        <f t="shared" si="2"/>
        <v>5-DaHall 1-PDU-07</v>
      </c>
      <c r="M18" t="str">
        <f t="shared" si="3"/>
        <v>[branch#006] [A] W</v>
      </c>
      <c r="N18" t="str">
        <f t="shared" si="4"/>
        <v>5-DaHall 1-PDU-08</v>
      </c>
      <c r="O18" t="str">
        <f t="shared" si="5"/>
        <v>[branch#006] [A] W</v>
      </c>
      <c r="P18" s="2989" cm="1">
        <f t="array" ref="P18">INDEX('각층분기별_유효전력최대(전월)'!$F$4:$F$2020,MATCH(1, ('각층분기별_유효전력최대(전월)'!$D$4:$D$2020='7층~4층_매핑테이블'!L18) * ('각층분기별_유효전력최대(전월)'!$E$4:$E$2020='7층~4층_매핑테이블'!M18),0)) + INDEX('각층분기별_유효전력최대(전월)'!$F$4:$F$2020,MATCH(1, ('각층분기별_유효전력최대(전월)'!$D$4:$D$2020='7층~4층_매핑테이블'!N18) * ('각층분기별_유효전력최대(전월)'!$E$4:$E$2020='7층~4층_매핑테이블'!O18),0))</f>
        <v>0.33700000000000002</v>
      </c>
      <c r="Q18" s="1" t="str">
        <f t="shared" si="6"/>
        <v>6-DaHall 1-PDU-07-30-516-DaHall 1-PDU-08-30-51</v>
      </c>
      <c r="R18" s="217" t="s">
        <v>9446</v>
      </c>
      <c r="S18" s="217" t="s">
        <v>9447</v>
      </c>
      <c r="T18" t="str">
        <f t="shared" si="7"/>
        <v>6-DaHall 1-PDU-07</v>
      </c>
      <c r="U18" t="str">
        <f t="shared" si="8"/>
        <v>[branch#051] [A] W</v>
      </c>
      <c r="V18" t="str">
        <f t="shared" si="9"/>
        <v>6-DaHall 1-PDU-08</v>
      </c>
      <c r="W18" t="str">
        <f t="shared" si="10"/>
        <v>[branch#051] [A] W</v>
      </c>
      <c r="X18" s="2989" cm="1">
        <f t="array" ref="X18">INDEX('각층분기별_유효전력최대(전월)'!$I$4:$I$2020,MATCH(1, ('각층분기별_유효전력최대(전월)'!$G$4:$G$2020='7층~4층_매핑테이블'!T18) * ('각층분기별_유효전력최대(전월)'!$H$4:$H$2020='7층~4층_매핑테이블'!U18),0)) + INDEX('각층분기별_유효전력최대(전월)'!$I$4:$I$2020,MATCH(1, ('각층분기별_유효전력최대(전월)'!$G$4:$G$2020='7층~4층_매핑테이블'!V18) * ('각층분기별_유효전력최대(전월)'!$H$4:$H$2020='7층~4층_매핑테이블'!W18),0))</f>
        <v>0</v>
      </c>
      <c r="Y18" s="3274" t="str">
        <f t="shared" si="11"/>
        <v>7-DaHall 1-B-4-100-307-DaHall 1-A-4-100-30</v>
      </c>
      <c r="Z18" s="217" t="s">
        <v>9449</v>
      </c>
      <c r="AA18" s="217" t="s">
        <v>9450</v>
      </c>
      <c r="AB18" s="3274" t="str">
        <f>IF(MID(Z18,16,2)="0","",MID(Z18,1,15)&amp;MID(Z18,16,2))</f>
        <v>7-DaHall 1-B-4-10</v>
      </c>
      <c r="AC18" t="s">
        <v>9375</v>
      </c>
      <c r="AD18" t="str">
        <f t="shared" si="12"/>
        <v>7-DaHall 1-A-4-10</v>
      </c>
      <c r="AE18" t="s">
        <v>9375</v>
      </c>
      <c r="AF18" s="2989" t="e" cm="1">
        <f t="array" ref="AF18">INDEX('각층분기별_유효전력최대(전월)'!$L$4:$L$2020,MATCH(1, ('각층분기별_유효전력최대(전월)'!$J$4:$J$2020='7층~4층_매핑테이블'!AB18) * ('각층분기별_유효전력최대(전월)'!$K$4:$K$2020='7층~4층_매핑테이블'!AC18),0)) + INDEX('각층분기별_유효전력최대(전월)'!$L$4:$L$2020,MATCH(1, ('각층분기별_유효전력최대(전월)'!$J$4:$J$2020='7층~4층_매핑테이블'!AD18) * ('각층분기별_유효전력최대(전월)'!$K$4:$K$2020='7층~4층_매핑테이블'!AE18),0))</f>
        <v>#N/A</v>
      </c>
    </row>
    <row r="19" spans="1:32" x14ac:dyDescent="0.25">
      <c r="A19" t="str">
        <f t="shared" ref="A19:A22" si="20">B19&amp;C19</f>
        <v/>
      </c>
      <c r="B19" s="3099"/>
      <c r="C19" s="3098"/>
      <c r="D19" s="2989" t="str">
        <f t="shared" si="19"/>
        <v/>
      </c>
      <c r="E19" s="2989" t="str">
        <f t="shared" si="14"/>
        <v/>
      </c>
      <c r="F19" s="2989" t="str">
        <f t="shared" si="16"/>
        <v/>
      </c>
      <c r="G19" s="2989" t="str">
        <f t="shared" si="17"/>
        <v/>
      </c>
      <c r="H19" s="2989" cm="1">
        <f t="array" ref="H19">INDEX('각층분기별_유효전력최대(전월)'!$C$4:$C$2020,MATCH(1, ('각층분기별_유효전력최대(전월)'!$A$4:$A$2020='7층~4층_매핑테이블'!D19) * ('각층분기별_유효전력최대(전월)'!$B$4:$B$2020='7층~4층_매핑테이블'!E19),0)) + INDEX('각층분기별_유효전력최대(전월)'!$C$4:$C$2020,MATCH(1, ('각층분기별_유효전력최대(전월)'!$A$4:$A$2020='7층~4층_매핑테이블'!F19) * ('각층분기별_유효전력최대(전월)'!$B$4:$B$2020='7층~4층_매핑테이블'!G19),0))</f>
        <v>0</v>
      </c>
      <c r="I19" t="str">
        <f t="shared" si="1"/>
        <v>5-DaHall 1-PDU-11-20-155-DaHall 1-PDU-12-20-13</v>
      </c>
      <c r="J19" s="217" t="s">
        <v>9451</v>
      </c>
      <c r="K19" s="217" t="s">
        <v>9452</v>
      </c>
      <c r="L19" t="str">
        <f t="shared" si="2"/>
        <v>5-DaHall 1-PDU-11</v>
      </c>
      <c r="M19" t="str">
        <f t="shared" si="3"/>
        <v>[branch#015] [A] W</v>
      </c>
      <c r="N19" t="str">
        <f t="shared" si="4"/>
        <v>5-DaHall 1-PDU-12</v>
      </c>
      <c r="O19" t="str">
        <f t="shared" si="5"/>
        <v>[branch#013] [A] W</v>
      </c>
      <c r="P19" s="2989" cm="1">
        <f t="array" ref="P19">INDEX('각층분기별_유효전력최대(전월)'!$F$4:$F$2020,MATCH(1, ('각층분기별_유효전력최대(전월)'!$D$4:$D$2020='7층~4층_매핑테이블'!L19) * ('각층분기별_유효전력최대(전월)'!$E$4:$E$2020='7층~4층_매핑테이블'!M19),0)) + INDEX('각층분기별_유효전력최대(전월)'!$F$4:$F$2020,MATCH(1, ('각층분기별_유효전력최대(전월)'!$D$4:$D$2020='7층~4층_매핑테이블'!N19) * ('각층분기별_유효전력최대(전월)'!$E$4:$E$2020='7층~4층_매핑테이블'!O19),0))</f>
        <v>0</v>
      </c>
      <c r="Q19" s="1" t="str">
        <f t="shared" si="6"/>
        <v>6-DaHall 1-PDU-07-30-496-DaHall 1-PDU-08-30-49</v>
      </c>
      <c r="R19" s="217" t="s">
        <v>9454</v>
      </c>
      <c r="S19" s="217" t="s">
        <v>9455</v>
      </c>
      <c r="T19" t="str">
        <f t="shared" si="7"/>
        <v>6-DaHall 1-PDU-07</v>
      </c>
      <c r="U19" t="str">
        <f t="shared" si="8"/>
        <v>[branch#049] [A] W</v>
      </c>
      <c r="V19" t="str">
        <f t="shared" si="9"/>
        <v>6-DaHall 1-PDU-08</v>
      </c>
      <c r="W19" t="str">
        <f t="shared" si="10"/>
        <v>[branch#049] [A] W</v>
      </c>
      <c r="X19" s="2989" cm="1">
        <f t="array" ref="X19">INDEX('각층분기별_유효전력최대(전월)'!$I$4:$I$2020,MATCH(1, ('각층분기별_유효전력최대(전월)'!$G$4:$G$2020='7층~4층_매핑테이블'!T19) * ('각층분기별_유효전력최대(전월)'!$H$4:$H$2020='7층~4층_매핑테이블'!U19),0)) + INDEX('각층분기별_유효전력최대(전월)'!$I$4:$I$2020,MATCH(1, ('각층분기별_유효전력최대(전월)'!$G$4:$G$2020='7층~4층_매핑테이블'!V19) * ('각층분기별_유효전력최대(전월)'!$H$4:$H$2020='7층~4층_매핑테이블'!W19),0))</f>
        <v>0</v>
      </c>
      <c r="Y19" s="3274" t="str">
        <f t="shared" si="11"/>
        <v>7-DaHall 1-A-4-100-297-DaHall 1-B-4-100-29</v>
      </c>
      <c r="Z19" s="217" t="s">
        <v>9457</v>
      </c>
      <c r="AA19" s="217" t="s">
        <v>9458</v>
      </c>
      <c r="AB19" s="3274" t="str">
        <f t="shared" ref="AB19:AB22" si="21">IF(MID(Z19,16,2)="0","",MID(Z19,1,15)&amp;MID(Z19,16,2))</f>
        <v>7-DaHall 1-A-4-10</v>
      </c>
      <c r="AC19" t="s">
        <v>9459</v>
      </c>
      <c r="AD19" t="str">
        <f t="shared" si="12"/>
        <v>7-DaHall 1-B-4-10</v>
      </c>
      <c r="AE19" t="s">
        <v>9459</v>
      </c>
      <c r="AF19" s="2989" t="e" cm="1">
        <f t="array" ref="AF19">INDEX('각층분기별_유효전력최대(전월)'!$L$4:$L$2020,MATCH(1, ('각층분기별_유효전력최대(전월)'!$J$4:$J$2020='7층~4층_매핑테이블'!AB19) * ('각층분기별_유효전력최대(전월)'!$K$4:$K$2020='7층~4층_매핑테이블'!AC19),0)) + INDEX('각층분기별_유효전력최대(전월)'!$L$4:$L$2020,MATCH(1, ('각층분기별_유효전력최대(전월)'!$J$4:$J$2020='7층~4층_매핑테이블'!AD19) * ('각층분기별_유효전력최대(전월)'!$K$4:$K$2020='7층~4층_매핑테이블'!AE19),0))</f>
        <v>#N/A</v>
      </c>
    </row>
    <row r="20" spans="1:32" x14ac:dyDescent="0.25">
      <c r="A20" t="str">
        <f t="shared" si="20"/>
        <v/>
      </c>
      <c r="B20" s="3099"/>
      <c r="C20" s="3098"/>
      <c r="D20" s="2989" t="str">
        <f t="shared" si="19"/>
        <v/>
      </c>
      <c r="E20" s="2989" t="str">
        <f t="shared" si="14"/>
        <v/>
      </c>
      <c r="F20" s="2989" t="str">
        <f t="shared" si="16"/>
        <v/>
      </c>
      <c r="G20" s="2989" t="str">
        <f t="shared" si="17"/>
        <v/>
      </c>
      <c r="H20" s="2989" cm="1">
        <f t="array" ref="H20">INDEX('각층분기별_유효전력최대(전월)'!$C$4:$C$2020,MATCH(1, ('각층분기별_유효전력최대(전월)'!$A$4:$A$2020='7층~4층_매핑테이블'!D20) * ('각층분기별_유효전력최대(전월)'!$B$4:$B$2020='7층~4층_매핑테이블'!E20),0)) + INDEX('각층분기별_유효전력최대(전월)'!$C$4:$C$2020,MATCH(1, ('각층분기별_유효전력최대(전월)'!$A$4:$A$2020='7층~4층_매핑테이블'!F20) * ('각층분기별_유효전력최대(전월)'!$B$4:$B$2020='7층~4층_매핑테이블'!G20),0))</f>
        <v>0</v>
      </c>
      <c r="I20" t="str">
        <f t="shared" si="1"/>
        <v>5-DaHall 1-PDU-11-20-175-DaHall 1-PDU-12-20-15</v>
      </c>
      <c r="J20" s="217" t="s">
        <v>9460</v>
      </c>
      <c r="K20" s="217" t="s">
        <v>9461</v>
      </c>
      <c r="L20" t="str">
        <f t="shared" si="2"/>
        <v>5-DaHall 1-PDU-11</v>
      </c>
      <c r="M20" t="str">
        <f t="shared" si="3"/>
        <v>[branch#017] [A] W</v>
      </c>
      <c r="N20" t="str">
        <f t="shared" si="4"/>
        <v>5-DaHall 1-PDU-12</v>
      </c>
      <c r="O20" t="str">
        <f t="shared" si="5"/>
        <v>[branch#015] [A] W</v>
      </c>
      <c r="P20" s="2989" cm="1">
        <f t="array" ref="P20">INDEX('각층분기별_유효전력최대(전월)'!$F$4:$F$2020,MATCH(1, ('각층분기별_유효전력최대(전월)'!$D$4:$D$2020='7층~4층_매핑테이블'!L20) * ('각층분기별_유효전력최대(전월)'!$E$4:$E$2020='7층~4층_매핑테이블'!M20),0)) + INDEX('각층분기별_유효전력최대(전월)'!$F$4:$F$2020,MATCH(1, ('각층분기별_유효전력최대(전월)'!$D$4:$D$2020='7층~4층_매핑테이블'!N20) * ('각층분기별_유효전력최대(전월)'!$E$4:$E$2020='7층~4층_매핑테이블'!O20),0))</f>
        <v>0</v>
      </c>
      <c r="Q20" s="1" t="str">
        <f t="shared" si="6"/>
        <v>6-DaHall 1-PDU-03-30-166-DaHall 1-PDU-04-30-16</v>
      </c>
      <c r="R20" s="217" t="s">
        <v>9463</v>
      </c>
      <c r="S20" s="217" t="s">
        <v>9464</v>
      </c>
      <c r="T20" t="str">
        <f t="shared" si="7"/>
        <v>6-DaHall 1-PDU-03</v>
      </c>
      <c r="U20" t="str">
        <f t="shared" si="8"/>
        <v>[branch#016] [A] W</v>
      </c>
      <c r="V20" t="str">
        <f t="shared" si="9"/>
        <v>6-DaHall 1-PDU-04</v>
      </c>
      <c r="W20" t="str">
        <f t="shared" si="10"/>
        <v>[branch#016] [A] W</v>
      </c>
      <c r="X20" s="2989" cm="1">
        <f t="array" ref="X20">INDEX('각층분기별_유효전력최대(전월)'!$I$4:$I$2020,MATCH(1, ('각층분기별_유효전력최대(전월)'!$G$4:$G$2020='7층~4층_매핑테이블'!T20) * ('각층분기별_유효전력최대(전월)'!$H$4:$H$2020='7층~4층_매핑테이블'!U20),0)) + INDEX('각층분기별_유효전력최대(전월)'!$I$4:$I$2020,MATCH(1, ('각층분기별_유효전력최대(전월)'!$G$4:$G$2020='7층~4층_매핑테이블'!V20) * ('각층분기별_유효전력최대(전월)'!$H$4:$H$2020='7층~4층_매핑테이블'!W20),0))</f>
        <v>0</v>
      </c>
      <c r="Y20" s="3274" t="str">
        <f t="shared" si="11"/>
        <v>7-DaHall 1-A-4-35-347-DaHall 1-B-4-35-34</v>
      </c>
      <c r="Z20" s="217" t="s">
        <v>9466</v>
      </c>
      <c r="AA20" s="217" t="s">
        <v>9467</v>
      </c>
      <c r="AB20" s="3274" t="str">
        <f t="shared" si="21"/>
        <v>7-DaHall 1-A-4-35</v>
      </c>
      <c r="AC20" t="s">
        <v>9468</v>
      </c>
      <c r="AD20" t="str">
        <f t="shared" si="12"/>
        <v>7-DaHall 1-B-4-35</v>
      </c>
      <c r="AE20" t="s">
        <v>9468</v>
      </c>
      <c r="AF20" s="2989" t="e" cm="1">
        <f t="array" ref="AF20">INDEX('각층분기별_유효전력최대(전월)'!$L$4:$L$2020,MATCH(1, ('각층분기별_유효전력최대(전월)'!$J$4:$J$2020='7층~4층_매핑테이블'!AB20) * ('각층분기별_유효전력최대(전월)'!$K$4:$K$2020='7층~4층_매핑테이블'!AC20),0)) + INDEX('각층분기별_유효전력최대(전월)'!$L$4:$L$2020,MATCH(1, ('각층분기별_유효전력최대(전월)'!$J$4:$J$2020='7층~4층_매핑테이블'!AD20) * ('각층분기별_유효전력최대(전월)'!$K$4:$K$2020='7층~4층_매핑테이블'!AE20),0))</f>
        <v>#N/A</v>
      </c>
    </row>
    <row r="21" spans="1:32" x14ac:dyDescent="0.25">
      <c r="A21" t="str">
        <f t="shared" si="20"/>
        <v/>
      </c>
      <c r="B21" s="3099"/>
      <c r="C21" s="3098"/>
      <c r="D21" s="2989" t="str">
        <f t="shared" si="19"/>
        <v/>
      </c>
      <c r="E21" s="2989" t="str">
        <f t="shared" si="14"/>
        <v/>
      </c>
      <c r="F21" s="2989" t="str">
        <f t="shared" si="16"/>
        <v/>
      </c>
      <c r="G21" s="2989" t="str">
        <f t="shared" si="17"/>
        <v/>
      </c>
      <c r="H21" s="2989" cm="1">
        <f t="array" ref="H21">INDEX('각층분기별_유효전력최대(전월)'!$C$4:$C$2020,MATCH(1, ('각층분기별_유효전력최대(전월)'!$A$4:$A$2020='7층~4층_매핑테이블'!D21) * ('각층분기별_유효전력최대(전월)'!$B$4:$B$2020='7층~4층_매핑테이블'!E21),0)) + INDEX('각층분기별_유효전력최대(전월)'!$C$4:$C$2020,MATCH(1, ('각층분기별_유효전력최대(전월)'!$A$4:$A$2020='7층~4층_매핑테이블'!F21) * ('각층분기별_유효전력최대(전월)'!$B$4:$B$2020='7층~4층_매핑테이블'!G21),0))</f>
        <v>0</v>
      </c>
      <c r="I21" t="str">
        <f t="shared" si="1"/>
        <v>5-DaHall 1-PDU-15-30-115-DaHall 1-PDU-16-30-11</v>
      </c>
      <c r="J21" s="217" t="s">
        <v>9469</v>
      </c>
      <c r="K21" s="217" t="s">
        <v>9470</v>
      </c>
      <c r="L21" t="str">
        <f t="shared" si="2"/>
        <v>5-DaHall 1-PDU-15</v>
      </c>
      <c r="M21" t="str">
        <f t="shared" si="3"/>
        <v>[branch#011] [A] W</v>
      </c>
      <c r="N21" t="str">
        <f t="shared" si="4"/>
        <v>5-DaHall 1-PDU-16</v>
      </c>
      <c r="O21" t="str">
        <f t="shared" si="5"/>
        <v>[branch#011] [A] W</v>
      </c>
      <c r="P21" s="2989" cm="1">
        <f t="array" ref="P21">INDEX('각층분기별_유효전력최대(전월)'!$F$4:$F$2020,MATCH(1, ('각층분기별_유효전력최대(전월)'!$D$4:$D$2020='7층~4층_매핑테이블'!L21) * ('각층분기별_유효전력최대(전월)'!$E$4:$E$2020='7층~4층_매핑테이블'!M21),0)) + INDEX('각층분기별_유효전력최대(전월)'!$F$4:$F$2020,MATCH(1, ('각층분기별_유효전력최대(전월)'!$D$4:$D$2020='7층~4층_매핑테이블'!N21) * ('각층분기별_유효전력최대(전월)'!$E$4:$E$2020='7층~4층_매핑테이블'!O21),0))</f>
        <v>0</v>
      </c>
      <c r="Q21" s="1" t="str">
        <f t="shared" si="6"/>
        <v>6-DaHall 1-PDU-03-30-186-DaHall 1-PDU-04-30-18</v>
      </c>
      <c r="R21" s="217" t="s">
        <v>9471</v>
      </c>
      <c r="S21" s="217" t="s">
        <v>9472</v>
      </c>
      <c r="T21" t="str">
        <f t="shared" si="7"/>
        <v>6-DaHall 1-PDU-03</v>
      </c>
      <c r="U21" t="str">
        <f t="shared" si="8"/>
        <v>[branch#018] [A] W</v>
      </c>
      <c r="V21" t="str">
        <f t="shared" si="9"/>
        <v>6-DaHall 1-PDU-04</v>
      </c>
      <c r="W21" t="str">
        <f t="shared" si="10"/>
        <v>[branch#018] [A] W</v>
      </c>
      <c r="X21" s="2989" cm="1">
        <f t="array" ref="X21">INDEX('각층분기별_유효전력최대(전월)'!$I$4:$I$2020,MATCH(1, ('각층분기별_유효전력최대(전월)'!$G$4:$G$2020='7층~4층_매핑테이블'!T21) * ('각층분기별_유효전력최대(전월)'!$H$4:$H$2020='7층~4층_매핑테이블'!U21),0)) + INDEX('각층분기별_유효전력최대(전월)'!$I$4:$I$2020,MATCH(1, ('각층분기별_유효전력최대(전월)'!$G$4:$G$2020='7층~4층_매핑테이블'!V21) * ('각층분기별_유효전력최대(전월)'!$H$4:$H$2020='7층~4층_매핑테이블'!W21),0))</f>
        <v>0</v>
      </c>
      <c r="Y21" s="3274" t="str">
        <f t="shared" si="11"/>
        <v>7-DaHall 1-A-4-100-37-DaHall 1-B-4-100-3</v>
      </c>
      <c r="Z21" s="217" t="s">
        <v>9474</v>
      </c>
      <c r="AA21" s="217" t="s">
        <v>9475</v>
      </c>
      <c r="AB21" s="3274" t="str">
        <f t="shared" si="21"/>
        <v>7-DaHall 1-A-4-10</v>
      </c>
      <c r="AC21" t="s">
        <v>9315</v>
      </c>
      <c r="AD21" t="str">
        <f t="shared" si="12"/>
        <v>7-DaHall 1-B-4-10</v>
      </c>
      <c r="AE21" t="s">
        <v>9315</v>
      </c>
      <c r="AF21" s="2989" t="e" cm="1">
        <f t="array" ref="AF21">INDEX('각층분기별_유효전력최대(전월)'!$L$4:$L$2020,MATCH(1, ('각층분기별_유효전력최대(전월)'!$J$4:$J$2020='7층~4층_매핑테이블'!AB21) * ('각층분기별_유효전력최대(전월)'!$K$4:$K$2020='7층~4층_매핑테이블'!AC21),0)) + INDEX('각층분기별_유효전력최대(전월)'!$L$4:$L$2020,MATCH(1, ('각층분기별_유효전력최대(전월)'!$J$4:$J$2020='7층~4층_매핑테이블'!AD21) * ('각층분기별_유효전력최대(전월)'!$K$4:$K$2020='7층~4층_매핑테이블'!AE21),0))</f>
        <v>#N/A</v>
      </c>
    </row>
    <row r="22" spans="1:32" x14ac:dyDescent="0.25">
      <c r="A22" t="str">
        <f t="shared" si="20"/>
        <v/>
      </c>
      <c r="B22" s="3099"/>
      <c r="C22" s="3098"/>
      <c r="D22" s="2989" t="str">
        <f t="shared" si="19"/>
        <v/>
      </c>
      <c r="E22" s="2989" t="str">
        <f t="shared" si="14"/>
        <v/>
      </c>
      <c r="F22" s="2989" t="str">
        <f t="shared" si="16"/>
        <v/>
      </c>
      <c r="G22" s="2989" t="str">
        <f t="shared" si="17"/>
        <v/>
      </c>
      <c r="H22" s="2989" cm="1">
        <f t="array" ref="H22">INDEX('각층분기별_유효전력최대(전월)'!$C$4:$C$2020,MATCH(1, ('각층분기별_유효전력최대(전월)'!$A$4:$A$2020='7층~4층_매핑테이블'!D22) * ('각층분기별_유효전력최대(전월)'!$B$4:$B$2020='7층~4층_매핑테이블'!E22),0)) + INDEX('각층분기별_유효전력최대(전월)'!$C$4:$C$2020,MATCH(1, ('각층분기별_유효전력최대(전월)'!$A$4:$A$2020='7층~4층_매핑테이블'!F22) * ('각층분기별_유효전력최대(전월)'!$B$4:$B$2020='7층~4층_매핑테이블'!G22),0))</f>
        <v>0</v>
      </c>
      <c r="I22" t="str">
        <f t="shared" si="1"/>
        <v>5-DaHall 1-PDU-15-30-145-DaHall 1-PDU-16-30-14</v>
      </c>
      <c r="J22" s="217" t="s">
        <v>9476</v>
      </c>
      <c r="K22" s="217" t="s">
        <v>9477</v>
      </c>
      <c r="L22" t="str">
        <f t="shared" si="2"/>
        <v>5-DaHall 1-PDU-15</v>
      </c>
      <c r="M22" t="str">
        <f t="shared" si="3"/>
        <v>[branch#014] [A] W</v>
      </c>
      <c r="N22" t="str">
        <f t="shared" si="4"/>
        <v>5-DaHall 1-PDU-16</v>
      </c>
      <c r="O22" t="str">
        <f t="shared" si="5"/>
        <v>[branch#014] [A] W</v>
      </c>
      <c r="P22" s="2989" cm="1">
        <f t="array" ref="P22">INDEX('각층분기별_유효전력최대(전월)'!$F$4:$F$2020,MATCH(1, ('각층분기별_유효전력최대(전월)'!$D$4:$D$2020='7층~4층_매핑테이블'!L22) * ('각층분기별_유효전력최대(전월)'!$E$4:$E$2020='7층~4층_매핑테이블'!M22),0)) + INDEX('각층분기별_유효전력최대(전월)'!$F$4:$F$2020,MATCH(1, ('각층분기별_유효전력최대(전월)'!$D$4:$D$2020='7층~4층_매핑테이블'!N22) * ('각층분기별_유효전력최대(전월)'!$E$4:$E$2020='7층~4층_매핑테이블'!O22),0))</f>
        <v>0.53899999999999992</v>
      </c>
      <c r="Q22" s="1" t="str">
        <f>R22&amp;S22</f>
        <v/>
      </c>
      <c r="R22" s="217"/>
      <c r="S22" s="217"/>
      <c r="T22" t="str">
        <f t="shared" si="7"/>
        <v/>
      </c>
      <c r="U22" t="str">
        <f>IF(IF(LEN((MID(R22,22,2)))=1, "[branch#0"&amp;0&amp;MID(R22,22,2)&amp;"] [A] W", "[branch#0"&amp;MID(R22,22,2)&amp;"] [A] W")="[branch#0] [A] W", "", IF(LEN((MID(R22,22,2)))=1, "[branch#0"&amp;0&amp;MID(R22,22,2)&amp;"] [A] W", "[branch#0"&amp;MID(R22,22,2)&amp;"] [A] W"))</f>
        <v/>
      </c>
      <c r="V22" t="str">
        <f>IF(MID(S22,16,2)="0","",MID(S22,1,15)&amp;MID(S22,16,2))</f>
        <v/>
      </c>
      <c r="W22" t="str">
        <f>IF(IF(LEN((MID(S22,22,2)))=1, "[branch#0"&amp;0&amp;MID(S22,22,2)&amp;"] [A] W", "[branch#0"&amp;MID(S22,22,2)&amp;"] [A] W")="[branch#0] [A] W", "", IF(LEN((MID(S22,22,2)))=1, "[branch#0"&amp;0&amp;MID(S22,22,2)&amp;"] [A] W", "[branch#0"&amp;MID(S22,22,2)&amp;"] [A] W"))</f>
        <v/>
      </c>
      <c r="X22" s="2989" cm="1">
        <f t="array" ref="X22">INDEX('각층분기별_유효전력최대(전월)'!$I$4:$I$2020,MATCH(1, ('각층분기별_유효전력최대(전월)'!$G$4:$G$2020='7층~4층_매핑테이블'!T22) * ('각층분기별_유효전력최대(전월)'!$H$4:$H$2020='7층~4층_매핑테이블'!U22),0)) + INDEX('각층분기별_유효전력최대(전월)'!$I$4:$I$2020,MATCH(1, ('각층분기별_유효전력최대(전월)'!$G$4:$G$2020='7층~4층_매핑테이블'!V22) * ('각층분기별_유효전력최대(전월)'!$H$4:$H$2020='7층~4층_매핑테이블'!W22),0))</f>
        <v>0</v>
      </c>
      <c r="Y22" s="3274" t="str">
        <f t="shared" si="11"/>
        <v>7-DaHall 1-A-4-50-417-DaHall 1-B-4-50-41</v>
      </c>
      <c r="Z22" s="217" t="s">
        <v>9479</v>
      </c>
      <c r="AA22" s="217" t="s">
        <v>9480</v>
      </c>
      <c r="AB22" s="3274" t="str">
        <f t="shared" si="21"/>
        <v>7-DaHall 1-A-4-50</v>
      </c>
      <c r="AC22" t="s">
        <v>9481</v>
      </c>
      <c r="AD22" t="str">
        <f t="shared" si="12"/>
        <v>7-DaHall 1-B-4-50</v>
      </c>
      <c r="AE22" t="s">
        <v>9481</v>
      </c>
      <c r="AF22" s="2989" t="e" cm="1">
        <f t="array" ref="AF22">INDEX('각층분기별_유효전력최대(전월)'!$L$4:$L$2020,MATCH(1, ('각층분기별_유효전력최대(전월)'!$J$4:$J$2020='7층~4층_매핑테이블'!AB22) * ('각층분기별_유효전력최대(전월)'!$K$4:$K$2020='7층~4층_매핑테이블'!AC22),0)) + INDEX('각층분기별_유효전력최대(전월)'!$L$4:$L$2020,MATCH(1, ('각층분기별_유효전력최대(전월)'!$J$4:$J$2020='7층~4층_매핑테이블'!AD22) * ('각층분기별_유효전력최대(전월)'!$K$4:$K$2020='7층~4층_매핑테이블'!AE22),0))</f>
        <v>#N/A</v>
      </c>
    </row>
    <row r="23" spans="1:32" x14ac:dyDescent="0.25">
      <c r="A23" t="str">
        <f>B23&amp;C23</f>
        <v>4-DaHall 1-PDU-08-100-64-DaHall 1-PDU-07-100-6</v>
      </c>
      <c r="B23" s="3099" t="s">
        <v>9482</v>
      </c>
      <c r="C23" s="3098" t="s">
        <v>9483</v>
      </c>
      <c r="D23" s="2989" t="str">
        <f t="shared" si="19"/>
        <v>4-DaHall 1-PDU-08</v>
      </c>
      <c r="E23" s="2989" t="str">
        <f t="shared" si="14"/>
        <v>[branch#006] [A] W</v>
      </c>
      <c r="F23" s="2989" t="str">
        <f t="shared" si="16"/>
        <v>4-DaHall 1-PDU-07</v>
      </c>
      <c r="G23" s="2989" t="str">
        <f t="shared" si="17"/>
        <v>[branch#006] [A] W</v>
      </c>
      <c r="H23" s="2989" cm="1">
        <f t="array" ref="H23">INDEX('각층분기별_유효전력최대(전월)'!$C$4:$C$2020,MATCH(1, ('각층분기별_유효전력최대(전월)'!$A$4:$A$2020='7층~4층_매핑테이블'!D23) * ('각층분기별_유효전력최대(전월)'!$B$4:$B$2020='7층~4층_매핑테이블'!E23),0)) + INDEX('각층분기별_유효전력최대(전월)'!$C$4:$C$2020,MATCH(1, ('각층분기별_유효전력최대(전월)'!$A$4:$A$2020='7층~4층_매핑테이블'!F23) * ('각층분기별_유효전력최대(전월)'!$B$4:$B$2020='7층~4층_매핑테이블'!G23),0))</f>
        <v>6.1720000000000006</v>
      </c>
      <c r="I23" t="str">
        <f t="shared" si="1"/>
        <v>5-DaHall 1-PDU-11-20-195-DaHall 1-PDU-12-20-17</v>
      </c>
      <c r="J23" s="217" t="s">
        <v>9484</v>
      </c>
      <c r="K23" s="217" t="s">
        <v>9485</v>
      </c>
      <c r="L23" t="str">
        <f t="shared" si="2"/>
        <v>5-DaHall 1-PDU-11</v>
      </c>
      <c r="M23" t="str">
        <f t="shared" si="3"/>
        <v>[branch#019] [A] W</v>
      </c>
      <c r="N23" t="str">
        <f t="shared" si="4"/>
        <v>5-DaHall 1-PDU-12</v>
      </c>
      <c r="O23" t="str">
        <f t="shared" si="5"/>
        <v>[branch#017] [A] W</v>
      </c>
      <c r="P23" s="2989" cm="1">
        <f t="array" ref="P23">INDEX('각층분기별_유효전력최대(전월)'!$F$4:$F$2020,MATCH(1, ('각층분기별_유효전력최대(전월)'!$D$4:$D$2020='7층~4층_매핑테이블'!L23) * ('각층분기별_유효전력최대(전월)'!$E$4:$E$2020='7층~4층_매핑테이블'!M23),0)) + INDEX('각층분기별_유효전력최대(전월)'!$F$4:$F$2020,MATCH(1, ('각층분기별_유효전력최대(전월)'!$D$4:$D$2020='7층~4층_매핑테이블'!N23) * ('각층분기별_유효전력최대(전월)'!$E$4:$E$2020='7층~4층_매핑테이블'!O23),0))</f>
        <v>0</v>
      </c>
      <c r="Q23" s="1" t="str">
        <f t="shared" si="6"/>
        <v/>
      </c>
      <c r="R23" s="217"/>
      <c r="S23" s="217"/>
      <c r="T23" t="str">
        <f t="shared" si="7"/>
        <v/>
      </c>
      <c r="U23" t="str">
        <f t="shared" si="8"/>
        <v/>
      </c>
      <c r="V23" t="str">
        <f t="shared" si="9"/>
        <v/>
      </c>
      <c r="W23" t="str">
        <f t="shared" si="10"/>
        <v/>
      </c>
      <c r="X23" s="2989" cm="1">
        <f t="array" ref="X23">INDEX('각층분기별_유효전력최대(전월)'!$I$4:$I$2020,MATCH(1, ('각층분기별_유효전력최대(전월)'!$G$4:$G$2020='7층~4층_매핑테이블'!T23) * ('각층분기별_유효전력최대(전월)'!$H$4:$H$2020='7층~4층_매핑테이블'!U23),0)) + INDEX('각층분기별_유효전력최대(전월)'!$I$4:$I$2020,MATCH(1, ('각층분기별_유효전력최대(전월)'!$G$4:$G$2020='7층~4층_매핑테이블'!V23) * ('각층분기별_유효전력최대(전월)'!$H$4:$H$2020='7층~4층_매핑테이블'!W23),0))</f>
        <v>0</v>
      </c>
      <c r="Y23" s="3274" t="str">
        <f>Z23&amp;AA23</f>
        <v/>
      </c>
      <c r="Z23" s="217"/>
      <c r="AA23" s="217"/>
      <c r="AB23" s="3274" t="str">
        <f>IF(MID(Z23,16,2)="0","",MID(Z23,1,15)&amp;MID(Z23,16,2))</f>
        <v/>
      </c>
      <c r="AD23" t="str">
        <f t="shared" si="12"/>
        <v/>
      </c>
      <c r="AF23" s="2989" cm="1">
        <f t="array" ref="AF23">INDEX('각층분기별_유효전력최대(전월)'!$L$4:$L$2020,MATCH(1, ('각층분기별_유효전력최대(전월)'!$J$4:$J$2020='7층~4층_매핑테이블'!AB23) * ('각층분기별_유효전력최대(전월)'!$K$4:$K$2020='7층~4층_매핑테이블'!AC23),0)) + INDEX('각층분기별_유효전력최대(전월)'!$L$4:$L$2020,MATCH(1, ('각층분기별_유효전력최대(전월)'!$J$4:$J$2020='7층~4층_매핑테이블'!AD23) * ('각층분기별_유효전력최대(전월)'!$K$4:$K$2020='7층~4층_매핑테이블'!AE23),0))</f>
        <v>0</v>
      </c>
    </row>
    <row r="24" spans="1:32" x14ac:dyDescent="0.25">
      <c r="A24" t="str">
        <f>B24&amp;C24</f>
        <v/>
      </c>
      <c r="B24" s="3099"/>
      <c r="C24" s="3098"/>
      <c r="D24" s="2989" t="str">
        <f t="shared" si="19"/>
        <v/>
      </c>
      <c r="E24" s="2989" t="str">
        <f t="shared" si="14"/>
        <v/>
      </c>
      <c r="F24" s="2989" t="str">
        <f t="shared" si="16"/>
        <v/>
      </c>
      <c r="G24" s="2989" t="str">
        <f t="shared" si="17"/>
        <v/>
      </c>
      <c r="H24" s="2989" cm="1">
        <f t="array" ref="H24">INDEX('각층분기별_유효전력최대(전월)'!$C$4:$C$2020,MATCH(1, ('각층분기별_유효전력최대(전월)'!$A$4:$A$2020='7층~4층_매핑테이블'!D24) * ('각층분기별_유효전력최대(전월)'!$B$4:$B$2020='7층~4층_매핑테이블'!E24),0)) + INDEX('각층분기별_유효전력최대(전월)'!$C$4:$C$2020,MATCH(1, ('각층분기별_유효전력최대(전월)'!$A$4:$A$2020='7층~4층_매핑테이블'!F24) * ('각층분기별_유효전력최대(전월)'!$B$4:$B$2020='7층~4층_매핑테이블'!G24),0))</f>
        <v>0</v>
      </c>
      <c r="I24" t="str">
        <f t="shared" si="1"/>
        <v>5-DaHall 1-PDU-11-20-215-DaHall 1-PDU-12-20-19</v>
      </c>
      <c r="J24" s="217" t="s">
        <v>9487</v>
      </c>
      <c r="K24" s="217" t="s">
        <v>9488</v>
      </c>
      <c r="L24" t="str">
        <f t="shared" si="2"/>
        <v>5-DaHall 1-PDU-11</v>
      </c>
      <c r="M24" t="str">
        <f t="shared" si="3"/>
        <v>[branch#021] [A] W</v>
      </c>
      <c r="N24" t="str">
        <f t="shared" si="4"/>
        <v>5-DaHall 1-PDU-12</v>
      </c>
      <c r="O24" t="str">
        <f t="shared" si="5"/>
        <v>[branch#019] [A] W</v>
      </c>
      <c r="P24" s="2989" cm="1">
        <f t="array" ref="P24">INDEX('각층분기별_유효전력최대(전월)'!$F$4:$F$2020,MATCH(1, ('각층분기별_유효전력최대(전월)'!$D$4:$D$2020='7층~4층_매핑테이블'!L24) * ('각층분기별_유효전력최대(전월)'!$E$4:$E$2020='7층~4층_매핑테이블'!M24),0)) + INDEX('각층분기별_유효전력최대(전월)'!$F$4:$F$2020,MATCH(1, ('각층분기별_유효전력최대(전월)'!$D$4:$D$2020='7층~4층_매핑테이블'!N24) * ('각층분기별_유효전력최대(전월)'!$E$4:$E$2020='7층~4층_매핑테이블'!O24),0))</f>
        <v>1.1080000000000001</v>
      </c>
      <c r="Q24" s="1" t="str">
        <f>R24&amp;S24</f>
        <v>6-DaHall 1-PDU-07-30-86-DaHall 1-PDU-08-30-8</v>
      </c>
      <c r="R24" s="217" t="s">
        <v>9490</v>
      </c>
      <c r="S24" s="217" t="s">
        <v>9491</v>
      </c>
      <c r="T24" t="str">
        <f t="shared" si="7"/>
        <v>6-DaHall 1-PDU-07</v>
      </c>
      <c r="U24" t="str">
        <f>IF(IF(LEN((MID(R24,22,2)))=1, "[branch#0"&amp;0&amp;MID(R24,22,2)&amp;"] [A] W", "[branch#0"&amp;MID(R24,22,2)&amp;"] [A] W")="[branch#0] [A] W", "", IF(LEN((MID(R24,22,2)))=1, "[branch#0"&amp;0&amp;MID(R24,22,2)&amp;"] [A] W", "[branch#0"&amp;MID(R24,22,2)&amp;"] [A] W"))</f>
        <v>[branch#008] [A] W</v>
      </c>
      <c r="V24" t="str">
        <f>IF(MID(S24,16,2)="0","",MID(S24,1,15)&amp;MID(S24,16,2))</f>
        <v>6-DaHall 1-PDU-08</v>
      </c>
      <c r="W24" t="str">
        <f>IF(IF(LEN((MID(S24,22,2)))=1, "[branch#0"&amp;0&amp;MID(S24,22,2)&amp;"] [A] W", "[branch#0"&amp;MID(S24,22,2)&amp;"] [A] W")="[branch#0] [A] W", "", IF(LEN((MID(S24,22,2)))=1, "[branch#0"&amp;0&amp;MID(S24,22,2)&amp;"] [A] W", "[branch#0"&amp;MID(S24,22,2)&amp;"] [A] W"))</f>
        <v>[branch#008] [A] W</v>
      </c>
      <c r="X24" s="2989" cm="1">
        <f t="array" ref="X24">INDEX('각층분기별_유효전력최대(전월)'!$I$4:$I$2020,MATCH(1, ('각층분기별_유효전력최대(전월)'!$G$4:$G$2020='7층~4층_매핑테이블'!T24) * ('각층분기별_유효전력최대(전월)'!$H$4:$H$2020='7층~4층_매핑테이블'!U24),0)) + INDEX('각층분기별_유효전력최대(전월)'!$I$4:$I$2020,MATCH(1, ('각층분기별_유효전력최대(전월)'!$G$4:$G$2020='7층~4층_매핑테이블'!V24) * ('각층분기별_유효전력최대(전월)'!$H$4:$H$2020='7층~4층_매핑테이블'!W24),0))</f>
        <v>0</v>
      </c>
      <c r="Y24" s="3274" t="str">
        <f>Z24&amp;AA24</f>
        <v>7-DaHall 1-PDU-01-30-57-DaHall 1-PDU-02-30-3</v>
      </c>
      <c r="Z24" s="217" t="s">
        <v>9493</v>
      </c>
      <c r="AA24" s="217" t="s">
        <v>9494</v>
      </c>
      <c r="AB24" s="3274" t="str">
        <f>IF(MID(Z24,16,2)="0","",MID(Z24,1,15)&amp;MID(Z24,16,2))</f>
        <v>7-DaHall 1-PDU-01</v>
      </c>
      <c r="AC24" t="s">
        <v>9355</v>
      </c>
      <c r="AD24" t="str">
        <f t="shared" si="12"/>
        <v>7-DaHall 1-PDU-02</v>
      </c>
      <c r="AE24" t="s">
        <v>9315</v>
      </c>
      <c r="AF24" s="2989" cm="1">
        <f t="array" ref="AF24">INDEX('각층분기별_유효전력최대(전월)'!$L$4:$L$2020,MATCH(1, ('각층분기별_유효전력최대(전월)'!$J$4:$J$2020='7층~4층_매핑테이블'!AB24) * ('각층분기별_유효전력최대(전월)'!$K$4:$K$2020='7층~4층_매핑테이블'!AC24),0)) + INDEX('각층분기별_유효전력최대(전월)'!$L$4:$L$2020,MATCH(1, ('각층분기별_유효전력최대(전월)'!$J$4:$J$2020='7층~4층_매핑테이블'!AD24) * ('각층분기별_유효전력최대(전월)'!$K$4:$K$2020='7층~4층_매핑테이블'!AE24),0))</f>
        <v>1.9870000000000001</v>
      </c>
    </row>
    <row r="25" spans="1:32" x14ac:dyDescent="0.25">
      <c r="A25" t="str">
        <f t="shared" ref="A25" si="22">B25&amp;C25</f>
        <v/>
      </c>
      <c r="B25" s="3099"/>
      <c r="C25" s="3098"/>
      <c r="D25" s="2989" t="str">
        <f t="shared" si="19"/>
        <v/>
      </c>
      <c r="E25" s="2989" t="str">
        <f t="shared" si="14"/>
        <v/>
      </c>
      <c r="F25" s="2989" t="str">
        <f t="shared" si="16"/>
        <v/>
      </c>
      <c r="G25" s="2989" t="str">
        <f t="shared" si="17"/>
        <v/>
      </c>
      <c r="H25" s="2989" cm="1">
        <f t="array" ref="H25">INDEX('각층분기별_유효전력최대(전월)'!$C$4:$C$2020,MATCH(1, ('각층분기별_유효전력최대(전월)'!$A$4:$A$2020='7층~4층_매핑테이블'!D25) * ('각층분기별_유효전력최대(전월)'!$B$4:$B$2020='7층~4층_매핑테이블'!E25),0)) + INDEX('각층분기별_유효전력최대(전월)'!$C$4:$C$2020,MATCH(1, ('각층분기별_유효전력최대(전월)'!$A$4:$A$2020='7층~4층_매핑테이블'!F25) * ('각층분기별_유효전력최대(전월)'!$B$4:$B$2020='7층~4층_매핑테이블'!G25),0))</f>
        <v>0</v>
      </c>
      <c r="I25" t="str">
        <f t="shared" si="1"/>
        <v>5-DaHall 1-PDU-11-20-235-DaHall 1-PDU-12-20-21</v>
      </c>
      <c r="J25" s="217" t="s">
        <v>9495</v>
      </c>
      <c r="K25" s="217" t="s">
        <v>9496</v>
      </c>
      <c r="L25" t="str">
        <f t="shared" si="2"/>
        <v>5-DaHall 1-PDU-11</v>
      </c>
      <c r="M25" t="str">
        <f t="shared" si="3"/>
        <v>[branch#023] [A] W</v>
      </c>
      <c r="N25" t="str">
        <f t="shared" si="4"/>
        <v>5-DaHall 1-PDU-12</v>
      </c>
      <c r="O25" t="str">
        <f t="shared" si="5"/>
        <v>[branch#021] [A] W</v>
      </c>
      <c r="P25" s="2989" cm="1">
        <f t="array" ref="P25">INDEX('각층분기별_유효전력최대(전월)'!$F$4:$F$2020,MATCH(1, ('각층분기별_유효전력최대(전월)'!$D$4:$D$2020='7층~4층_매핑테이블'!L25) * ('각층분기별_유효전력최대(전월)'!$E$4:$E$2020='7층~4층_매핑테이블'!M25),0)) + INDEX('각층분기별_유효전력최대(전월)'!$F$4:$F$2020,MATCH(1, ('각층분기별_유효전력최대(전월)'!$D$4:$D$2020='7층~4층_매핑테이블'!N25) * ('각층분기별_유효전력최대(전월)'!$E$4:$E$2020='7층~4층_매핑테이블'!O25),0))</f>
        <v>2.3180000000000001</v>
      </c>
      <c r="Q25" s="1" t="str">
        <f t="shared" si="6"/>
        <v>6-DaHall 1-PDU-07-30-106-DaHall 1-PDU-08-30-10</v>
      </c>
      <c r="R25" s="217" t="s">
        <v>9498</v>
      </c>
      <c r="S25" s="217" t="s">
        <v>9499</v>
      </c>
      <c r="T25" t="str">
        <f t="shared" si="7"/>
        <v>6-DaHall 1-PDU-07</v>
      </c>
      <c r="U25" t="str">
        <f t="shared" si="8"/>
        <v>[branch#010] [A] W</v>
      </c>
      <c r="V25" t="str">
        <f t="shared" si="9"/>
        <v>6-DaHall 1-PDU-08</v>
      </c>
      <c r="W25" t="str">
        <f t="shared" si="10"/>
        <v>[branch#010] [A] W</v>
      </c>
      <c r="X25" s="2989" cm="1">
        <f t="array" ref="X25">INDEX('각층분기별_유효전력최대(전월)'!$I$4:$I$2020,MATCH(1, ('각층분기별_유효전력최대(전월)'!$G$4:$G$2020='7층~4층_매핑테이블'!T25) * ('각층분기별_유효전력최대(전월)'!$H$4:$H$2020='7층~4층_매핑테이블'!U25),0)) + INDEX('각층분기별_유효전력최대(전월)'!$I$4:$I$2020,MATCH(1, ('각층분기별_유효전력최대(전월)'!$G$4:$G$2020='7층~4층_매핑테이블'!V25) * ('각층분기별_유효전력최대(전월)'!$H$4:$H$2020='7층~4층_매핑테이블'!W25),0))</f>
        <v>0</v>
      </c>
      <c r="Y25" s="3274" t="str">
        <f t="shared" ref="Y25:Y28" si="23">Z25&amp;AA25</f>
        <v>7-DaHall 1-RPP-01-30-407-DaHall 1-RPP-02-30-38</v>
      </c>
      <c r="Z25" s="217" t="s">
        <v>9501</v>
      </c>
      <c r="AA25" s="217" t="s">
        <v>9502</v>
      </c>
      <c r="AB25" s="3274" t="str">
        <f>IF(MID(Z25,16,2)="0","",MID(Z25,1,15)&amp;MID(Z25,16,2))</f>
        <v>7-DaHall 1-RPP-01</v>
      </c>
      <c r="AC25" t="s">
        <v>9368</v>
      </c>
      <c r="AD25" t="str">
        <f t="shared" si="12"/>
        <v>7-DaHall 1-RPP-02</v>
      </c>
      <c r="AE25" t="s">
        <v>9358</v>
      </c>
      <c r="AF25" s="2989" cm="1">
        <f t="array" ref="AF25">INDEX('각층분기별_유효전력최대(전월)'!$L$4:$L$2020,MATCH(1, ('각층분기별_유효전력최대(전월)'!$J$4:$J$2020='7층~4층_매핑테이블'!AB25) * ('각층분기별_유효전력최대(전월)'!$K$4:$K$2020='7층~4층_매핑테이블'!AC25),0)) + INDEX('각층분기별_유효전력최대(전월)'!$L$4:$L$2020,MATCH(1, ('각층분기별_유효전력최대(전월)'!$J$4:$J$2020='7층~4층_매핑테이블'!AD25) * ('각층분기별_유효전력최대(전월)'!$K$4:$K$2020='7층~4층_매핑테이블'!AE25),0))</f>
        <v>2.1520000000000001</v>
      </c>
    </row>
    <row r="26" spans="1:32" x14ac:dyDescent="0.25">
      <c r="A26" t="str">
        <f>B26&amp;C26</f>
        <v>4-DaHall 1-PDU-08-100-44-DaHall 1-PDU-07-100-4</v>
      </c>
      <c r="B26" s="3099" t="s">
        <v>9503</v>
      </c>
      <c r="C26" s="3098" t="s">
        <v>9504</v>
      </c>
      <c r="D26" s="2989" t="str">
        <f t="shared" si="19"/>
        <v>4-DaHall 1-PDU-08</v>
      </c>
      <c r="E26" s="2989" t="str">
        <f t="shared" si="14"/>
        <v>[branch#004] [A] W</v>
      </c>
      <c r="F26" s="2989" t="str">
        <f t="shared" si="16"/>
        <v>4-DaHall 1-PDU-07</v>
      </c>
      <c r="G26" s="2989" t="str">
        <f t="shared" si="17"/>
        <v>[branch#004] [A] W</v>
      </c>
      <c r="H26" s="2989" cm="1">
        <f t="array" ref="H26">INDEX('각층분기별_유효전력최대(전월)'!$C$4:$C$2020,MATCH(1, ('각층분기별_유효전력최대(전월)'!$A$4:$A$2020='7층~4층_매핑테이블'!D26) * ('각층분기별_유효전력최대(전월)'!$B$4:$B$2020='7층~4층_매핑테이블'!E26),0)) + INDEX('각층분기별_유효전력최대(전월)'!$C$4:$C$2020,MATCH(1, ('각층분기별_유효전력최대(전월)'!$A$4:$A$2020='7층~4층_매핑테이블'!F26) * ('각층분기별_유효전력최대(전월)'!$B$4:$B$2020='7층~4층_매핑테이블'!G26),0))</f>
        <v>4.3170000000000002</v>
      </c>
      <c r="I26" t="str">
        <f t="shared" si="1"/>
        <v>5-DaHall 1-PDU-11-20-255-DaHall 1-PDU-12-20-23</v>
      </c>
      <c r="J26" s="217" t="s">
        <v>9505</v>
      </c>
      <c r="K26" s="217" t="s">
        <v>9506</v>
      </c>
      <c r="L26" t="str">
        <f t="shared" si="2"/>
        <v>5-DaHall 1-PDU-11</v>
      </c>
      <c r="M26" t="str">
        <f t="shared" si="3"/>
        <v>[branch#025] [A] W</v>
      </c>
      <c r="N26" t="str">
        <f t="shared" si="4"/>
        <v>5-DaHall 1-PDU-12</v>
      </c>
      <c r="O26" t="str">
        <f t="shared" si="5"/>
        <v>[branch#023] [A] W</v>
      </c>
      <c r="P26" s="2989" cm="1">
        <f t="array" ref="P26">INDEX('각층분기별_유효전력최대(전월)'!$F$4:$F$2020,MATCH(1, ('각층분기별_유효전력최대(전월)'!$D$4:$D$2020='7층~4층_매핑테이블'!L26) * ('각층분기별_유효전력최대(전월)'!$E$4:$E$2020='7층~4층_매핑테이블'!M26),0)) + INDEX('각층분기별_유효전력최대(전월)'!$F$4:$F$2020,MATCH(1, ('각층분기별_유효전력최대(전월)'!$D$4:$D$2020='7층~4층_매핑테이블'!N26) * ('각층분기별_유효전력최대(전월)'!$E$4:$E$2020='7층~4층_매핑테이블'!O26),0))</f>
        <v>0</v>
      </c>
      <c r="Q26" s="1" t="str">
        <f t="shared" si="6"/>
        <v>6-DaHall 1-PDU-07-30-126-DaHall 1-PDU-08-30-12</v>
      </c>
      <c r="R26" s="217" t="s">
        <v>9507</v>
      </c>
      <c r="S26" s="217" t="s">
        <v>9508</v>
      </c>
      <c r="T26" t="str">
        <f t="shared" si="7"/>
        <v>6-DaHall 1-PDU-07</v>
      </c>
      <c r="U26" t="str">
        <f t="shared" si="8"/>
        <v>[branch#012] [A] W</v>
      </c>
      <c r="V26" t="str">
        <f t="shared" si="9"/>
        <v>6-DaHall 1-PDU-08</v>
      </c>
      <c r="W26" t="str">
        <f t="shared" si="10"/>
        <v>[branch#012] [A] W</v>
      </c>
      <c r="X26" s="2989" cm="1">
        <f t="array" ref="X26">INDEX('각층분기별_유효전력최대(전월)'!$I$4:$I$2020,MATCH(1, ('각층분기별_유효전력최대(전월)'!$G$4:$G$2020='7층~4층_매핑테이블'!T26) * ('각층분기별_유효전력최대(전월)'!$H$4:$H$2020='7층~4층_매핑테이블'!U26),0)) + INDEX('각층분기별_유효전력최대(전월)'!$I$4:$I$2020,MATCH(1, ('각층분기별_유효전력최대(전월)'!$G$4:$G$2020='7층~4층_매핑테이블'!V26) * ('각층분기별_유효전력최대(전월)'!$H$4:$H$2020='7층~4층_매핑테이블'!W26),0))</f>
        <v>0</v>
      </c>
      <c r="Y26" s="3274" t="str">
        <f t="shared" si="23"/>
        <v>7-DaHall 1-RPP-01-20-257-DaHall 1-RPP-01-30-20</v>
      </c>
      <c r="Z26" s="217" t="s">
        <v>9510</v>
      </c>
      <c r="AA26" s="217" t="s">
        <v>9511</v>
      </c>
      <c r="AB26" s="3274" t="str">
        <f t="shared" ref="AB26:AB28" si="24">IF(MID(Z26,16,2)="0","",MID(Z26,1,15)&amp;MID(Z26,16,2))</f>
        <v>7-DaHall 1-RPP-01</v>
      </c>
      <c r="AC26" t="s">
        <v>9419</v>
      </c>
      <c r="AD26" t="str">
        <f t="shared" si="12"/>
        <v>7-DaHall 1-RPP-01</v>
      </c>
      <c r="AE26" t="s">
        <v>9512</v>
      </c>
      <c r="AF26" s="2989" cm="1">
        <f t="array" ref="AF26">INDEX('각층분기별_유효전력최대(전월)'!$L$4:$L$2020,MATCH(1, ('각층분기별_유효전력최대(전월)'!$J$4:$J$2020='7층~4층_매핑테이블'!AB26) * ('각층분기별_유효전력최대(전월)'!$K$4:$K$2020='7층~4층_매핑테이블'!AC26),0)) + INDEX('각층분기별_유효전력최대(전월)'!$L$4:$L$2020,MATCH(1, ('각층분기별_유효전력최대(전월)'!$J$4:$J$2020='7층~4층_매핑테이블'!AD26) * ('각층분기별_유효전력최대(전월)'!$K$4:$K$2020='7층~4층_매핑테이블'!AE26),0))</f>
        <v>0.66200000000000003</v>
      </c>
    </row>
    <row r="27" spans="1:32" x14ac:dyDescent="0.25">
      <c r="A27" t="str">
        <f>B27&amp;C27</f>
        <v/>
      </c>
      <c r="B27" s="3099"/>
      <c r="C27" s="3098"/>
      <c r="D27" s="2989" t="str">
        <f t="shared" si="19"/>
        <v/>
      </c>
      <c r="E27" s="2989" t="str">
        <f t="shared" si="14"/>
        <v/>
      </c>
      <c r="F27" s="2989" t="str">
        <f t="shared" si="16"/>
        <v/>
      </c>
      <c r="G27" s="2989" t="str">
        <f t="shared" si="17"/>
        <v/>
      </c>
      <c r="H27" s="2989" cm="1">
        <f t="array" ref="H27">INDEX('각층분기별_유효전력최대(전월)'!$C$4:$C$2020,MATCH(1, ('각층분기별_유효전력최대(전월)'!$A$4:$A$2020='7층~4층_매핑테이블'!D27) * ('각층분기별_유효전력최대(전월)'!$B$4:$B$2020='7층~4층_매핑테이블'!E27),0)) + INDEX('각층분기별_유효전력최대(전월)'!$C$4:$C$2020,MATCH(1, ('각층분기별_유효전력최대(전월)'!$A$4:$A$2020='7층~4층_매핑테이블'!F27) * ('각층분기별_유효전력최대(전월)'!$B$4:$B$2020='7층~4층_매핑테이블'!G27),0))</f>
        <v>0</v>
      </c>
      <c r="I27" t="str">
        <f t="shared" si="1"/>
        <v>5-DaHall 1-PDU-15-20-285-DaHall 1-PDU-16-20-28</v>
      </c>
      <c r="J27" s="217" t="s">
        <v>9513</v>
      </c>
      <c r="K27" s="217" t="s">
        <v>9514</v>
      </c>
      <c r="L27" t="str">
        <f t="shared" si="2"/>
        <v>5-DaHall 1-PDU-15</v>
      </c>
      <c r="M27" t="str">
        <f t="shared" si="3"/>
        <v>[branch#028] [A] W</v>
      </c>
      <c r="N27" t="str">
        <f t="shared" si="4"/>
        <v>5-DaHall 1-PDU-16</v>
      </c>
      <c r="O27" t="str">
        <f t="shared" si="5"/>
        <v>[branch#028] [A] W</v>
      </c>
      <c r="P27" s="2989" cm="1">
        <f t="array" ref="P27">INDEX('각층분기별_유효전력최대(전월)'!$F$4:$F$2020,MATCH(1, ('각층분기별_유효전력최대(전월)'!$D$4:$D$2020='7층~4층_매핑테이블'!L27) * ('각층분기별_유효전력최대(전월)'!$E$4:$E$2020='7층~4층_매핑테이블'!M27),0)) + INDEX('각층분기별_유효전력최대(전월)'!$F$4:$F$2020,MATCH(1, ('각층분기별_유효전력최대(전월)'!$D$4:$D$2020='7층~4층_매핑테이블'!N27) * ('각층분기별_유효전력최대(전월)'!$E$4:$E$2020='7층~4층_매핑테이블'!O27),0))</f>
        <v>0.151</v>
      </c>
      <c r="Q27" s="1" t="str">
        <f t="shared" si="6"/>
        <v>6-DaHall 1-PDU-07-30-146-DaHall 1-PDU-08-30-14</v>
      </c>
      <c r="R27" s="217" t="s">
        <v>9515</v>
      </c>
      <c r="S27" s="217" t="s">
        <v>9516</v>
      </c>
      <c r="T27" t="str">
        <f t="shared" si="7"/>
        <v>6-DaHall 1-PDU-07</v>
      </c>
      <c r="U27" t="str">
        <f t="shared" si="8"/>
        <v>[branch#014] [A] W</v>
      </c>
      <c r="V27" t="str">
        <f t="shared" si="9"/>
        <v>6-DaHall 1-PDU-08</v>
      </c>
      <c r="W27" t="str">
        <f t="shared" si="10"/>
        <v>[branch#014] [A] W</v>
      </c>
      <c r="X27" s="2989" cm="1">
        <f t="array" ref="X27">INDEX('각층분기별_유효전력최대(전월)'!$I$4:$I$2020,MATCH(1, ('각층분기별_유효전력최대(전월)'!$G$4:$G$2020='7층~4층_매핑테이블'!T27) * ('각층분기별_유효전력최대(전월)'!$H$4:$H$2020='7층~4층_매핑테이블'!U27),0)) + INDEX('각층분기별_유효전력최대(전월)'!$I$4:$I$2020,MATCH(1, ('각층분기별_유효전력최대(전월)'!$G$4:$G$2020='7층~4층_매핑테이블'!V27) * ('각층분기별_유효전력최대(전월)'!$H$4:$H$2020='7층~4층_매핑테이블'!W27),0))</f>
        <v>0</v>
      </c>
      <c r="Y27" s="3274" t="str">
        <f t="shared" si="23"/>
        <v>7-DaHall 1-B-4-35-467-DaHall 1-A-4-35-42</v>
      </c>
      <c r="Z27" s="217" t="s">
        <v>9517</v>
      </c>
      <c r="AA27" s="217" t="s">
        <v>9518</v>
      </c>
      <c r="AB27" s="3274" t="str">
        <f t="shared" si="24"/>
        <v>7-DaHall 1-B-4-35</v>
      </c>
      <c r="AC27" t="s">
        <v>9401</v>
      </c>
      <c r="AD27" t="str">
        <f t="shared" si="12"/>
        <v>7-DaHall 1-A-4-35</v>
      </c>
      <c r="AE27" t="s">
        <v>9378</v>
      </c>
      <c r="AF27" s="2989" t="e" cm="1">
        <f t="array" ref="AF27">INDEX('각층분기별_유효전력최대(전월)'!$L$4:$L$2020,MATCH(1, ('각층분기별_유효전력최대(전월)'!$J$4:$J$2020='7층~4층_매핑테이블'!AB27) * ('각층분기별_유효전력최대(전월)'!$K$4:$K$2020='7층~4층_매핑테이블'!AC27),0)) + INDEX('각층분기별_유효전력최대(전월)'!$L$4:$L$2020,MATCH(1, ('각층분기별_유효전력최대(전월)'!$J$4:$J$2020='7층~4층_매핑테이블'!AD27) * ('각층분기별_유효전력최대(전월)'!$K$4:$K$2020='7층~4층_매핑테이블'!AE27),0))</f>
        <v>#N/A</v>
      </c>
    </row>
    <row r="28" spans="1:32" x14ac:dyDescent="0.25">
      <c r="A28" t="str">
        <f t="shared" ref="A28:A30" si="25">B28&amp;C28</f>
        <v/>
      </c>
      <c r="B28" s="3099"/>
      <c r="C28" s="3098"/>
      <c r="D28" s="2989" t="str">
        <f t="shared" si="19"/>
        <v/>
      </c>
      <c r="E28" s="2989" t="str">
        <f t="shared" si="14"/>
        <v/>
      </c>
      <c r="F28" s="2989" t="str">
        <f t="shared" si="16"/>
        <v/>
      </c>
      <c r="G28" s="2989" t="str">
        <f t="shared" si="17"/>
        <v/>
      </c>
      <c r="H28" s="2989" cm="1">
        <f t="array" ref="H28">INDEX('각층분기별_유효전력최대(전월)'!$C$4:$C$2020,MATCH(1, ('각층분기별_유효전력최대(전월)'!$A$4:$A$2020='7층~4층_매핑테이블'!D28) * ('각층분기별_유효전력최대(전월)'!$B$4:$B$2020='7층~4층_매핑테이블'!E28),0)) + INDEX('각층분기별_유효전력최대(전월)'!$C$4:$C$2020,MATCH(1, ('각층분기별_유효전력최대(전월)'!$A$4:$A$2020='7층~4층_매핑테이블'!F28) * ('각층분기별_유효전력최대(전월)'!$B$4:$B$2020='7층~4층_매핑테이블'!G28),0))</f>
        <v>0</v>
      </c>
      <c r="I28" t="str">
        <f t="shared" si="1"/>
        <v>5-DaHall 1-PDU-11-20-275-DaHall 1-PDU-12-20-25</v>
      </c>
      <c r="J28" s="217" t="s">
        <v>9519</v>
      </c>
      <c r="K28" s="217" t="s">
        <v>9520</v>
      </c>
      <c r="L28" t="str">
        <f t="shared" si="2"/>
        <v>5-DaHall 1-PDU-11</v>
      </c>
      <c r="M28" t="str">
        <f t="shared" si="3"/>
        <v>[branch#027] [A] W</v>
      </c>
      <c r="N28" t="str">
        <f t="shared" si="4"/>
        <v>5-DaHall 1-PDU-12</v>
      </c>
      <c r="O28" t="str">
        <f t="shared" si="5"/>
        <v>[branch#025] [A] W</v>
      </c>
      <c r="P28" s="2989" cm="1">
        <f t="array" ref="P28">INDEX('각층분기별_유효전력최대(전월)'!$F$4:$F$2020,MATCH(1, ('각층분기별_유효전력최대(전월)'!$D$4:$D$2020='7층~4층_매핑테이블'!L28) * ('각층분기별_유효전력최대(전월)'!$E$4:$E$2020='7층~4층_매핑테이블'!M28),0)) + INDEX('각층분기별_유효전력최대(전월)'!$F$4:$F$2020,MATCH(1, ('각층분기별_유효전력최대(전월)'!$D$4:$D$2020='7층~4층_매핑테이블'!N28) * ('각층분기별_유효전력최대(전월)'!$E$4:$E$2020='7층~4층_매핑테이블'!O28),0))</f>
        <v>1.3740000000000001</v>
      </c>
      <c r="Q28" s="1" t="str">
        <f t="shared" si="6"/>
        <v>6-DaHall 1-PDU-01-30-486-DaHall 1-PDU-02-30-48</v>
      </c>
      <c r="R28" s="217" t="s">
        <v>9522</v>
      </c>
      <c r="S28" s="217" t="s">
        <v>9523</v>
      </c>
      <c r="T28" t="str">
        <f t="shared" si="7"/>
        <v>6-DaHall 1-PDU-01</v>
      </c>
      <c r="U28" t="str">
        <f t="shared" si="8"/>
        <v>[branch#048] [A] W</v>
      </c>
      <c r="V28" t="str">
        <f t="shared" si="9"/>
        <v>6-DaHall 1-PDU-02</v>
      </c>
      <c r="W28" t="str">
        <f t="shared" si="10"/>
        <v>[branch#048] [A] W</v>
      </c>
      <c r="X28" s="2989" cm="1">
        <f t="array" ref="X28">INDEX('각층분기별_유효전력최대(전월)'!$I$4:$I$2020,MATCH(1, ('각층분기별_유효전력최대(전월)'!$G$4:$G$2020='7층~4층_매핑테이블'!T28) * ('각층분기별_유효전력최대(전월)'!$H$4:$H$2020='7층~4층_매핑테이블'!U28),0)) + INDEX('각층분기별_유효전력최대(전월)'!$I$4:$I$2020,MATCH(1, ('각층분기별_유효전력최대(전월)'!$G$4:$G$2020='7층~4층_매핑테이블'!V28) * ('각층분기별_유효전력최대(전월)'!$H$4:$H$2020='7층~4층_매핑테이블'!W28),0))</f>
        <v>0</v>
      </c>
      <c r="Y28" s="3274" t="str">
        <f t="shared" si="23"/>
        <v>7-DaHall 1-A-4-35-437-DaHall 1-B-4-50-47</v>
      </c>
      <c r="Z28" s="217" t="s">
        <v>9525</v>
      </c>
      <c r="AA28" s="217" t="s">
        <v>9526</v>
      </c>
      <c r="AB28" s="3274" t="str">
        <f t="shared" si="24"/>
        <v>7-DaHall 1-A-4-35</v>
      </c>
      <c r="AC28" t="s">
        <v>9527</v>
      </c>
      <c r="AD28" t="str">
        <f t="shared" si="12"/>
        <v>7-DaHall 1-B-4-50</v>
      </c>
      <c r="AE28" t="s">
        <v>9528</v>
      </c>
      <c r="AF28" s="2989" t="e" cm="1">
        <f t="array" ref="AF28">INDEX('각층분기별_유효전력최대(전월)'!$L$4:$L$2020,MATCH(1, ('각층분기별_유효전력최대(전월)'!$J$4:$J$2020='7층~4층_매핑테이블'!AB28) * ('각층분기별_유효전력최대(전월)'!$K$4:$K$2020='7층~4층_매핑테이블'!AC28),0)) + INDEX('각층분기별_유효전력최대(전월)'!$L$4:$L$2020,MATCH(1, ('각층분기별_유효전력최대(전월)'!$J$4:$J$2020='7층~4층_매핑테이블'!AD28) * ('각층분기별_유효전력최대(전월)'!$K$4:$K$2020='7층~4층_매핑테이블'!AE28),0))</f>
        <v>#N/A</v>
      </c>
    </row>
    <row r="29" spans="1:32" x14ac:dyDescent="0.25">
      <c r="A29" t="str">
        <f t="shared" si="25"/>
        <v/>
      </c>
      <c r="B29" s="3099"/>
      <c r="C29" s="3098"/>
      <c r="D29" s="2989" t="str">
        <f t="shared" si="19"/>
        <v/>
      </c>
      <c r="E29" s="2989" t="str">
        <f t="shared" si="14"/>
        <v/>
      </c>
      <c r="F29" s="2989" t="str">
        <f t="shared" si="16"/>
        <v/>
      </c>
      <c r="G29" s="2989" t="str">
        <f t="shared" si="17"/>
        <v/>
      </c>
      <c r="H29" s="2989" cm="1">
        <f t="array" ref="H29">INDEX('각층분기별_유효전력최대(전월)'!$C$4:$C$2020,MATCH(1, ('각층분기별_유효전력최대(전월)'!$A$4:$A$2020='7층~4층_매핑테이블'!D29) * ('각층분기별_유효전력최대(전월)'!$B$4:$B$2020='7층~4층_매핑테이블'!E29),0)) + INDEX('각층분기별_유효전력최대(전월)'!$C$4:$C$2020,MATCH(1, ('각층분기별_유효전력최대(전월)'!$A$4:$A$2020='7층~4층_매핑테이블'!F29) * ('각층분기별_유효전력최대(전월)'!$B$4:$B$2020='7층~4층_매핑테이블'!G29),0))</f>
        <v>0</v>
      </c>
      <c r="I29" t="str">
        <f t="shared" si="1"/>
        <v>5-DaHall 1-PDU-11-20-295-DaHall 1-PDU-12-20-27</v>
      </c>
      <c r="J29" s="217" t="s">
        <v>9529</v>
      </c>
      <c r="K29" s="217" t="s">
        <v>9530</v>
      </c>
      <c r="L29" t="str">
        <f t="shared" si="2"/>
        <v>5-DaHall 1-PDU-11</v>
      </c>
      <c r="M29" t="str">
        <f t="shared" si="3"/>
        <v>[branch#029] [A] W</v>
      </c>
      <c r="N29" t="str">
        <f t="shared" si="4"/>
        <v>5-DaHall 1-PDU-12</v>
      </c>
      <c r="O29" t="str">
        <f t="shared" si="5"/>
        <v>[branch#027] [A] W</v>
      </c>
      <c r="P29" s="2989" cm="1">
        <f t="array" ref="P29">INDEX('각층분기별_유효전력최대(전월)'!$F$4:$F$2020,MATCH(1, ('각층분기별_유효전력최대(전월)'!$D$4:$D$2020='7층~4층_매핑테이블'!L29) * ('각층분기별_유효전력최대(전월)'!$E$4:$E$2020='7층~4층_매핑테이블'!M29),0)) + INDEX('각층분기별_유효전력최대(전월)'!$F$4:$F$2020,MATCH(1, ('각층분기별_유효전력최대(전월)'!$D$4:$D$2020='7층~4층_매핑테이블'!N29) * ('각층분기별_유효전력최대(전월)'!$E$4:$E$2020='7층~4층_매핑테이블'!O29),0))</f>
        <v>0</v>
      </c>
      <c r="Q29" s="1" t="str">
        <f t="shared" si="6"/>
        <v>6-DaHall 1-PDU-05-30-506-DaHall 1-PDU-06-30-50</v>
      </c>
      <c r="R29" s="217" t="s">
        <v>9531</v>
      </c>
      <c r="S29" s="217" t="s">
        <v>9532</v>
      </c>
      <c r="T29" t="str">
        <f t="shared" si="7"/>
        <v>6-DaHall 1-PDU-05</v>
      </c>
      <c r="U29" t="str">
        <f t="shared" si="8"/>
        <v>[branch#050] [A] W</v>
      </c>
      <c r="V29" t="str">
        <f t="shared" si="9"/>
        <v>6-DaHall 1-PDU-06</v>
      </c>
      <c r="W29" t="str">
        <f t="shared" si="10"/>
        <v>[branch#050] [A] W</v>
      </c>
      <c r="X29" s="2989" cm="1">
        <f t="array" ref="X29">INDEX('각층분기별_유효전력최대(전월)'!$I$4:$I$2020,MATCH(1, ('각층분기별_유효전력최대(전월)'!$G$4:$G$2020='7층~4층_매핑테이블'!T29) * ('각층분기별_유효전력최대(전월)'!$H$4:$H$2020='7층~4층_매핑테이블'!U29),0)) + INDEX('각층분기별_유효전력최대(전월)'!$I$4:$I$2020,MATCH(1, ('각층분기별_유효전력최대(전월)'!$G$4:$G$2020='7층~4층_매핑테이블'!V29) * ('각층분기별_유효전력최대(전월)'!$H$4:$H$2020='7층~4층_매핑테이블'!W29),0))</f>
        <v>0</v>
      </c>
      <c r="Y29" s="3274" t="str">
        <f>Z29&amp;AA29</f>
        <v/>
      </c>
      <c r="Z29" s="217"/>
      <c r="AA29" s="217"/>
      <c r="AB29" s="3274" t="str">
        <f>IF(MID(Z29,16,2)="0","",MID(Z29,1,15)&amp;MID(Z29,16,2))</f>
        <v/>
      </c>
      <c r="AD29" t="str">
        <f t="shared" si="12"/>
        <v/>
      </c>
      <c r="AF29" s="2989" cm="1">
        <f t="array" ref="AF29">INDEX('각층분기별_유효전력최대(전월)'!$L$4:$L$2020,MATCH(1, ('각층분기별_유효전력최대(전월)'!$J$4:$J$2020='7층~4층_매핑테이블'!AB29) * ('각층분기별_유효전력최대(전월)'!$K$4:$K$2020='7층~4층_매핑테이블'!AC29),0)) + INDEX('각층분기별_유효전력최대(전월)'!$L$4:$L$2020,MATCH(1, ('각층분기별_유효전력최대(전월)'!$J$4:$J$2020='7층~4층_매핑테이블'!AD29) * ('각층분기별_유효전력최대(전월)'!$K$4:$K$2020='7층~4층_매핑테이블'!AE29),0))</f>
        <v>0</v>
      </c>
    </row>
    <row r="30" spans="1:32" x14ac:dyDescent="0.25">
      <c r="A30" t="str">
        <f t="shared" si="25"/>
        <v/>
      </c>
      <c r="B30" s="3099"/>
      <c r="C30" s="3098"/>
      <c r="D30" s="2989" t="str">
        <f t="shared" si="19"/>
        <v/>
      </c>
      <c r="E30" s="2989" t="str">
        <f t="shared" si="14"/>
        <v/>
      </c>
      <c r="F30" s="2989" t="str">
        <f t="shared" si="16"/>
        <v/>
      </c>
      <c r="G30" s="2989" t="str">
        <f t="shared" si="17"/>
        <v/>
      </c>
      <c r="H30" s="2989" cm="1">
        <f t="array" ref="H30">INDEX('각층분기별_유효전력최대(전월)'!$C$4:$C$2020,MATCH(1, ('각층분기별_유효전력최대(전월)'!$A$4:$A$2020='7층~4층_매핑테이블'!D30) * ('각층분기별_유효전력최대(전월)'!$B$4:$B$2020='7층~4층_매핑테이블'!E30),0)) + INDEX('각층분기별_유효전력최대(전월)'!$C$4:$C$2020,MATCH(1, ('각층분기별_유효전력최대(전월)'!$A$4:$A$2020='7층~4층_매핑테이블'!F30) * ('각층분기별_유효전력최대(전월)'!$B$4:$B$2020='7층~4층_매핑테이블'!G30),0))</f>
        <v>0</v>
      </c>
      <c r="I30" t="str">
        <f t="shared" si="1"/>
        <v>5-DaHall 1-PDU-15-30-75-DaHall 1-PDU-16-30-7</v>
      </c>
      <c r="J30" s="217" t="s">
        <v>9534</v>
      </c>
      <c r="K30" s="217" t="s">
        <v>9535</v>
      </c>
      <c r="L30" t="str">
        <f t="shared" si="2"/>
        <v>5-DaHall 1-PDU-15</v>
      </c>
      <c r="M30" t="str">
        <f t="shared" si="3"/>
        <v>[branch#007] [A] W</v>
      </c>
      <c r="N30" t="str">
        <f t="shared" si="4"/>
        <v>5-DaHall 1-PDU-16</v>
      </c>
      <c r="O30" t="str">
        <f t="shared" si="5"/>
        <v>[branch#007] [A] W</v>
      </c>
      <c r="P30" s="2989" cm="1">
        <f t="array" ref="P30">INDEX('각층분기별_유효전력최대(전월)'!$F$4:$F$2020,MATCH(1, ('각층분기별_유효전력최대(전월)'!$D$4:$D$2020='7층~4층_매핑테이블'!L30) * ('각층분기별_유효전력최대(전월)'!$E$4:$E$2020='7층~4층_매핑테이블'!M30),0)) + INDEX('각층분기별_유효전력최대(전월)'!$F$4:$F$2020,MATCH(1, ('각층분기별_유효전력최대(전월)'!$D$4:$D$2020='7층~4층_매핑테이블'!N30) * ('각층분기별_유효전력최대(전월)'!$E$4:$E$2020='7층~4층_매핑테이블'!O30),0))</f>
        <v>1.649</v>
      </c>
      <c r="Q30" s="1" t="str">
        <f>R30&amp;S30</f>
        <v/>
      </c>
      <c r="R30" s="217"/>
      <c r="S30" s="217"/>
      <c r="T30" t="str">
        <f t="shared" si="7"/>
        <v/>
      </c>
      <c r="U30" t="str">
        <f>IF(IF(LEN((MID(R30,22,2)))=1, "[branch#0"&amp;0&amp;MID(R30,22,2)&amp;"] [A] W", "[branch#0"&amp;MID(R30,22,2)&amp;"] [A] W")="[branch#0] [A] W", "", IF(LEN((MID(R30,22,2)))=1, "[branch#0"&amp;0&amp;MID(R30,22,2)&amp;"] [A] W", "[branch#0"&amp;MID(R30,22,2)&amp;"] [A] W"))</f>
        <v/>
      </c>
      <c r="V30" t="str">
        <f>IF(MID(S30,16,2)="0","",MID(S30,1,15)&amp;MID(S30,16,2))</f>
        <v/>
      </c>
      <c r="W30" t="str">
        <f>IF(IF(LEN((MID(S30,22,2)))=1, "[branch#0"&amp;0&amp;MID(S30,22,2)&amp;"] [A] W", "[branch#0"&amp;MID(S30,22,2)&amp;"] [A] W")="[branch#0] [A] W", "", IF(LEN((MID(S30,22,2)))=1, "[branch#0"&amp;0&amp;MID(S30,22,2)&amp;"] [A] W", "[branch#0"&amp;MID(S30,22,2)&amp;"] [A] W"))</f>
        <v/>
      </c>
      <c r="X30" s="2989" cm="1">
        <f t="array" ref="X30">INDEX('각층분기별_유효전력최대(전월)'!$I$4:$I$2020,MATCH(1, ('각층분기별_유효전력최대(전월)'!$G$4:$G$2020='7층~4층_매핑테이블'!T30) * ('각층분기별_유효전력최대(전월)'!$H$4:$H$2020='7층~4층_매핑테이블'!U30),0)) + INDEX('각층분기별_유효전력최대(전월)'!$I$4:$I$2020,MATCH(1, ('각층분기별_유효전력최대(전월)'!$G$4:$G$2020='7층~4층_매핑테이블'!V30) * ('각층분기별_유효전력최대(전월)'!$H$4:$H$2020='7층~4층_매핑테이블'!W30),0))</f>
        <v>0</v>
      </c>
      <c r="Y30" s="3274" t="str">
        <f>Z30&amp;AA30</f>
        <v>7-DaHall 1-A-4-35-447-DaHall 1-B-4-35-48</v>
      </c>
      <c r="Z30" s="217" t="s">
        <v>9536</v>
      </c>
      <c r="AA30" s="217" t="s">
        <v>9537</v>
      </c>
      <c r="AB30" s="3274" t="str">
        <f>IF(MID(Z30,16,2)="0","",MID(Z30,1,15)&amp;MID(Z30,16,2))</f>
        <v>7-DaHall 1-A-4-35</v>
      </c>
      <c r="AC30" t="s">
        <v>9389</v>
      </c>
      <c r="AD30" t="str">
        <f t="shared" si="12"/>
        <v>7-DaHall 1-B-4-35</v>
      </c>
      <c r="AE30" t="s">
        <v>9524</v>
      </c>
      <c r="AF30" s="2989" t="e" cm="1">
        <f t="array" ref="AF30">INDEX('각층분기별_유효전력최대(전월)'!$L$4:$L$2020,MATCH(1, ('각층분기별_유효전력최대(전월)'!$J$4:$J$2020='7층~4층_매핑테이블'!AB30) * ('각층분기별_유효전력최대(전월)'!$K$4:$K$2020='7층~4층_매핑테이블'!AC30),0)) + INDEX('각층분기별_유효전력최대(전월)'!$L$4:$L$2020,MATCH(1, ('각층분기별_유효전력최대(전월)'!$J$4:$J$2020='7층~4층_매핑테이블'!AD30) * ('각층분기별_유효전력최대(전월)'!$K$4:$K$2020='7층~4층_매핑테이블'!AE30),0))</f>
        <v>#N/A</v>
      </c>
    </row>
    <row r="31" spans="1:32" x14ac:dyDescent="0.25">
      <c r="A31" t="str">
        <f>B31&amp;C31</f>
        <v>4-DaHall 1-PDU-08-100-84-DaHall 1-PDU-07-100-8</v>
      </c>
      <c r="B31" s="3099" t="s">
        <v>9538</v>
      </c>
      <c r="C31" s="3098" t="s">
        <v>9539</v>
      </c>
      <c r="D31" s="2989" t="str">
        <f>IF(MID(B31,16,2)="0","",MID(B31,1,15)&amp;MID(B31,16,2))</f>
        <v>4-DaHall 1-PDU-08</v>
      </c>
      <c r="E31" s="2989" t="str">
        <f t="shared" si="14"/>
        <v>[branch#008] [A] W</v>
      </c>
      <c r="F31" s="2989" t="str">
        <f t="shared" si="16"/>
        <v>4-DaHall 1-PDU-07</v>
      </c>
      <c r="G31" s="2989" t="str">
        <f t="shared" si="17"/>
        <v>[branch#008] [A] W</v>
      </c>
      <c r="H31" s="2989" cm="1">
        <f t="array" ref="H31">INDEX('각층분기별_유효전력최대(전월)'!$C$4:$C$2020,MATCH(1, ('각층분기별_유효전력최대(전월)'!$A$4:$A$2020='7층~4층_매핑테이블'!D31) * ('각층분기별_유효전력최대(전월)'!$B$4:$B$2020='7층~4층_매핑테이블'!E31),0)) + INDEX('각층분기별_유효전력최대(전월)'!$C$4:$C$2020,MATCH(1, ('각층분기별_유효전력최대(전월)'!$A$4:$A$2020='7층~4층_매핑테이블'!F31) * ('각층분기별_유효전력최대(전월)'!$B$4:$B$2020='7층~4층_매핑테이블'!G31),0))</f>
        <v>14.798999999999999</v>
      </c>
      <c r="I31" t="str">
        <f t="shared" si="1"/>
        <v>5-DaHall 1-PDU-15-30-95-DaHall 1-PDU-16-30-9</v>
      </c>
      <c r="J31" s="217" t="s">
        <v>9540</v>
      </c>
      <c r="K31" s="217" t="s">
        <v>9541</v>
      </c>
      <c r="L31" t="str">
        <f t="shared" si="2"/>
        <v>5-DaHall 1-PDU-15</v>
      </c>
      <c r="M31" t="str">
        <f t="shared" si="3"/>
        <v>[branch#009] [A] W</v>
      </c>
      <c r="N31" t="str">
        <f t="shared" si="4"/>
        <v>5-DaHall 1-PDU-16</v>
      </c>
      <c r="O31" t="str">
        <f t="shared" si="5"/>
        <v>[branch#009] [A] W</v>
      </c>
      <c r="P31" s="2989" cm="1">
        <f t="array" ref="P31">INDEX('각층분기별_유효전력최대(전월)'!$F$4:$F$2020,MATCH(1, ('각층분기별_유효전력최대(전월)'!$D$4:$D$2020='7층~4층_매핑테이블'!L31) * ('각층분기별_유효전력최대(전월)'!$E$4:$E$2020='7층~4층_매핑테이블'!M31),0)) + INDEX('각층분기별_유효전력최대(전월)'!$F$4:$F$2020,MATCH(1, ('각층분기별_유효전력최대(전월)'!$D$4:$D$2020='7층~4층_매핑테이블'!N31) * ('각층분기별_유효전력최대(전월)'!$E$4:$E$2020='7층~4층_매핑테이블'!O31),0))</f>
        <v>0.60399999999999998</v>
      </c>
      <c r="Q31" s="1" t="str">
        <f t="shared" si="6"/>
        <v/>
      </c>
      <c r="R31" s="217"/>
      <c r="S31" s="217"/>
      <c r="T31" t="str">
        <f t="shared" si="7"/>
        <v/>
      </c>
      <c r="U31" t="str">
        <f t="shared" si="8"/>
        <v/>
      </c>
      <c r="V31" t="str">
        <f t="shared" si="9"/>
        <v/>
      </c>
      <c r="W31" t="str">
        <f t="shared" si="10"/>
        <v/>
      </c>
      <c r="X31" s="2989" cm="1">
        <f t="array" ref="X31">INDEX('각층분기별_유효전력최대(전월)'!$I$4:$I$2020,MATCH(1, ('각층분기별_유효전력최대(전월)'!$G$4:$G$2020='7층~4층_매핑테이블'!T31) * ('각층분기별_유효전력최대(전월)'!$H$4:$H$2020='7층~4층_매핑테이블'!U31),0)) + INDEX('각층분기별_유효전력최대(전월)'!$I$4:$I$2020,MATCH(1, ('각층분기별_유효전력최대(전월)'!$G$4:$G$2020='7층~4층_매핑테이블'!V31) * ('각층분기별_유효전력최대(전월)'!$H$4:$H$2020='7층~4층_매핑테이블'!W31),0))</f>
        <v>0</v>
      </c>
      <c r="Y31" s="3274" t="str">
        <f t="shared" ref="Y31:Y46" si="26">Z31&amp;AA31</f>
        <v>7-DaHall 1-PDU-02-30-8</v>
      </c>
      <c r="Z31" s="217"/>
      <c r="AA31" s="217" t="s">
        <v>9542</v>
      </c>
      <c r="AB31" s="3274" t="str">
        <f>IF(MID(Z31,16,2)="0","",MID(Z31,1,15)&amp;MID(Z31,16,2))</f>
        <v/>
      </c>
      <c r="AD31" t="str">
        <f t="shared" si="12"/>
        <v>7-DaHall 1-PDU-02</v>
      </c>
      <c r="AE31" t="s">
        <v>9492</v>
      </c>
      <c r="AF31" s="2989" cm="1">
        <f t="array" ref="AF31">INDEX('각층분기별_유효전력최대(전월)'!$L$4:$L$2020,MATCH(1, ('각층분기별_유효전력최대(전월)'!$J$4:$J$2020='7층~4층_매핑테이블'!AB31) * ('각층분기별_유효전력최대(전월)'!$K$4:$K$2020='7층~4층_매핑테이블'!AC31),0)) + INDEX('각층분기별_유효전력최대(전월)'!$L$4:$L$2020,MATCH(1, ('각층분기별_유효전력최대(전월)'!$J$4:$J$2020='7층~4층_매핑테이블'!AD31) * ('각층분기별_유효전력최대(전월)'!$K$4:$K$2020='7층~4층_매핑테이블'!AE31),0))</f>
        <v>0</v>
      </c>
    </row>
    <row r="32" spans="1:32" x14ac:dyDescent="0.25">
      <c r="A32" t="str">
        <f>B32&amp;C32</f>
        <v/>
      </c>
      <c r="B32" s="3099"/>
      <c r="C32" s="3098"/>
      <c r="D32" s="2989" t="str">
        <f>IF(MID(B32,16,2)="0","",MID(B32,1,15)&amp;MID(B32,16,2))</f>
        <v/>
      </c>
      <c r="E32" s="2989" t="str">
        <f t="shared" si="14"/>
        <v/>
      </c>
      <c r="F32" s="2989" t="str">
        <f t="shared" si="16"/>
        <v/>
      </c>
      <c r="G32" s="2989" t="str">
        <f t="shared" si="17"/>
        <v/>
      </c>
      <c r="H32" s="2989" cm="1">
        <f t="array" ref="H32">INDEX('각층분기별_유효전력최대(전월)'!$C$4:$C$2020,MATCH(1, ('각층분기별_유효전력최대(전월)'!$A$4:$A$2020='7층~4층_매핑테이블'!D32) * ('각층분기별_유효전력최대(전월)'!$B$4:$B$2020='7층~4층_매핑테이블'!E32),0)) + INDEX('각층분기별_유효전력최대(전월)'!$C$4:$C$2020,MATCH(1, ('각층분기별_유효전력최대(전월)'!$A$4:$A$2020='7층~4층_매핑테이블'!F32) * ('각층분기별_유효전력최대(전월)'!$B$4:$B$2020='7층~4층_매핑테이블'!G32),0))</f>
        <v>0</v>
      </c>
      <c r="I32" t="str">
        <f t="shared" si="1"/>
        <v>5-DaHall 1-PDU-13-30-35-DaHall 1-PDU-12-20-32</v>
      </c>
      <c r="J32" s="217" t="s">
        <v>9543</v>
      </c>
      <c r="K32" s="217" t="s">
        <v>9544</v>
      </c>
      <c r="L32" t="str">
        <f t="shared" si="2"/>
        <v>5-DaHall 1-PDU-13</v>
      </c>
      <c r="M32" t="str">
        <f t="shared" si="3"/>
        <v>[branch#003] [A] W</v>
      </c>
      <c r="N32" t="str">
        <f t="shared" si="4"/>
        <v>5-DaHall 1-PDU-12</v>
      </c>
      <c r="O32" t="str">
        <f t="shared" si="5"/>
        <v>[branch#032] [A] W</v>
      </c>
      <c r="P32" s="2989" cm="1">
        <f t="array" ref="P32">INDEX('각층분기별_유효전력최대(전월)'!$F$4:$F$2020,MATCH(1, ('각층분기별_유효전력최대(전월)'!$D$4:$D$2020='7층~4층_매핑테이블'!L32) * ('각층분기별_유효전력최대(전월)'!$E$4:$E$2020='7층~4층_매핑테이블'!M32),0)) + INDEX('각층분기별_유효전력최대(전월)'!$F$4:$F$2020,MATCH(1, ('각층분기별_유효전력최대(전월)'!$D$4:$D$2020='7층~4층_매핑테이블'!N32) * ('각층분기별_유효전력최대(전월)'!$E$4:$E$2020='7층~4층_매핑테이블'!O32),0))</f>
        <v>2.0510000000000002</v>
      </c>
      <c r="Q32" s="1" t="str">
        <f>R32&amp;S32</f>
        <v>6-DaHall 1-PDU-07-30-226-DaHall 1-PDU-08-30-22</v>
      </c>
      <c r="R32" s="217" t="s">
        <v>9545</v>
      </c>
      <c r="S32" s="217" t="s">
        <v>9546</v>
      </c>
      <c r="T32" t="str">
        <f t="shared" si="7"/>
        <v>6-DaHall 1-PDU-07</v>
      </c>
      <c r="U32" t="str">
        <f>IF(IF(LEN((MID(R32,22,2)))=1, "[branch#0"&amp;0&amp;MID(R32,22,2)&amp;"] [A] W", "[branch#0"&amp;MID(R32,22,2)&amp;"] [A] W")="[branch#0] [A] W", "", IF(LEN((MID(R32,22,2)))=1, "[branch#0"&amp;0&amp;MID(R32,22,2)&amp;"] [A] W", "[branch#0"&amp;MID(R32,22,2)&amp;"] [A] W"))</f>
        <v>[branch#022] [A] W</v>
      </c>
      <c r="V32" t="str">
        <f>IF(MID(S32,16,2)="0","",MID(S32,1,15)&amp;MID(S32,16,2))</f>
        <v>6-DaHall 1-PDU-08</v>
      </c>
      <c r="W32" t="str">
        <f>IF(IF(LEN((MID(S32,22,2)))=1, "[branch#0"&amp;0&amp;MID(S32,22,2)&amp;"] [A] W", "[branch#0"&amp;MID(S32,22,2)&amp;"] [A] W")="[branch#0] [A] W", "", IF(LEN((MID(S32,22,2)))=1, "[branch#0"&amp;0&amp;MID(S32,22,2)&amp;"] [A] W", "[branch#0"&amp;MID(S32,22,2)&amp;"] [A] W"))</f>
        <v>[branch#022] [A] W</v>
      </c>
      <c r="X32" s="2989" cm="1">
        <f t="array" ref="X32">INDEX('각층분기별_유효전력최대(전월)'!$I$4:$I$2020,MATCH(1, ('각층분기별_유효전력최대(전월)'!$G$4:$G$2020='7층~4층_매핑테이블'!T32) * ('각층분기별_유효전력최대(전월)'!$H$4:$H$2020='7층~4층_매핑테이블'!U32),0)) + INDEX('각층분기별_유효전력최대(전월)'!$I$4:$I$2020,MATCH(1, ('각층분기별_유효전력최대(전월)'!$G$4:$G$2020='7층~4층_매핑테이블'!V32) * ('각층분기별_유효전력최대(전월)'!$H$4:$H$2020='7층~4층_매핑테이블'!W32),0))</f>
        <v>0</v>
      </c>
      <c r="Y32" s="3274" t="str">
        <f t="shared" si="26"/>
        <v>7-DaHall 1-A-4-35-507-DaHall 1-B-4-35-50</v>
      </c>
      <c r="Z32" s="217" t="s">
        <v>9548</v>
      </c>
      <c r="AA32" s="217" t="s">
        <v>9549</v>
      </c>
      <c r="AB32" s="3274" t="str">
        <f>IF(MID(Z32,16,2)="0","",MID(Z32,1,15)&amp;MID(Z32,16,2))</f>
        <v>7-DaHall 1-A-4-35</v>
      </c>
      <c r="AC32" t="s">
        <v>9533</v>
      </c>
      <c r="AD32" t="str">
        <f t="shared" si="12"/>
        <v>7-DaHall 1-B-4-35</v>
      </c>
      <c r="AE32" t="s">
        <v>9533</v>
      </c>
      <c r="AF32" s="2989" t="e" cm="1">
        <f t="array" ref="AF32">INDEX('각층분기별_유효전력최대(전월)'!$L$4:$L$2020,MATCH(1, ('각층분기별_유효전력최대(전월)'!$J$4:$J$2020='7층~4층_매핑테이블'!AB32) * ('각층분기별_유효전력최대(전월)'!$K$4:$K$2020='7층~4층_매핑테이블'!AC32),0)) + INDEX('각층분기별_유효전력최대(전월)'!$L$4:$L$2020,MATCH(1, ('각층분기별_유효전력최대(전월)'!$J$4:$J$2020='7층~4층_매핑테이블'!AD32) * ('각층분기별_유효전력최대(전월)'!$K$4:$K$2020='7층~4층_매핑테이블'!AE32),0))</f>
        <v>#N/A</v>
      </c>
    </row>
    <row r="33" spans="1:32" x14ac:dyDescent="0.25">
      <c r="A33" t="str">
        <f t="shared" ref="A33:A36" si="27">B33&amp;C33</f>
        <v/>
      </c>
      <c r="B33" s="3099"/>
      <c r="C33" s="3098"/>
      <c r="D33" s="2989" t="str">
        <f>IF(MID(B33,16,2)="0","",MID(B33,1,15)&amp;MID(B33,16,2))</f>
        <v/>
      </c>
      <c r="E33" s="2989" t="str">
        <f t="shared" si="14"/>
        <v/>
      </c>
      <c r="F33" s="2989" t="str">
        <f t="shared" si="16"/>
        <v/>
      </c>
      <c r="G33" s="2989" t="str">
        <f t="shared" si="17"/>
        <v/>
      </c>
      <c r="H33" s="2989" cm="1">
        <f t="array" ref="H33">INDEX('각층분기별_유효전력최대(전월)'!$C$4:$C$2020,MATCH(1, ('각층분기별_유효전력최대(전월)'!$A$4:$A$2020='7층~4층_매핑테이블'!D33) * ('각층분기별_유효전력최대(전월)'!$B$4:$B$2020='7층~4층_매핑테이블'!E33),0)) + INDEX('각층분기별_유효전력최대(전월)'!$C$4:$C$2020,MATCH(1, ('각층분기별_유효전력최대(전월)'!$A$4:$A$2020='7층~4층_매핑테이블'!F33) * ('각층분기별_유효전력최대(전월)'!$B$4:$B$2020='7층~4층_매핑테이블'!G33),0))</f>
        <v>0</v>
      </c>
      <c r="I33" t="str">
        <f t="shared" si="1"/>
        <v>5-DaHall 1-PDU-13-30-55-DaHall 1-PDU-14-30-3</v>
      </c>
      <c r="J33" s="217" t="s">
        <v>9550</v>
      </c>
      <c r="K33" s="217" t="s">
        <v>9551</v>
      </c>
      <c r="L33" t="str">
        <f t="shared" si="2"/>
        <v>5-DaHall 1-PDU-13</v>
      </c>
      <c r="M33" t="str">
        <f t="shared" si="3"/>
        <v>[branch#005] [A] W</v>
      </c>
      <c r="N33" t="str">
        <f t="shared" si="4"/>
        <v>5-DaHall 1-PDU-14</v>
      </c>
      <c r="O33" t="str">
        <f t="shared" si="5"/>
        <v>[branch#003] [A] W</v>
      </c>
      <c r="P33" s="2989" cm="1">
        <f t="array" ref="P33">INDEX('각층분기별_유효전력최대(전월)'!$F$4:$F$2020,MATCH(1, ('각층분기별_유효전력최대(전월)'!$D$4:$D$2020='7층~4층_매핑테이블'!L33) * ('각층분기별_유효전력최대(전월)'!$E$4:$E$2020='7층~4층_매핑테이블'!M33),0)) + INDEX('각층분기별_유효전력최대(전월)'!$F$4:$F$2020,MATCH(1, ('각층분기별_유효전력최대(전월)'!$D$4:$D$2020='7층~4층_매핑테이블'!N33) * ('각층분기별_유효전력최대(전월)'!$E$4:$E$2020='7층~4층_매핑테이블'!O33),0))</f>
        <v>1.9369999999999998</v>
      </c>
      <c r="Q33" s="1" t="str">
        <f t="shared" si="6"/>
        <v>6-DaHall 1-PDU-07-30-246-DaHall 1-PDU-08-30-24</v>
      </c>
      <c r="R33" s="217" t="s">
        <v>9552</v>
      </c>
      <c r="S33" s="217" t="s">
        <v>9553</v>
      </c>
      <c r="T33" t="str">
        <f t="shared" si="7"/>
        <v>6-DaHall 1-PDU-07</v>
      </c>
      <c r="U33" t="str">
        <f t="shared" si="8"/>
        <v>[branch#024] [A] W</v>
      </c>
      <c r="V33" t="str">
        <f t="shared" si="9"/>
        <v>6-DaHall 1-PDU-08</v>
      </c>
      <c r="W33" t="str">
        <f t="shared" si="10"/>
        <v>[branch#024] [A] W</v>
      </c>
      <c r="X33" s="2989" cm="1">
        <f t="array" ref="X33">INDEX('각층분기별_유효전력최대(전월)'!$I$4:$I$2020,MATCH(1, ('각층분기별_유효전력최대(전월)'!$G$4:$G$2020='7층~4층_매핑테이블'!T33) * ('각층분기별_유효전력최대(전월)'!$H$4:$H$2020='7층~4층_매핑테이블'!U33),0)) + INDEX('각층분기별_유효전력최대(전월)'!$I$4:$I$2020,MATCH(1, ('각층분기별_유효전력최대(전월)'!$G$4:$G$2020='7층~4층_매핑테이블'!V33) * ('각층분기별_유효전력최대(전월)'!$H$4:$H$2020='7층~4층_매핑테이블'!W33),0))</f>
        <v>0</v>
      </c>
      <c r="Y33" s="3274" t="str">
        <f t="shared" si="26"/>
        <v>7-DaHall 1-A-4-50-467-DaHall 1-B-4-50-49</v>
      </c>
      <c r="Z33" s="217" t="s">
        <v>9555</v>
      </c>
      <c r="AA33" s="217" t="s">
        <v>9556</v>
      </c>
      <c r="AB33" s="3274" t="str">
        <f>IF(MID(Z33,16,2)="0","",MID(Z33,1,15)&amp;MID(Z33,16,2))</f>
        <v>7-DaHall 1-A-4-50</v>
      </c>
      <c r="AC33" t="s">
        <v>9401</v>
      </c>
      <c r="AD33" t="str">
        <f t="shared" si="12"/>
        <v>7-DaHall 1-B-4-50</v>
      </c>
      <c r="AE33" t="s">
        <v>9456</v>
      </c>
      <c r="AF33" s="2989" t="e" cm="1">
        <f t="array" ref="AF33">INDEX('각층분기별_유효전력최대(전월)'!$L$4:$L$2020,MATCH(1, ('각층분기별_유효전력최대(전월)'!$J$4:$J$2020='7층~4층_매핑테이블'!AB33) * ('각층분기별_유효전력최대(전월)'!$K$4:$K$2020='7층~4층_매핑테이블'!AC33),0)) + INDEX('각층분기별_유효전력최대(전월)'!$L$4:$L$2020,MATCH(1, ('각층분기별_유효전력최대(전월)'!$J$4:$J$2020='7층~4층_매핑테이블'!AD33) * ('각층분기별_유효전력최대(전월)'!$K$4:$K$2020='7층~4층_매핑테이블'!AE33),0))</f>
        <v>#N/A</v>
      </c>
    </row>
    <row r="34" spans="1:32" x14ac:dyDescent="0.25">
      <c r="A34" t="str">
        <f t="shared" si="27"/>
        <v/>
      </c>
      <c r="B34" s="3099"/>
      <c r="C34" s="3098"/>
      <c r="D34" s="2989" t="str">
        <f t="shared" ref="D34:D36" si="28">IF(MID(B34,16,2)="0","",MID(B34,1,15)&amp;MID(B34,16,2))</f>
        <v/>
      </c>
      <c r="E34" s="2989" t="str">
        <f t="shared" si="14"/>
        <v/>
      </c>
      <c r="F34" s="2989" t="str">
        <f t="shared" si="16"/>
        <v/>
      </c>
      <c r="G34" s="2989" t="str">
        <f t="shared" si="17"/>
        <v/>
      </c>
      <c r="H34" s="2989" cm="1">
        <f t="array" ref="H34">INDEX('각층분기별_유효전력최대(전월)'!$C$4:$C$2020,MATCH(1, ('각층분기별_유효전력최대(전월)'!$A$4:$A$2020='7층~4층_매핑테이블'!D34) * ('각층분기별_유효전력최대(전월)'!$B$4:$B$2020='7층~4층_매핑테이블'!E34),0)) + INDEX('각층분기별_유효전력최대(전월)'!$C$4:$C$2020,MATCH(1, ('각층분기별_유효전력최대(전월)'!$A$4:$A$2020='7층~4층_매핑테이블'!F34) * ('각층분기별_유효전력최대(전월)'!$B$4:$B$2020='7층~4층_매핑테이블'!G34),0))</f>
        <v>0</v>
      </c>
      <c r="I34" t="str">
        <f>J34&amp;K34</f>
        <v/>
      </c>
      <c r="J34" s="217"/>
      <c r="K34" s="217"/>
      <c r="L34" t="str">
        <f t="shared" si="2"/>
        <v/>
      </c>
      <c r="M34" t="str">
        <f>IF(IF(LEN((MID(J34,22,2)))=1, "[branch#0"&amp;0&amp;MID(J34,22,2)&amp;"] [A] W", "[branch#0"&amp;MID(J34,22,2)&amp;"] [A] W")="[branch#0] [A] W", "", IF(LEN((MID(J34,22,2)))=1, "[branch#0"&amp;0&amp;MID(J34,22,2)&amp;"] [A] W", "[branch#0"&amp;MID(J34,22,2)&amp;"] [A] W"))</f>
        <v/>
      </c>
      <c r="N34" t="str">
        <f>IF(MID(K34,16,2)="0","",MID(K34,1,15)&amp;MID(K34,16,2))</f>
        <v/>
      </c>
      <c r="O34" t="str">
        <f>IF(IF(LEN((MID(K34,22,2)))=1, "[branch#0"&amp;0&amp;MID(K34,22,2)&amp;"] [A] W", "[branch#0"&amp;MID(K34,22,2)&amp;"] [A] W")="[branch#0] [A] W", "", IF(LEN((MID(K34,22,2)))=1, "[branch#0"&amp;0&amp;MID(K34,22,2)&amp;"] [A] W", "[branch#0"&amp;MID(K34,22,2)&amp;"] [A] W"))</f>
        <v/>
      </c>
      <c r="P34" s="2989" cm="1">
        <f t="array" ref="P34">INDEX('각층분기별_유효전력최대(전월)'!$F$4:$F$2020,MATCH(1, ('각층분기별_유효전력최대(전월)'!$D$4:$D$2020='7층~4층_매핑테이블'!L34) * ('각층분기별_유효전력최대(전월)'!$E$4:$E$2020='7층~4층_매핑테이블'!M34),0)) + INDEX('각층분기별_유효전력최대(전월)'!$F$4:$F$2020,MATCH(1, ('각층분기별_유효전력최대(전월)'!$D$4:$D$2020='7층~4층_매핑테이블'!N34) * ('각층분기별_유효전력최대(전월)'!$E$4:$E$2020='7층~4층_매핑테이블'!O34),0))</f>
        <v>0</v>
      </c>
      <c r="Q34" s="1" t="str">
        <f t="shared" si="6"/>
        <v>6-DaHall 1-PDU-07-30-266-DaHall 1-PDU-08-30-26</v>
      </c>
      <c r="R34" s="217" t="s">
        <v>9557</v>
      </c>
      <c r="S34" s="217" t="s">
        <v>9558</v>
      </c>
      <c r="T34" t="str">
        <f t="shared" si="7"/>
        <v>6-DaHall 1-PDU-07</v>
      </c>
      <c r="U34" t="str">
        <f t="shared" si="8"/>
        <v>[branch#026] [A] W</v>
      </c>
      <c r="V34" t="str">
        <f t="shared" si="9"/>
        <v>6-DaHall 1-PDU-08</v>
      </c>
      <c r="W34" t="str">
        <f t="shared" si="10"/>
        <v>[branch#026] [A] W</v>
      </c>
      <c r="X34" s="2989" cm="1">
        <f t="array" ref="X34">INDEX('각층분기별_유효전력최대(전월)'!$I$4:$I$2020,MATCH(1, ('각층분기별_유효전력최대(전월)'!$G$4:$G$2020='7층~4층_매핑테이블'!T34) * ('각층분기별_유효전력최대(전월)'!$H$4:$H$2020='7층~4층_매핑테이블'!U34),0)) + INDEX('각층분기별_유효전력최대(전월)'!$I$4:$I$2020,MATCH(1, ('각층분기별_유효전력최대(전월)'!$G$4:$G$2020='7층~4층_매핑테이블'!V34) * ('각층분기별_유효전력최대(전월)'!$H$4:$H$2020='7층~4층_매핑테이블'!W34),0))</f>
        <v>0</v>
      </c>
      <c r="Y34" s="3274" t="str">
        <f t="shared" si="26"/>
        <v>7-DaHall 1-A-4-35-547-DaHall 1-B-4-35-54</v>
      </c>
      <c r="Z34" s="217" t="s">
        <v>9559</v>
      </c>
      <c r="AA34" s="217" t="s">
        <v>9560</v>
      </c>
      <c r="AB34" s="3274" t="str">
        <f t="shared" ref="AB34:AB39" si="29">IF(MID(Z34,16,2)="0","",MID(Z34,1,15)&amp;MID(Z34,16,2))</f>
        <v>7-DaHall 1-A-4-35</v>
      </c>
      <c r="AC34" t="s">
        <v>9433</v>
      </c>
      <c r="AD34" t="str">
        <f t="shared" si="12"/>
        <v>7-DaHall 1-B-4-35</v>
      </c>
      <c r="AE34" t="s">
        <v>9433</v>
      </c>
      <c r="AF34" s="2989" t="e" cm="1">
        <f t="array" ref="AF34">INDEX('각층분기별_유효전력최대(전월)'!$L$4:$L$2020,MATCH(1, ('각층분기별_유효전력최대(전월)'!$J$4:$J$2020='7층~4층_매핑테이블'!AB34) * ('각층분기별_유효전력최대(전월)'!$K$4:$K$2020='7층~4층_매핑테이블'!AC34),0)) + INDEX('각층분기별_유효전력최대(전월)'!$L$4:$L$2020,MATCH(1, ('각층분기별_유효전력최대(전월)'!$J$4:$J$2020='7층~4층_매핑테이블'!AD34) * ('각층분기별_유효전력최대(전월)'!$K$4:$K$2020='7층~4층_매핑테이블'!AE34),0))</f>
        <v>#N/A</v>
      </c>
    </row>
    <row r="35" spans="1:32" x14ac:dyDescent="0.25">
      <c r="A35" t="str">
        <f t="shared" si="27"/>
        <v/>
      </c>
      <c r="B35" s="3099"/>
      <c r="C35" s="3098"/>
      <c r="D35" s="2989" t="str">
        <f t="shared" si="28"/>
        <v/>
      </c>
      <c r="E35" s="2989" t="str">
        <f t="shared" si="14"/>
        <v/>
      </c>
      <c r="F35" s="2989" t="str">
        <f t="shared" si="16"/>
        <v/>
      </c>
      <c r="G35" s="2989" t="str">
        <f t="shared" si="17"/>
        <v/>
      </c>
      <c r="H35" s="2989" cm="1">
        <f t="array" ref="H35">INDEX('각층분기별_유효전력최대(전월)'!$C$4:$C$2020,MATCH(1, ('각층분기별_유효전력최대(전월)'!$A$4:$A$2020='7층~4층_매핑테이블'!D35) * ('각층분기별_유효전력최대(전월)'!$B$4:$B$2020='7층~4층_매핑테이블'!E35),0)) + INDEX('각층분기별_유효전력최대(전월)'!$C$4:$C$2020,MATCH(1, ('각층분기별_유효전력최대(전월)'!$A$4:$A$2020='7층~4층_매핑테이블'!F35) * ('각층분기별_유효전력최대(전월)'!$B$4:$B$2020='7층~4층_매핑테이블'!G35),0))</f>
        <v>0</v>
      </c>
      <c r="I35" t="str">
        <f t="shared" ref="I35:I98" si="30">J35&amp;K35</f>
        <v>5-DaHall 1-PDU-11-30-65-DaHall 1-PDU-12-30-4</v>
      </c>
      <c r="J35" s="217" t="s">
        <v>9561</v>
      </c>
      <c r="K35" s="217" t="s">
        <v>9562</v>
      </c>
      <c r="L35" t="str">
        <f t="shared" si="2"/>
        <v>5-DaHall 1-PDU-11</v>
      </c>
      <c r="M35" t="str">
        <f t="shared" ref="M35:M98" si="31">IF(IF(LEN((MID(J35,22,2)))=1, "[branch#0"&amp;0&amp;MID(J35,22,2)&amp;"] [A] W", "[branch#0"&amp;MID(J35,22,2)&amp;"] [A] W")="[branch#0] [A] W", "", IF(LEN((MID(J35,22,2)))=1, "[branch#0"&amp;0&amp;MID(J35,22,2)&amp;"] [A] W", "[branch#0"&amp;MID(J35,22,2)&amp;"] [A] W"))</f>
        <v>[branch#006] [A] W</v>
      </c>
      <c r="N35" t="str">
        <f>IF(MID(K35,16,2)="0","",MID(K35,1,15)&amp;MID(K35,16,2))</f>
        <v>5-DaHall 1-PDU-12</v>
      </c>
      <c r="O35" t="str">
        <f>IF(IF(LEN((MID(K35,22,2)))=1, "[branch#0"&amp;0&amp;MID(K35,22,2)&amp;"] [A] W", "[branch#0"&amp;MID(K35,22,2)&amp;"] [A] W")="[branch#0] [A] W", "", IF(LEN((MID(K35,22,2)))=1, "[branch#0"&amp;0&amp;MID(K35,22,2)&amp;"] [A] W", "[branch#0"&amp;MID(K35,22,2)&amp;"] [A] W"))</f>
        <v>[branch#004] [A] W</v>
      </c>
      <c r="P35" s="2989" cm="1">
        <f t="array" ref="P35">INDEX('각층분기별_유효전력최대(전월)'!$F$4:$F$2020,MATCH(1, ('각층분기별_유효전력최대(전월)'!$D$4:$D$2020='7층~4층_매핑테이블'!L35) * ('각층분기별_유효전력최대(전월)'!$E$4:$E$2020='7층~4층_매핑테이블'!M35),0)) + INDEX('각층분기별_유효전력최대(전월)'!$F$4:$F$2020,MATCH(1, ('각층분기별_유효전력최대(전월)'!$D$4:$D$2020='7층~4층_매핑테이블'!N35) * ('각층분기별_유효전력최대(전월)'!$E$4:$E$2020='7층~4층_매핑테이블'!O35),0))</f>
        <v>0.755</v>
      </c>
      <c r="Q35" s="1" t="str">
        <f t="shared" si="6"/>
        <v>6-DaHall 1-PDU-07-30-286-DaHall 1-PDU-08-30-28</v>
      </c>
      <c r="R35" s="217" t="s">
        <v>9563</v>
      </c>
      <c r="S35" s="217" t="s">
        <v>9564</v>
      </c>
      <c r="T35" t="str">
        <f t="shared" si="7"/>
        <v>6-DaHall 1-PDU-07</v>
      </c>
      <c r="U35" t="str">
        <f t="shared" si="8"/>
        <v>[branch#028] [A] W</v>
      </c>
      <c r="V35" t="str">
        <f t="shared" si="9"/>
        <v>6-DaHall 1-PDU-08</v>
      </c>
      <c r="W35" t="str">
        <f t="shared" si="10"/>
        <v>[branch#028] [A] W</v>
      </c>
      <c r="X35" s="2989" cm="1">
        <f t="array" ref="X35">INDEX('각층분기별_유효전력최대(전월)'!$I$4:$I$2020,MATCH(1, ('각층분기별_유효전력최대(전월)'!$G$4:$G$2020='7층~4층_매핑테이블'!T35) * ('각층분기별_유효전력최대(전월)'!$H$4:$H$2020='7층~4층_매핑테이블'!U35),0)) + INDEX('각층분기별_유효전력최대(전월)'!$I$4:$I$2020,MATCH(1, ('각층분기별_유효전력최대(전월)'!$G$4:$G$2020='7층~4층_매핑테이블'!V35) * ('각층분기별_유효전력최대(전월)'!$H$4:$H$2020='7층~4층_매핑테이블'!W35),0))</f>
        <v>0</v>
      </c>
      <c r="Y35" s="3274" t="str">
        <f t="shared" si="26"/>
        <v>7-DaHall 1-A-4-50-267-DaHall 1-B-4-50-26</v>
      </c>
      <c r="Z35" s="217" t="s">
        <v>9565</v>
      </c>
      <c r="AA35" s="217" t="s">
        <v>9566</v>
      </c>
      <c r="AB35" s="3274" t="str">
        <f t="shared" si="29"/>
        <v>7-DaHall 1-A-4-50</v>
      </c>
      <c r="AC35" t="s">
        <v>9365</v>
      </c>
      <c r="AD35" t="str">
        <f t="shared" si="12"/>
        <v>7-DaHall 1-B-4-50</v>
      </c>
      <c r="AE35" t="s">
        <v>9365</v>
      </c>
      <c r="AF35" s="2989" t="e" cm="1">
        <f t="array" ref="AF35">INDEX('각층분기별_유효전력최대(전월)'!$L$4:$L$2020,MATCH(1, ('각층분기별_유효전력최대(전월)'!$J$4:$J$2020='7층~4층_매핑테이블'!AB35) * ('각층분기별_유효전력최대(전월)'!$K$4:$K$2020='7층~4층_매핑테이블'!AC35),0)) + INDEX('각층분기별_유효전력최대(전월)'!$L$4:$L$2020,MATCH(1, ('각층분기별_유효전력최대(전월)'!$J$4:$J$2020='7층~4층_매핑테이블'!AD35) * ('각층분기별_유효전력최대(전월)'!$K$4:$K$2020='7층~4층_매핑테이블'!AE35),0))</f>
        <v>#N/A</v>
      </c>
    </row>
    <row r="36" spans="1:32" x14ac:dyDescent="0.25">
      <c r="A36" t="str">
        <f t="shared" si="27"/>
        <v/>
      </c>
      <c r="B36" s="3099"/>
      <c r="C36" s="3098"/>
      <c r="D36" s="2989" t="str">
        <f t="shared" si="28"/>
        <v/>
      </c>
      <c r="E36" s="2989" t="str">
        <f t="shared" si="14"/>
        <v/>
      </c>
      <c r="F36" s="2989" t="str">
        <f t="shared" si="16"/>
        <v/>
      </c>
      <c r="G36" s="2989" t="str">
        <f t="shared" si="17"/>
        <v/>
      </c>
      <c r="H36" s="2989" cm="1">
        <f t="array" ref="H36">INDEX('각층분기별_유효전력최대(전월)'!$C$4:$C$2020,MATCH(1, ('각층분기별_유효전력최대(전월)'!$A$4:$A$2020='7층~4층_매핑테이블'!D36) * ('각층분기별_유효전력최대(전월)'!$B$4:$B$2020='7층~4층_매핑테이블'!E36),0)) + INDEX('각층분기별_유효전력최대(전월)'!$C$4:$C$2020,MATCH(1, ('각층분기별_유효전력최대(전월)'!$A$4:$A$2020='7층~4층_매핑테이블'!F36) * ('각층분기별_유효전력최대(전월)'!$B$4:$B$2020='7층~4층_매핑테이블'!G36),0))</f>
        <v>0</v>
      </c>
      <c r="I36" t="str">
        <f t="shared" si="30"/>
        <v>5-DaHall 1-PDU-11-20-85-DaHall 1-PDU-12-30-6</v>
      </c>
      <c r="J36" s="217" t="s">
        <v>9567</v>
      </c>
      <c r="K36" s="217" t="s">
        <v>9568</v>
      </c>
      <c r="L36" t="str">
        <f t="shared" si="2"/>
        <v>5-DaHall 1-PDU-11</v>
      </c>
      <c r="M36" t="str">
        <f t="shared" si="31"/>
        <v>[branch#008] [A] W</v>
      </c>
      <c r="N36" t="str">
        <f t="shared" ref="N36:N51" si="32">IF(MID(K36,16,2)="0","",MID(K36,1,15)&amp;MID(K36,16,2))</f>
        <v>5-DaHall 1-PDU-12</v>
      </c>
      <c r="O36" t="str">
        <f t="shared" ref="O36:O51" si="33">IF(IF(LEN((MID(K36,22,2)))=1, "[branch#0"&amp;0&amp;MID(K36,22,2)&amp;"] [A] W", "[branch#0"&amp;MID(K36,22,2)&amp;"] [A] W")="[branch#0] [A] W", "", IF(LEN((MID(K36,22,2)))=1, "[branch#0"&amp;0&amp;MID(K36,22,2)&amp;"] [A] W", "[branch#0"&amp;MID(K36,22,2)&amp;"] [A] W"))</f>
        <v>[branch#006] [A] W</v>
      </c>
      <c r="P36" s="2989" cm="1">
        <f t="array" ref="P36">INDEX('각층분기별_유효전력최대(전월)'!$F$4:$F$2020,MATCH(1, ('각층분기별_유효전력최대(전월)'!$D$4:$D$2020='7층~4층_매핑테이블'!L36) * ('각층분기별_유효전력최대(전월)'!$E$4:$E$2020='7층~4층_매핑테이블'!M36),0)) + INDEX('각층분기별_유효전력최대(전월)'!$F$4:$F$2020,MATCH(1, ('각층분기별_유효전력최대(전월)'!$D$4:$D$2020='7층~4층_매핑테이블'!N36) * ('각층분기별_유효전력최대(전월)'!$E$4:$E$2020='7층~4층_매핑테이블'!O36),0))</f>
        <v>0</v>
      </c>
      <c r="Q36" s="1" t="str">
        <f t="shared" si="6"/>
        <v>6-DaHall 1-PDU-03-30-336-DaHall 1-PDU-04-30-33</v>
      </c>
      <c r="R36" s="217" t="s">
        <v>9569</v>
      </c>
      <c r="S36" s="217" t="s">
        <v>9570</v>
      </c>
      <c r="T36" t="str">
        <f t="shared" si="7"/>
        <v>6-DaHall 1-PDU-03</v>
      </c>
      <c r="U36" t="str">
        <f t="shared" si="8"/>
        <v>[branch#033] [A] W</v>
      </c>
      <c r="V36" t="str">
        <f t="shared" si="9"/>
        <v>6-DaHall 1-PDU-04</v>
      </c>
      <c r="W36" t="str">
        <f t="shared" si="10"/>
        <v>[branch#033] [A] W</v>
      </c>
      <c r="X36" s="2989" cm="1">
        <f t="array" ref="X36">INDEX('각층분기별_유효전력최대(전월)'!$I$4:$I$2020,MATCH(1, ('각층분기별_유효전력최대(전월)'!$G$4:$G$2020='7층~4층_매핑테이블'!T36) * ('각층분기별_유효전력최대(전월)'!$H$4:$H$2020='7층~4층_매핑테이블'!U36),0)) + INDEX('각층분기별_유효전력최대(전월)'!$I$4:$I$2020,MATCH(1, ('각층분기별_유효전력최대(전월)'!$G$4:$G$2020='7층~4층_매핑테이블'!V36) * ('각층분기별_유효전력최대(전월)'!$H$4:$H$2020='7층~4층_매핑테이블'!W36),0))</f>
        <v>0</v>
      </c>
      <c r="Y36" s="3274" t="str">
        <f t="shared" si="26"/>
        <v>7-DaHall 1-A-4-50-287-DaHall 1-B-4-50-28</v>
      </c>
      <c r="Z36" s="217" t="s">
        <v>9572</v>
      </c>
      <c r="AA36" s="217" t="s">
        <v>9573</v>
      </c>
      <c r="AB36" s="3274" t="str">
        <f t="shared" si="29"/>
        <v>7-DaHall 1-A-4-50</v>
      </c>
      <c r="AC36" t="s">
        <v>9430</v>
      </c>
      <c r="AD36" t="str">
        <f t="shared" si="12"/>
        <v>7-DaHall 1-B-4-50</v>
      </c>
      <c r="AE36" t="s">
        <v>9430</v>
      </c>
      <c r="AF36" s="2989" t="e" cm="1">
        <f t="array" ref="AF36">INDEX('각층분기별_유효전력최대(전월)'!$L$4:$L$2020,MATCH(1, ('각층분기별_유효전력최대(전월)'!$J$4:$J$2020='7층~4층_매핑테이블'!AB36) * ('각층분기별_유효전력최대(전월)'!$K$4:$K$2020='7층~4층_매핑테이블'!AC36),0)) + INDEX('각층분기별_유효전력최대(전월)'!$L$4:$L$2020,MATCH(1, ('각층분기별_유효전력최대(전월)'!$J$4:$J$2020='7층~4층_매핑테이블'!AD36) * ('각층분기별_유효전력최대(전월)'!$K$4:$K$2020='7층~4층_매핑테이블'!AE36),0))</f>
        <v>#N/A</v>
      </c>
    </row>
    <row r="37" spans="1:32" x14ac:dyDescent="0.25">
      <c r="A37" t="str">
        <f>B37&amp;C37</f>
        <v>4-DaHall 1-PDU-08-100-74-DaHall 1-PDU-07-100-7</v>
      </c>
      <c r="B37" s="3099" t="s">
        <v>9574</v>
      </c>
      <c r="C37" s="3098" t="s">
        <v>9575</v>
      </c>
      <c r="D37" s="2989" t="str">
        <f>IF(MID(B37,16,2)="0","",MID(B37,1,15)&amp;MID(B37,16,2))</f>
        <v>4-DaHall 1-PDU-08</v>
      </c>
      <c r="E37" s="2989" t="str">
        <f t="shared" si="14"/>
        <v>[branch#007] [A] W</v>
      </c>
      <c r="F37" s="2989" t="str">
        <f t="shared" si="16"/>
        <v>4-DaHall 1-PDU-07</v>
      </c>
      <c r="G37" s="2989" t="str">
        <f t="shared" si="17"/>
        <v>[branch#007] [A] W</v>
      </c>
      <c r="H37" s="2989" cm="1">
        <f t="array" ref="H37">INDEX('각층분기별_유효전력최대(전월)'!$C$4:$C$2020,MATCH(1, ('각층분기별_유효전력최대(전월)'!$A$4:$A$2020='7층~4층_매핑테이블'!D37) * ('각층분기별_유효전력최대(전월)'!$B$4:$B$2020='7층~4층_매핑테이블'!E37),0)) + INDEX('각층분기별_유효전력최대(전월)'!$C$4:$C$2020,MATCH(1, ('각층분기별_유효전력최대(전월)'!$A$4:$A$2020='7층~4층_매핑테이블'!F37) * ('각층분기별_유효전력최대(전월)'!$B$4:$B$2020='7층~4층_매핑테이블'!G37),0))</f>
        <v>5.0500000000000007</v>
      </c>
      <c r="I37" t="str">
        <f t="shared" si="30"/>
        <v>5-DaHall 1-PDU-11-20-105-DaHall 1-PDU-12-30-8</v>
      </c>
      <c r="J37" s="217" t="s">
        <v>9576</v>
      </c>
      <c r="K37" s="217" t="s">
        <v>9577</v>
      </c>
      <c r="L37" t="str">
        <f t="shared" si="2"/>
        <v>5-DaHall 1-PDU-11</v>
      </c>
      <c r="M37" t="str">
        <f t="shared" si="31"/>
        <v>[branch#010] [A] W</v>
      </c>
      <c r="N37" t="str">
        <f t="shared" si="32"/>
        <v>5-DaHall 1-PDU-12</v>
      </c>
      <c r="O37" t="str">
        <f t="shared" si="33"/>
        <v>[branch#008] [A] W</v>
      </c>
      <c r="P37" s="2989" cm="1">
        <f t="array" ref="P37">INDEX('각층분기별_유효전력최대(전월)'!$F$4:$F$2020,MATCH(1, ('각층분기별_유효전력최대(전월)'!$D$4:$D$2020='7층~4층_매핑테이블'!L37) * ('각층분기별_유효전력최대(전월)'!$E$4:$E$2020='7층~4층_매핑테이블'!M37),0)) + INDEX('각층분기별_유효전력최대(전월)'!$F$4:$F$2020,MATCH(1, ('각층분기별_유효전력최대(전월)'!$D$4:$D$2020='7층~4층_매핑테이블'!N37) * ('각층분기별_유효전력최대(전월)'!$E$4:$E$2020='7층~4층_매핑테이블'!O37),0))</f>
        <v>0</v>
      </c>
      <c r="Q37" s="1" t="str">
        <f t="shared" si="6"/>
        <v>6-DaHall 1-PDU-03-30-356-DaHall 1-PDU-04-30-35</v>
      </c>
      <c r="R37" s="217" t="s">
        <v>9578</v>
      </c>
      <c r="S37" s="217" t="s">
        <v>9579</v>
      </c>
      <c r="T37" t="str">
        <f t="shared" si="7"/>
        <v>6-DaHall 1-PDU-03</v>
      </c>
      <c r="U37" t="str">
        <f t="shared" si="8"/>
        <v>[branch#035] [A] W</v>
      </c>
      <c r="V37" t="str">
        <f t="shared" si="9"/>
        <v>6-DaHall 1-PDU-04</v>
      </c>
      <c r="W37" t="str">
        <f t="shared" si="10"/>
        <v>[branch#035] [A] W</v>
      </c>
      <c r="X37" s="2989" cm="1">
        <f t="array" ref="X37">INDEX('각층분기별_유효전력최대(전월)'!$I$4:$I$2020,MATCH(1, ('각층분기별_유효전력최대(전월)'!$G$4:$G$2020='7층~4층_매핑테이블'!T37) * ('각층분기별_유효전력최대(전월)'!$H$4:$H$2020='7층~4층_매핑테이블'!U37),0)) + INDEX('각층분기별_유효전력최대(전월)'!$I$4:$I$2020,MATCH(1, ('각층분기별_유효전력최대(전월)'!$G$4:$G$2020='7층~4층_매핑테이블'!V37) * ('각층분기별_유효전력최대(전월)'!$H$4:$H$2020='7층~4층_매핑테이블'!W37),0))</f>
        <v>0</v>
      </c>
      <c r="Y37" s="3274" t="str">
        <f t="shared" si="26"/>
        <v>7-DaHall 1-PDU-01-30-97-DaHall 1-PDU-02-30-9</v>
      </c>
      <c r="Z37" s="217" t="s">
        <v>9581</v>
      </c>
      <c r="AA37" s="217" t="s">
        <v>9582</v>
      </c>
      <c r="AB37" s="3274" t="str">
        <f t="shared" si="29"/>
        <v>7-DaHall 1-PDU-01</v>
      </c>
      <c r="AC37" t="s">
        <v>9364</v>
      </c>
      <c r="AD37" t="str">
        <f t="shared" si="12"/>
        <v>7-DaHall 1-PDU-02</v>
      </c>
      <c r="AE37" t="s">
        <v>9364</v>
      </c>
      <c r="AF37" s="2989" cm="1">
        <f t="array" ref="AF37">INDEX('각층분기별_유효전력최대(전월)'!$L$4:$L$2020,MATCH(1, ('각층분기별_유효전력최대(전월)'!$J$4:$J$2020='7층~4층_매핑테이블'!AB37) * ('각층분기별_유효전력최대(전월)'!$K$4:$K$2020='7층~4층_매핑테이블'!AC37),0)) + INDEX('각층분기별_유효전력최대(전월)'!$L$4:$L$2020,MATCH(1, ('각층분기별_유효전력최대(전월)'!$J$4:$J$2020='7층~4층_매핑테이블'!AD37) * ('각층분기별_유효전력최대(전월)'!$K$4:$K$2020='7층~4층_매핑테이블'!AE37),0))</f>
        <v>2.931</v>
      </c>
    </row>
    <row r="38" spans="1:32" x14ac:dyDescent="0.25">
      <c r="A38" t="str">
        <f>B38&amp;C38</f>
        <v/>
      </c>
      <c r="B38" s="3099"/>
      <c r="C38" s="3098"/>
      <c r="D38" s="2989" t="str">
        <f>IF(MID(B38,16,2)="0","",MID(B38,1,15)&amp;MID(B38,16,2))</f>
        <v/>
      </c>
      <c r="E38" s="2989" t="str">
        <f t="shared" si="14"/>
        <v/>
      </c>
      <c r="F38" s="2989" t="str">
        <f t="shared" si="16"/>
        <v/>
      </c>
      <c r="G38" s="2989" t="str">
        <f t="shared" si="17"/>
        <v/>
      </c>
      <c r="H38" s="2989" cm="1">
        <f t="array" ref="H38">INDEX('각층분기별_유효전력최대(전월)'!$C$4:$C$2020,MATCH(1, ('각층분기별_유효전력최대(전월)'!$A$4:$A$2020='7층~4층_매핑테이블'!D38) * ('각층분기별_유효전력최대(전월)'!$B$4:$B$2020='7층~4층_매핑테이블'!E38),0)) + INDEX('각층분기별_유효전력최대(전월)'!$C$4:$C$2020,MATCH(1, ('각층분기별_유효전력최대(전월)'!$A$4:$A$2020='7층~4층_매핑테이블'!F38) * ('각층분기별_유효전력최대(전월)'!$B$4:$B$2020='7층~4층_매핑테이블'!G38),0))</f>
        <v>0</v>
      </c>
      <c r="I38" t="str">
        <f t="shared" si="30"/>
        <v>5-DaHall 1-PDU-11-20-125-DaHall 1-PDU-12-20-10</v>
      </c>
      <c r="J38" s="217" t="s">
        <v>9583</v>
      </c>
      <c r="K38" s="217" t="s">
        <v>9584</v>
      </c>
      <c r="L38" t="str">
        <f t="shared" si="2"/>
        <v>5-DaHall 1-PDU-11</v>
      </c>
      <c r="M38" t="str">
        <f t="shared" si="31"/>
        <v>[branch#012] [A] W</v>
      </c>
      <c r="N38" t="str">
        <f t="shared" si="32"/>
        <v>5-DaHall 1-PDU-12</v>
      </c>
      <c r="O38" t="str">
        <f t="shared" si="33"/>
        <v>[branch#010] [A] W</v>
      </c>
      <c r="P38" s="2989" cm="1">
        <f t="array" ref="P38">INDEX('각층분기별_유효전력최대(전월)'!$F$4:$F$2020,MATCH(1, ('각층분기별_유효전력최대(전월)'!$D$4:$D$2020='7층~4층_매핑테이블'!L38) * ('각층분기별_유효전력최대(전월)'!$E$4:$E$2020='7층~4층_매핑테이블'!M38),0)) + INDEX('각층분기별_유효전력최대(전월)'!$F$4:$F$2020,MATCH(1, ('각층분기별_유효전력최대(전월)'!$D$4:$D$2020='7층~4층_매핑테이블'!N38) * ('각층분기별_유효전력최대(전월)'!$E$4:$E$2020='7층~4층_매핑테이블'!O38),0))</f>
        <v>0</v>
      </c>
      <c r="Q38" s="1" t="str">
        <f>R38&amp;S38</f>
        <v/>
      </c>
      <c r="R38" s="217"/>
      <c r="S38" s="217"/>
      <c r="T38" t="str">
        <f t="shared" si="7"/>
        <v/>
      </c>
      <c r="U38" t="str">
        <f>IF(IF(LEN((MID(R38,22,2)))=1, "[branch#0"&amp;0&amp;MID(R38,22,2)&amp;"] [A] W", "[branch#0"&amp;MID(R38,22,2)&amp;"] [A] W")="[branch#0] [A] W", "", IF(LEN((MID(R38,22,2)))=1, "[branch#0"&amp;0&amp;MID(R38,22,2)&amp;"] [A] W", "[branch#0"&amp;MID(R38,22,2)&amp;"] [A] W"))</f>
        <v/>
      </c>
      <c r="V38" t="str">
        <f>IF(MID(S38,16,2)="0","",MID(S38,1,15)&amp;MID(S38,16,2))</f>
        <v/>
      </c>
      <c r="W38" t="str">
        <f>IF(IF(LEN((MID(S38,22,2)))=1, "[branch#0"&amp;0&amp;MID(S38,22,2)&amp;"] [A] W", "[branch#0"&amp;MID(S38,22,2)&amp;"] [A] W")="[branch#0] [A] W", "", IF(LEN((MID(S38,22,2)))=1, "[branch#0"&amp;0&amp;MID(S38,22,2)&amp;"] [A] W", "[branch#0"&amp;MID(S38,22,2)&amp;"] [A] W"))</f>
        <v/>
      </c>
      <c r="X38" s="2989" cm="1">
        <f t="array" ref="X38">INDEX('각층분기별_유효전력최대(전월)'!$I$4:$I$2020,MATCH(1, ('각층분기별_유효전력최대(전월)'!$G$4:$G$2020='7층~4층_매핑테이블'!T38) * ('각층분기별_유효전력최대(전월)'!$H$4:$H$2020='7층~4층_매핑테이블'!U38),0)) + INDEX('각층분기별_유효전력최대(전월)'!$I$4:$I$2020,MATCH(1, ('각층분기별_유효전력최대(전월)'!$G$4:$G$2020='7층~4층_매핑테이블'!V38) * ('각층분기별_유효전력최대(전월)'!$H$4:$H$2020='7층~4층_매핑테이블'!W38),0))</f>
        <v>0</v>
      </c>
      <c r="Y38" s="3274" t="str">
        <f>Z38&amp;AA38</f>
        <v>7-DaHall 1-PDU-01-30-77-DaHall 1-PDU-02-30-7</v>
      </c>
      <c r="Z38" s="217" t="s">
        <v>9585</v>
      </c>
      <c r="AA38" s="217" t="s">
        <v>9586</v>
      </c>
      <c r="AB38" s="3274" t="str">
        <f t="shared" si="29"/>
        <v>7-DaHall 1-PDU-01</v>
      </c>
      <c r="AC38" t="s">
        <v>9409</v>
      </c>
      <c r="AD38" t="str">
        <f t="shared" si="12"/>
        <v>7-DaHall 1-PDU-02</v>
      </c>
      <c r="AE38" t="s">
        <v>9409</v>
      </c>
      <c r="AF38" s="2989" cm="1">
        <f t="array" ref="AF38">INDEX('각층분기별_유효전력최대(전월)'!$L$4:$L$2020,MATCH(1, ('각층분기별_유효전력최대(전월)'!$J$4:$J$2020='7층~4층_매핑테이블'!AB38) * ('각층분기별_유효전력최대(전월)'!$K$4:$K$2020='7층~4층_매핑테이블'!AC38),0)) + INDEX('각층분기별_유효전력최대(전월)'!$L$4:$L$2020,MATCH(1, ('각층분기별_유효전력최대(전월)'!$J$4:$J$2020='7층~4층_매핑테이블'!AD38) * ('각층분기별_유효전력최대(전월)'!$K$4:$K$2020='7층~4층_매핑테이블'!AE38),0))</f>
        <v>2.694</v>
      </c>
    </row>
    <row r="39" spans="1:32" x14ac:dyDescent="0.25">
      <c r="A39" t="str">
        <f t="shared" ref="A39:A40" si="34">B39&amp;C39</f>
        <v/>
      </c>
      <c r="B39" s="3099"/>
      <c r="C39" s="3098"/>
      <c r="D39" s="2989" t="str">
        <f>IF(MID(B39,16,2)="0","",MID(B39,1,15)&amp;MID(B39,16,2))</f>
        <v/>
      </c>
      <c r="E39" s="2989" t="str">
        <f t="shared" si="14"/>
        <v/>
      </c>
      <c r="F39" s="2989" t="str">
        <f t="shared" si="16"/>
        <v/>
      </c>
      <c r="G39" s="2989" t="str">
        <f t="shared" si="17"/>
        <v/>
      </c>
      <c r="H39" s="2989" cm="1">
        <f t="array" ref="H39">INDEX('각층분기별_유효전력최대(전월)'!$C$4:$C$2020,MATCH(1, ('각층분기별_유효전력최대(전월)'!$A$4:$A$2020='7층~4층_매핑테이블'!D39) * ('각층분기별_유효전력최대(전월)'!$B$4:$B$2020='7층~4층_매핑테이블'!E39),0)) + INDEX('각층분기별_유효전력최대(전월)'!$C$4:$C$2020,MATCH(1, ('각층분기별_유효전력최대(전월)'!$A$4:$A$2020='7층~4층_매핑테이블'!F39) * ('각층분기별_유효전력최대(전월)'!$B$4:$B$2020='7층~4층_매핑테이블'!G39),0))</f>
        <v>0</v>
      </c>
      <c r="I39" t="str">
        <f t="shared" si="30"/>
        <v>5-DaHall 1-PDU-11-20-145-DaHall 1-PDU-12-20-12</v>
      </c>
      <c r="J39" s="217" t="s">
        <v>9587</v>
      </c>
      <c r="K39" s="217" t="s">
        <v>9588</v>
      </c>
      <c r="L39" t="str">
        <f t="shared" si="2"/>
        <v>5-DaHall 1-PDU-11</v>
      </c>
      <c r="M39" t="str">
        <f t="shared" si="31"/>
        <v>[branch#014] [A] W</v>
      </c>
      <c r="N39" t="str">
        <f t="shared" si="32"/>
        <v>5-DaHall 1-PDU-12</v>
      </c>
      <c r="O39" t="str">
        <f t="shared" si="33"/>
        <v>[branch#012] [A] W</v>
      </c>
      <c r="P39" s="2989" cm="1">
        <f t="array" ref="P39">INDEX('각층분기별_유효전력최대(전월)'!$F$4:$F$2020,MATCH(1, ('각층분기별_유효전력최대(전월)'!$D$4:$D$2020='7층~4층_매핑테이블'!L39) * ('각층분기별_유효전력최대(전월)'!$E$4:$E$2020='7층~4층_매핑테이블'!M39),0)) + INDEX('각층분기별_유효전력최대(전월)'!$F$4:$F$2020,MATCH(1, ('각층분기별_유효전력최대(전월)'!$D$4:$D$2020='7층~4층_매핑테이블'!N39) * ('각층분기별_유효전력최대(전월)'!$E$4:$E$2020='7층~4층_매핑테이블'!O39),0))</f>
        <v>0</v>
      </c>
      <c r="Q39" s="1" t="str">
        <f>R39&amp;S39</f>
        <v>6-DaHall 1-PDU-03-30-246-DaHall 1-PDU-04-30-24</v>
      </c>
      <c r="R39" s="217" t="s">
        <v>9589</v>
      </c>
      <c r="S39" s="217" t="s">
        <v>9590</v>
      </c>
      <c r="T39" t="str">
        <f t="shared" si="7"/>
        <v>6-DaHall 1-PDU-03</v>
      </c>
      <c r="U39" t="str">
        <f>IF(IF(LEN((MID(R39,22,2)))=1, "[branch#0"&amp;0&amp;MID(R39,22,2)&amp;"] [A] W", "[branch#0"&amp;MID(R39,22,2)&amp;"] [A] W")="[branch#0] [A] W", "", IF(LEN((MID(R39,22,2)))=1, "[branch#0"&amp;0&amp;MID(R39,22,2)&amp;"] [A] W", "[branch#0"&amp;MID(R39,22,2)&amp;"] [A] W"))</f>
        <v>[branch#024] [A] W</v>
      </c>
      <c r="V39" t="str">
        <f>IF(MID(S39,16,2)="0","",MID(S39,1,15)&amp;MID(S39,16,2))</f>
        <v>6-DaHall 1-PDU-04</v>
      </c>
      <c r="W39" t="str">
        <f>IF(IF(LEN((MID(S39,22,2)))=1, "[branch#0"&amp;0&amp;MID(S39,22,2)&amp;"] [A] W", "[branch#0"&amp;MID(S39,22,2)&amp;"] [A] W")="[branch#0] [A] W", "", IF(LEN((MID(S39,22,2)))=1, "[branch#0"&amp;0&amp;MID(S39,22,2)&amp;"] [A] W", "[branch#0"&amp;MID(S39,22,2)&amp;"] [A] W"))</f>
        <v>[branch#024] [A] W</v>
      </c>
      <c r="X39" s="2989" cm="1">
        <f t="array" ref="X39">INDEX('각층분기별_유효전력최대(전월)'!$I$4:$I$2020,MATCH(1, ('각층분기별_유효전력최대(전월)'!$G$4:$G$2020='7층~4층_매핑테이블'!T39) * ('각층분기별_유효전력최대(전월)'!$H$4:$H$2020='7층~4층_매핑테이블'!U39),0)) + INDEX('각층분기별_유효전력최대(전월)'!$I$4:$I$2020,MATCH(1, ('각층분기별_유효전력최대(전월)'!$G$4:$G$2020='7층~4층_매핑테이블'!V39) * ('각층분기별_유효전력최대(전월)'!$H$4:$H$2020='7층~4층_매핑테이블'!W39),0))</f>
        <v>0</v>
      </c>
      <c r="Y39" s="3274" t="str">
        <f t="shared" si="26"/>
        <v>7-DaHall 1-A-4-50-277-DaHall 1-B-4-50-57</v>
      </c>
      <c r="Z39" s="217" t="s">
        <v>9591</v>
      </c>
      <c r="AA39" s="217" t="s">
        <v>9592</v>
      </c>
      <c r="AB39" s="3274" t="str">
        <f t="shared" si="29"/>
        <v>7-DaHall 1-A-4-50</v>
      </c>
      <c r="AC39" t="s">
        <v>9521</v>
      </c>
      <c r="AD39" t="str">
        <f t="shared" si="12"/>
        <v>7-DaHall 1-B-4-50</v>
      </c>
      <c r="AE39" t="s">
        <v>9593</v>
      </c>
      <c r="AF39" s="2989" t="e" cm="1">
        <f t="array" ref="AF39">INDEX('각층분기별_유효전력최대(전월)'!$L$4:$L$2020,MATCH(1, ('각층분기별_유효전력최대(전월)'!$J$4:$J$2020='7층~4층_매핑테이블'!AB39) * ('각층분기별_유효전력최대(전월)'!$K$4:$K$2020='7층~4층_매핑테이블'!AC39),0)) + INDEX('각층분기별_유효전력최대(전월)'!$L$4:$L$2020,MATCH(1, ('각층분기별_유효전력최대(전월)'!$J$4:$J$2020='7층~4층_매핑테이블'!AD39) * ('각층분기별_유효전력최대(전월)'!$K$4:$K$2020='7층~4층_매핑테이블'!AE39),0))</f>
        <v>#N/A</v>
      </c>
    </row>
    <row r="40" spans="1:32" x14ac:dyDescent="0.25">
      <c r="A40" t="str">
        <f t="shared" si="34"/>
        <v/>
      </c>
      <c r="B40" s="3099"/>
      <c r="C40" s="3098"/>
      <c r="D40" s="2989" t="str">
        <f t="shared" ref="D40:D63" si="35">IF(MID(B40,16,2)="0","",MID(B40,1,15)&amp;MID(B40,16,2))</f>
        <v/>
      </c>
      <c r="E40" s="2989" t="str">
        <f t="shared" si="14"/>
        <v/>
      </c>
      <c r="F40" s="2989" t="str">
        <f t="shared" si="16"/>
        <v/>
      </c>
      <c r="G40" s="2989" t="str">
        <f t="shared" si="17"/>
        <v/>
      </c>
      <c r="H40" s="2989" cm="1">
        <f t="array" ref="H40">INDEX('각층분기별_유효전력최대(전월)'!$C$4:$C$2020,MATCH(1, ('각층분기별_유효전력최대(전월)'!$A$4:$A$2020='7층~4층_매핑테이블'!D40) * ('각층분기별_유효전력최대(전월)'!$B$4:$B$2020='7층~4층_매핑테이블'!E40),0)) + INDEX('각층분기별_유효전력최대(전월)'!$C$4:$C$2020,MATCH(1, ('각층분기별_유효전력최대(전월)'!$A$4:$A$2020='7층~4층_매핑테이블'!F40) * ('각층분기별_유효전력최대(전월)'!$B$4:$B$2020='7층~4층_매핑테이블'!G40),0))</f>
        <v>0</v>
      </c>
      <c r="I40" t="str">
        <f t="shared" si="30"/>
        <v>5-DaHall 1-PDU-11-20-165-DaHall 1-PDU-12-20-14</v>
      </c>
      <c r="J40" s="217" t="s">
        <v>9594</v>
      </c>
      <c r="K40" s="217" t="s">
        <v>9595</v>
      </c>
      <c r="L40" t="str">
        <f t="shared" si="2"/>
        <v>5-DaHall 1-PDU-11</v>
      </c>
      <c r="M40" t="str">
        <f t="shared" si="31"/>
        <v>[branch#016] [A] W</v>
      </c>
      <c r="N40" t="str">
        <f t="shared" si="32"/>
        <v>5-DaHall 1-PDU-12</v>
      </c>
      <c r="O40" t="str">
        <f t="shared" si="33"/>
        <v>[branch#014] [A] W</v>
      </c>
      <c r="P40" s="2989" cm="1">
        <f t="array" ref="P40">INDEX('각층분기별_유효전력최대(전월)'!$F$4:$F$2020,MATCH(1, ('각층분기별_유효전력최대(전월)'!$D$4:$D$2020='7층~4층_매핑테이블'!L40) * ('각층분기별_유효전력최대(전월)'!$E$4:$E$2020='7층~4층_매핑테이블'!M40),0)) + INDEX('각층분기별_유효전력최대(전월)'!$F$4:$F$2020,MATCH(1, ('각층분기별_유효전력최대(전월)'!$D$4:$D$2020='7층~4층_매핑테이블'!N40) * ('각층분기별_유효전력최대(전월)'!$E$4:$E$2020='7층~4층_매핑테이블'!O40),0))</f>
        <v>0</v>
      </c>
      <c r="Q40" s="1" t="str">
        <f t="shared" ref="Q40:Q47" si="36">R40&amp;S40</f>
        <v>6-DaHall 1-PDU-03-30-226-DaHall 1-PDU-04-30-22</v>
      </c>
      <c r="R40" s="217" t="s">
        <v>9596</v>
      </c>
      <c r="S40" s="217" t="s">
        <v>9597</v>
      </c>
      <c r="T40" t="str">
        <f t="shared" si="7"/>
        <v>6-DaHall 1-PDU-03</v>
      </c>
      <c r="U40" t="str">
        <f t="shared" ref="U40:U47" si="37">IF(IF(LEN((MID(R40,22,2)))=1, "[branch#0"&amp;0&amp;MID(R40,22,2)&amp;"] [A] W", "[branch#0"&amp;MID(R40,22,2)&amp;"] [A] W")="[branch#0] [A] W", "", IF(LEN((MID(R40,22,2)))=1, "[branch#0"&amp;0&amp;MID(R40,22,2)&amp;"] [A] W", "[branch#0"&amp;MID(R40,22,2)&amp;"] [A] W"))</f>
        <v>[branch#022] [A] W</v>
      </c>
      <c r="V40" t="str">
        <f t="shared" ref="V40:V47" si="38">IF(MID(S40,16,2)="0","",MID(S40,1,15)&amp;MID(S40,16,2))</f>
        <v>6-DaHall 1-PDU-04</v>
      </c>
      <c r="W40" t="str">
        <f t="shared" ref="W40:W47" si="39">IF(IF(LEN((MID(S40,22,2)))=1, "[branch#0"&amp;0&amp;MID(S40,22,2)&amp;"] [A] W", "[branch#0"&amp;MID(S40,22,2)&amp;"] [A] W")="[branch#0] [A] W", "", IF(LEN((MID(S40,22,2)))=1, "[branch#0"&amp;0&amp;MID(S40,22,2)&amp;"] [A] W", "[branch#0"&amp;MID(S40,22,2)&amp;"] [A] W"))</f>
        <v>[branch#022] [A] W</v>
      </c>
      <c r="X40" s="2989" cm="1">
        <f t="array" ref="X40">INDEX('각층분기별_유효전력최대(전월)'!$I$4:$I$2020,MATCH(1, ('각층분기별_유효전력최대(전월)'!$G$4:$G$2020='7층~4층_매핑테이블'!T40) * ('각층분기별_유효전력최대(전월)'!$H$4:$H$2020='7층~4층_매핑테이블'!U40),0)) + INDEX('각층분기별_유효전력최대(전월)'!$I$4:$I$2020,MATCH(1, ('각층분기별_유효전력최대(전월)'!$G$4:$G$2020='7층~4층_매핑테이블'!V40) * ('각층분기별_유효전력최대(전월)'!$H$4:$H$2020='7층~4층_매핑테이블'!W40),0))</f>
        <v>0</v>
      </c>
      <c r="Y40" s="3274" t="str">
        <f t="shared" si="26"/>
        <v>7-DaHall 1-A-4-50-337-DaHall 1-B-4-50-33</v>
      </c>
      <c r="Z40" s="217" t="s">
        <v>9598</v>
      </c>
      <c r="AA40" s="217" t="s">
        <v>9599</v>
      </c>
      <c r="AB40" s="3274" t="str">
        <f>IF(MID(Z40,16,2)="0","",MID(Z40,1,15)&amp;MID(Z40,16,2))</f>
        <v>7-DaHall 1-A-4-50</v>
      </c>
      <c r="AC40" t="s">
        <v>9571</v>
      </c>
      <c r="AD40" t="str">
        <f t="shared" si="12"/>
        <v>7-DaHall 1-B-4-50</v>
      </c>
      <c r="AE40" t="s">
        <v>9571</v>
      </c>
      <c r="AF40" s="2989" t="e" cm="1">
        <f t="array" ref="AF40">INDEX('각층분기별_유효전력최대(전월)'!$L$4:$L$2020,MATCH(1, ('각층분기별_유효전력최대(전월)'!$J$4:$J$2020='7층~4층_매핑테이블'!AB40) * ('각층분기별_유효전력최대(전월)'!$K$4:$K$2020='7층~4층_매핑테이블'!AC40),0)) + INDEX('각층분기별_유효전력최대(전월)'!$L$4:$L$2020,MATCH(1, ('각층분기별_유효전력최대(전월)'!$J$4:$J$2020='7층~4층_매핑테이블'!AD40) * ('각층분기별_유효전력최대(전월)'!$K$4:$K$2020='7층~4층_매핑테이블'!AE40),0))</f>
        <v>#N/A</v>
      </c>
    </row>
    <row r="41" spans="1:32" x14ac:dyDescent="0.25">
      <c r="A41" t="str">
        <f>B41&amp;C41</f>
        <v>4-DaHall 1-PDU-08-100-34-DaHall 1-PDU-07-100-3</v>
      </c>
      <c r="B41" s="3099" t="s">
        <v>9600</v>
      </c>
      <c r="C41" s="3098" t="s">
        <v>9601</v>
      </c>
      <c r="D41" s="2989" t="str">
        <f t="shared" si="35"/>
        <v>4-DaHall 1-PDU-08</v>
      </c>
      <c r="E41" s="2989" t="str">
        <f t="shared" si="14"/>
        <v>[branch#003] [A] W</v>
      </c>
      <c r="F41" s="2989" t="str">
        <f t="shared" si="16"/>
        <v>4-DaHall 1-PDU-07</v>
      </c>
      <c r="G41" s="2989" t="str">
        <f t="shared" si="17"/>
        <v>[branch#003] [A] W</v>
      </c>
      <c r="H41" s="2989" cm="1">
        <f t="array" ref="H41">INDEX('각층분기별_유효전력최대(전월)'!$C$4:$C$2020,MATCH(1, ('각층분기별_유효전력최대(전월)'!$A$4:$A$2020='7층~4층_매핑테이블'!D41) * ('각층분기별_유효전력최대(전월)'!$B$4:$B$2020='7층~4층_매핑테이블'!E41),0)) + INDEX('각층분기별_유효전력최대(전월)'!$C$4:$C$2020,MATCH(1, ('각층분기별_유효전력최대(전월)'!$A$4:$A$2020='7층~4층_매핑테이블'!F41) * ('각층분기별_유효전력최대(전월)'!$B$4:$B$2020='7층~4층_매핑테이블'!G41),0))</f>
        <v>2.298</v>
      </c>
      <c r="I41" t="str">
        <f t="shared" si="30"/>
        <v>5-DaHall 1-PDU-11-20-185-DaHall 1-PDU-12-20-16</v>
      </c>
      <c r="J41" s="217" t="s">
        <v>9602</v>
      </c>
      <c r="K41" s="217" t="s">
        <v>9603</v>
      </c>
      <c r="L41" t="str">
        <f t="shared" si="2"/>
        <v>5-DaHall 1-PDU-11</v>
      </c>
      <c r="M41" t="str">
        <f t="shared" si="31"/>
        <v>[branch#018] [A] W</v>
      </c>
      <c r="N41" t="str">
        <f t="shared" si="32"/>
        <v>5-DaHall 1-PDU-12</v>
      </c>
      <c r="O41" t="str">
        <f t="shared" si="33"/>
        <v>[branch#016] [A] W</v>
      </c>
      <c r="P41" s="2989" cm="1">
        <f t="array" ref="P41">INDEX('각층분기별_유효전력최대(전월)'!$F$4:$F$2020,MATCH(1, ('각층분기별_유효전력최대(전월)'!$D$4:$D$2020='7층~4층_매핑테이블'!L41) * ('각층분기별_유효전력최대(전월)'!$E$4:$E$2020='7층~4층_매핑테이블'!M41),0)) + INDEX('각층분기별_유효전력최대(전월)'!$F$4:$F$2020,MATCH(1, ('각층분기별_유효전력최대(전월)'!$D$4:$D$2020='7층~4층_매핑테이블'!N41) * ('각층분기별_유효전력최대(전월)'!$E$4:$E$2020='7층~4층_매핑테이블'!O41),0))</f>
        <v>2.145</v>
      </c>
      <c r="Q41" s="1" t="str">
        <f t="shared" si="36"/>
        <v>6-DaHall 1-PDU-03-30-266-DaHall 1-PDU-04-30-26</v>
      </c>
      <c r="R41" s="217" t="s">
        <v>9604</v>
      </c>
      <c r="S41" s="217" t="s">
        <v>9605</v>
      </c>
      <c r="T41" t="str">
        <f t="shared" si="7"/>
        <v>6-DaHall 1-PDU-03</v>
      </c>
      <c r="U41" t="str">
        <f t="shared" si="37"/>
        <v>[branch#026] [A] W</v>
      </c>
      <c r="V41" t="str">
        <f t="shared" si="38"/>
        <v>6-DaHall 1-PDU-04</v>
      </c>
      <c r="W41" t="str">
        <f t="shared" si="39"/>
        <v>[branch#026] [A] W</v>
      </c>
      <c r="X41" s="2989" cm="1">
        <f t="array" ref="X41">INDEX('각층분기별_유효전력최대(전월)'!$I$4:$I$2020,MATCH(1, ('각층분기별_유효전력최대(전월)'!$G$4:$G$2020='7층~4층_매핑테이블'!T41) * ('각층분기별_유효전력최대(전월)'!$H$4:$H$2020='7층~4층_매핑테이블'!U41),0)) + INDEX('각층분기별_유효전력최대(전월)'!$I$4:$I$2020,MATCH(1, ('각층분기별_유효전력최대(전월)'!$G$4:$G$2020='7층~4층_매핑테이블'!V41) * ('각층분기별_유효전력최대(전월)'!$H$4:$H$2020='7층~4층_매핑테이블'!W41),0))</f>
        <v>0</v>
      </c>
      <c r="Y41" s="3274" t="str">
        <f>Z41&amp;AA41</f>
        <v>7-DaHall 1-A-4-50-107-DaHall 1-B-4-50-43</v>
      </c>
      <c r="Z41" s="217" t="s">
        <v>9606</v>
      </c>
      <c r="AA41" s="217" t="s">
        <v>9607</v>
      </c>
      <c r="AB41" s="3274" t="str">
        <f>IF(MID(Z41,16,2)="0","",MID(Z41,1,15)&amp;MID(Z41,16,2))</f>
        <v>7-DaHall 1-A-4-50</v>
      </c>
      <c r="AC41" t="s">
        <v>9500</v>
      </c>
      <c r="AD41" t="str">
        <f t="shared" si="12"/>
        <v>7-DaHall 1-B-4-50</v>
      </c>
      <c r="AE41" t="s">
        <v>9527</v>
      </c>
      <c r="AF41" s="2989" t="e" cm="1">
        <f t="array" ref="AF41">INDEX('각층분기별_유효전력최대(전월)'!$L$4:$L$2020,MATCH(1, ('각층분기별_유효전력최대(전월)'!$J$4:$J$2020='7층~4층_매핑테이블'!AB41) * ('각층분기별_유효전력최대(전월)'!$K$4:$K$2020='7층~4층_매핑테이블'!AC41),0)) + INDEX('각층분기별_유효전력최대(전월)'!$L$4:$L$2020,MATCH(1, ('각층분기별_유효전력최대(전월)'!$J$4:$J$2020='7층~4층_매핑테이블'!AD41) * ('각층분기별_유효전력최대(전월)'!$K$4:$K$2020='7층~4층_매핑테이블'!AE41),0))</f>
        <v>#N/A</v>
      </c>
    </row>
    <row r="42" spans="1:32" x14ac:dyDescent="0.25">
      <c r="A42" t="str">
        <f>B42&amp;C42</f>
        <v/>
      </c>
      <c r="B42" s="3099"/>
      <c r="C42" s="3098"/>
      <c r="D42" s="2989" t="str">
        <f t="shared" si="35"/>
        <v/>
      </c>
      <c r="E42" s="2989" t="str">
        <f t="shared" si="14"/>
        <v/>
      </c>
      <c r="F42" s="2989" t="str">
        <f t="shared" si="16"/>
        <v/>
      </c>
      <c r="G42" s="2989" t="str">
        <f t="shared" si="17"/>
        <v/>
      </c>
      <c r="H42" s="2989" cm="1">
        <f t="array" ref="H42">INDEX('각층분기별_유효전력최대(전월)'!$C$4:$C$2020,MATCH(1, ('각층분기별_유효전력최대(전월)'!$A$4:$A$2020='7층~4층_매핑테이블'!D42) * ('각층분기별_유효전력최대(전월)'!$B$4:$B$2020='7층~4층_매핑테이블'!E42),0)) + INDEX('각층분기별_유효전력최대(전월)'!$C$4:$C$2020,MATCH(1, ('각층분기별_유효전력최대(전월)'!$A$4:$A$2020='7층~4층_매핑테이블'!F42) * ('각층분기별_유효전력최대(전월)'!$B$4:$B$2020='7층~4층_매핑테이블'!G42),0))</f>
        <v>0</v>
      </c>
      <c r="I42" t="str">
        <f t="shared" si="30"/>
        <v>5-DaHall 1-PDU-11-20-205-DaHall 1-PDU-12-20-18</v>
      </c>
      <c r="J42" s="217" t="s">
        <v>9608</v>
      </c>
      <c r="K42" s="217" t="s">
        <v>9609</v>
      </c>
      <c r="L42" t="str">
        <f t="shared" si="2"/>
        <v>5-DaHall 1-PDU-11</v>
      </c>
      <c r="M42" t="str">
        <f t="shared" si="31"/>
        <v>[branch#020] [A] W</v>
      </c>
      <c r="N42" t="str">
        <f t="shared" si="32"/>
        <v>5-DaHall 1-PDU-12</v>
      </c>
      <c r="O42" t="str">
        <f t="shared" si="33"/>
        <v>[branch#018] [A] W</v>
      </c>
      <c r="P42" s="2989" cm="1">
        <f t="array" ref="P42">INDEX('각층분기별_유효전력최대(전월)'!$F$4:$F$2020,MATCH(1, ('각층분기별_유효전력최대(전월)'!$D$4:$D$2020='7층~4층_매핑테이블'!L42) * ('각층분기별_유효전력최대(전월)'!$E$4:$E$2020='7층~4층_매핑테이블'!M42),0)) + INDEX('각층분기별_유효전력최대(전월)'!$F$4:$F$2020,MATCH(1, ('각층분기별_유효전력최대(전월)'!$D$4:$D$2020='7층~4층_매핑테이블'!N42) * ('각층분기별_유효전력최대(전월)'!$E$4:$E$2020='7층~4층_매핑테이블'!O42),0))</f>
        <v>1.145</v>
      </c>
      <c r="Q42" s="1" t="str">
        <f t="shared" si="36"/>
        <v>6-DaHall 1-PDU-03-30-386-DaHall 1-PDU-04-30-38</v>
      </c>
      <c r="R42" s="217" t="s">
        <v>9610</v>
      </c>
      <c r="S42" s="217" t="s">
        <v>9611</v>
      </c>
      <c r="T42" t="str">
        <f t="shared" si="7"/>
        <v>6-DaHall 1-PDU-03</v>
      </c>
      <c r="U42" t="str">
        <f t="shared" si="37"/>
        <v>[branch#038] [A] W</v>
      </c>
      <c r="V42" t="str">
        <f t="shared" si="38"/>
        <v>6-DaHall 1-PDU-04</v>
      </c>
      <c r="W42" t="str">
        <f t="shared" si="39"/>
        <v>[branch#038] [A] W</v>
      </c>
      <c r="X42" s="2989" cm="1">
        <f t="array" ref="X42">INDEX('각층분기별_유효전력최대(전월)'!$I$4:$I$2020,MATCH(1, ('각층분기별_유효전력최대(전월)'!$G$4:$G$2020='7층~4층_매핑테이블'!T42) * ('각층분기별_유효전력최대(전월)'!$H$4:$H$2020='7층~4층_매핑테이블'!U42),0)) + INDEX('각층분기별_유효전력최대(전월)'!$I$4:$I$2020,MATCH(1, ('각층분기별_유효전력최대(전월)'!$G$4:$G$2020='7층~4층_매핑테이블'!V42) * ('각층분기별_유효전력최대(전월)'!$H$4:$H$2020='7층~4층_매핑테이블'!W42),0))</f>
        <v>0</v>
      </c>
      <c r="Y42" s="3274" t="str">
        <f t="shared" si="26"/>
        <v>7-DaHall 1-A-4-50-117-DaHall 1-B-4-50-44</v>
      </c>
      <c r="Z42" s="217" t="s">
        <v>9612</v>
      </c>
      <c r="AA42" s="217" t="s">
        <v>9613</v>
      </c>
      <c r="AB42" s="3274" t="str">
        <f t="shared" ref="AB42" si="40">IF(MID(Z42,16,2)="0","",MID(Z42,1,15)&amp;MID(Z42,16,2))</f>
        <v>7-DaHall 1-A-4-50</v>
      </c>
      <c r="AC42" t="s">
        <v>9386</v>
      </c>
      <c r="AD42" t="str">
        <f t="shared" si="12"/>
        <v>7-DaHall 1-B-4-50</v>
      </c>
      <c r="AE42" t="s">
        <v>9389</v>
      </c>
      <c r="AF42" s="2989" t="e" cm="1">
        <f t="array" ref="AF42">INDEX('각층분기별_유효전력최대(전월)'!$L$4:$L$2020,MATCH(1, ('각층분기별_유효전력최대(전월)'!$J$4:$J$2020='7층~4층_매핑테이블'!AB42) * ('각층분기별_유효전력최대(전월)'!$K$4:$K$2020='7층~4층_매핑테이블'!AC42),0)) + INDEX('각층분기별_유효전력최대(전월)'!$L$4:$L$2020,MATCH(1, ('각층분기별_유효전력최대(전월)'!$J$4:$J$2020='7층~4층_매핑테이블'!AD42) * ('각층분기별_유효전력최대(전월)'!$K$4:$K$2020='7층~4층_매핑테이블'!AE42),0))</f>
        <v>#N/A</v>
      </c>
    </row>
    <row r="43" spans="1:32" x14ac:dyDescent="0.25">
      <c r="A43" t="str">
        <f t="shared" ref="A43" si="41">B43&amp;C43</f>
        <v/>
      </c>
      <c r="B43" s="3099"/>
      <c r="C43" s="3098"/>
      <c r="D43" s="2989" t="str">
        <f t="shared" si="35"/>
        <v/>
      </c>
      <c r="E43" s="2989" t="str">
        <f t="shared" si="14"/>
        <v/>
      </c>
      <c r="F43" s="2989" t="str">
        <f t="shared" si="16"/>
        <v/>
      </c>
      <c r="G43" s="2989" t="str">
        <f t="shared" si="17"/>
        <v/>
      </c>
      <c r="H43" s="2989" cm="1">
        <f t="array" ref="H43">INDEX('각층분기별_유효전력최대(전월)'!$C$4:$C$2020,MATCH(1, ('각층분기별_유효전력최대(전월)'!$A$4:$A$2020='7층~4층_매핑테이블'!D43) * ('각층분기별_유효전력최대(전월)'!$B$4:$B$2020='7층~4층_매핑테이블'!E43),0)) + INDEX('각층분기별_유효전력최대(전월)'!$C$4:$C$2020,MATCH(1, ('각층분기별_유효전력최대(전월)'!$A$4:$A$2020='7층~4층_매핑테이블'!F43) * ('각층분기별_유효전력최대(전월)'!$B$4:$B$2020='7층~4층_매핑테이블'!G43),0))</f>
        <v>0</v>
      </c>
      <c r="I43" t="str">
        <f t="shared" si="30"/>
        <v>5-DaHall 1-PDU-13-20-115-DaHall 1-PDU-14-30-9</v>
      </c>
      <c r="J43" s="217" t="s">
        <v>9614</v>
      </c>
      <c r="K43" s="217" t="s">
        <v>9615</v>
      </c>
      <c r="L43" t="str">
        <f t="shared" si="2"/>
        <v>5-DaHall 1-PDU-13</v>
      </c>
      <c r="M43" t="str">
        <f t="shared" si="31"/>
        <v>[branch#011] [A] W</v>
      </c>
      <c r="N43" t="str">
        <f t="shared" si="32"/>
        <v>5-DaHall 1-PDU-14</v>
      </c>
      <c r="O43" t="str">
        <f t="shared" si="33"/>
        <v>[branch#009] [A] W</v>
      </c>
      <c r="P43" s="2989" cm="1">
        <f t="array" ref="P43">INDEX('각층분기별_유효전력최대(전월)'!$F$4:$F$2020,MATCH(1, ('각층분기별_유효전력최대(전월)'!$D$4:$D$2020='7층~4층_매핑테이블'!L43) * ('각층분기별_유효전력최대(전월)'!$E$4:$E$2020='7층~4층_매핑테이블'!M43),0)) + INDEX('각층분기별_유효전력최대(전월)'!$F$4:$F$2020,MATCH(1, ('각층분기별_유효전력최대(전월)'!$D$4:$D$2020='7층~4층_매핑테이블'!N43) * ('각층분기별_유효전력최대(전월)'!$E$4:$E$2020='7층~4층_매핑테이블'!O43),0))</f>
        <v>0</v>
      </c>
      <c r="Q43" s="1" t="str">
        <f t="shared" si="36"/>
        <v>6-DaHall 1-PDU-03-30-286-DaHall 1-PDU-04-30-28</v>
      </c>
      <c r="R43" s="217" t="s">
        <v>9616</v>
      </c>
      <c r="S43" s="217" t="s">
        <v>9617</v>
      </c>
      <c r="T43" t="str">
        <f t="shared" si="7"/>
        <v>6-DaHall 1-PDU-03</v>
      </c>
      <c r="U43" t="str">
        <f t="shared" si="37"/>
        <v>[branch#028] [A] W</v>
      </c>
      <c r="V43" t="str">
        <f t="shared" si="38"/>
        <v>6-DaHall 1-PDU-04</v>
      </c>
      <c r="W43" t="str">
        <f t="shared" si="39"/>
        <v>[branch#028] [A] W</v>
      </c>
      <c r="X43" s="2989" cm="1">
        <f t="array" ref="X43">INDEX('각층분기별_유효전력최대(전월)'!$I$4:$I$2020,MATCH(1, ('각층분기별_유효전력최대(전월)'!$G$4:$G$2020='7층~4층_매핑테이블'!T43) * ('각층분기별_유효전력최대(전월)'!$H$4:$H$2020='7층~4층_매핑테이블'!U43),0)) + INDEX('각층분기별_유효전력최대(전월)'!$I$4:$I$2020,MATCH(1, ('각층분기별_유효전력최대(전월)'!$G$4:$G$2020='7층~4층_매핑테이블'!V43) * ('각층분기별_유효전력최대(전월)'!$H$4:$H$2020='7층~4층_매핑테이블'!W43),0))</f>
        <v>0</v>
      </c>
      <c r="Y43" s="3274" t="str">
        <f t="shared" si="26"/>
        <v>7-DaHall 1-A-4-50-187-DaHall 1-B-4-50-45</v>
      </c>
      <c r="Z43" s="217" t="s">
        <v>9618</v>
      </c>
      <c r="AA43" s="217" t="s">
        <v>9619</v>
      </c>
      <c r="AB43" s="3274" t="str">
        <f>IF(MID(Z43,16,2)="0","",MID(Z43,1,15)&amp;MID(Z43,16,2))</f>
        <v>7-DaHall 1-A-4-50</v>
      </c>
      <c r="AC43" t="s">
        <v>9473</v>
      </c>
      <c r="AD43" t="str">
        <f t="shared" si="12"/>
        <v>7-DaHall 1-B-4-50</v>
      </c>
      <c r="AE43" t="s">
        <v>9620</v>
      </c>
      <c r="AF43" s="2989" t="e" cm="1">
        <f t="array" ref="AF43">INDEX('각층분기별_유효전력최대(전월)'!$L$4:$L$2020,MATCH(1, ('각층분기별_유효전력최대(전월)'!$J$4:$J$2020='7층~4층_매핑테이블'!AB43) * ('각층분기별_유효전력최대(전월)'!$K$4:$K$2020='7층~4층_매핑테이블'!AC43),0)) + INDEX('각층분기별_유효전력최대(전월)'!$L$4:$L$2020,MATCH(1, ('각층분기별_유효전력최대(전월)'!$J$4:$J$2020='7층~4층_매핑테이블'!AD43) * ('각층분기별_유효전력최대(전월)'!$K$4:$K$2020='7층~4층_매핑테이블'!AE43),0))</f>
        <v>#N/A</v>
      </c>
    </row>
    <row r="44" spans="1:32" x14ac:dyDescent="0.25">
      <c r="A44" t="str">
        <f>B44&amp;C44</f>
        <v>4-DaHall 1-PDU-08-100-54-DaHall 1-PDU-07-100-5</v>
      </c>
      <c r="B44" s="3099" t="s">
        <v>9621</v>
      </c>
      <c r="C44" s="3098" t="s">
        <v>9622</v>
      </c>
      <c r="D44" s="2989" t="str">
        <f t="shared" si="35"/>
        <v>4-DaHall 1-PDU-08</v>
      </c>
      <c r="E44" s="2989" t="str">
        <f t="shared" si="14"/>
        <v>[branch#005] [A] W</v>
      </c>
      <c r="F44" s="2989" t="str">
        <f t="shared" si="16"/>
        <v>4-DaHall 1-PDU-07</v>
      </c>
      <c r="G44" s="2989" t="str">
        <f t="shared" si="17"/>
        <v>[branch#005] [A] W</v>
      </c>
      <c r="H44" s="2989" cm="1">
        <f t="array" ref="H44">INDEX('각층분기별_유효전력최대(전월)'!$C$4:$C$2020,MATCH(1, ('각층분기별_유효전력최대(전월)'!$A$4:$A$2020='7층~4층_매핑테이블'!D44) * ('각층분기별_유효전력최대(전월)'!$B$4:$B$2020='7층~4층_매핑테이블'!E44),0)) + INDEX('각층분기별_유효전력최대(전월)'!$C$4:$C$2020,MATCH(1, ('각층분기별_유효전력최대(전월)'!$A$4:$A$2020='7층~4층_매핑테이블'!F44) * ('각층분기별_유효전력최대(전월)'!$B$4:$B$2020='7층~4층_매핑테이블'!G44),0))</f>
        <v>2.9459999999999997</v>
      </c>
      <c r="I44" t="str">
        <f t="shared" si="30"/>
        <v>5-DaHall 1-PDU-13-20-135-DaHall 1-PDU-14-20-11</v>
      </c>
      <c r="J44" s="217" t="s">
        <v>9623</v>
      </c>
      <c r="K44" s="217" t="s">
        <v>9624</v>
      </c>
      <c r="L44" t="str">
        <f t="shared" si="2"/>
        <v>5-DaHall 1-PDU-13</v>
      </c>
      <c r="M44" t="str">
        <f t="shared" si="31"/>
        <v>[branch#013] [A] W</v>
      </c>
      <c r="N44" t="str">
        <f t="shared" si="32"/>
        <v>5-DaHall 1-PDU-14</v>
      </c>
      <c r="O44" t="str">
        <f t="shared" si="33"/>
        <v>[branch#011] [A] W</v>
      </c>
      <c r="P44" s="2989" cm="1">
        <f t="array" ref="P44">INDEX('각층분기별_유효전력최대(전월)'!$F$4:$F$2020,MATCH(1, ('각층분기별_유효전력최대(전월)'!$D$4:$D$2020='7층~4층_매핑테이블'!L44) * ('각층분기별_유효전력최대(전월)'!$E$4:$E$2020='7층~4층_매핑테이블'!M44),0)) + INDEX('각층분기별_유효전력최대(전월)'!$F$4:$F$2020,MATCH(1, ('각층분기별_유효전력최대(전월)'!$D$4:$D$2020='7층~4층_매핑테이블'!N44) * ('각층분기별_유효전력최대(전월)'!$E$4:$E$2020='7층~4층_매핑테이블'!O44),0))</f>
        <v>0.108</v>
      </c>
      <c r="Q44" s="1" t="str">
        <f t="shared" si="36"/>
        <v>6-DaHall 1-PDU-03-30-306-DaHall 1-PDU-04-30-30</v>
      </c>
      <c r="R44" s="217" t="s">
        <v>9625</v>
      </c>
      <c r="S44" s="217" t="s">
        <v>9626</v>
      </c>
      <c r="T44" t="str">
        <f t="shared" si="7"/>
        <v>6-DaHall 1-PDU-03</v>
      </c>
      <c r="U44" t="str">
        <f t="shared" si="37"/>
        <v>[branch#030] [A] W</v>
      </c>
      <c r="V44" t="str">
        <f t="shared" si="38"/>
        <v>6-DaHall 1-PDU-04</v>
      </c>
      <c r="W44" t="str">
        <f t="shared" si="39"/>
        <v>[branch#030] [A] W</v>
      </c>
      <c r="X44" s="2989" cm="1">
        <f t="array" ref="X44">INDEX('각층분기별_유효전력최대(전월)'!$I$4:$I$2020,MATCH(1, ('각층분기별_유효전력최대(전월)'!$G$4:$G$2020='7층~4층_매핑테이블'!T44) * ('각층분기별_유효전력최대(전월)'!$H$4:$H$2020='7층~4층_매핑테이블'!U44),0)) + INDEX('각층분기별_유효전력최대(전월)'!$I$4:$I$2020,MATCH(1, ('각층분기별_유효전력최대(전월)'!$G$4:$G$2020='7층~4층_매핑테이블'!V44) * ('각층분기별_유효전력최대(전월)'!$H$4:$H$2020='7층~4층_매핑테이블'!W44),0))</f>
        <v>0</v>
      </c>
      <c r="Y44" s="3274" t="str">
        <f t="shared" si="26"/>
        <v>7-DaHall 1-A-4-50-457-DaHall 1-B-4-50-51</v>
      </c>
      <c r="Z44" s="217" t="s">
        <v>9627</v>
      </c>
      <c r="AA44" s="217" t="s">
        <v>9628</v>
      </c>
      <c r="AB44" s="3274" t="str">
        <f>IF(MID(Z44,16,2)="0","",MID(Z44,1,15)&amp;MID(Z44,16,2))</f>
        <v>7-DaHall 1-A-4-50</v>
      </c>
      <c r="AC44" t="s">
        <v>9620</v>
      </c>
      <c r="AD44" t="str">
        <f t="shared" si="12"/>
        <v>7-DaHall 1-B-4-50</v>
      </c>
      <c r="AE44" t="s">
        <v>9448</v>
      </c>
      <c r="AF44" s="2989" t="e" cm="1">
        <f t="array" ref="AF44">INDEX('각층분기별_유효전력최대(전월)'!$L$4:$L$2020,MATCH(1, ('각층분기별_유효전력최대(전월)'!$J$4:$J$2020='7층~4층_매핑테이블'!AB44) * ('각층분기별_유효전력최대(전월)'!$K$4:$K$2020='7층~4층_매핑테이블'!AC44),0)) + INDEX('각층분기별_유효전력최대(전월)'!$L$4:$L$2020,MATCH(1, ('각층분기별_유효전력최대(전월)'!$J$4:$J$2020='7층~4층_매핑테이블'!AD44) * ('각층분기별_유효전력최대(전월)'!$K$4:$K$2020='7층~4층_매핑테이블'!AE44),0))</f>
        <v>#N/A</v>
      </c>
    </row>
    <row r="45" spans="1:32" x14ac:dyDescent="0.25">
      <c r="A45" t="str">
        <f>B45&amp;C45</f>
        <v/>
      </c>
      <c r="B45" s="3099"/>
      <c r="C45" s="3098"/>
      <c r="D45" s="2989" t="str">
        <f t="shared" si="35"/>
        <v/>
      </c>
      <c r="E45" s="2989" t="str">
        <f t="shared" si="14"/>
        <v/>
      </c>
      <c r="F45" s="2989" t="str">
        <f t="shared" si="16"/>
        <v/>
      </c>
      <c r="G45" s="2989" t="str">
        <f t="shared" si="17"/>
        <v/>
      </c>
      <c r="H45" s="2989" cm="1">
        <f t="array" ref="H45">INDEX('각층분기별_유효전력최대(전월)'!$C$4:$C$2020,MATCH(1, ('각층분기별_유효전력최대(전월)'!$A$4:$A$2020='7층~4층_매핑테이블'!D45) * ('각층분기별_유효전력최대(전월)'!$B$4:$B$2020='7층~4층_매핑테이블'!E45),0)) + INDEX('각층분기별_유효전력최대(전월)'!$C$4:$C$2020,MATCH(1, ('각층분기별_유효전력최대(전월)'!$A$4:$A$2020='7층~4층_매핑테이블'!F45) * ('각층분기별_유효전력최대(전월)'!$B$4:$B$2020='7층~4층_매핑테이블'!G45),0))</f>
        <v>0</v>
      </c>
      <c r="I45" t="str">
        <f t="shared" si="30"/>
        <v>5-DaHall 1-PDU-13-20-155-DaHall 1-PDU-14-20-13</v>
      </c>
      <c r="J45" s="217" t="s">
        <v>9629</v>
      </c>
      <c r="K45" s="217" t="s">
        <v>9630</v>
      </c>
      <c r="L45" t="str">
        <f t="shared" si="2"/>
        <v>5-DaHall 1-PDU-13</v>
      </c>
      <c r="M45" t="str">
        <f t="shared" si="31"/>
        <v>[branch#015] [A] W</v>
      </c>
      <c r="N45" t="str">
        <f t="shared" si="32"/>
        <v>5-DaHall 1-PDU-14</v>
      </c>
      <c r="O45" t="str">
        <f t="shared" si="33"/>
        <v>[branch#013] [A] W</v>
      </c>
      <c r="P45" s="2989" cm="1">
        <f t="array" ref="P45">INDEX('각층분기별_유효전력최대(전월)'!$F$4:$F$2020,MATCH(1, ('각층분기별_유효전력최대(전월)'!$D$4:$D$2020='7층~4층_매핑테이블'!L45) * ('각층분기별_유효전력최대(전월)'!$E$4:$E$2020='7층~4층_매핑테이블'!M45),0)) + INDEX('각층분기별_유효전력최대(전월)'!$F$4:$F$2020,MATCH(1, ('각층분기별_유효전력최대(전월)'!$D$4:$D$2020='7층~4층_매핑테이블'!N45) * ('각층분기별_유효전력최대(전월)'!$E$4:$E$2020='7층~4층_매핑테이블'!O45),0))</f>
        <v>0.35299999999999998</v>
      </c>
      <c r="Q45" s="1" t="str">
        <f>R45&amp;S45</f>
        <v>6-DaHall 1-PDU-03-30-326-DaHall 1-PDU-04-30-32</v>
      </c>
      <c r="R45" s="217" t="s">
        <v>9631</v>
      </c>
      <c r="S45" s="217" t="s">
        <v>9632</v>
      </c>
      <c r="T45" t="str">
        <f t="shared" si="7"/>
        <v>6-DaHall 1-PDU-03</v>
      </c>
      <c r="U45" t="str">
        <f t="shared" si="37"/>
        <v>[branch#032] [A] W</v>
      </c>
      <c r="V45" t="str">
        <f>IF(MID(S45,16,2)="0","",MID(S45,1,15)&amp;MID(S45,16,2))</f>
        <v>6-DaHall 1-PDU-04</v>
      </c>
      <c r="W45" t="str">
        <f>IF(IF(LEN((MID(S45,22,2)))=1, "[branch#0"&amp;0&amp;MID(S45,22,2)&amp;"] [A] W", "[branch#0"&amp;MID(S45,22,2)&amp;"] [A] W")="[branch#0] [A] W", "", IF(LEN((MID(S45,22,2)))=1, "[branch#0"&amp;0&amp;MID(S45,22,2)&amp;"] [A] W", "[branch#0"&amp;MID(S45,22,2)&amp;"] [A] W"))</f>
        <v>[branch#032] [A] W</v>
      </c>
      <c r="X45" s="2989" cm="1">
        <f t="array" ref="X45">INDEX('각층분기별_유효전력최대(전월)'!$I$4:$I$2020,MATCH(1, ('각층분기별_유효전력최대(전월)'!$G$4:$G$2020='7층~4층_매핑테이블'!T45) * ('각층분기별_유효전력최대(전월)'!$H$4:$H$2020='7층~4층_매핑테이블'!U45),0)) + INDEX('각층분기별_유효전력최대(전월)'!$I$4:$I$2020,MATCH(1, ('각층분기별_유효전력최대(전월)'!$G$4:$G$2020='7층~4층_매핑테이블'!V45) * ('각층분기별_유효전력최대(전월)'!$H$4:$H$2020='7층~4층_매핑테이블'!W45),0))</f>
        <v>0</v>
      </c>
      <c r="Y45" s="3274" t="str">
        <f t="shared" si="26"/>
        <v>7-DaHall 1-A-4-35-527-DaHall 1-B-4-35-52</v>
      </c>
      <c r="Z45" s="217" t="s">
        <v>9633</v>
      </c>
      <c r="AA45" s="217" t="s">
        <v>9634</v>
      </c>
      <c r="AB45" s="3274" t="str">
        <f t="shared" ref="AB45:AB46" si="42">IF(MID(Z45,16,2)="0","",MID(Z45,1,15)&amp;MID(Z45,16,2))</f>
        <v>7-DaHall 1-A-4-35</v>
      </c>
      <c r="AC45" t="s">
        <v>9635</v>
      </c>
      <c r="AD45" t="str">
        <f t="shared" si="12"/>
        <v>7-DaHall 1-B-4-35</v>
      </c>
      <c r="AE45" t="s">
        <v>9635</v>
      </c>
      <c r="AF45" s="2989" t="e" cm="1">
        <f t="array" ref="AF45">INDEX('각층분기별_유효전력최대(전월)'!$L$4:$L$2020,MATCH(1, ('각층분기별_유효전력최대(전월)'!$J$4:$J$2020='7층~4층_매핑테이블'!AB45) * ('각층분기별_유효전력최대(전월)'!$K$4:$K$2020='7층~4층_매핑테이블'!AC45),0)) + INDEX('각층분기별_유효전력최대(전월)'!$L$4:$L$2020,MATCH(1, ('각층분기별_유효전력최대(전월)'!$J$4:$J$2020='7층~4층_매핑테이블'!AD45) * ('각층분기별_유효전력최대(전월)'!$K$4:$K$2020='7층~4층_매핑테이블'!AE45),0))</f>
        <v>#N/A</v>
      </c>
    </row>
    <row r="46" spans="1:32" x14ac:dyDescent="0.25">
      <c r="A46" t="str">
        <f t="shared" ref="A46" si="43">B46&amp;C46</f>
        <v/>
      </c>
      <c r="B46" s="3099"/>
      <c r="C46" s="3098"/>
      <c r="D46" s="2989" t="str">
        <f t="shared" si="35"/>
        <v/>
      </c>
      <c r="E46" s="2989" t="str">
        <f t="shared" si="14"/>
        <v/>
      </c>
      <c r="F46" s="2989" t="str">
        <f t="shared" si="16"/>
        <v/>
      </c>
      <c r="G46" s="2989" t="str">
        <f t="shared" si="17"/>
        <v/>
      </c>
      <c r="H46" s="2989" cm="1">
        <f t="array" ref="H46">INDEX('각층분기별_유효전력최대(전월)'!$C$4:$C$2020,MATCH(1, ('각층분기별_유효전력최대(전월)'!$A$4:$A$2020='7층~4층_매핑테이블'!D46) * ('각층분기별_유효전력최대(전월)'!$B$4:$B$2020='7층~4층_매핑테이블'!E46),0)) + INDEX('각층분기별_유효전력최대(전월)'!$C$4:$C$2020,MATCH(1, ('각층분기별_유효전력최대(전월)'!$A$4:$A$2020='7층~4층_매핑테이블'!F46) * ('각층분기별_유효전력최대(전월)'!$B$4:$B$2020='7층~4층_매핑테이블'!G46),0))</f>
        <v>0</v>
      </c>
      <c r="I46" t="str">
        <f t="shared" si="30"/>
        <v>5-DaHall 1-PDU-13-20-175-DaHall 1-PDU-14-20-15</v>
      </c>
      <c r="J46" s="217" t="s">
        <v>9636</v>
      </c>
      <c r="K46" s="217" t="s">
        <v>9637</v>
      </c>
      <c r="L46" t="str">
        <f t="shared" si="2"/>
        <v>5-DaHall 1-PDU-13</v>
      </c>
      <c r="M46" t="str">
        <f t="shared" si="31"/>
        <v>[branch#017] [A] W</v>
      </c>
      <c r="N46" t="str">
        <f t="shared" si="32"/>
        <v>5-DaHall 1-PDU-14</v>
      </c>
      <c r="O46" t="str">
        <f t="shared" si="33"/>
        <v>[branch#015] [A] W</v>
      </c>
      <c r="P46" s="2989" cm="1">
        <f t="array" ref="P46">INDEX('각층분기별_유효전력최대(전월)'!$F$4:$F$2020,MATCH(1, ('각층분기별_유효전력최대(전월)'!$D$4:$D$2020='7층~4층_매핑테이블'!L46) * ('각층분기별_유효전력최대(전월)'!$E$4:$E$2020='7층~4층_매핑테이블'!M46),0)) + INDEX('각층분기별_유효전력최대(전월)'!$F$4:$F$2020,MATCH(1, ('각층분기별_유효전력최대(전월)'!$D$4:$D$2020='7층~4층_매핑테이블'!N46) * ('각층분기별_유효전력최대(전월)'!$E$4:$E$2020='7층~4층_매핑테이블'!O46),0))</f>
        <v>0</v>
      </c>
      <c r="Q46" s="1" t="str">
        <f t="shared" si="36"/>
        <v>6-DaHall 1-PDU-03-30-346-DaHall 1-PDU-04-30-34</v>
      </c>
      <c r="R46" s="217" t="s">
        <v>9638</v>
      </c>
      <c r="S46" s="217" t="s">
        <v>9639</v>
      </c>
      <c r="T46" t="str">
        <f t="shared" si="7"/>
        <v>6-DaHall 1-PDU-03</v>
      </c>
      <c r="U46" t="str">
        <f t="shared" si="37"/>
        <v>[branch#034] [A] W</v>
      </c>
      <c r="V46" t="str">
        <f t="shared" si="38"/>
        <v>6-DaHall 1-PDU-04</v>
      </c>
      <c r="W46" t="str">
        <f t="shared" si="39"/>
        <v>[branch#034] [A] W</v>
      </c>
      <c r="X46" s="2989" cm="1">
        <f t="array" ref="X46">INDEX('각층분기별_유효전력최대(전월)'!$I$4:$I$2020,MATCH(1, ('각층분기별_유효전력최대(전월)'!$G$4:$G$2020='7층~4층_매핑테이블'!T46) * ('각층분기별_유효전력최대(전월)'!$H$4:$H$2020='7층~4층_매핑테이블'!U46),0)) + INDEX('각층분기별_유효전력최대(전월)'!$I$4:$I$2020,MATCH(1, ('각층분기별_유효전력최대(전월)'!$G$4:$G$2020='7층~4층_매핑테이블'!V46) * ('각층분기별_유효전력최대(전월)'!$H$4:$H$2020='7층~4층_매핑테이블'!W46),0))</f>
        <v>0</v>
      </c>
      <c r="Y46" s="3274" t="str">
        <f t="shared" si="26"/>
        <v>7-DaHall 1-A-4-35-537-DaHall 1-B-4-35-53</v>
      </c>
      <c r="Z46" s="217" t="s">
        <v>9640</v>
      </c>
      <c r="AA46" s="217" t="s">
        <v>9641</v>
      </c>
      <c r="AB46" s="3274" t="str">
        <f t="shared" si="42"/>
        <v>7-DaHall 1-A-4-35</v>
      </c>
      <c r="AC46" t="s">
        <v>9440</v>
      </c>
      <c r="AD46" t="str">
        <f t="shared" si="12"/>
        <v>7-DaHall 1-B-4-35</v>
      </c>
      <c r="AE46" t="s">
        <v>9440</v>
      </c>
      <c r="AF46" s="2989" t="e" cm="1">
        <f t="array" ref="AF46">INDEX('각층분기별_유효전력최대(전월)'!$L$4:$L$2020,MATCH(1, ('각층분기별_유효전력최대(전월)'!$J$4:$J$2020='7층~4층_매핑테이블'!AB46) * ('각층분기별_유효전력최대(전월)'!$K$4:$K$2020='7층~4층_매핑테이블'!AC46),0)) + INDEX('각층분기별_유효전력최대(전월)'!$L$4:$L$2020,MATCH(1, ('각층분기별_유효전력최대(전월)'!$J$4:$J$2020='7층~4층_매핑테이블'!AD46) * ('각층분기별_유효전력최대(전월)'!$K$4:$K$2020='7층~4층_매핑테이블'!AE46),0))</f>
        <v>#N/A</v>
      </c>
    </row>
    <row r="47" spans="1:32" x14ac:dyDescent="0.25">
      <c r="A47" t="str">
        <f>B47&amp;C47</f>
        <v>4-DaHall 1-PDU-08-100-14-DaHall 1-PDU-07-100-1</v>
      </c>
      <c r="B47" s="3099" t="s">
        <v>9642</v>
      </c>
      <c r="C47" s="3098" t="s">
        <v>9643</v>
      </c>
      <c r="D47" s="2989" t="str">
        <f t="shared" si="35"/>
        <v>4-DaHall 1-PDU-08</v>
      </c>
      <c r="E47" s="2989" t="str">
        <f t="shared" si="14"/>
        <v>[branch#001] [A] W</v>
      </c>
      <c r="F47" s="2989" t="str">
        <f t="shared" si="16"/>
        <v>4-DaHall 1-PDU-07</v>
      </c>
      <c r="G47" s="2989" t="str">
        <f t="shared" si="17"/>
        <v>[branch#001] [A] W</v>
      </c>
      <c r="H47" s="2989" cm="1">
        <f t="array" ref="H47">INDEX('각층분기별_유효전력최대(전월)'!$C$4:$C$2020,MATCH(1, ('각층분기별_유효전력최대(전월)'!$A$4:$A$2020='7층~4층_매핑테이블'!D47) * ('각층분기별_유효전력최대(전월)'!$B$4:$B$2020='7층~4층_매핑테이블'!E47),0)) + INDEX('각층분기별_유효전력최대(전월)'!$C$4:$C$2020,MATCH(1, ('각층분기별_유효전력최대(전월)'!$A$4:$A$2020='7층~4층_매핑테이블'!F47) * ('각층분기별_유효전력최대(전월)'!$B$4:$B$2020='7층~4층_매핑테이블'!G47),0))</f>
        <v>9.847999999999999</v>
      </c>
      <c r="I47" t="str">
        <f t="shared" si="30"/>
        <v>5-DaHall 1-PDU-15-30-125-DaHall 1-PDU-16-30-12</v>
      </c>
      <c r="J47" s="217" t="s">
        <v>9644</v>
      </c>
      <c r="K47" s="217" t="s">
        <v>9645</v>
      </c>
      <c r="L47" t="str">
        <f t="shared" si="2"/>
        <v>5-DaHall 1-PDU-15</v>
      </c>
      <c r="M47" t="str">
        <f t="shared" si="31"/>
        <v>[branch#012] [A] W</v>
      </c>
      <c r="N47" t="str">
        <f t="shared" si="32"/>
        <v>5-DaHall 1-PDU-16</v>
      </c>
      <c r="O47" t="str">
        <f t="shared" si="33"/>
        <v>[branch#012] [A] W</v>
      </c>
      <c r="P47" s="2989" cm="1">
        <f t="array" ref="P47">INDEX('각층분기별_유효전력최대(전월)'!$F$4:$F$2020,MATCH(1, ('각층분기별_유효전력최대(전월)'!$D$4:$D$2020='7층~4층_매핑테이블'!L47) * ('각층분기별_유효전력최대(전월)'!$E$4:$E$2020='7층~4층_매핑테이블'!M47),0)) + INDEX('각층분기별_유효전력최대(전월)'!$F$4:$F$2020,MATCH(1, ('각층분기별_유효전력최대(전월)'!$D$4:$D$2020='7층~4층_매핑테이블'!N47) * ('각층분기별_유효전력최대(전월)'!$E$4:$E$2020='7층~4층_매핑테이블'!O47),0))</f>
        <v>0.85599999999999998</v>
      </c>
      <c r="Q47" s="1" t="str">
        <f t="shared" si="36"/>
        <v>6-DaHall 1-PDU-03-30-366-DaHall 1-PDU-04-30-36</v>
      </c>
      <c r="R47" s="217" t="s">
        <v>9646</v>
      </c>
      <c r="S47" s="217" t="s">
        <v>9647</v>
      </c>
      <c r="T47" t="str">
        <f t="shared" si="7"/>
        <v>6-DaHall 1-PDU-03</v>
      </c>
      <c r="U47" t="str">
        <f t="shared" si="37"/>
        <v>[branch#036] [A] W</v>
      </c>
      <c r="V47" t="str">
        <f t="shared" si="38"/>
        <v>6-DaHall 1-PDU-04</v>
      </c>
      <c r="W47" t="str">
        <f t="shared" si="39"/>
        <v>[branch#036] [A] W</v>
      </c>
      <c r="X47" s="2989" cm="1">
        <f t="array" ref="X47">INDEX('각층분기별_유효전력최대(전월)'!$I$4:$I$2020,MATCH(1, ('각층분기별_유효전력최대(전월)'!$G$4:$G$2020='7층~4층_매핑테이블'!T47) * ('각층분기별_유효전력최대(전월)'!$H$4:$H$2020='7층~4층_매핑테이블'!U47),0)) + INDEX('각층분기별_유효전력최대(전월)'!$I$4:$I$2020,MATCH(1, ('각층분기별_유효전력최대(전월)'!$G$4:$G$2020='7층~4층_매핑테이블'!V47) * ('각층분기별_유효전력최대(전월)'!$H$4:$H$2020='7층~4층_매핑테이블'!W47),0))</f>
        <v>0</v>
      </c>
      <c r="Y47" s="3274" t="str">
        <f>Z47&amp;AA47</f>
        <v/>
      </c>
      <c r="Z47" s="217"/>
      <c r="AA47" s="217"/>
      <c r="AB47" s="3274" t="str">
        <f>IF(MID(Z47,16,2)="0","",MID(Z47,1,15)&amp;MID(Z47,16,2))</f>
        <v/>
      </c>
      <c r="AD47" t="str">
        <f t="shared" si="12"/>
        <v/>
      </c>
      <c r="AF47" s="2989" cm="1">
        <f t="array" ref="AF47">INDEX('각층분기별_유효전력최대(전월)'!$L$4:$L$2020,MATCH(1, ('각층분기별_유효전력최대(전월)'!$J$4:$J$2020='7층~4층_매핑테이블'!AB47) * ('각층분기별_유효전력최대(전월)'!$K$4:$K$2020='7층~4층_매핑테이블'!AC47),0)) + INDEX('각층분기별_유효전력최대(전월)'!$L$4:$L$2020,MATCH(1, ('각층분기별_유효전력최대(전월)'!$J$4:$J$2020='7층~4층_매핑테이블'!AD47) * ('각층분기별_유효전력최대(전월)'!$K$4:$K$2020='7층~4층_매핑테이블'!AE47),0))</f>
        <v>0</v>
      </c>
    </row>
    <row r="48" spans="1:32" x14ac:dyDescent="0.25">
      <c r="A48" t="str">
        <f>B48&amp;C48</f>
        <v/>
      </c>
      <c r="B48" s="3099"/>
      <c r="C48" s="3098"/>
      <c r="D48" s="2989" t="str">
        <f t="shared" si="35"/>
        <v/>
      </c>
      <c r="E48" s="2989" t="str">
        <f t="shared" si="14"/>
        <v/>
      </c>
      <c r="F48" s="2989" t="str">
        <f t="shared" si="16"/>
        <v/>
      </c>
      <c r="G48" s="2989" t="str">
        <f t="shared" si="17"/>
        <v/>
      </c>
      <c r="H48" s="2989" cm="1">
        <f t="array" ref="H48">INDEX('각층분기별_유효전력최대(전월)'!$C$4:$C$2020,MATCH(1, ('각층분기별_유효전력최대(전월)'!$A$4:$A$2020='7층~4층_매핑테이블'!D48) * ('각층분기별_유효전력최대(전월)'!$B$4:$B$2020='7층~4층_매핑테이블'!E48),0)) + INDEX('각층분기별_유효전력최대(전월)'!$C$4:$C$2020,MATCH(1, ('각층분기별_유효전력최대(전월)'!$A$4:$A$2020='7층~4층_매핑테이블'!F48) * ('각층분기별_유효전력최대(전월)'!$B$4:$B$2020='7층~4층_매핑테이블'!G48),0))</f>
        <v>0</v>
      </c>
      <c r="I48" t="str">
        <f t="shared" si="30"/>
        <v>5-DaHall 1-PDU-13-20-195-DaHall 1-PDU-14-20-17</v>
      </c>
      <c r="J48" s="217" t="s">
        <v>9648</v>
      </c>
      <c r="K48" s="217" t="s">
        <v>9649</v>
      </c>
      <c r="L48" t="str">
        <f t="shared" si="2"/>
        <v>5-DaHall 1-PDU-13</v>
      </c>
      <c r="M48" t="str">
        <f t="shared" si="31"/>
        <v>[branch#019] [A] W</v>
      </c>
      <c r="N48" t="str">
        <f t="shared" si="32"/>
        <v>5-DaHall 1-PDU-14</v>
      </c>
      <c r="O48" t="str">
        <f t="shared" si="33"/>
        <v>[branch#017] [A] W</v>
      </c>
      <c r="P48" s="2989" cm="1">
        <f t="array" ref="P48">INDEX('각층분기별_유효전력최대(전월)'!$F$4:$F$2020,MATCH(1, ('각층분기별_유효전력최대(전월)'!$D$4:$D$2020='7층~4층_매핑테이블'!L48) * ('각층분기별_유효전력최대(전월)'!$E$4:$E$2020='7층~4층_매핑테이블'!M48),0)) + INDEX('각층분기별_유효전력최대(전월)'!$F$4:$F$2020,MATCH(1, ('각층분기별_유효전력최대(전월)'!$D$4:$D$2020='7층~4층_매핑테이블'!N48) * ('각층분기별_유효전력최대(전월)'!$E$4:$E$2020='7층~4층_매핑테이블'!O48),0))</f>
        <v>1.3819999999999999</v>
      </c>
      <c r="Q48" s="1" t="str">
        <f>R48&amp;S48</f>
        <v/>
      </c>
      <c r="R48" s="217"/>
      <c r="S48" s="217"/>
      <c r="T48" t="str">
        <f t="shared" si="7"/>
        <v/>
      </c>
      <c r="U48" t="str">
        <f>IF(IF(LEN((MID(R48,22,2)))=1, "[branch#0"&amp;0&amp;MID(R48,22,2)&amp;"] [A] W", "[branch#0"&amp;MID(R48,22,2)&amp;"] [A] W")="[branch#0] [A] W", "", IF(LEN((MID(R48,22,2)))=1, "[branch#0"&amp;0&amp;MID(R48,22,2)&amp;"] [A] W", "[branch#0"&amp;MID(R48,22,2)&amp;"] [A] W"))</f>
        <v/>
      </c>
      <c r="V48" t="str">
        <f>IF(MID(S48,16,2)="0","",MID(S48,1,15)&amp;MID(S48,16,2))</f>
        <v/>
      </c>
      <c r="W48" t="str">
        <f>IF(IF(LEN((MID(S48,22,2)))=1, "[branch#0"&amp;0&amp;MID(S48,22,2)&amp;"] [A] W", "[branch#0"&amp;MID(S48,22,2)&amp;"] [A] W")="[branch#0] [A] W", "", IF(LEN((MID(S48,22,2)))=1, "[branch#0"&amp;0&amp;MID(S48,22,2)&amp;"] [A] W", "[branch#0"&amp;MID(S48,22,2)&amp;"] [A] W"))</f>
        <v/>
      </c>
      <c r="X48" s="2989" cm="1">
        <f t="array" ref="X48">INDEX('각층분기별_유효전력최대(전월)'!$I$4:$I$2020,MATCH(1, ('각층분기별_유효전력최대(전월)'!$G$4:$G$2020='7층~4층_매핑테이블'!T48) * ('각층분기별_유효전력최대(전월)'!$H$4:$H$2020='7층~4층_매핑테이블'!U48),0)) + INDEX('각층분기별_유효전력최대(전월)'!$I$4:$I$2020,MATCH(1, ('각층분기별_유효전력최대(전월)'!$G$4:$G$2020='7층~4층_매핑테이블'!V48) * ('각층분기별_유효전력최대(전월)'!$H$4:$H$2020='7층~4층_매핑테이블'!W48),0))</f>
        <v>0</v>
      </c>
      <c r="Y48" s="3274" t="str">
        <f t="shared" ref="Y48" si="44">Z48&amp;AA48</f>
        <v/>
      </c>
      <c r="Z48" s="217"/>
      <c r="AA48" s="217"/>
      <c r="AB48" s="3274" t="str">
        <f>IF(MID(Z48,16,2)="0","",MID(Z48,1,15)&amp;MID(Z48,16,2))</f>
        <v/>
      </c>
      <c r="AD48" t="str">
        <f t="shared" si="12"/>
        <v/>
      </c>
      <c r="AF48" s="2989" cm="1">
        <f t="array" ref="AF48">INDEX('각층분기별_유효전력최대(전월)'!$L$4:$L$2020,MATCH(1, ('각층분기별_유효전력최대(전월)'!$J$4:$J$2020='7층~4층_매핑테이블'!AB48) * ('각층분기별_유효전력최대(전월)'!$K$4:$K$2020='7층~4층_매핑테이블'!AC48),0)) + INDEX('각층분기별_유효전력최대(전월)'!$L$4:$L$2020,MATCH(1, ('각층분기별_유효전력최대(전월)'!$J$4:$J$2020='7층~4층_매핑테이블'!AD48) * ('각층분기별_유효전력최대(전월)'!$K$4:$K$2020='7층~4층_매핑테이블'!AE48),0))</f>
        <v>0</v>
      </c>
    </row>
    <row r="49" spans="1:32" x14ac:dyDescent="0.25">
      <c r="A49" t="str">
        <f t="shared" ref="A49:A52" si="45">B49&amp;C49</f>
        <v/>
      </c>
      <c r="B49" s="3099"/>
      <c r="C49" s="3098"/>
      <c r="D49" s="2989" t="str">
        <f t="shared" si="35"/>
        <v/>
      </c>
      <c r="E49" s="2989" t="str">
        <f t="shared" si="14"/>
        <v/>
      </c>
      <c r="F49" s="2989" t="str">
        <f t="shared" si="16"/>
        <v/>
      </c>
      <c r="G49" s="2989" t="str">
        <f t="shared" si="17"/>
        <v/>
      </c>
      <c r="H49" s="2989" cm="1">
        <f t="array" ref="H49">INDEX('각층분기별_유효전력최대(전월)'!$C$4:$C$2020,MATCH(1, ('각층분기별_유효전력최대(전월)'!$A$4:$A$2020='7층~4층_매핑테이블'!D49) * ('각층분기별_유효전력최대(전월)'!$B$4:$B$2020='7층~4층_매핑테이블'!E49),0)) + INDEX('각층분기별_유효전력최대(전월)'!$C$4:$C$2020,MATCH(1, ('각층분기별_유효전력최대(전월)'!$A$4:$A$2020='7층~4층_매핑테이블'!F49) * ('각층분기별_유효전력최대(전월)'!$B$4:$B$2020='7층~4층_매핑테이블'!G49),0))</f>
        <v>0</v>
      </c>
      <c r="I49" t="str">
        <f t="shared" si="30"/>
        <v>5-DaHall 1-PDU-11-20-225-DaHall 1-PDU-12-20-22</v>
      </c>
      <c r="J49" s="217" t="s">
        <v>9650</v>
      </c>
      <c r="K49" s="217" t="s">
        <v>9651</v>
      </c>
      <c r="L49" t="str">
        <f t="shared" si="2"/>
        <v>5-DaHall 1-PDU-11</v>
      </c>
      <c r="M49" t="str">
        <f t="shared" si="31"/>
        <v>[branch#022] [A] W</v>
      </c>
      <c r="N49" t="str">
        <f t="shared" si="32"/>
        <v>5-DaHall 1-PDU-12</v>
      </c>
      <c r="O49" t="str">
        <f t="shared" si="33"/>
        <v>[branch#022] [A] W</v>
      </c>
      <c r="P49" s="2989" cm="1">
        <f t="array" ref="P49">INDEX('각층분기별_유효전력최대(전월)'!$F$4:$F$2020,MATCH(1, ('각층분기별_유효전력최대(전월)'!$D$4:$D$2020='7층~4층_매핑테이블'!L49) * ('각층분기별_유효전력최대(전월)'!$E$4:$E$2020='7층~4층_매핑테이블'!M49),0)) + INDEX('각층분기별_유효전력최대(전월)'!$F$4:$F$2020,MATCH(1, ('각층분기별_유효전력최대(전월)'!$D$4:$D$2020='7층~4층_매핑테이블'!N49) * ('각층분기별_유효전력최대(전월)'!$E$4:$E$2020='7층~4층_매핑테이블'!O49),0))</f>
        <v>0</v>
      </c>
      <c r="Q49" s="1" t="str">
        <f t="shared" ref="Q49" si="46">R49&amp;S49</f>
        <v/>
      </c>
      <c r="R49" s="217"/>
      <c r="S49" s="217"/>
      <c r="T49" t="str">
        <f t="shared" si="7"/>
        <v/>
      </c>
      <c r="U49" t="str">
        <f t="shared" ref="U49" si="47">IF(IF(LEN((MID(R49,22,2)))=1, "[branch#0"&amp;0&amp;MID(R49,22,2)&amp;"] [A] W", "[branch#0"&amp;MID(R49,22,2)&amp;"] [A] W")="[branch#0] [A] W", "", IF(LEN((MID(R49,22,2)))=1, "[branch#0"&amp;0&amp;MID(R49,22,2)&amp;"] [A] W", "[branch#0"&amp;MID(R49,22,2)&amp;"] [A] W"))</f>
        <v/>
      </c>
      <c r="V49" t="str">
        <f t="shared" ref="V49" si="48">IF(MID(S49,16,2)="0","",MID(S49,1,15)&amp;MID(S49,16,2))</f>
        <v/>
      </c>
      <c r="W49" t="str">
        <f t="shared" ref="W49" si="49">IF(IF(LEN((MID(S49,22,2)))=1, "[branch#0"&amp;0&amp;MID(S49,22,2)&amp;"] [A] W", "[branch#0"&amp;MID(S49,22,2)&amp;"] [A] W")="[branch#0] [A] W", "", IF(LEN((MID(S49,22,2)))=1, "[branch#0"&amp;0&amp;MID(S49,22,2)&amp;"] [A] W", "[branch#0"&amp;MID(S49,22,2)&amp;"] [A] W"))</f>
        <v/>
      </c>
      <c r="X49" s="2989" cm="1">
        <f t="array" ref="X49">INDEX('각층분기별_유효전력최대(전월)'!$I$4:$I$2020,MATCH(1, ('각층분기별_유효전력최대(전월)'!$G$4:$G$2020='7층~4층_매핑테이블'!T49) * ('각층분기별_유효전력최대(전월)'!$H$4:$H$2020='7층~4층_매핑테이블'!U49),0)) + INDEX('각층분기별_유효전력최대(전월)'!$I$4:$I$2020,MATCH(1, ('각층분기별_유효전력최대(전월)'!$G$4:$G$2020='7층~4층_매핑테이블'!V49) * ('각층분기별_유효전력최대(전월)'!$H$4:$H$2020='7층~4층_매핑테이블'!W49),0))</f>
        <v>0</v>
      </c>
      <c r="Y49" s="3274" t="str">
        <f>Z49&amp;AA49</f>
        <v>7-DaHall 1-A-3-50-477-DaHall 1-B-3-50-47</v>
      </c>
      <c r="Z49" s="217" t="s">
        <v>9652</v>
      </c>
      <c r="AA49" s="217" t="s">
        <v>9653</v>
      </c>
      <c r="AB49" s="3274" t="str">
        <f>IF(MID(Z49,16,2)="0","",MID(Z49,1,15)&amp;MID(Z49,16,2))</f>
        <v>7-DaHall 1-A-3-50</v>
      </c>
      <c r="AC49" t="s">
        <v>9528</v>
      </c>
      <c r="AD49" t="str">
        <f t="shared" si="12"/>
        <v>7-DaHall 1-B-3-50</v>
      </c>
      <c r="AE49" t="s">
        <v>9528</v>
      </c>
      <c r="AF49" s="2989" t="e" cm="1">
        <f t="array" ref="AF49">INDEX('각층분기별_유효전력최대(전월)'!$L$4:$L$2020,MATCH(1, ('각층분기별_유효전력최대(전월)'!$J$4:$J$2020='7층~4층_매핑테이블'!AB49) * ('각층분기별_유효전력최대(전월)'!$K$4:$K$2020='7층~4층_매핑테이블'!AC49),0)) + INDEX('각층분기별_유효전력최대(전월)'!$L$4:$L$2020,MATCH(1, ('각층분기별_유효전력최대(전월)'!$J$4:$J$2020='7층~4층_매핑테이블'!AD49) * ('각층분기별_유효전력최대(전월)'!$K$4:$K$2020='7층~4층_매핑테이블'!AE49),0))</f>
        <v>#N/A</v>
      </c>
    </row>
    <row r="50" spans="1:32" x14ac:dyDescent="0.25">
      <c r="A50" t="str">
        <f t="shared" si="45"/>
        <v/>
      </c>
      <c r="B50" s="3099"/>
      <c r="C50" s="3098"/>
      <c r="D50" s="2989" t="str">
        <f t="shared" si="35"/>
        <v/>
      </c>
      <c r="E50" s="2989" t="str">
        <f t="shared" si="14"/>
        <v/>
      </c>
      <c r="F50" s="2989" t="str">
        <f t="shared" si="16"/>
        <v/>
      </c>
      <c r="G50" s="2989" t="str">
        <f t="shared" si="17"/>
        <v/>
      </c>
      <c r="H50" s="2989" cm="1">
        <f t="array" ref="H50">INDEX('각층분기별_유효전력최대(전월)'!$C$4:$C$2020,MATCH(1, ('각층분기별_유효전력최대(전월)'!$A$4:$A$2020='7층~4층_매핑테이블'!D50) * ('각층분기별_유효전력최대(전월)'!$B$4:$B$2020='7층~4층_매핑테이블'!E50),0)) + INDEX('각층분기별_유효전력최대(전월)'!$C$4:$C$2020,MATCH(1, ('각층분기별_유효전력최대(전월)'!$A$4:$A$2020='7층~4층_매핑테이블'!F50) * ('각층분기별_유효전력최대(전월)'!$B$4:$B$2020='7층~4층_매핑테이블'!G50),0))</f>
        <v>0</v>
      </c>
      <c r="I50" t="str">
        <f t="shared" si="30"/>
        <v>5-DaHall 1-PDU-13-20-215-DaHall 1-PDU-14-20-19</v>
      </c>
      <c r="J50" s="217" t="s">
        <v>9654</v>
      </c>
      <c r="K50" s="217" t="s">
        <v>9655</v>
      </c>
      <c r="L50" t="str">
        <f t="shared" si="2"/>
        <v>5-DaHall 1-PDU-13</v>
      </c>
      <c r="M50" t="str">
        <f t="shared" si="31"/>
        <v>[branch#021] [A] W</v>
      </c>
      <c r="N50" t="str">
        <f t="shared" si="32"/>
        <v>5-DaHall 1-PDU-14</v>
      </c>
      <c r="O50" t="str">
        <f t="shared" si="33"/>
        <v>[branch#019] [A] W</v>
      </c>
      <c r="P50" s="2989" cm="1">
        <f t="array" ref="P50">INDEX('각층분기별_유효전력최대(전월)'!$F$4:$F$2020,MATCH(1, ('각층분기별_유효전력최대(전월)'!$D$4:$D$2020='7층~4층_매핑테이블'!L50) * ('각층분기별_유효전력최대(전월)'!$E$4:$E$2020='7층~4층_매핑테이블'!M50),0)) + INDEX('각층분기별_유효전력최대(전월)'!$F$4:$F$2020,MATCH(1, ('각층분기별_유효전력최대(전월)'!$D$4:$D$2020='7층~4층_매핑테이블'!N50) * ('각층분기별_유효전력최대(전월)'!$E$4:$E$2020='7층~4층_매핑테이블'!O50),0))</f>
        <v>1.2669999999999999</v>
      </c>
      <c r="Q50" s="1" t="str">
        <f>R50&amp;S50</f>
        <v>6-DaHall 1-PDU-03-30-406-DaHall 1-PDU-04-30-40</v>
      </c>
      <c r="R50" s="217" t="s">
        <v>9656</v>
      </c>
      <c r="S50" s="217" t="s">
        <v>9657</v>
      </c>
      <c r="T50" t="str">
        <f t="shared" si="7"/>
        <v>6-DaHall 1-PDU-03</v>
      </c>
      <c r="U50" t="str">
        <f>IF(IF(LEN((MID(R50,22,2)))=1, "[branch#0"&amp;0&amp;MID(R50,22,2)&amp;"] [A] W", "[branch#0"&amp;MID(R50,22,2)&amp;"] [A] W")="[branch#0] [A] W", "", IF(LEN((MID(R50,22,2)))=1, "[branch#0"&amp;0&amp;MID(R50,22,2)&amp;"] [A] W", "[branch#0"&amp;MID(R50,22,2)&amp;"] [A] W"))</f>
        <v>[branch#040] [A] W</v>
      </c>
      <c r="V50" t="str">
        <f>IF(MID(S50,16,2)="0","",MID(S50,1,15)&amp;MID(S50,16,2))</f>
        <v>6-DaHall 1-PDU-04</v>
      </c>
      <c r="W50" t="str">
        <f>IF(IF(LEN((MID(S50,22,2)))=1, "[branch#0"&amp;0&amp;MID(S50,22,2)&amp;"] [A] W", "[branch#0"&amp;MID(S50,22,2)&amp;"] [A] W")="[branch#0] [A] W", "", IF(LEN((MID(S50,22,2)))=1, "[branch#0"&amp;0&amp;MID(S50,22,2)&amp;"] [A] W", "[branch#0"&amp;MID(S50,22,2)&amp;"] [A] W"))</f>
        <v>[branch#040] [A] W</v>
      </c>
      <c r="X50" s="2989" cm="1">
        <f t="array" ref="X50">INDEX('각층분기별_유효전력최대(전월)'!$I$4:$I$2020,MATCH(1, ('각층분기별_유효전력최대(전월)'!$G$4:$G$2020='7층~4층_매핑테이블'!T50) * ('각층분기별_유효전력최대(전월)'!$H$4:$H$2020='7층~4층_매핑테이블'!U50),0)) + INDEX('각층분기별_유효전력최대(전월)'!$I$4:$I$2020,MATCH(1, ('각층분기별_유효전력최대(전월)'!$G$4:$G$2020='7층~4층_매핑테이블'!V50) * ('각층분기별_유효전력최대(전월)'!$H$4:$H$2020='7층~4층_매핑테이블'!W50),0))</f>
        <v>0</v>
      </c>
      <c r="Y50" s="3274" t="str">
        <f t="shared" ref="Y50:Y59" si="50">Z50&amp;AA50</f>
        <v>7-DaHall 1-A-3-50-467-DaHall 1-B-3-50-46</v>
      </c>
      <c r="Z50" s="217" t="s">
        <v>9658</v>
      </c>
      <c r="AA50" s="217" t="s">
        <v>9659</v>
      </c>
      <c r="AB50" s="3274" t="str">
        <f>IF(MID(Z50,16,2)="0","",MID(Z50,1,15)&amp;MID(Z50,16,2))</f>
        <v>7-DaHall 1-A-3-50</v>
      </c>
      <c r="AC50" t="s">
        <v>9401</v>
      </c>
      <c r="AD50" t="str">
        <f t="shared" si="12"/>
        <v>7-DaHall 1-B-3-50</v>
      </c>
      <c r="AE50" t="s">
        <v>9401</v>
      </c>
      <c r="AF50" s="2989" t="e" cm="1">
        <f t="array" ref="AF50">INDEX('각층분기별_유효전력최대(전월)'!$L$4:$L$2020,MATCH(1, ('각층분기별_유효전력최대(전월)'!$J$4:$J$2020='7층~4층_매핑테이블'!AB50) * ('각층분기별_유효전력최대(전월)'!$K$4:$K$2020='7층~4층_매핑테이블'!AC50),0)) + INDEX('각층분기별_유효전력최대(전월)'!$L$4:$L$2020,MATCH(1, ('각층분기별_유효전력최대(전월)'!$J$4:$J$2020='7층~4층_매핑테이블'!AD50) * ('각층분기별_유효전력최대(전월)'!$K$4:$K$2020='7층~4층_매핑테이블'!AE50),0))</f>
        <v>#N/A</v>
      </c>
    </row>
    <row r="51" spans="1:32" x14ac:dyDescent="0.25">
      <c r="A51" t="str">
        <f t="shared" si="45"/>
        <v/>
      </c>
      <c r="B51" s="3099"/>
      <c r="C51" s="3098"/>
      <c r="D51" s="2989" t="str">
        <f t="shared" si="35"/>
        <v/>
      </c>
      <c r="E51" s="2989" t="str">
        <f t="shared" si="14"/>
        <v/>
      </c>
      <c r="F51" s="2989" t="str">
        <f t="shared" si="16"/>
        <v/>
      </c>
      <c r="G51" s="2989" t="str">
        <f t="shared" si="17"/>
        <v/>
      </c>
      <c r="H51" s="2989" cm="1">
        <f t="array" ref="H51">INDEX('각층분기별_유효전력최대(전월)'!$C$4:$C$2020,MATCH(1, ('각층분기별_유효전력최대(전월)'!$A$4:$A$2020='7층~4층_매핑테이블'!D51) * ('각층분기별_유효전력최대(전월)'!$B$4:$B$2020='7층~4층_매핑테이블'!E51),0)) + INDEX('각층분기별_유효전력최대(전월)'!$C$4:$C$2020,MATCH(1, ('각층분기별_유효전력최대(전월)'!$A$4:$A$2020='7층~4층_매핑테이블'!F51) * ('각층분기별_유효전력최대(전월)'!$B$4:$B$2020='7층~4층_매핑테이블'!G51),0))</f>
        <v>0</v>
      </c>
      <c r="I51" t="str">
        <f t="shared" si="30"/>
        <v>5-DaHall 1-PDU-13-20-235-DaHall 1-PDU-14-20-21</v>
      </c>
      <c r="J51" s="217" t="s">
        <v>9660</v>
      </c>
      <c r="K51" s="217" t="s">
        <v>9661</v>
      </c>
      <c r="L51" t="str">
        <f t="shared" si="2"/>
        <v>5-DaHall 1-PDU-13</v>
      </c>
      <c r="M51" t="str">
        <f t="shared" si="31"/>
        <v>[branch#023] [A] W</v>
      </c>
      <c r="N51" t="str">
        <f t="shared" si="32"/>
        <v>5-DaHall 1-PDU-14</v>
      </c>
      <c r="O51" t="str">
        <f t="shared" si="33"/>
        <v>[branch#021] [A] W</v>
      </c>
      <c r="P51" s="2989" cm="1">
        <f t="array" ref="P51">INDEX('각층분기별_유효전력최대(전월)'!$F$4:$F$2020,MATCH(1, ('각층분기별_유효전력최대(전월)'!$D$4:$D$2020='7층~4층_매핑테이블'!L51) * ('각층분기별_유효전력최대(전월)'!$E$4:$E$2020='7층~4층_매핑테이블'!M51),0)) + INDEX('각층분기별_유효전력최대(전월)'!$F$4:$F$2020,MATCH(1, ('각층분기별_유효전력최대(전월)'!$D$4:$D$2020='7층~4층_매핑테이블'!N51) * ('각층분기별_유효전력최대(전월)'!$E$4:$E$2020='7층~4층_매핑테이블'!O51),0))</f>
        <v>2.9870000000000001</v>
      </c>
      <c r="Q51" s="1" t="str">
        <f t="shared" ref="Q51:Q59" si="51">R51&amp;S51</f>
        <v>6-DaHall 1-PDU-03-30-426-DaHall 1-PDU-04-30-42</v>
      </c>
      <c r="R51" s="217" t="s">
        <v>9662</v>
      </c>
      <c r="S51" s="217" t="s">
        <v>9663</v>
      </c>
      <c r="T51" t="str">
        <f t="shared" si="7"/>
        <v>6-DaHall 1-PDU-03</v>
      </c>
      <c r="U51" t="str">
        <f t="shared" ref="U51:U59" si="52">IF(IF(LEN((MID(R51,22,2)))=1, "[branch#0"&amp;0&amp;MID(R51,22,2)&amp;"] [A] W", "[branch#0"&amp;MID(R51,22,2)&amp;"] [A] W")="[branch#0] [A] W", "", IF(LEN((MID(R51,22,2)))=1, "[branch#0"&amp;0&amp;MID(R51,22,2)&amp;"] [A] W", "[branch#0"&amp;MID(R51,22,2)&amp;"] [A] W"))</f>
        <v>[branch#042] [A] W</v>
      </c>
      <c r="V51" t="str">
        <f t="shared" ref="V51:V59" si="53">IF(MID(S51,16,2)="0","",MID(S51,1,15)&amp;MID(S51,16,2))</f>
        <v>6-DaHall 1-PDU-04</v>
      </c>
      <c r="W51" t="str">
        <f t="shared" ref="W51:W59" si="54">IF(IF(LEN((MID(S51,22,2)))=1, "[branch#0"&amp;0&amp;MID(S51,22,2)&amp;"] [A] W", "[branch#0"&amp;MID(S51,22,2)&amp;"] [A] W")="[branch#0] [A] W", "", IF(LEN((MID(S51,22,2)))=1, "[branch#0"&amp;0&amp;MID(S51,22,2)&amp;"] [A] W", "[branch#0"&amp;MID(S51,22,2)&amp;"] [A] W"))</f>
        <v>[branch#042] [A] W</v>
      </c>
      <c r="X51" s="2989" cm="1">
        <f t="array" ref="X51">INDEX('각층분기별_유효전력최대(전월)'!$I$4:$I$2020,MATCH(1, ('각층분기별_유효전력최대(전월)'!$G$4:$G$2020='7층~4층_매핑테이블'!T51) * ('각층분기별_유효전력최대(전월)'!$H$4:$H$2020='7층~4층_매핑테이블'!U51),0)) + INDEX('각층분기별_유효전력최대(전월)'!$I$4:$I$2020,MATCH(1, ('각층분기별_유효전력최대(전월)'!$G$4:$G$2020='7층~4층_매핑테이블'!V51) * ('각층분기별_유효전력최대(전월)'!$H$4:$H$2020='7층~4층_매핑테이블'!W51),0))</f>
        <v>0</v>
      </c>
      <c r="Y51" s="3274" t="str">
        <f t="shared" si="50"/>
        <v>7-DaHall 1-A-3-50-447-DaHall 1-B-3-50-44</v>
      </c>
      <c r="Z51" s="217" t="s">
        <v>9664</v>
      </c>
      <c r="AA51" s="217" t="s">
        <v>9665</v>
      </c>
      <c r="AB51" s="3274" t="str">
        <f t="shared" ref="AB51:AB56" si="55">IF(MID(Z51,16,2)="0","",MID(Z51,1,15)&amp;MID(Z51,16,2))</f>
        <v>7-DaHall 1-A-3-50</v>
      </c>
      <c r="AC51" t="s">
        <v>9389</v>
      </c>
      <c r="AD51" t="str">
        <f t="shared" si="12"/>
        <v>7-DaHall 1-B-3-50</v>
      </c>
      <c r="AE51" t="s">
        <v>9389</v>
      </c>
      <c r="AF51" s="2989" t="e" cm="1">
        <f t="array" ref="AF51">INDEX('각층분기별_유효전력최대(전월)'!$L$4:$L$2020,MATCH(1, ('각층분기별_유효전력최대(전월)'!$J$4:$J$2020='7층~4층_매핑테이블'!AB51) * ('각층분기별_유효전력최대(전월)'!$K$4:$K$2020='7층~4층_매핑테이블'!AC51),0)) + INDEX('각층분기별_유효전력최대(전월)'!$L$4:$L$2020,MATCH(1, ('각층분기별_유효전력최대(전월)'!$J$4:$J$2020='7층~4층_매핑테이블'!AD51) * ('각층분기별_유효전력최대(전월)'!$K$4:$K$2020='7층~4층_매핑테이블'!AE51),0))</f>
        <v>#N/A</v>
      </c>
    </row>
    <row r="52" spans="1:32" x14ac:dyDescent="0.25">
      <c r="A52" t="str">
        <f t="shared" si="45"/>
        <v/>
      </c>
      <c r="B52" s="217"/>
      <c r="C52" s="217"/>
      <c r="D52" s="2989" t="str">
        <f t="shared" si="35"/>
        <v/>
      </c>
      <c r="E52" s="2989" t="str">
        <f t="shared" si="14"/>
        <v/>
      </c>
      <c r="F52" s="2989" t="str">
        <f t="shared" si="16"/>
        <v/>
      </c>
      <c r="G52" s="2989" t="str">
        <f t="shared" si="17"/>
        <v/>
      </c>
      <c r="H52" s="2989" cm="1">
        <f t="array" ref="H52">INDEX('각층분기별_유효전력최대(전월)'!$C$4:$C$2020,MATCH(1, ('각층분기별_유효전력최대(전월)'!$A$4:$A$2020='7층~4층_매핑테이블'!D52) * ('각층분기별_유효전력최대(전월)'!$B$4:$B$2020='7층~4층_매핑테이블'!E52),0)) + INDEX('각층분기별_유효전력최대(전월)'!$C$4:$C$2020,MATCH(1, ('각층분기별_유효전력최대(전월)'!$A$4:$A$2020='7층~4층_매핑테이블'!F52) * ('각층분기별_유효전력최대(전월)'!$B$4:$B$2020='7층~4층_매핑테이블'!G52),0))</f>
        <v>0</v>
      </c>
      <c r="I52" t="str">
        <f t="shared" si="30"/>
        <v>5-DaHall 1-PDU-11-20-30</v>
      </c>
      <c r="J52" s="217" t="s">
        <v>9666</v>
      </c>
      <c r="K52" s="217"/>
      <c r="L52" t="str">
        <f t="shared" si="2"/>
        <v>5-DaHall 1-PDU-11</v>
      </c>
      <c r="M52" t="str">
        <f t="shared" si="31"/>
        <v>[branch#030] [A] W</v>
      </c>
      <c r="N52" t="str">
        <f>IF(MID(K52,16,2)="0","",MID(K52,1,15)&amp;MID(K52,16,2))</f>
        <v/>
      </c>
      <c r="O52" t="str">
        <f>IF(IF(LEN((MID(K52,22,2)))=1, "[branch#0"&amp;0&amp;MID(K52,22,2)&amp;"] [A] W", "[branch#0"&amp;MID(K52,22,2)&amp;"] [A] W")="[branch#0] [A] W", "", IF(LEN((MID(K52,22,2)))=1, "[branch#0"&amp;0&amp;MID(K52,22,2)&amp;"] [A] W", "[branch#0"&amp;MID(K52,22,2)&amp;"] [A] W"))</f>
        <v/>
      </c>
      <c r="P52" s="2989" cm="1">
        <f t="array" ref="P52">INDEX('각층분기별_유효전력최대(전월)'!$F$4:$F$2020,MATCH(1, ('각층분기별_유효전력최대(전월)'!$D$4:$D$2020='7층~4층_매핑테이블'!L52) * ('각층분기별_유효전력최대(전월)'!$E$4:$E$2020='7층~4층_매핑테이블'!M52),0)) + INDEX('각층분기별_유효전력최대(전월)'!$F$4:$F$2020,MATCH(1, ('각층분기별_유효전력최대(전월)'!$D$4:$D$2020='7층~4층_매핑테이블'!N52) * ('각층분기별_유효전력최대(전월)'!$E$4:$E$2020='7층~4층_매핑테이블'!O52),0))</f>
        <v>0</v>
      </c>
      <c r="Q52" s="1" t="str">
        <f t="shared" si="51"/>
        <v>6-DaHall 1-PDU-03-30-446-DaHall 1-PDU-04-30-44</v>
      </c>
      <c r="R52" s="217" t="s">
        <v>9667</v>
      </c>
      <c r="S52" s="217" t="s">
        <v>9668</v>
      </c>
      <c r="T52" t="str">
        <f t="shared" si="7"/>
        <v>6-DaHall 1-PDU-03</v>
      </c>
      <c r="U52" t="str">
        <f t="shared" si="52"/>
        <v>[branch#044] [A] W</v>
      </c>
      <c r="V52" t="str">
        <f t="shared" si="53"/>
        <v>6-DaHall 1-PDU-04</v>
      </c>
      <c r="W52" t="str">
        <f t="shared" si="54"/>
        <v>[branch#044] [A] W</v>
      </c>
      <c r="X52" s="2989" cm="1">
        <f t="array" ref="X52">INDEX('각층분기별_유효전력최대(전월)'!$I$4:$I$2020,MATCH(1, ('각층분기별_유효전력최대(전월)'!$G$4:$G$2020='7층~4층_매핑테이블'!T52) * ('각층분기별_유효전력최대(전월)'!$H$4:$H$2020='7층~4층_매핑테이블'!U52),0)) + INDEX('각층분기별_유효전력최대(전월)'!$I$4:$I$2020,MATCH(1, ('각층분기별_유효전력최대(전월)'!$G$4:$G$2020='7층~4층_매핑테이블'!V52) * ('각층분기별_유효전력최대(전월)'!$H$4:$H$2020='7층~4층_매핑테이블'!W52),0))</f>
        <v>0</v>
      </c>
      <c r="Y52" s="3274" t="str">
        <f t="shared" si="50"/>
        <v>7-DaHall 1-PDU-01-30-487-DaHall 1-PDU-02-30-48</v>
      </c>
      <c r="Z52" s="217" t="s">
        <v>9669</v>
      </c>
      <c r="AA52" s="217" t="s">
        <v>9670</v>
      </c>
      <c r="AB52" s="3274" t="str">
        <f t="shared" si="55"/>
        <v>7-DaHall 1-PDU-01</v>
      </c>
      <c r="AC52" t="s">
        <v>9524</v>
      </c>
      <c r="AD52" t="str">
        <f t="shared" si="12"/>
        <v>7-DaHall 1-PDU-02</v>
      </c>
      <c r="AE52" t="s">
        <v>9524</v>
      </c>
      <c r="AF52" s="2989" cm="1">
        <f t="array" ref="AF52">INDEX('각층분기별_유효전력최대(전월)'!$L$4:$L$2020,MATCH(1, ('각층분기별_유효전력최대(전월)'!$J$4:$J$2020='7층~4층_매핑테이블'!AB52) * ('각층분기별_유효전력최대(전월)'!$K$4:$K$2020='7층~4층_매핑테이블'!AC52),0)) + INDEX('각층분기별_유효전력최대(전월)'!$L$4:$L$2020,MATCH(1, ('각층분기별_유효전력최대(전월)'!$J$4:$J$2020='7층~4층_매핑테이블'!AD52) * ('각층분기별_유효전력최대(전월)'!$K$4:$K$2020='7층~4층_매핑테이블'!AE52),0))</f>
        <v>1.4830000000000001</v>
      </c>
    </row>
    <row r="53" spans="1:32" x14ac:dyDescent="0.25">
      <c r="A53" t="str">
        <f>B53&amp;C53</f>
        <v>4-DaHall 1-PDU-08-100-104-DaHall 1-PDU-07-100-10</v>
      </c>
      <c r="B53" s="217" t="s">
        <v>9671</v>
      </c>
      <c r="C53" s="217" t="s">
        <v>9672</v>
      </c>
      <c r="D53" s="2989" t="str">
        <f t="shared" si="35"/>
        <v>4-DaHall 1-PDU-08</v>
      </c>
      <c r="E53" s="2989" t="str">
        <f t="shared" si="14"/>
        <v>[branch#010] [A] W</v>
      </c>
      <c r="F53" s="2989" t="str">
        <f t="shared" si="16"/>
        <v>4-DaHall 1-PDU-07</v>
      </c>
      <c r="G53" s="2989" t="str">
        <f t="shared" si="17"/>
        <v>[branch#010] [A] W</v>
      </c>
      <c r="H53" s="2989" cm="1">
        <f t="array" ref="H53">INDEX('각층분기별_유효전력최대(전월)'!$C$4:$C$2020,MATCH(1, ('각층분기별_유효전력최대(전월)'!$A$4:$A$2020='7층~4층_매핑테이블'!D53) * ('각층분기별_유효전력최대(전월)'!$B$4:$B$2020='7층~4층_매핑테이블'!E53),0)) + INDEX('각층분기별_유효전력최대(전월)'!$C$4:$C$2020,MATCH(1, ('각층분기별_유효전력최대(전월)'!$A$4:$A$2020='7층~4층_매핑테이블'!F53) * ('각층분기별_유효전력최대(전월)'!$B$4:$B$2020='7층~4층_매핑테이블'!G53),0))</f>
        <v>0</v>
      </c>
      <c r="I53" t="str">
        <f t="shared" si="30"/>
        <v>5-DaHall 1-PDU-13-20-255-DaHall 1-PDU-14-20-23</v>
      </c>
      <c r="J53" s="217" t="s">
        <v>9673</v>
      </c>
      <c r="K53" s="217" t="s">
        <v>9674</v>
      </c>
      <c r="L53" t="str">
        <f t="shared" si="2"/>
        <v>5-DaHall 1-PDU-13</v>
      </c>
      <c r="M53" t="str">
        <f t="shared" si="31"/>
        <v>[branch#025] [A] W</v>
      </c>
      <c r="N53" t="str">
        <f t="shared" ref="N53:N103" si="56">IF(MID(K53,16,2)="0","",MID(K53,1,15)&amp;MID(K53,16,2))</f>
        <v>5-DaHall 1-PDU-14</v>
      </c>
      <c r="O53" t="str">
        <f t="shared" ref="O53:O103" si="57">IF(IF(LEN((MID(K53,22,2)))=1, "[branch#0"&amp;0&amp;MID(K53,22,2)&amp;"] [A] W", "[branch#0"&amp;MID(K53,22,2)&amp;"] [A] W")="[branch#0] [A] W", "", IF(LEN((MID(K53,22,2)))=1, "[branch#0"&amp;0&amp;MID(K53,22,2)&amp;"] [A] W", "[branch#0"&amp;MID(K53,22,2)&amp;"] [A] W"))</f>
        <v>[branch#023] [A] W</v>
      </c>
      <c r="P53" s="2989" cm="1">
        <f t="array" ref="P53">INDEX('각층분기별_유효전력최대(전월)'!$F$4:$F$2020,MATCH(1, ('각층분기별_유효전력최대(전월)'!$D$4:$D$2020='7층~4층_매핑테이블'!L53) * ('각층분기별_유효전력최대(전월)'!$E$4:$E$2020='7층~4층_매핑테이블'!M53),0)) + INDEX('각층분기별_유효전력최대(전월)'!$F$4:$F$2020,MATCH(1, ('각층분기별_유효전력최대(전월)'!$D$4:$D$2020='7층~4층_매핑테이블'!N53) * ('각층분기별_유효전력최대(전월)'!$E$4:$E$2020='7층~4층_매핑테이블'!O53),0))</f>
        <v>1.093</v>
      </c>
      <c r="Q53" s="1" t="str">
        <f t="shared" si="51"/>
        <v>6-DaHall 1-PDU-03-30-466-DaHall 1-PDU-04-30-46</v>
      </c>
      <c r="R53" s="217" t="s">
        <v>9675</v>
      </c>
      <c r="S53" s="217" t="s">
        <v>9676</v>
      </c>
      <c r="T53" t="str">
        <f t="shared" si="7"/>
        <v>6-DaHall 1-PDU-03</v>
      </c>
      <c r="U53" t="str">
        <f t="shared" si="52"/>
        <v>[branch#046] [A] W</v>
      </c>
      <c r="V53" t="str">
        <f t="shared" si="53"/>
        <v>6-DaHall 1-PDU-04</v>
      </c>
      <c r="W53" t="str">
        <f t="shared" si="54"/>
        <v>[branch#046] [A] W</v>
      </c>
      <c r="X53" s="2989" cm="1">
        <f t="array" ref="X53">INDEX('각층분기별_유효전력최대(전월)'!$I$4:$I$2020,MATCH(1, ('각층분기별_유효전력최대(전월)'!$G$4:$G$2020='7층~4층_매핑테이블'!T53) * ('각층분기별_유효전력최대(전월)'!$H$4:$H$2020='7층~4층_매핑테이블'!U53),0)) + INDEX('각층분기별_유효전력최대(전월)'!$I$4:$I$2020,MATCH(1, ('각층분기별_유효전력최대(전월)'!$G$4:$G$2020='7층~4층_매핑테이블'!V53) * ('각층분기별_유효전력최대(전월)'!$H$4:$H$2020='7층~4층_매핑테이블'!W53),0))</f>
        <v>0</v>
      </c>
      <c r="Y53" s="3274" t="str">
        <f t="shared" si="50"/>
        <v>7-DaHall 1-A-3-50-417-DaHall 1-B-3-50-41</v>
      </c>
      <c r="Z53" s="217" t="s">
        <v>9677</v>
      </c>
      <c r="AA53" s="217" t="s">
        <v>9678</v>
      </c>
      <c r="AB53" s="3274" t="str">
        <f t="shared" si="55"/>
        <v>7-DaHall 1-A-3-50</v>
      </c>
      <c r="AC53" t="s">
        <v>9481</v>
      </c>
      <c r="AD53" t="str">
        <f t="shared" si="12"/>
        <v>7-DaHall 1-B-3-50</v>
      </c>
      <c r="AE53" t="s">
        <v>9481</v>
      </c>
      <c r="AF53" s="2989" t="e" cm="1">
        <f t="array" ref="AF53">INDEX('각층분기별_유효전력최대(전월)'!$L$4:$L$2020,MATCH(1, ('각층분기별_유효전력최대(전월)'!$J$4:$J$2020='7층~4층_매핑테이블'!AB53) * ('각층분기별_유효전력최대(전월)'!$K$4:$K$2020='7층~4층_매핑테이블'!AC53),0)) + INDEX('각층분기별_유효전력최대(전월)'!$L$4:$L$2020,MATCH(1, ('각층분기별_유효전력최대(전월)'!$J$4:$J$2020='7층~4층_매핑테이블'!AD53) * ('각층분기별_유효전력최대(전월)'!$K$4:$K$2020='7층~4층_매핑테이블'!AE53),0))</f>
        <v>#N/A</v>
      </c>
    </row>
    <row r="54" spans="1:32" x14ac:dyDescent="0.25">
      <c r="A54" t="str">
        <f>B54&amp;C54</f>
        <v/>
      </c>
      <c r="B54" s="217"/>
      <c r="C54" s="217"/>
      <c r="D54" s="2989" t="str">
        <f t="shared" si="35"/>
        <v/>
      </c>
      <c r="E54" s="2989" t="str">
        <f t="shared" si="14"/>
        <v/>
      </c>
      <c r="F54" s="2989" t="str">
        <f t="shared" si="16"/>
        <v/>
      </c>
      <c r="G54" s="2989" t="str">
        <f t="shared" si="17"/>
        <v/>
      </c>
      <c r="H54" s="2989" cm="1">
        <f t="array" ref="H54">INDEX('각층분기별_유효전력최대(전월)'!$C$4:$C$2020,MATCH(1, ('각층분기별_유효전력최대(전월)'!$A$4:$A$2020='7층~4층_매핑테이블'!D54) * ('각층분기별_유효전력최대(전월)'!$B$4:$B$2020='7층~4층_매핑테이블'!E54),0)) + INDEX('각층분기별_유효전력최대(전월)'!$C$4:$C$2020,MATCH(1, ('각층분기별_유효전력최대(전월)'!$A$4:$A$2020='7층~4층_매핑테이블'!F54) * ('각층분기별_유효전력최대(전월)'!$B$4:$B$2020='7층~4층_매핑테이블'!G54),0))</f>
        <v>0</v>
      </c>
      <c r="I54" t="str">
        <f t="shared" si="30"/>
        <v>5-DaHall 1-PDU-13-20-315-DaHall 1-PDU-14-20-29</v>
      </c>
      <c r="J54" s="217" t="s">
        <v>9679</v>
      </c>
      <c r="K54" s="217" t="s">
        <v>9680</v>
      </c>
      <c r="L54" t="str">
        <f t="shared" si="2"/>
        <v>5-DaHall 1-PDU-13</v>
      </c>
      <c r="M54" t="str">
        <f t="shared" si="31"/>
        <v>[branch#031] [A] W</v>
      </c>
      <c r="N54" t="str">
        <f t="shared" si="56"/>
        <v>5-DaHall 1-PDU-14</v>
      </c>
      <c r="O54" t="str">
        <f t="shared" si="57"/>
        <v>[branch#029] [A] W</v>
      </c>
      <c r="P54" s="2989" cm="1">
        <f t="array" ref="P54">INDEX('각층분기별_유효전력최대(전월)'!$F$4:$F$2020,MATCH(1, ('각층분기별_유효전력최대(전월)'!$D$4:$D$2020='7층~4층_매핑테이블'!L54) * ('각층분기별_유효전력최대(전월)'!$E$4:$E$2020='7층~4층_매핑테이블'!M54),0)) + INDEX('각층분기별_유효전력최대(전월)'!$F$4:$F$2020,MATCH(1, ('각층분기별_유효전력최대(전월)'!$D$4:$D$2020='7층~4층_매핑테이블'!N54) * ('각층분기별_유효전력최대(전월)'!$E$4:$E$2020='7층~4층_매핑테이블'!O54),0))</f>
        <v>0</v>
      </c>
      <c r="Q54" s="1" t="str">
        <f t="shared" si="51"/>
        <v>6-DaHall 1-PDU-03-30-486-DaHall 1-PDU-04-30-48</v>
      </c>
      <c r="R54" s="217" t="s">
        <v>9681</v>
      </c>
      <c r="S54" s="217" t="s">
        <v>9682</v>
      </c>
      <c r="T54" t="str">
        <f t="shared" si="7"/>
        <v>6-DaHall 1-PDU-03</v>
      </c>
      <c r="U54" t="str">
        <f t="shared" si="52"/>
        <v>[branch#048] [A] W</v>
      </c>
      <c r="V54" t="str">
        <f t="shared" si="53"/>
        <v>6-DaHall 1-PDU-04</v>
      </c>
      <c r="W54" t="str">
        <f t="shared" si="54"/>
        <v>[branch#048] [A] W</v>
      </c>
      <c r="X54" s="2989" cm="1">
        <f t="array" ref="X54">INDEX('각층분기별_유효전력최대(전월)'!$I$4:$I$2020,MATCH(1, ('각층분기별_유효전력최대(전월)'!$G$4:$G$2020='7층~4층_매핑테이블'!T54) * ('각층분기별_유효전력최대(전월)'!$H$4:$H$2020='7층~4층_매핑테이블'!U54),0)) + INDEX('각층분기별_유효전력최대(전월)'!$I$4:$I$2020,MATCH(1, ('각층분기별_유효전력최대(전월)'!$G$4:$G$2020='7층~4층_매핑테이블'!V54) * ('각층분기별_유효전력최대(전월)'!$H$4:$H$2020='7층~4층_매핑테이블'!W54),0))</f>
        <v>0</v>
      </c>
      <c r="Y54" s="3274" t="str">
        <f t="shared" si="50"/>
        <v>7-DaHall 1-A-3-50-107-DaHall 1-B-3-50-10</v>
      </c>
      <c r="Z54" s="217" t="s">
        <v>9683</v>
      </c>
      <c r="AA54" s="217" t="s">
        <v>9684</v>
      </c>
      <c r="AB54" s="3274" t="str">
        <f t="shared" si="55"/>
        <v>7-DaHall 1-A-3-50</v>
      </c>
      <c r="AC54" t="s">
        <v>9500</v>
      </c>
      <c r="AD54" t="str">
        <f t="shared" si="12"/>
        <v>7-DaHall 1-B-3-50</v>
      </c>
      <c r="AE54" t="s">
        <v>9500</v>
      </c>
      <c r="AF54" s="2989" t="e" cm="1">
        <f t="array" ref="AF54">INDEX('각층분기별_유효전력최대(전월)'!$L$4:$L$2020,MATCH(1, ('각층분기별_유효전력최대(전월)'!$J$4:$J$2020='7층~4층_매핑테이블'!AB54) * ('각층분기별_유효전력최대(전월)'!$K$4:$K$2020='7층~4층_매핑테이블'!AC54),0)) + INDEX('각층분기별_유효전력최대(전월)'!$L$4:$L$2020,MATCH(1, ('각층분기별_유효전력최대(전월)'!$J$4:$J$2020='7층~4층_매핑테이블'!AD54) * ('각층분기별_유효전력최대(전월)'!$K$4:$K$2020='7층~4층_매핑테이블'!AE54),0))</f>
        <v>#N/A</v>
      </c>
    </row>
    <row r="55" spans="1:32" x14ac:dyDescent="0.25">
      <c r="A55" t="str">
        <f t="shared" ref="A55" si="58">B55&amp;C55</f>
        <v/>
      </c>
      <c r="B55" s="217"/>
      <c r="C55" s="217"/>
      <c r="D55" s="2989" t="str">
        <f t="shared" si="35"/>
        <v/>
      </c>
      <c r="E55" s="2989" t="str">
        <f t="shared" si="14"/>
        <v/>
      </c>
      <c r="F55" s="2989" t="str">
        <f t="shared" si="16"/>
        <v/>
      </c>
      <c r="G55" s="2989" t="str">
        <f t="shared" si="17"/>
        <v/>
      </c>
      <c r="H55" s="2989" cm="1">
        <f t="array" ref="H55">INDEX('각층분기별_유효전력최대(전월)'!$C$4:$C$2020,MATCH(1, ('각층분기별_유효전력최대(전월)'!$A$4:$A$2020='7층~4층_매핑테이블'!D55) * ('각층분기별_유효전력최대(전월)'!$B$4:$B$2020='7층~4층_매핑테이블'!E55),0)) + INDEX('각층분기별_유효전력최대(전월)'!$C$4:$C$2020,MATCH(1, ('각층분기별_유효전력최대(전월)'!$A$4:$A$2020='7층~4층_매핑테이블'!F55) * ('각층분기별_유효전력최대(전월)'!$B$4:$B$2020='7층~4층_매핑테이블'!G55),0))</f>
        <v>0</v>
      </c>
      <c r="I55" t="str">
        <f t="shared" si="30"/>
        <v>5-DaHall 1-PDU-13-30-45-DaHall 1-PDU-14-20-31</v>
      </c>
      <c r="J55" s="217" t="s">
        <v>9685</v>
      </c>
      <c r="K55" s="217" t="s">
        <v>9686</v>
      </c>
      <c r="L55" t="str">
        <f t="shared" si="2"/>
        <v>5-DaHall 1-PDU-13</v>
      </c>
      <c r="M55" t="str">
        <f t="shared" si="31"/>
        <v>[branch#004] [A] W</v>
      </c>
      <c r="N55" t="str">
        <f t="shared" si="56"/>
        <v>5-DaHall 1-PDU-14</v>
      </c>
      <c r="O55" t="str">
        <f t="shared" si="57"/>
        <v>[branch#031] [A] W</v>
      </c>
      <c r="P55" s="2989" cm="1">
        <f t="array" ref="P55">INDEX('각층분기별_유효전력최대(전월)'!$F$4:$F$2020,MATCH(1, ('각층분기별_유효전력최대(전월)'!$D$4:$D$2020='7층~4층_매핑테이블'!L55) * ('각층분기별_유효전력최대(전월)'!$E$4:$E$2020='7층~4층_매핑테이블'!M55),0)) + INDEX('각층분기별_유효전력최대(전월)'!$F$4:$F$2020,MATCH(1, ('각층분기별_유효전력최대(전월)'!$D$4:$D$2020='7층~4층_매핑테이블'!N55) * ('각층분기별_유효전력최대(전월)'!$E$4:$E$2020='7층~4층_매핑테이블'!O55),0))</f>
        <v>0</v>
      </c>
      <c r="Q55" s="1" t="str">
        <f t="shared" si="51"/>
        <v>6-DaHall 1-PDU-07-30-456-DaHall 1-PDU-08-30-47</v>
      </c>
      <c r="R55" s="217" t="s">
        <v>9687</v>
      </c>
      <c r="S55" s="217" t="s">
        <v>9688</v>
      </c>
      <c r="T55" t="str">
        <f t="shared" si="7"/>
        <v>6-DaHall 1-PDU-07</v>
      </c>
      <c r="U55" t="str">
        <f t="shared" si="52"/>
        <v>[branch#045] [A] W</v>
      </c>
      <c r="V55" t="str">
        <f t="shared" si="53"/>
        <v>6-DaHall 1-PDU-08</v>
      </c>
      <c r="W55" t="str">
        <f t="shared" si="54"/>
        <v>[branch#047] [A] W</v>
      </c>
      <c r="X55" s="2989" cm="1">
        <f t="array" ref="X55">INDEX('각층분기별_유효전력최대(전월)'!$I$4:$I$2020,MATCH(1, ('각층분기별_유효전력최대(전월)'!$G$4:$G$2020='7층~4층_매핑테이블'!T55) * ('각층분기별_유효전력최대(전월)'!$H$4:$H$2020='7층~4층_매핑테이블'!U55),0)) + INDEX('각층분기별_유효전력최대(전월)'!$I$4:$I$2020,MATCH(1, ('각층분기별_유효전력최대(전월)'!$G$4:$G$2020='7층~4층_매핑테이블'!V55) * ('각층분기별_유효전력최대(전월)'!$H$4:$H$2020='7층~4층_매핑테이블'!W55),0))</f>
        <v>0</v>
      </c>
      <c r="Y55" s="3274" t="str">
        <f t="shared" si="50"/>
        <v>7-DaHall 1-A-3-50-77-DaHall 1-B-3-50-7</v>
      </c>
      <c r="Z55" s="217" t="s">
        <v>9689</v>
      </c>
      <c r="AA55" s="217" t="s">
        <v>9690</v>
      </c>
      <c r="AB55" s="3274" t="str">
        <f t="shared" si="55"/>
        <v>7-DaHall 1-A-3-50</v>
      </c>
      <c r="AC55" t="s">
        <v>9409</v>
      </c>
      <c r="AD55" t="str">
        <f t="shared" si="12"/>
        <v>7-DaHall 1-B-3-50</v>
      </c>
      <c r="AE55" t="s">
        <v>9409</v>
      </c>
      <c r="AF55" s="2989" t="e" cm="1">
        <f t="array" ref="AF55">INDEX('각층분기별_유효전력최대(전월)'!$L$4:$L$2020,MATCH(1, ('각층분기별_유효전력최대(전월)'!$J$4:$J$2020='7층~4층_매핑테이블'!AB55) * ('각층분기별_유효전력최대(전월)'!$K$4:$K$2020='7층~4층_매핑테이블'!AC55),0)) + INDEX('각층분기별_유효전력최대(전월)'!$L$4:$L$2020,MATCH(1, ('각층분기별_유효전력최대(전월)'!$J$4:$J$2020='7층~4층_매핑테이블'!AD55) * ('각층분기별_유효전력최대(전월)'!$K$4:$K$2020='7층~4층_매핑테이블'!AE55),0))</f>
        <v>#N/A</v>
      </c>
    </row>
    <row r="56" spans="1:32" x14ac:dyDescent="0.25">
      <c r="A56" t="str">
        <f>B56&amp;C56</f>
        <v>4-DaHall 1-PDU-08-100-94-DaHall 1-PDU-07-100-9</v>
      </c>
      <c r="B56" s="217" t="s">
        <v>9691</v>
      </c>
      <c r="C56" s="217" t="s">
        <v>9692</v>
      </c>
      <c r="D56" s="2989" t="str">
        <f t="shared" si="35"/>
        <v>4-DaHall 1-PDU-08</v>
      </c>
      <c r="E56" s="2989" t="str">
        <f t="shared" si="14"/>
        <v>[branch#009] [A] W</v>
      </c>
      <c r="F56" s="2989" t="str">
        <f t="shared" si="16"/>
        <v>4-DaHall 1-PDU-07</v>
      </c>
      <c r="G56" s="2989" t="str">
        <f t="shared" si="17"/>
        <v>[branch#009] [A] W</v>
      </c>
      <c r="H56" s="2989" cm="1">
        <f t="array" ref="H56">INDEX('각층분기별_유효전력최대(전월)'!$C$4:$C$2020,MATCH(1, ('각층분기별_유효전력최대(전월)'!$A$4:$A$2020='7층~4층_매핑테이블'!D56) * ('각층분기별_유효전력최대(전월)'!$B$4:$B$2020='7층~4층_매핑테이블'!E56),0)) + INDEX('각층분기별_유효전력최대(전월)'!$C$4:$C$2020,MATCH(1, ('각층분기별_유효전력최대(전월)'!$A$4:$A$2020='7층~4층_매핑테이블'!F56) * ('각층분기별_유효전력최대(전월)'!$B$4:$B$2020='7층~4층_매핑테이블'!G56),0))</f>
        <v>0</v>
      </c>
      <c r="I56" t="str">
        <f t="shared" si="30"/>
        <v>5-DaHall 1-PDU-13-30-65-DaHall 1-PDU-14-30-4</v>
      </c>
      <c r="J56" s="217" t="s">
        <v>9693</v>
      </c>
      <c r="K56" s="217" t="s">
        <v>9694</v>
      </c>
      <c r="L56" t="str">
        <f t="shared" si="2"/>
        <v>5-DaHall 1-PDU-13</v>
      </c>
      <c r="M56" t="str">
        <f t="shared" si="31"/>
        <v>[branch#006] [A] W</v>
      </c>
      <c r="N56" t="str">
        <f t="shared" si="56"/>
        <v>5-DaHall 1-PDU-14</v>
      </c>
      <c r="O56" t="str">
        <f t="shared" si="57"/>
        <v>[branch#004] [A] W</v>
      </c>
      <c r="P56" s="2989" cm="1">
        <f t="array" ref="P56">INDEX('각층분기별_유효전력최대(전월)'!$F$4:$F$2020,MATCH(1, ('각층분기별_유효전력최대(전월)'!$D$4:$D$2020='7층~4층_매핑테이블'!L56) * ('각층분기별_유효전력최대(전월)'!$E$4:$E$2020='7층~4층_매핑테이블'!M56),0)) + INDEX('각층분기별_유효전력최대(전월)'!$F$4:$F$2020,MATCH(1, ('각층분기별_유효전력최대(전월)'!$D$4:$D$2020='7층~4층_매핑테이블'!N56) * ('각층분기별_유효전력최대(전월)'!$E$4:$E$2020='7층~4층_매핑테이블'!O56),0))</f>
        <v>2.9530000000000003</v>
      </c>
      <c r="Q56" s="1" t="str">
        <f>R56&amp;S56</f>
        <v>6-DaHall 1-PDU-05-30-16-DaHall 1-PDU-06-30-1</v>
      </c>
      <c r="R56" s="217" t="s">
        <v>9695</v>
      </c>
      <c r="S56" s="217" t="s">
        <v>9696</v>
      </c>
      <c r="T56" t="str">
        <f t="shared" si="7"/>
        <v>6-DaHall 1-PDU-05</v>
      </c>
      <c r="U56" t="str">
        <f t="shared" si="52"/>
        <v>[branch#001] [A] W</v>
      </c>
      <c r="V56" t="str">
        <f>IF(MID(S56,16,2)="0","",MID(S56,1,15)&amp;MID(S56,16,2))</f>
        <v>6-DaHall 1-PDU-06</v>
      </c>
      <c r="W56" t="str">
        <f>IF(IF(LEN((MID(S56,22,2)))=1, "[branch#0"&amp;0&amp;MID(S56,22,2)&amp;"] [A] W", "[branch#0"&amp;MID(S56,22,2)&amp;"] [A] W")="[branch#0] [A] W", "", IF(LEN((MID(S56,22,2)))=1, "[branch#0"&amp;0&amp;MID(S56,22,2)&amp;"] [A] W", "[branch#0"&amp;MID(S56,22,2)&amp;"] [A] W"))</f>
        <v>[branch#001] [A] W</v>
      </c>
      <c r="X56" s="2989" cm="1">
        <f t="array" ref="X56">INDEX('각층분기별_유효전력최대(전월)'!$I$4:$I$2020,MATCH(1, ('각층분기별_유효전력최대(전월)'!$G$4:$G$2020='7층~4층_매핑테이블'!T56) * ('각층분기별_유효전력최대(전월)'!$H$4:$H$2020='7층~4층_매핑테이블'!U56),0)) + INDEX('각층분기별_유효전력최대(전월)'!$I$4:$I$2020,MATCH(1, ('각층분기별_유효전력최대(전월)'!$G$4:$G$2020='7층~4층_매핑테이블'!V56) * ('각층분기별_유효전력최대(전월)'!$H$4:$H$2020='7층~4층_매핑테이블'!W56),0))</f>
        <v>0</v>
      </c>
      <c r="Y56" s="3274" t="str">
        <f t="shared" si="50"/>
        <v>7-DaHall 1-A-3-50-67-DaHall 1-B-3-50-6</v>
      </c>
      <c r="Z56" s="217" t="s">
        <v>9697</v>
      </c>
      <c r="AA56" s="217" t="s">
        <v>9698</v>
      </c>
      <c r="AB56" s="3274" t="str">
        <f t="shared" si="55"/>
        <v>7-DaHall 1-A-3-50</v>
      </c>
      <c r="AC56" t="s">
        <v>9351</v>
      </c>
      <c r="AD56" t="str">
        <f t="shared" si="12"/>
        <v>7-DaHall 1-B-3-50</v>
      </c>
      <c r="AE56" t="s">
        <v>9351</v>
      </c>
      <c r="AF56" s="2989" t="e" cm="1">
        <f t="array" ref="AF56">INDEX('각층분기별_유효전력최대(전월)'!$L$4:$L$2020,MATCH(1, ('각층분기별_유효전력최대(전월)'!$J$4:$J$2020='7층~4층_매핑테이블'!AB56) * ('각층분기별_유효전력최대(전월)'!$K$4:$K$2020='7층~4층_매핑테이블'!AC56),0)) + INDEX('각층분기별_유효전력최대(전월)'!$L$4:$L$2020,MATCH(1, ('각층분기별_유효전력최대(전월)'!$J$4:$J$2020='7층~4층_매핑테이블'!AD56) * ('각층분기별_유효전력최대(전월)'!$K$4:$K$2020='7층~4층_매핑테이블'!AE56),0))</f>
        <v>#N/A</v>
      </c>
    </row>
    <row r="57" spans="1:32" x14ac:dyDescent="0.25">
      <c r="A57" t="str">
        <f>B57&amp;C57</f>
        <v/>
      </c>
      <c r="B57" s="217"/>
      <c r="C57" s="217"/>
      <c r="D57" s="2989" t="str">
        <f t="shared" si="35"/>
        <v/>
      </c>
      <c r="E57" s="2989" t="str">
        <f t="shared" si="14"/>
        <v/>
      </c>
      <c r="F57" s="2989" t="str">
        <f t="shared" si="16"/>
        <v/>
      </c>
      <c r="G57" s="2989" t="str">
        <f t="shared" si="17"/>
        <v/>
      </c>
      <c r="H57" s="2989" cm="1">
        <f t="array" ref="H57">INDEX('각층분기별_유효전력최대(전월)'!$C$4:$C$2020,MATCH(1, ('각층분기별_유효전력최대(전월)'!$A$4:$A$2020='7층~4층_매핑테이블'!D57) * ('각층분기별_유효전력최대(전월)'!$B$4:$B$2020='7층~4층_매핑테이블'!E57),0)) + INDEX('각층분기별_유효전력최대(전월)'!$C$4:$C$2020,MATCH(1, ('각층분기별_유효전력최대(전월)'!$A$4:$A$2020='7층~4층_매핑테이블'!F57) * ('각층분기별_유효전력최대(전월)'!$B$4:$B$2020='7층~4층_매핑테이블'!G57),0))</f>
        <v>0</v>
      </c>
      <c r="I57" t="str">
        <f t="shared" si="30"/>
        <v>5-DaHall 1-PDU-13-30-85-DaHall 1-PDU-14-30-6</v>
      </c>
      <c r="J57" s="217" t="s">
        <v>9699</v>
      </c>
      <c r="K57" s="217" t="s">
        <v>9700</v>
      </c>
      <c r="L57" t="str">
        <f t="shared" si="2"/>
        <v>5-DaHall 1-PDU-13</v>
      </c>
      <c r="M57" t="str">
        <f t="shared" si="31"/>
        <v>[branch#008] [A] W</v>
      </c>
      <c r="N57" t="str">
        <f t="shared" si="56"/>
        <v>5-DaHall 1-PDU-14</v>
      </c>
      <c r="O57" t="str">
        <f t="shared" si="57"/>
        <v>[branch#006] [A] W</v>
      </c>
      <c r="P57" s="2989" cm="1">
        <f t="array" ref="P57">INDEX('각층분기별_유효전력최대(전월)'!$F$4:$F$2020,MATCH(1, ('각층분기별_유효전력최대(전월)'!$D$4:$D$2020='7층~4층_매핑테이블'!L57) * ('각층분기별_유효전력최대(전월)'!$E$4:$E$2020='7층~4층_매핑테이블'!M57),0)) + INDEX('각층분기별_유효전력최대(전월)'!$F$4:$F$2020,MATCH(1, ('각층분기별_유효전력최대(전월)'!$D$4:$D$2020='7층~4층_매핑테이블'!N57) * ('각층분기별_유효전력최대(전월)'!$E$4:$E$2020='7층~4층_매핑테이블'!O57),0))</f>
        <v>1.54</v>
      </c>
      <c r="Q57" s="1" t="str">
        <f t="shared" si="51"/>
        <v>6-DaHall 1-PDU-07-30-436-DaHall 1-PDU-08-30-45</v>
      </c>
      <c r="R57" s="217" t="s">
        <v>9701</v>
      </c>
      <c r="S57" s="217" t="s">
        <v>9702</v>
      </c>
      <c r="T57" t="str">
        <f t="shared" si="7"/>
        <v>6-DaHall 1-PDU-07</v>
      </c>
      <c r="U57" t="str">
        <f t="shared" si="52"/>
        <v>[branch#043] [A] W</v>
      </c>
      <c r="V57" t="str">
        <f t="shared" si="53"/>
        <v>6-DaHall 1-PDU-08</v>
      </c>
      <c r="W57" t="str">
        <f t="shared" si="54"/>
        <v>[branch#045] [A] W</v>
      </c>
      <c r="X57" s="2989" cm="1">
        <f t="array" ref="X57">INDEX('각층분기별_유효전력최대(전월)'!$I$4:$I$2020,MATCH(1, ('각층분기별_유효전력최대(전월)'!$G$4:$G$2020='7층~4층_매핑테이블'!T57) * ('각층분기별_유효전력최대(전월)'!$H$4:$H$2020='7층~4층_매핑테이블'!U57),0)) + INDEX('각층분기별_유효전력최대(전월)'!$I$4:$I$2020,MATCH(1, ('각층분기별_유효전력최대(전월)'!$G$4:$G$2020='7층~4층_매핑테이블'!V57) * ('각층분기별_유효전력최대(전월)'!$H$4:$H$2020='7층~4층_매핑테이블'!W57),0))</f>
        <v>0</v>
      </c>
      <c r="Y57" s="3274" t="str">
        <f>Z57&amp;AA57</f>
        <v>7-DaHall 1-A-3-50-57-DaHall 1-B-3-50-5</v>
      </c>
      <c r="Z57" s="217" t="s">
        <v>9703</v>
      </c>
      <c r="AA57" s="217" t="s">
        <v>9704</v>
      </c>
      <c r="AB57" s="3274" t="str">
        <f>IF(MID(Z57,16,2)="0","",MID(Z57,1,15)&amp;MID(Z57,16,2))</f>
        <v>7-DaHall 1-A-3-50</v>
      </c>
      <c r="AC57" t="s">
        <v>9355</v>
      </c>
      <c r="AD57" t="str">
        <f t="shared" si="12"/>
        <v>7-DaHall 1-B-3-50</v>
      </c>
      <c r="AE57" t="s">
        <v>9355</v>
      </c>
      <c r="AF57" s="2989" t="e" cm="1">
        <f t="array" ref="AF57">INDEX('각층분기별_유효전력최대(전월)'!$L$4:$L$2020,MATCH(1, ('각층분기별_유효전력최대(전월)'!$J$4:$J$2020='7층~4층_매핑테이블'!AB57) * ('각층분기별_유효전력최대(전월)'!$K$4:$K$2020='7층~4층_매핑테이블'!AC57),0)) + INDEX('각층분기별_유효전력최대(전월)'!$L$4:$L$2020,MATCH(1, ('각층분기별_유효전력최대(전월)'!$J$4:$J$2020='7층~4층_매핑테이블'!AD57) * ('각층분기별_유효전력최대(전월)'!$K$4:$K$2020='7층~4층_매핑테이블'!AE57),0))</f>
        <v>#N/A</v>
      </c>
    </row>
    <row r="58" spans="1:32" x14ac:dyDescent="0.25">
      <c r="A58" t="str">
        <f t="shared" ref="A58:A63" si="59">B58&amp;C58</f>
        <v/>
      </c>
      <c r="B58" s="217"/>
      <c r="C58" s="217"/>
      <c r="D58" s="2989" t="str">
        <f t="shared" si="35"/>
        <v/>
      </c>
      <c r="E58" s="2989" t="str">
        <f t="shared" si="14"/>
        <v/>
      </c>
      <c r="F58" s="2989" t="str">
        <f t="shared" si="16"/>
        <v/>
      </c>
      <c r="G58" s="2989" t="str">
        <f t="shared" si="17"/>
        <v/>
      </c>
      <c r="H58" s="2989" cm="1">
        <f t="array" ref="H58">INDEX('각층분기별_유효전력최대(전월)'!$C$4:$C$2020,MATCH(1, ('각층분기별_유효전력최대(전월)'!$A$4:$A$2020='7층~4층_매핑테이블'!D58) * ('각층분기별_유효전력최대(전월)'!$B$4:$B$2020='7층~4층_매핑테이블'!E58),0)) + INDEX('각층분기별_유효전력최대(전월)'!$C$4:$C$2020,MATCH(1, ('각층분기별_유효전력최대(전월)'!$A$4:$A$2020='7층~4층_매핑테이블'!F58) * ('각층분기별_유효전력최대(전월)'!$B$4:$B$2020='7층~4층_매핑테이블'!G58),0))</f>
        <v>0</v>
      </c>
      <c r="I58" t="str">
        <f t="shared" si="30"/>
        <v>5-DaHall 1-PDU-13-30-105-DaHall 1-PDU-14-30-8</v>
      </c>
      <c r="J58" s="217" t="s">
        <v>9705</v>
      </c>
      <c r="K58" s="217" t="s">
        <v>9706</v>
      </c>
      <c r="L58" t="str">
        <f t="shared" si="2"/>
        <v>5-DaHall 1-PDU-13</v>
      </c>
      <c r="M58" t="str">
        <f t="shared" si="31"/>
        <v>[branch#010] [A] W</v>
      </c>
      <c r="N58" t="str">
        <f t="shared" si="56"/>
        <v>5-DaHall 1-PDU-14</v>
      </c>
      <c r="O58" t="str">
        <f t="shared" si="57"/>
        <v>[branch#008] [A] W</v>
      </c>
      <c r="P58" s="2989" cm="1">
        <f t="array" ref="P58">INDEX('각층분기별_유효전력최대(전월)'!$F$4:$F$2020,MATCH(1, ('각층분기별_유효전력최대(전월)'!$D$4:$D$2020='7층~4층_매핑테이블'!L58) * ('각층분기별_유효전력최대(전월)'!$E$4:$E$2020='7층~4층_매핑테이블'!M58),0)) + INDEX('각층분기별_유효전력최대(전월)'!$F$4:$F$2020,MATCH(1, ('각층분기별_유효전력최대(전월)'!$D$4:$D$2020='7층~4층_매핑테이블'!N58) * ('각층분기별_유효전력최대(전월)'!$E$4:$E$2020='7층~4층_매핑테이블'!O58),0))</f>
        <v>0</v>
      </c>
      <c r="Q58" s="1" t="str">
        <f t="shared" si="51"/>
        <v>6-DaHall 1-PDU-05-30-36-DaHall 1-PDU-06-30-3</v>
      </c>
      <c r="R58" s="217" t="s">
        <v>9707</v>
      </c>
      <c r="S58" s="217" t="s">
        <v>9708</v>
      </c>
      <c r="T58" t="str">
        <f t="shared" si="7"/>
        <v>6-DaHall 1-PDU-05</v>
      </c>
      <c r="U58" t="str">
        <f t="shared" si="52"/>
        <v>[branch#003] [A] W</v>
      </c>
      <c r="V58" t="str">
        <f t="shared" si="53"/>
        <v>6-DaHall 1-PDU-06</v>
      </c>
      <c r="W58" t="str">
        <f t="shared" si="54"/>
        <v>[branch#003] [A] W</v>
      </c>
      <c r="X58" s="2989" cm="1">
        <f t="array" ref="X58">INDEX('각층분기별_유효전력최대(전월)'!$I$4:$I$2020,MATCH(1, ('각층분기별_유효전력최대(전월)'!$G$4:$G$2020='7층~4층_매핑테이블'!T58) * ('각층분기별_유효전력최대(전월)'!$H$4:$H$2020='7층~4층_매핑테이블'!U58),0)) + INDEX('각층분기별_유효전력최대(전월)'!$I$4:$I$2020,MATCH(1, ('각층분기별_유효전력최대(전월)'!$G$4:$G$2020='7층~4층_매핑테이블'!V58) * ('각층분기별_유효전력최대(전월)'!$H$4:$H$2020='7층~4층_매핑테이블'!W58),0))</f>
        <v>0</v>
      </c>
      <c r="Y58" s="3274" t="str">
        <f t="shared" si="50"/>
        <v>7-DaHall 1-A-2-50-487-DaHall 1-B-2-50-48</v>
      </c>
      <c r="Z58" s="217" t="s">
        <v>9709</v>
      </c>
      <c r="AA58" s="217" t="s">
        <v>9710</v>
      </c>
      <c r="AB58" s="3274" t="str">
        <f>IF(MID(Z58,16,2)="0","",MID(Z58,1,15)&amp;MID(Z58,16,2))</f>
        <v>7-DaHall 1-A-2-50</v>
      </c>
      <c r="AC58" t="s">
        <v>9524</v>
      </c>
      <c r="AD58" t="str">
        <f t="shared" si="12"/>
        <v>7-DaHall 1-B-2-50</v>
      </c>
      <c r="AE58" t="s">
        <v>9524</v>
      </c>
      <c r="AF58" s="2989" t="e" cm="1">
        <f t="array" ref="AF58">INDEX('각층분기별_유효전력최대(전월)'!$L$4:$L$2020,MATCH(1, ('각층분기별_유효전력최대(전월)'!$J$4:$J$2020='7층~4층_매핑테이블'!AB58) * ('각층분기별_유효전력최대(전월)'!$K$4:$K$2020='7층~4층_매핑테이블'!AC58),0)) + INDEX('각층분기별_유효전력최대(전월)'!$L$4:$L$2020,MATCH(1, ('각층분기별_유효전력최대(전월)'!$J$4:$J$2020='7층~4층_매핑테이블'!AD58) * ('각층분기별_유효전력최대(전월)'!$K$4:$K$2020='7층~4층_매핑테이블'!AE58),0))</f>
        <v>#N/A</v>
      </c>
    </row>
    <row r="59" spans="1:32" x14ac:dyDescent="0.25">
      <c r="A59" t="str">
        <f t="shared" si="59"/>
        <v/>
      </c>
      <c r="B59" s="217"/>
      <c r="C59" s="217"/>
      <c r="D59" s="2989" t="str">
        <f t="shared" si="35"/>
        <v/>
      </c>
      <c r="E59" s="2989" t="str">
        <f t="shared" si="14"/>
        <v/>
      </c>
      <c r="F59" s="2989" t="str">
        <f t="shared" si="16"/>
        <v/>
      </c>
      <c r="G59" s="2989" t="str">
        <f t="shared" si="17"/>
        <v/>
      </c>
      <c r="H59" s="2989" cm="1">
        <f t="array" ref="H59">INDEX('각층분기별_유효전력최대(전월)'!$C$4:$C$2020,MATCH(1, ('각층분기별_유효전력최대(전월)'!$A$4:$A$2020='7층~4층_매핑테이블'!D59) * ('각층분기별_유효전력최대(전월)'!$B$4:$B$2020='7층~4층_매핑테이블'!E59),0)) + INDEX('각층분기별_유효전력최대(전월)'!$C$4:$C$2020,MATCH(1, ('각층분기별_유효전력최대(전월)'!$A$4:$A$2020='7층~4층_매핑테이블'!F59) * ('각층분기별_유효전력최대(전월)'!$B$4:$B$2020='7층~4층_매핑테이블'!G59),0))</f>
        <v>0</v>
      </c>
      <c r="I59" t="str">
        <f t="shared" si="30"/>
        <v>5-DaHall 1-PDU-13-20-125-DaHall 1-PDU-14-30-10</v>
      </c>
      <c r="J59" s="217" t="s">
        <v>9711</v>
      </c>
      <c r="K59" s="217" t="s">
        <v>9712</v>
      </c>
      <c r="L59" t="str">
        <f t="shared" si="2"/>
        <v>5-DaHall 1-PDU-13</v>
      </c>
      <c r="M59" t="str">
        <f t="shared" si="31"/>
        <v>[branch#012] [A] W</v>
      </c>
      <c r="N59" t="str">
        <f t="shared" si="56"/>
        <v>5-DaHall 1-PDU-14</v>
      </c>
      <c r="O59" t="str">
        <f t="shared" si="57"/>
        <v>[branch#010] [A] W</v>
      </c>
      <c r="P59" s="2989" cm="1">
        <f t="array" ref="P59">INDEX('각층분기별_유효전력최대(전월)'!$F$4:$F$2020,MATCH(1, ('각층분기별_유효전력최대(전월)'!$D$4:$D$2020='7층~4층_매핑테이블'!L59) * ('각층분기별_유효전력최대(전월)'!$E$4:$E$2020='7층~4층_매핑테이블'!M59),0)) + INDEX('각층분기별_유효전력최대(전월)'!$F$4:$F$2020,MATCH(1, ('각층분기별_유효전력최대(전월)'!$D$4:$D$2020='7층~4층_매핑테이블'!N59) * ('각층분기별_유효전력최대(전월)'!$E$4:$E$2020='7층~4층_매핑테이블'!O59),0))</f>
        <v>0</v>
      </c>
      <c r="Q59" s="1" t="str">
        <f t="shared" si="51"/>
        <v>6-DaHall 1-PDU-07-30-416-DaHall 1-PDU-08-30-43</v>
      </c>
      <c r="R59" s="217" t="s">
        <v>9713</v>
      </c>
      <c r="S59" s="217" t="s">
        <v>9714</v>
      </c>
      <c r="T59" t="str">
        <f t="shared" si="7"/>
        <v>6-DaHall 1-PDU-07</v>
      </c>
      <c r="U59" t="str">
        <f t="shared" si="52"/>
        <v>[branch#041] [A] W</v>
      </c>
      <c r="V59" t="str">
        <f t="shared" si="53"/>
        <v>6-DaHall 1-PDU-08</v>
      </c>
      <c r="W59" t="str">
        <f t="shared" si="54"/>
        <v>[branch#043] [A] W</v>
      </c>
      <c r="X59" s="2989" cm="1">
        <f t="array" ref="X59">INDEX('각층분기별_유효전력최대(전월)'!$I$4:$I$2020,MATCH(1, ('각층분기별_유효전력최대(전월)'!$G$4:$G$2020='7층~4층_매핑테이블'!T59) * ('각층분기별_유효전력최대(전월)'!$H$4:$H$2020='7층~4층_매핑테이블'!U59),0)) + INDEX('각층분기별_유효전력최대(전월)'!$I$4:$I$2020,MATCH(1, ('각층분기별_유효전력최대(전월)'!$G$4:$G$2020='7층~4층_매핑테이블'!V59) * ('각층분기별_유효전력최대(전월)'!$H$4:$H$2020='7층~4층_매핑테이블'!W59),0))</f>
        <v>0</v>
      </c>
      <c r="Y59" s="3274" t="str">
        <f t="shared" si="50"/>
        <v>7-DaHall 1-A-2-35-477-DaHall 1-B-2-35-47</v>
      </c>
      <c r="Z59" s="217" t="s">
        <v>9715</v>
      </c>
      <c r="AA59" s="217" t="s">
        <v>9716</v>
      </c>
      <c r="AB59" s="3274" t="str">
        <f t="shared" ref="AB59" si="60">IF(MID(Z59,16,2)="0","",MID(Z59,1,15)&amp;MID(Z59,16,2))</f>
        <v>7-DaHall 1-A-2-35</v>
      </c>
      <c r="AC59" t="s">
        <v>9528</v>
      </c>
      <c r="AD59" t="str">
        <f t="shared" si="12"/>
        <v>7-DaHall 1-B-2-35</v>
      </c>
      <c r="AE59" t="s">
        <v>9528</v>
      </c>
      <c r="AF59" s="2989" t="e" cm="1">
        <f t="array" ref="AF59">INDEX('각층분기별_유효전력최대(전월)'!$L$4:$L$2020,MATCH(1, ('각층분기별_유효전력최대(전월)'!$J$4:$J$2020='7층~4층_매핑테이블'!AB59) * ('각층분기별_유효전력최대(전월)'!$K$4:$K$2020='7층~4층_매핑테이블'!AC59),0)) + INDEX('각층분기별_유효전력최대(전월)'!$L$4:$L$2020,MATCH(1, ('각층분기별_유효전력최대(전월)'!$J$4:$J$2020='7층~4층_매핑테이블'!AD59) * ('각층분기별_유효전력최대(전월)'!$K$4:$K$2020='7층~4층_매핑테이블'!AE59),0))</f>
        <v>#N/A</v>
      </c>
    </row>
    <row r="60" spans="1:32" x14ac:dyDescent="0.25">
      <c r="A60" t="str">
        <f t="shared" si="59"/>
        <v/>
      </c>
      <c r="B60" s="217"/>
      <c r="C60" s="217"/>
      <c r="D60" s="2989" t="str">
        <f t="shared" si="35"/>
        <v/>
      </c>
      <c r="E60" s="2989" t="str">
        <f t="shared" si="14"/>
        <v/>
      </c>
      <c r="F60" s="2989" t="str">
        <f t="shared" si="16"/>
        <v/>
      </c>
      <c r="G60" s="2989" t="str">
        <f t="shared" si="17"/>
        <v/>
      </c>
      <c r="H60" s="2989" cm="1">
        <f t="array" ref="H60">INDEX('각층분기별_유효전력최대(전월)'!$C$4:$C$2020,MATCH(1, ('각층분기별_유효전력최대(전월)'!$A$4:$A$2020='7층~4층_매핑테이블'!D60) * ('각층분기별_유효전력최대(전월)'!$B$4:$B$2020='7층~4층_매핑테이블'!E60),0)) + INDEX('각층분기별_유효전력최대(전월)'!$C$4:$C$2020,MATCH(1, ('각층분기별_유효전력최대(전월)'!$A$4:$A$2020='7층~4층_매핑테이블'!F60) * ('각층분기별_유효전력최대(전월)'!$B$4:$B$2020='7층~4층_매핑테이블'!G60),0))</f>
        <v>0</v>
      </c>
      <c r="I60" t="str">
        <f t="shared" si="30"/>
        <v>5-DaHall 1-PDU-13-20-145-DaHall 1-PDU-14-20-12</v>
      </c>
      <c r="J60" s="217" t="s">
        <v>9717</v>
      </c>
      <c r="K60" s="217" t="s">
        <v>9718</v>
      </c>
      <c r="L60" t="str">
        <f t="shared" si="2"/>
        <v>5-DaHall 1-PDU-13</v>
      </c>
      <c r="M60" t="str">
        <f t="shared" si="31"/>
        <v>[branch#014] [A] W</v>
      </c>
      <c r="N60" t="str">
        <f t="shared" si="56"/>
        <v>5-DaHall 1-PDU-14</v>
      </c>
      <c r="O60" t="str">
        <f t="shared" si="57"/>
        <v>[branch#012] [A] W</v>
      </c>
      <c r="P60" s="2989" cm="1">
        <f t="array" ref="P60">INDEX('각층분기별_유효전력최대(전월)'!$F$4:$F$2020,MATCH(1, ('각층분기별_유효전력최대(전월)'!$D$4:$D$2020='7층~4층_매핑테이블'!L60) * ('각층분기별_유효전력최대(전월)'!$E$4:$E$2020='7층~4층_매핑테이블'!M60),0)) + INDEX('각층분기별_유효전력최대(전월)'!$F$4:$F$2020,MATCH(1, ('각층분기별_유효전력최대(전월)'!$D$4:$D$2020='7층~4층_매핑테이블'!N60) * ('각층분기별_유효전력최대(전월)'!$E$4:$E$2020='7층~4층_매핑테이블'!O60),0))</f>
        <v>0</v>
      </c>
      <c r="Q60" s="1" t="str">
        <f>R60&amp;S60</f>
        <v/>
      </c>
      <c r="R60" s="217"/>
      <c r="S60" s="217"/>
      <c r="T60" t="str">
        <f t="shared" si="7"/>
        <v/>
      </c>
      <c r="U60" t="str">
        <f>IF(IF(LEN((MID(R60,22,2)))=1, "[branch#0"&amp;0&amp;MID(R60,22,2)&amp;"] [A] W", "[branch#0"&amp;MID(R60,22,2)&amp;"] [A] W")="[branch#0] [A] W", "", IF(LEN((MID(R60,22,2)))=1, "[branch#0"&amp;0&amp;MID(R60,22,2)&amp;"] [A] W", "[branch#0"&amp;MID(R60,22,2)&amp;"] [A] W"))</f>
        <v/>
      </c>
      <c r="V60" t="str">
        <f>IF(MID(S60,16,2)="0","",MID(S60,1,15)&amp;MID(S60,16,2))</f>
        <v/>
      </c>
      <c r="W60" t="str">
        <f>IF(IF(LEN((MID(S60,22,2)))=1, "[branch#0"&amp;0&amp;MID(S60,22,2)&amp;"] [A] W", "[branch#0"&amp;MID(S60,22,2)&amp;"] [A] W")="[branch#0] [A] W", "", IF(LEN((MID(S60,22,2)))=1, "[branch#0"&amp;0&amp;MID(S60,22,2)&amp;"] [A] W", "[branch#0"&amp;MID(S60,22,2)&amp;"] [A] W"))</f>
        <v/>
      </c>
      <c r="X60" s="2989" cm="1">
        <f t="array" ref="X60">INDEX('각층분기별_유효전력최대(전월)'!$I$4:$I$2020,MATCH(1, ('각층분기별_유효전력최대(전월)'!$G$4:$G$2020='7층~4층_매핑테이블'!T60) * ('각층분기별_유효전력최대(전월)'!$H$4:$H$2020='7층~4층_매핑테이블'!U60),0)) + INDEX('각층분기별_유효전력최대(전월)'!$I$4:$I$2020,MATCH(1, ('각층분기별_유효전력최대(전월)'!$G$4:$G$2020='7층~4층_매핑테이블'!V60) * ('각층분기별_유효전력최대(전월)'!$H$4:$H$2020='7층~4층_매핑테이블'!W60),0))</f>
        <v>0</v>
      </c>
      <c r="Y60" s="3274" t="str">
        <f>Z60&amp;AA60</f>
        <v/>
      </c>
      <c r="Z60" s="217"/>
      <c r="AA60" s="217"/>
      <c r="AB60" s="3274" t="str">
        <f t="shared" ref="AB60:AB65" si="61">IF(MID(Z60,16,2)="0","",MID(Z60,1,15)&amp;MID(Z60,16,2))</f>
        <v/>
      </c>
      <c r="AD60" t="str">
        <f t="shared" si="12"/>
        <v/>
      </c>
      <c r="AF60" s="2989" cm="1">
        <f t="array" ref="AF60">INDEX('각층분기별_유효전력최대(전월)'!$L$4:$L$2020,MATCH(1, ('각층분기별_유효전력최대(전월)'!$J$4:$J$2020='7층~4층_매핑테이블'!AB60) * ('각층분기별_유효전력최대(전월)'!$K$4:$K$2020='7층~4층_매핑테이블'!AC60),0)) + INDEX('각층분기별_유효전력최대(전월)'!$L$4:$L$2020,MATCH(1, ('각층분기별_유효전력최대(전월)'!$J$4:$J$2020='7층~4층_매핑테이블'!AD60) * ('각층분기별_유효전력최대(전월)'!$K$4:$K$2020='7층~4층_매핑테이블'!AE60),0))</f>
        <v>0</v>
      </c>
    </row>
    <row r="61" spans="1:32" x14ac:dyDescent="0.25">
      <c r="A61" t="str">
        <f t="shared" si="59"/>
        <v/>
      </c>
      <c r="B61" s="217"/>
      <c r="C61" s="217"/>
      <c r="D61" s="2989" t="str">
        <f t="shared" si="35"/>
        <v/>
      </c>
      <c r="E61" s="2989" t="str">
        <f t="shared" si="14"/>
        <v/>
      </c>
      <c r="F61" s="2989" t="str">
        <f t="shared" si="16"/>
        <v/>
      </c>
      <c r="G61" s="2989" t="str">
        <f t="shared" si="17"/>
        <v/>
      </c>
      <c r="H61" s="2989" cm="1">
        <f t="array" ref="H61">INDEX('각층분기별_유효전력최대(전월)'!$C$4:$C$2020,MATCH(1, ('각층분기별_유효전력최대(전월)'!$A$4:$A$2020='7층~4층_매핑테이블'!D61) * ('각층분기별_유효전력최대(전월)'!$B$4:$B$2020='7층~4층_매핑테이블'!E61),0)) + INDEX('각층분기별_유효전력최대(전월)'!$C$4:$C$2020,MATCH(1, ('각층분기별_유효전력최대(전월)'!$A$4:$A$2020='7층~4층_매핑테이블'!F61) * ('각층분기별_유효전력최대(전월)'!$B$4:$B$2020='7층~4층_매핑테이블'!G61),0))</f>
        <v>0</v>
      </c>
      <c r="I61" t="str">
        <f t="shared" si="30"/>
        <v>5-DaHall 1-PDU-13-20-165-DaHall 1-PDU-14-20-14</v>
      </c>
      <c r="J61" s="217" t="s">
        <v>9719</v>
      </c>
      <c r="K61" s="217" t="s">
        <v>9720</v>
      </c>
      <c r="L61" t="str">
        <f t="shared" si="2"/>
        <v>5-DaHall 1-PDU-13</v>
      </c>
      <c r="M61" t="str">
        <f t="shared" si="31"/>
        <v>[branch#016] [A] W</v>
      </c>
      <c r="N61" t="str">
        <f t="shared" si="56"/>
        <v>5-DaHall 1-PDU-14</v>
      </c>
      <c r="O61" t="str">
        <f t="shared" si="57"/>
        <v>[branch#014] [A] W</v>
      </c>
      <c r="P61" s="2989" cm="1">
        <f t="array" ref="P61">INDEX('각층분기별_유효전력최대(전월)'!$F$4:$F$2020,MATCH(1, ('각층분기별_유효전력최대(전월)'!$D$4:$D$2020='7층~4층_매핑테이블'!L61) * ('각층분기별_유효전력최대(전월)'!$E$4:$E$2020='7층~4층_매핑테이블'!M61),0)) + INDEX('각층분기별_유효전력최대(전월)'!$F$4:$F$2020,MATCH(1, ('각층분기별_유효전력최대(전월)'!$D$4:$D$2020='7층~4층_매핑테이블'!N61) * ('각층분기별_유효전력최대(전월)'!$E$4:$E$2020='7층~4층_매핑테이블'!O61),0))</f>
        <v>1.577</v>
      </c>
      <c r="Q61" s="1" t="str">
        <f t="shared" ref="Q61" si="62">R61&amp;S61</f>
        <v/>
      </c>
      <c r="R61" s="217"/>
      <c r="S61" s="217"/>
      <c r="T61" t="str">
        <f t="shared" si="7"/>
        <v/>
      </c>
      <c r="U61" t="str">
        <f t="shared" ref="U61" si="63">IF(IF(LEN((MID(R61,22,2)))=1, "[branch#0"&amp;0&amp;MID(R61,22,2)&amp;"] [A] W", "[branch#0"&amp;MID(R61,22,2)&amp;"] [A] W")="[branch#0] [A] W", "", IF(LEN((MID(R61,22,2)))=1, "[branch#0"&amp;0&amp;MID(R61,22,2)&amp;"] [A] W", "[branch#0"&amp;MID(R61,22,2)&amp;"] [A] W"))</f>
        <v/>
      </c>
      <c r="V61" t="str">
        <f t="shared" ref="V61" si="64">IF(MID(S61,16,2)="0","",MID(S61,1,15)&amp;MID(S61,16,2))</f>
        <v/>
      </c>
      <c r="W61" t="str">
        <f t="shared" ref="W61" si="65">IF(IF(LEN((MID(S61,22,2)))=1, "[branch#0"&amp;0&amp;MID(S61,22,2)&amp;"] [A] W", "[branch#0"&amp;MID(S61,22,2)&amp;"] [A] W")="[branch#0] [A] W", "", IF(LEN((MID(S61,22,2)))=1, "[branch#0"&amp;0&amp;MID(S61,22,2)&amp;"] [A] W", "[branch#0"&amp;MID(S61,22,2)&amp;"] [A] W"))</f>
        <v/>
      </c>
      <c r="X61" s="2989" cm="1">
        <f t="array" ref="X61">INDEX('각층분기별_유효전력최대(전월)'!$I$4:$I$2020,MATCH(1, ('각층분기별_유효전력최대(전월)'!$G$4:$G$2020='7층~4층_매핑테이블'!T61) * ('각층분기별_유효전력최대(전월)'!$H$4:$H$2020='7층~4층_매핑테이블'!U61),0)) + INDEX('각층분기별_유효전력최대(전월)'!$I$4:$I$2020,MATCH(1, ('각층분기별_유효전력최대(전월)'!$G$4:$G$2020='7층~4층_매핑테이블'!V61) * ('각층분기별_유효전력최대(전월)'!$H$4:$H$2020='7층~4층_매핑테이블'!W61),0))</f>
        <v>0</v>
      </c>
      <c r="Y61" s="3274" t="str">
        <f>Z61&amp;AA61</f>
        <v>7-DaHall 1-A-2-35-537-DaHall 1-B-2-35-53</v>
      </c>
      <c r="Z61" s="217" t="s">
        <v>9721</v>
      </c>
      <c r="AA61" s="217" t="s">
        <v>9722</v>
      </c>
      <c r="AB61" s="3274" t="str">
        <f t="shared" si="61"/>
        <v>7-DaHall 1-A-2-35</v>
      </c>
      <c r="AC61" t="s">
        <v>9440</v>
      </c>
      <c r="AD61" t="str">
        <f t="shared" si="12"/>
        <v>7-DaHall 1-B-2-35</v>
      </c>
      <c r="AE61" t="s">
        <v>9440</v>
      </c>
      <c r="AF61" s="2989" t="e" cm="1">
        <f t="array" ref="AF61">INDEX('각층분기별_유효전력최대(전월)'!$L$4:$L$2020,MATCH(1, ('각층분기별_유효전력최대(전월)'!$J$4:$J$2020='7층~4층_매핑테이블'!AB61) * ('각층분기별_유효전력최대(전월)'!$K$4:$K$2020='7층~4층_매핑테이블'!AC61),0)) + INDEX('각층분기별_유효전력최대(전월)'!$L$4:$L$2020,MATCH(1, ('각층분기별_유효전력최대(전월)'!$J$4:$J$2020='7층~4층_매핑테이블'!AD61) * ('각층분기별_유효전력최대(전월)'!$K$4:$K$2020='7층~4층_매핑테이블'!AE61),0))</f>
        <v>#N/A</v>
      </c>
    </row>
    <row r="62" spans="1:32" x14ac:dyDescent="0.25">
      <c r="A62" t="str">
        <f t="shared" si="59"/>
        <v/>
      </c>
      <c r="B62" s="217"/>
      <c r="C62" s="217"/>
      <c r="D62" s="2989" t="str">
        <f t="shared" si="35"/>
        <v/>
      </c>
      <c r="E62" s="2989" t="str">
        <f t="shared" si="14"/>
        <v/>
      </c>
      <c r="F62" s="2989" t="str">
        <f t="shared" si="16"/>
        <v/>
      </c>
      <c r="G62" s="2989" t="str">
        <f t="shared" si="17"/>
        <v/>
      </c>
      <c r="H62" s="2989" cm="1">
        <f t="array" ref="H62">INDEX('각층분기별_유효전력최대(전월)'!$C$4:$C$2020,MATCH(1, ('각층분기별_유효전력최대(전월)'!$A$4:$A$2020='7층~4층_매핑테이블'!D62) * ('각층분기별_유효전력최대(전월)'!$B$4:$B$2020='7층~4층_매핑테이블'!E62),0)) + INDEX('각층분기별_유효전력최대(전월)'!$C$4:$C$2020,MATCH(1, ('각층분기별_유효전력최대(전월)'!$A$4:$A$2020='7층~4층_매핑테이블'!F62) * ('각층분기별_유효전력최대(전월)'!$B$4:$B$2020='7층~4층_매핑테이블'!G62),0))</f>
        <v>0</v>
      </c>
      <c r="I62" t="str">
        <f t="shared" si="30"/>
        <v>5-DaHall 1-PDU-11-20-245-DaHall 1-PDU-12-20-24</v>
      </c>
      <c r="J62" s="217" t="s">
        <v>9723</v>
      </c>
      <c r="K62" s="217" t="s">
        <v>9724</v>
      </c>
      <c r="L62" t="str">
        <f t="shared" si="2"/>
        <v>5-DaHall 1-PDU-11</v>
      </c>
      <c r="M62" t="str">
        <f t="shared" si="31"/>
        <v>[branch#024] [A] W</v>
      </c>
      <c r="N62" t="str">
        <f t="shared" si="56"/>
        <v>5-DaHall 1-PDU-12</v>
      </c>
      <c r="O62" t="str">
        <f t="shared" si="57"/>
        <v>[branch#024] [A] W</v>
      </c>
      <c r="P62" s="2989" cm="1">
        <f t="array" ref="P62">INDEX('각층분기별_유효전력최대(전월)'!$F$4:$F$2020,MATCH(1, ('각층분기별_유효전력최대(전월)'!$D$4:$D$2020='7층~4층_매핑테이블'!L62) * ('각층분기별_유효전력최대(전월)'!$E$4:$E$2020='7층~4층_매핑테이블'!M62),0)) + INDEX('각층분기별_유효전력최대(전월)'!$F$4:$F$2020,MATCH(1, ('각층분기별_유효전력최대(전월)'!$D$4:$D$2020='7층~4층_매핑테이블'!N62) * ('각층분기별_유효전력최대(전월)'!$E$4:$E$2020='7층~4층_매핑테이블'!O62),0))</f>
        <v>0.77800000000000002</v>
      </c>
      <c r="Q62" s="1" t="str">
        <f>R62&amp;S62</f>
        <v>6-DaHall 1-PDU-05-30-76-DaHall 1-PDU-06-30-7</v>
      </c>
      <c r="R62" s="217" t="s">
        <v>9725</v>
      </c>
      <c r="S62" s="217" t="s">
        <v>9726</v>
      </c>
      <c r="T62" t="str">
        <f t="shared" si="7"/>
        <v>6-DaHall 1-PDU-05</v>
      </c>
      <c r="U62" t="str">
        <f>IF(IF(LEN((MID(R62,22,2)))=1, "[branch#0"&amp;0&amp;MID(R62,22,2)&amp;"] [A] W", "[branch#0"&amp;MID(R62,22,2)&amp;"] [A] W")="[branch#0] [A] W", "", IF(LEN((MID(R62,22,2)))=1, "[branch#0"&amp;0&amp;MID(R62,22,2)&amp;"] [A] W", "[branch#0"&amp;MID(R62,22,2)&amp;"] [A] W"))</f>
        <v>[branch#007] [A] W</v>
      </c>
      <c r="V62" t="str">
        <f>IF(MID(S62,16,2)="0","",MID(S62,1,15)&amp;MID(S62,16,2))</f>
        <v>6-DaHall 1-PDU-06</v>
      </c>
      <c r="W62" t="str">
        <f>IF(IF(LEN((MID(S62,22,2)))=1, "[branch#0"&amp;0&amp;MID(S62,22,2)&amp;"] [A] W", "[branch#0"&amp;MID(S62,22,2)&amp;"] [A] W")="[branch#0] [A] W", "", IF(LEN((MID(S62,22,2)))=1, "[branch#0"&amp;0&amp;MID(S62,22,2)&amp;"] [A] W", "[branch#0"&amp;MID(S62,22,2)&amp;"] [A] W"))</f>
        <v>[branch#007] [A] W</v>
      </c>
      <c r="X62" s="2989" cm="1">
        <f t="array" ref="X62">INDEX('각층분기별_유효전력최대(전월)'!$I$4:$I$2020,MATCH(1, ('각층분기별_유효전력최대(전월)'!$G$4:$G$2020='7층~4층_매핑테이블'!T62) * ('각층분기별_유효전력최대(전월)'!$H$4:$H$2020='7층~4층_매핑테이블'!U62),0)) + INDEX('각층분기별_유효전력최대(전월)'!$I$4:$I$2020,MATCH(1, ('각층분기별_유효전력최대(전월)'!$G$4:$G$2020='7층~4층_매핑테이블'!V62) * ('각층분기별_유효전력최대(전월)'!$H$4:$H$2020='7층~4층_매핑테이블'!W62),0))</f>
        <v>0</v>
      </c>
      <c r="Y62" s="3274" t="str">
        <f t="shared" ref="Y62" si="66">Z62&amp;AA62</f>
        <v>7-DaHall 1-A-2-16-447-DaHall 1-B-2-16-46</v>
      </c>
      <c r="Z62" s="217" t="s">
        <v>9727</v>
      </c>
      <c r="AA62" s="217" t="s">
        <v>9728</v>
      </c>
      <c r="AB62" s="3274" t="str">
        <f t="shared" si="61"/>
        <v>7-DaHall 1-A-2-16</v>
      </c>
      <c r="AC62" t="s">
        <v>9389</v>
      </c>
      <c r="AD62" t="str">
        <f t="shared" si="12"/>
        <v>7-DaHall 1-B-2-16</v>
      </c>
      <c r="AE62" t="s">
        <v>9401</v>
      </c>
      <c r="AF62" s="2989" t="e" cm="1">
        <f t="array" ref="AF62">INDEX('각층분기별_유효전력최대(전월)'!$L$4:$L$2020,MATCH(1, ('각층분기별_유효전력최대(전월)'!$J$4:$J$2020='7층~4층_매핑테이블'!AB62) * ('각층분기별_유효전력최대(전월)'!$K$4:$K$2020='7층~4층_매핑테이블'!AC62),0)) + INDEX('각층분기별_유효전력최대(전월)'!$L$4:$L$2020,MATCH(1, ('각층분기별_유효전력최대(전월)'!$J$4:$J$2020='7층~4층_매핑테이블'!AD62) * ('각층분기별_유효전력최대(전월)'!$K$4:$K$2020='7층~4층_매핑테이블'!AE62),0))</f>
        <v>#N/A</v>
      </c>
    </row>
    <row r="63" spans="1:32" x14ac:dyDescent="0.25">
      <c r="A63" t="str">
        <f t="shared" si="59"/>
        <v/>
      </c>
      <c r="B63" s="217"/>
      <c r="C63" s="217"/>
      <c r="D63" s="2989" t="str">
        <f t="shared" si="35"/>
        <v/>
      </c>
      <c r="E63" s="2989" t="str">
        <f t="shared" si="14"/>
        <v/>
      </c>
      <c r="F63" s="2989" t="str">
        <f t="shared" si="16"/>
        <v/>
      </c>
      <c r="G63" s="2989" t="str">
        <f t="shared" si="17"/>
        <v/>
      </c>
      <c r="H63" s="2989" cm="1">
        <f t="array" ref="H63">INDEX('각층분기별_유효전력최대(전월)'!$C$4:$C$2020,MATCH(1, ('각층분기별_유효전력최대(전월)'!$A$4:$A$2020='7층~4층_매핑테이블'!D63) * ('각층분기별_유효전력최대(전월)'!$B$4:$B$2020='7층~4층_매핑테이블'!E63),0)) + INDEX('각층분기별_유효전력최대(전월)'!$C$4:$C$2020,MATCH(1, ('각층분기별_유효전력최대(전월)'!$A$4:$A$2020='7층~4층_매핑테이블'!F63) * ('각층분기별_유효전력최대(전월)'!$B$4:$B$2020='7층~4층_매핑테이블'!G63),0))</f>
        <v>0</v>
      </c>
      <c r="I63" t="str">
        <f t="shared" si="30"/>
        <v>5-DaHall 1-PDU-13-20-225-DaHall 1-PDU-14-20-20</v>
      </c>
      <c r="J63" s="217" t="s">
        <v>9729</v>
      </c>
      <c r="K63" s="217" t="s">
        <v>9730</v>
      </c>
      <c r="L63" t="str">
        <f t="shared" si="2"/>
        <v>5-DaHall 1-PDU-13</v>
      </c>
      <c r="M63" t="str">
        <f t="shared" si="31"/>
        <v>[branch#022] [A] W</v>
      </c>
      <c r="N63" t="str">
        <f t="shared" si="56"/>
        <v>5-DaHall 1-PDU-14</v>
      </c>
      <c r="O63" t="str">
        <f t="shared" si="57"/>
        <v>[branch#020] [A] W</v>
      </c>
      <c r="P63" s="2989" cm="1">
        <f t="array" ref="P63">INDEX('각층분기별_유효전력최대(전월)'!$F$4:$F$2020,MATCH(1, ('각층분기별_유효전력최대(전월)'!$D$4:$D$2020='7층~4층_매핑테이블'!L63) * ('각층분기별_유효전력최대(전월)'!$E$4:$E$2020='7층~4층_매핑테이블'!M63),0)) + INDEX('각층분기별_유효전력최대(전월)'!$F$4:$F$2020,MATCH(1, ('각층분기별_유효전력최대(전월)'!$D$4:$D$2020='7층~4층_매핑테이블'!N63) * ('각층분기별_유효전력최대(전월)'!$E$4:$E$2020='7층~4층_매핑테이블'!O63),0))</f>
        <v>0</v>
      </c>
      <c r="Q63" s="1" t="str">
        <f t="shared" ref="Q63:Q67" si="67">R63&amp;S63</f>
        <v>6-DaHall 1-PDU-05-30-96-DaHall 1-PDU-06-30-9</v>
      </c>
      <c r="R63" s="217" t="s">
        <v>9731</v>
      </c>
      <c r="S63" s="217" t="s">
        <v>9732</v>
      </c>
      <c r="T63" t="str">
        <f t="shared" si="7"/>
        <v>6-DaHall 1-PDU-05</v>
      </c>
      <c r="U63" t="str">
        <f t="shared" ref="U63:U68" si="68">IF(IF(LEN((MID(R63,22,2)))=1, "[branch#0"&amp;0&amp;MID(R63,22,2)&amp;"] [A] W", "[branch#0"&amp;MID(R63,22,2)&amp;"] [A] W")="[branch#0] [A] W", "", IF(LEN((MID(R63,22,2)))=1, "[branch#0"&amp;0&amp;MID(R63,22,2)&amp;"] [A] W", "[branch#0"&amp;MID(R63,22,2)&amp;"] [A] W"))</f>
        <v>[branch#009] [A] W</v>
      </c>
      <c r="V63" t="str">
        <f t="shared" ref="V63:V67" si="69">IF(MID(S63,16,2)="0","",MID(S63,1,15)&amp;MID(S63,16,2))</f>
        <v>6-DaHall 1-PDU-06</v>
      </c>
      <c r="W63" t="str">
        <f t="shared" ref="W63:W67" si="70">IF(IF(LEN((MID(S63,22,2)))=1, "[branch#0"&amp;0&amp;MID(S63,22,2)&amp;"] [A] W", "[branch#0"&amp;MID(S63,22,2)&amp;"] [A] W")="[branch#0] [A] W", "", IF(LEN((MID(S63,22,2)))=1, "[branch#0"&amp;0&amp;MID(S63,22,2)&amp;"] [A] W", "[branch#0"&amp;MID(S63,22,2)&amp;"] [A] W"))</f>
        <v>[branch#009] [A] W</v>
      </c>
      <c r="X63" s="2989" cm="1">
        <f t="array" ref="X63">INDEX('각층분기별_유효전력최대(전월)'!$I$4:$I$2020,MATCH(1, ('각층분기별_유효전력최대(전월)'!$G$4:$G$2020='7층~4층_매핑테이블'!T63) * ('각층분기별_유효전력최대(전월)'!$H$4:$H$2020='7층~4층_매핑테이블'!U63),0)) + INDEX('각층분기별_유효전력최대(전월)'!$I$4:$I$2020,MATCH(1, ('각층분기별_유효전력최대(전월)'!$G$4:$G$2020='7층~4층_매핑테이블'!V63) * ('각층분기별_유효전력최대(전월)'!$H$4:$H$2020='7층~4층_매핑테이블'!W63),0))</f>
        <v>0</v>
      </c>
      <c r="Y63" s="3274" t="str">
        <f>Z63&amp;AA63</f>
        <v/>
      </c>
      <c r="Z63" s="217"/>
      <c r="AA63" s="217"/>
      <c r="AB63" s="3274" t="str">
        <f t="shared" si="61"/>
        <v/>
      </c>
      <c r="AD63" t="str">
        <f t="shared" si="12"/>
        <v/>
      </c>
      <c r="AF63" s="2989" cm="1">
        <f t="array" ref="AF63">INDEX('각층분기별_유효전력최대(전월)'!$L$4:$L$2020,MATCH(1, ('각층분기별_유효전력최대(전월)'!$J$4:$J$2020='7층~4층_매핑테이블'!AB63) * ('각층분기별_유효전력최대(전월)'!$K$4:$K$2020='7층~4층_매핑테이블'!AC63),0)) + INDEX('각층분기별_유효전력최대(전월)'!$L$4:$L$2020,MATCH(1, ('각층분기별_유효전력최대(전월)'!$J$4:$J$2020='7층~4층_매핑테이블'!AD63) * ('각층분기별_유효전력최대(전월)'!$K$4:$K$2020='7층~4층_매핑테이블'!AE63),0))</f>
        <v>0</v>
      </c>
    </row>
    <row r="64" spans="1:32" x14ac:dyDescent="0.25">
      <c r="A64" t="str">
        <f>B64&amp;C64</f>
        <v>4-DaHall 1-PDU-06-100-104-DaHall 1-PDU-05-100-10</v>
      </c>
      <c r="B64" s="217" t="s">
        <v>9733</v>
      </c>
      <c r="C64" s="217" t="s">
        <v>9734</v>
      </c>
      <c r="D64" s="2989" t="str">
        <f>IF(MID(B64,16,2)="0","",MID(B64,1,15)&amp;MID(B64,16,2))</f>
        <v>4-DaHall 1-PDU-06</v>
      </c>
      <c r="E64" s="2989" t="str">
        <f t="shared" si="14"/>
        <v>[branch#010] [A] W</v>
      </c>
      <c r="F64" s="2989" t="str">
        <f>IF(MID(C64,16,2)="0","",MID(C64,1,15)&amp;MID(C64,16,2))</f>
        <v>4-DaHall 1-PDU-05</v>
      </c>
      <c r="G64" s="2989" t="str">
        <f>IF(IF(LEN(MID(C64,23,2))=1, "[branch#0"&amp;0&amp;MID(C64,23,2)&amp;"] [A] W", "[branch#0"&amp;MID(C64,23,2)&amp;"] [A] W")="[branch#0] [A] W", "", IF(LEN(MID(C64,23,2))=1, "[branch#0"&amp;0&amp;MID(C64,23,2)&amp;"] [A] W", "[branch#0"&amp;MID(C64,23,2)&amp;"] [A] W"))</f>
        <v>[branch#010] [A] W</v>
      </c>
      <c r="H64" s="2989" cm="1">
        <f t="array" ref="H64">INDEX('각층분기별_유효전력최대(전월)'!$C$4:$C$2020,MATCH(1, ('각층분기별_유효전력최대(전월)'!$A$4:$A$2020='7층~4층_매핑테이블'!D64) * ('각층분기별_유효전력최대(전월)'!$B$4:$B$2020='7층~4층_매핑테이블'!E64),0)) + INDEX('각층분기별_유효전력최대(전월)'!$C$4:$C$2020,MATCH(1, ('각층분기별_유효전력최대(전월)'!$A$4:$A$2020='7층~4층_매핑테이블'!F64) * ('각층분기별_유효전력최대(전월)'!$B$4:$B$2020='7층~4층_매핑테이블'!G64),0))</f>
        <v>15.148</v>
      </c>
      <c r="I64" t="str">
        <f t="shared" si="30"/>
        <v>5-DaHall 1-PDU-13-20-245-DaHall 1-PDU-14-20-22</v>
      </c>
      <c r="J64" s="217" t="s">
        <v>9735</v>
      </c>
      <c r="K64" s="217" t="s">
        <v>9736</v>
      </c>
      <c r="L64" t="str">
        <f t="shared" si="2"/>
        <v>5-DaHall 1-PDU-13</v>
      </c>
      <c r="M64" t="str">
        <f t="shared" si="31"/>
        <v>[branch#024] [A] W</v>
      </c>
      <c r="N64" t="str">
        <f t="shared" si="56"/>
        <v>5-DaHall 1-PDU-14</v>
      </c>
      <c r="O64" t="str">
        <f t="shared" si="57"/>
        <v>[branch#022] [A] W</v>
      </c>
      <c r="P64" s="2989" cm="1">
        <f t="array" ref="P64">INDEX('각층분기별_유효전력최대(전월)'!$F$4:$F$2020,MATCH(1, ('각층분기별_유효전력최대(전월)'!$D$4:$D$2020='7층~4층_매핑테이블'!L64) * ('각층분기별_유효전력최대(전월)'!$E$4:$E$2020='7층~4층_매핑테이블'!M64),0)) + INDEX('각층분기별_유효전력최대(전월)'!$F$4:$F$2020,MATCH(1, ('각층분기별_유효전력최대(전월)'!$D$4:$D$2020='7층~4층_매핑테이블'!N64) * ('각층분기별_유효전력최대(전월)'!$E$4:$E$2020='7층~4층_매핑테이블'!O64),0))</f>
        <v>0</v>
      </c>
      <c r="Q64" s="1" t="str">
        <f t="shared" si="67"/>
        <v>6-DaHall 1-PDU-05-30-116-DaHall 1-PDU-06-30-11</v>
      </c>
      <c r="R64" s="217" t="s">
        <v>9737</v>
      </c>
      <c r="S64" s="217" t="s">
        <v>9738</v>
      </c>
      <c r="T64" t="str">
        <f t="shared" si="7"/>
        <v>6-DaHall 1-PDU-05</v>
      </c>
      <c r="U64" t="str">
        <f t="shared" si="68"/>
        <v>[branch#011] [A] W</v>
      </c>
      <c r="V64" t="str">
        <f t="shared" si="69"/>
        <v>6-DaHall 1-PDU-06</v>
      </c>
      <c r="W64" t="str">
        <f t="shared" si="70"/>
        <v>[branch#011] [A] W</v>
      </c>
      <c r="X64" s="2989" cm="1">
        <f t="array" ref="X64">INDEX('각층분기별_유효전력최대(전월)'!$I$4:$I$2020,MATCH(1, ('각층분기별_유효전력최대(전월)'!$G$4:$G$2020='7층~4층_매핑테이블'!T64) * ('각층분기별_유효전력최대(전월)'!$H$4:$H$2020='7층~4층_매핑테이블'!U64),0)) + INDEX('각층분기별_유효전력최대(전월)'!$I$4:$I$2020,MATCH(1, ('각층분기별_유효전력최대(전월)'!$G$4:$G$2020='7층~4층_매핑테이블'!V64) * ('각층분기별_유효전력최대(전월)'!$H$4:$H$2020='7층~4층_매핑테이블'!W64),0))</f>
        <v>0.66900000000000004</v>
      </c>
      <c r="Y64" s="3274" t="str">
        <f>Z64&amp;AA64</f>
        <v>7-DaHall 1-A-2-35-587-DaHall 1-B-2-35-58</v>
      </c>
      <c r="Z64" s="217" t="s">
        <v>9739</v>
      </c>
      <c r="AA64" s="217" t="s">
        <v>9740</v>
      </c>
      <c r="AB64" s="3274" t="str">
        <f t="shared" si="61"/>
        <v>7-DaHall 1-A-2-35</v>
      </c>
      <c r="AC64" t="s">
        <v>9392</v>
      </c>
      <c r="AD64" t="str">
        <f t="shared" si="12"/>
        <v>7-DaHall 1-B-2-35</v>
      </c>
      <c r="AE64" t="s">
        <v>9392</v>
      </c>
      <c r="AF64" s="2989" t="e" cm="1">
        <f t="array" ref="AF64">INDEX('각층분기별_유효전력최대(전월)'!$L$4:$L$2020,MATCH(1, ('각층분기별_유효전력최대(전월)'!$J$4:$J$2020='7층~4층_매핑테이블'!AB64) * ('각층분기별_유효전력최대(전월)'!$K$4:$K$2020='7층~4층_매핑테이블'!AC64),0)) + INDEX('각층분기별_유효전력최대(전월)'!$L$4:$L$2020,MATCH(1, ('각층분기별_유효전력최대(전월)'!$J$4:$J$2020='7층~4층_매핑테이블'!AD64) * ('각층분기별_유효전력최대(전월)'!$K$4:$K$2020='7층~4층_매핑테이블'!AE64),0))</f>
        <v>#N/A</v>
      </c>
    </row>
    <row r="65" spans="1:32" x14ac:dyDescent="0.25">
      <c r="A65" t="str">
        <f>B65&amp;C65</f>
        <v/>
      </c>
      <c r="B65" s="217"/>
      <c r="C65" s="217"/>
      <c r="D65" s="2989" t="str">
        <f>IF(MID(B65,16,2)="0","",MID(B65,1,15)&amp;MID(B65,16,2))</f>
        <v/>
      </c>
      <c r="E65" s="2989" t="str">
        <f t="shared" si="14"/>
        <v/>
      </c>
      <c r="F65" s="2989" t="str">
        <f>IF(MID(C65,16,2)="0","",MID(C65,1,15)&amp;MID(C65,16,2))</f>
        <v/>
      </c>
      <c r="G65" s="2989" t="str">
        <f>IF(IF(LEN(MID(C65,23,2))=1, "[branch#0"&amp;0&amp;MID(C65,23,2)&amp;"] [A] W", "[branch#0"&amp;MID(C65,23,2)&amp;"] [A] W")="[branch#0] [A] W", "", IF(LEN(MID(C65,23,2))=1, "[branch#0"&amp;0&amp;MID(C65,23,2)&amp;"] [A] W", "[branch#0"&amp;MID(C65,23,2)&amp;"] [A] W"))</f>
        <v/>
      </c>
      <c r="H65" s="2989" cm="1">
        <f t="array" ref="H65">INDEX('각층분기별_유효전력최대(전월)'!$C$4:$C$2020,MATCH(1, ('각층분기별_유효전력최대(전월)'!$A$4:$A$2020='7층~4층_매핑테이블'!D65) * ('각층분기별_유효전력최대(전월)'!$B$4:$B$2020='7층~4층_매핑테이블'!E65),0)) + INDEX('각층분기별_유효전력최대(전월)'!$C$4:$C$2020,MATCH(1, ('각층분기별_유효전력최대(전월)'!$A$4:$A$2020='7층~4층_매핑테이블'!F65) * ('각층분기별_유효전력최대(전월)'!$B$4:$B$2020='7층~4층_매핑테이블'!G65),0))</f>
        <v>0</v>
      </c>
      <c r="I65" t="str">
        <f t="shared" si="30"/>
        <v>5-DaHall 1-PDU-13-20-265-DaHall 1-PDU-14-20-24</v>
      </c>
      <c r="J65" s="217" t="s">
        <v>9741</v>
      </c>
      <c r="K65" s="217" t="s">
        <v>9742</v>
      </c>
      <c r="L65" t="str">
        <f t="shared" si="2"/>
        <v>5-DaHall 1-PDU-13</v>
      </c>
      <c r="M65" t="str">
        <f t="shared" si="31"/>
        <v>[branch#026] [A] W</v>
      </c>
      <c r="N65" t="str">
        <f t="shared" si="56"/>
        <v>5-DaHall 1-PDU-14</v>
      </c>
      <c r="O65" t="str">
        <f t="shared" si="57"/>
        <v>[branch#024] [A] W</v>
      </c>
      <c r="P65" s="2989" cm="1">
        <f t="array" ref="P65">INDEX('각층분기별_유효전력최대(전월)'!$F$4:$F$2020,MATCH(1, ('각층분기별_유효전력최대(전월)'!$D$4:$D$2020='7층~4층_매핑테이블'!L65) * ('각층분기별_유효전력최대(전월)'!$E$4:$E$2020='7층~4층_매핑테이블'!M65),0)) + INDEX('각층분기별_유효전력최대(전월)'!$F$4:$F$2020,MATCH(1, ('각층분기별_유효전력최대(전월)'!$D$4:$D$2020='7층~4층_매핑테이블'!N65) * ('각층분기별_유효전력최대(전월)'!$E$4:$E$2020='7층~4층_매핑테이블'!O65),0))</f>
        <v>1.5409999999999999</v>
      </c>
      <c r="Q65" s="1" t="str">
        <f t="shared" si="67"/>
        <v>6-DaHall 1-PDU-05-30-136-DaHall 1-PDU-06-30-13</v>
      </c>
      <c r="R65" s="217" t="s">
        <v>9743</v>
      </c>
      <c r="S65" s="217" t="s">
        <v>9744</v>
      </c>
      <c r="T65" t="str">
        <f t="shared" si="7"/>
        <v>6-DaHall 1-PDU-05</v>
      </c>
      <c r="U65" t="str">
        <f t="shared" si="68"/>
        <v>[branch#013] [A] W</v>
      </c>
      <c r="V65" t="str">
        <f t="shared" si="69"/>
        <v>6-DaHall 1-PDU-06</v>
      </c>
      <c r="W65" t="str">
        <f t="shared" si="70"/>
        <v>[branch#013] [A] W</v>
      </c>
      <c r="X65" s="2989" cm="1">
        <f t="array" ref="X65">INDEX('각층분기별_유효전력최대(전월)'!$I$4:$I$2020,MATCH(1, ('각층분기별_유효전력최대(전월)'!$G$4:$G$2020='7층~4층_매핑테이블'!T65) * ('각층분기별_유효전력최대(전월)'!$H$4:$H$2020='7층~4층_매핑테이블'!U65),0)) + INDEX('각층분기별_유효전력최대(전월)'!$I$4:$I$2020,MATCH(1, ('각층분기별_유효전력최대(전월)'!$G$4:$G$2020='7층~4층_매핑테이블'!V65) * ('각층분기별_유효전력최대(전월)'!$H$4:$H$2020='7층~4층_매핑테이블'!W65),0))</f>
        <v>0.97900000000000009</v>
      </c>
      <c r="Y65" s="3274" t="str">
        <f t="shared" ref="Y65:Y67" si="71">Z65&amp;AA65</f>
        <v>7-DaHall 1-RPP-01-20-7</v>
      </c>
      <c r="Z65" s="217" t="s">
        <v>9745</v>
      </c>
      <c r="AA65" s="217"/>
      <c r="AB65" s="3274" t="str">
        <f t="shared" si="61"/>
        <v>7-DaHall 1-RPP-01</v>
      </c>
      <c r="AC65" t="s">
        <v>9409</v>
      </c>
      <c r="AD65" t="str">
        <f t="shared" si="12"/>
        <v/>
      </c>
      <c r="AF65" s="2989" cm="1">
        <f t="array" ref="AF65">INDEX('각층분기별_유효전력최대(전월)'!$L$4:$L$2020,MATCH(1, ('각층분기별_유효전력최대(전월)'!$J$4:$J$2020='7층~4층_매핑테이블'!AB65) * ('각층분기별_유효전력최대(전월)'!$K$4:$K$2020='7층~4층_매핑테이블'!AC65),0)) + INDEX('각층분기별_유효전력최대(전월)'!$L$4:$L$2020,MATCH(1, ('각층분기별_유효전력최대(전월)'!$J$4:$J$2020='7층~4층_매핑테이블'!AD65) * ('각층분기별_유효전력최대(전월)'!$K$4:$K$2020='7층~4층_매핑테이블'!AE65),0))</f>
        <v>0</v>
      </c>
    </row>
    <row r="66" spans="1:32" x14ac:dyDescent="0.25">
      <c r="A66" t="str">
        <f t="shared" ref="A66:A73" si="72">B66&amp;C66</f>
        <v/>
      </c>
      <c r="B66" s="217"/>
      <c r="C66" s="217"/>
      <c r="D66" s="2989" t="str">
        <f>IF(MID(B66,16,2)="0","",MID(B66,1,15)&amp;MID(B66,16,2))</f>
        <v/>
      </c>
      <c r="E66" s="2989" t="str">
        <f t="shared" si="14"/>
        <v/>
      </c>
      <c r="F66" s="2989" t="str">
        <f>IF(MID(C66,16,2)="0","",MID(C66,1,15)&amp;MID(C66,16,2))</f>
        <v/>
      </c>
      <c r="G66" s="2989" t="str">
        <f>IF(IF(LEN(MID(C66,23,2))=1, "[branch#0"&amp;0&amp;MID(C66,23,2)&amp;"] [A] W", "[branch#0"&amp;MID(C66,23,2)&amp;"] [A] W")="[branch#0] [A] W", "", IF(LEN(MID(C66,23,2))=1, "[branch#0"&amp;0&amp;MID(C66,23,2)&amp;"] [A] W", "[branch#0"&amp;MID(C66,23,2)&amp;"] [A] W"))</f>
        <v/>
      </c>
      <c r="H66" s="2989" cm="1">
        <f t="array" ref="H66">INDEX('각층분기별_유효전력최대(전월)'!$C$4:$C$2020,MATCH(1, ('각층분기별_유효전력최대(전월)'!$A$4:$A$2020='7층~4층_매핑테이블'!D66) * ('각층분기별_유효전력최대(전월)'!$B$4:$B$2020='7층~4층_매핑테이블'!E66),0)) + INDEX('각층분기별_유효전력최대(전월)'!$C$4:$C$2020,MATCH(1, ('각층분기별_유효전력최대(전월)'!$A$4:$A$2020='7층~4층_매핑테이블'!F66) * ('각층분기별_유효전력최대(전월)'!$B$4:$B$2020='7층~4층_매핑테이블'!G66),0))</f>
        <v>0</v>
      </c>
      <c r="I66" t="str">
        <f t="shared" si="30"/>
        <v>5-DaHall 1-PDU-15-30-105-DaHall 1-PDU-16-30-10</v>
      </c>
      <c r="J66" s="217" t="s">
        <v>9746</v>
      </c>
      <c r="K66" s="217" t="s">
        <v>9747</v>
      </c>
      <c r="L66" t="str">
        <f t="shared" si="2"/>
        <v>5-DaHall 1-PDU-15</v>
      </c>
      <c r="M66" t="str">
        <f t="shared" si="31"/>
        <v>[branch#010] [A] W</v>
      </c>
      <c r="N66" t="str">
        <f t="shared" si="56"/>
        <v>5-DaHall 1-PDU-16</v>
      </c>
      <c r="O66" t="str">
        <f t="shared" si="57"/>
        <v>[branch#010] [A] W</v>
      </c>
      <c r="P66" s="2989" cm="1">
        <f t="array" ref="P66">INDEX('각층분기별_유효전력최대(전월)'!$F$4:$F$2020,MATCH(1, ('각층분기별_유효전력최대(전월)'!$D$4:$D$2020='7층~4층_매핑테이블'!L66) * ('각층분기별_유효전력최대(전월)'!$E$4:$E$2020='7층~4층_매핑테이블'!M66),0)) + INDEX('각층분기별_유효전력최대(전월)'!$F$4:$F$2020,MATCH(1, ('각층분기별_유효전력최대(전월)'!$D$4:$D$2020='7층~4층_매핑테이블'!N66) * ('각층분기별_유효전력최대(전월)'!$E$4:$E$2020='7층~4층_매핑테이블'!O66),0))</f>
        <v>1.57</v>
      </c>
      <c r="Q66" s="1" t="str">
        <f t="shared" si="67"/>
        <v>6-DaHall 1-PDU-05-30-156-DaHall 1-PDU-06-30-15</v>
      </c>
      <c r="R66" s="217" t="s">
        <v>9748</v>
      </c>
      <c r="S66" s="217" t="s">
        <v>9749</v>
      </c>
      <c r="T66" t="str">
        <f t="shared" si="7"/>
        <v>6-DaHall 1-PDU-05</v>
      </c>
      <c r="U66" t="str">
        <f t="shared" si="68"/>
        <v>[branch#015] [A] W</v>
      </c>
      <c r="V66" t="str">
        <f t="shared" si="69"/>
        <v>6-DaHall 1-PDU-06</v>
      </c>
      <c r="W66" t="str">
        <f t="shared" si="70"/>
        <v>[branch#015] [A] W</v>
      </c>
      <c r="X66" s="2989" cm="1">
        <f t="array" ref="X66">INDEX('각층분기별_유효전력최대(전월)'!$I$4:$I$2020,MATCH(1, ('각층분기별_유효전력최대(전월)'!$G$4:$G$2020='7층~4층_매핑테이블'!T66) * ('각층분기별_유효전력최대(전월)'!$H$4:$H$2020='7층~4층_매핑테이블'!U66),0)) + INDEX('각층분기별_유효전력최대(전월)'!$I$4:$I$2020,MATCH(1, ('각층분기별_유효전력최대(전월)'!$G$4:$G$2020='7층~4층_매핑테이블'!V66) * ('각층분기별_유효전력최대(전월)'!$H$4:$H$2020='7층~4층_매핑테이블'!W66),0))</f>
        <v>1.3820000000000001</v>
      </c>
      <c r="Y66" s="3274" t="str">
        <f t="shared" si="71"/>
        <v>7-DaHall 1-A-2-50-237-DaHall 1-B-2-50-23</v>
      </c>
      <c r="Z66" s="217" t="s">
        <v>9750</v>
      </c>
      <c r="AA66" s="217" t="s">
        <v>9751</v>
      </c>
      <c r="AB66" s="3274" t="str">
        <f t="shared" ref="AB66:AB67" si="73">IF(MID(Z66,16,2)="0","",MID(Z66,1,15)&amp;MID(Z66,16,2))</f>
        <v>7-DaHall 1-A-2-50</v>
      </c>
      <c r="AC66" t="s">
        <v>9497</v>
      </c>
      <c r="AD66" t="str">
        <f t="shared" si="12"/>
        <v>7-DaHall 1-B-2-50</v>
      </c>
      <c r="AE66" t="s">
        <v>9497</v>
      </c>
      <c r="AF66" s="2989" t="e" cm="1">
        <f t="array" ref="AF66">INDEX('각층분기별_유효전력최대(전월)'!$L$4:$L$2020,MATCH(1, ('각층분기별_유효전력최대(전월)'!$J$4:$J$2020='7층~4층_매핑테이블'!AB66) * ('각층분기별_유효전력최대(전월)'!$K$4:$K$2020='7층~4층_매핑테이블'!AC66),0)) + INDEX('각층분기별_유효전력최대(전월)'!$L$4:$L$2020,MATCH(1, ('각층분기별_유효전력최대(전월)'!$J$4:$J$2020='7층~4층_매핑테이블'!AD66) * ('각층분기별_유효전력최대(전월)'!$K$4:$K$2020='7층~4층_매핑테이블'!AE66),0))</f>
        <v>#N/A</v>
      </c>
    </row>
    <row r="67" spans="1:32" x14ac:dyDescent="0.25">
      <c r="A67" t="str">
        <f t="shared" si="72"/>
        <v/>
      </c>
      <c r="B67" s="217"/>
      <c r="C67" s="217"/>
      <c r="D67" s="2989" t="str">
        <f t="shared" ref="D67:D71" si="74">IF(MID(B67,16,2)="0","",MID(B67,1,15)&amp;MID(B67,16,2))</f>
        <v/>
      </c>
      <c r="E67" s="2989" t="str">
        <f t="shared" si="14"/>
        <v/>
      </c>
      <c r="F67" s="2989" t="str">
        <f>IF(MID(C67,16,2)="0","",MID(C67,1,15)&amp;MID(C67,16,2))</f>
        <v/>
      </c>
      <c r="G67" s="2989" t="str">
        <f>IF(IF(LEN(MID(C67,23,2))=1, "[branch#0"&amp;0&amp;MID(C67,23,2)&amp;"] [A] W", "[branch#0"&amp;MID(C67,23,2)&amp;"] [A] W")="[branch#0] [A] W", "", IF(LEN(MID(C67,23,2))=1, "[branch#0"&amp;0&amp;MID(C67,23,2)&amp;"] [A] W", "[branch#0"&amp;MID(C67,23,2)&amp;"] [A] W"))</f>
        <v/>
      </c>
      <c r="H67" s="2989" cm="1">
        <f t="array" ref="H67">INDEX('각층분기별_유효전력최대(전월)'!$C$4:$C$2020,MATCH(1, ('각층분기별_유효전력최대(전월)'!$A$4:$A$2020='7층~4층_매핑테이블'!D67) * ('각층분기별_유효전력최대(전월)'!$B$4:$B$2020='7층~4층_매핑테이블'!E67),0)) + INDEX('각층분기별_유효전력최대(전월)'!$C$4:$C$2020,MATCH(1, ('각층분기별_유효전력최대(전월)'!$A$4:$A$2020='7층~4층_매핑테이블'!F67) * ('각층분기별_유효전력최대(전월)'!$B$4:$B$2020='7층~4층_매핑테이블'!G67),0))</f>
        <v>0</v>
      </c>
      <c r="I67" t="str">
        <f t="shared" si="30"/>
        <v>5-DaHall 1-PDU-13-20-285-DaHall 1-PDU-14-20-26</v>
      </c>
      <c r="J67" s="217" t="s">
        <v>9752</v>
      </c>
      <c r="K67" s="217" t="s">
        <v>9753</v>
      </c>
      <c r="L67" t="str">
        <f t="shared" si="2"/>
        <v>5-DaHall 1-PDU-13</v>
      </c>
      <c r="M67" t="str">
        <f t="shared" si="31"/>
        <v>[branch#028] [A] W</v>
      </c>
      <c r="N67" t="str">
        <f t="shared" si="56"/>
        <v>5-DaHall 1-PDU-14</v>
      </c>
      <c r="O67" t="str">
        <f t="shared" si="57"/>
        <v>[branch#026] [A] W</v>
      </c>
      <c r="P67" s="2989" cm="1">
        <f t="array" ref="P67">INDEX('각층분기별_유효전력최대(전월)'!$F$4:$F$2020,MATCH(1, ('각층분기별_유효전력최대(전월)'!$D$4:$D$2020='7층~4층_매핑테이블'!L67) * ('각층분기별_유효전력최대(전월)'!$E$4:$E$2020='7층~4층_매핑테이블'!M67),0)) + INDEX('각층분기별_유효전력최대(전월)'!$F$4:$F$2020,MATCH(1, ('각층분기별_유효전력최대(전월)'!$D$4:$D$2020='7층~4층_매핑테이블'!N67) * ('각층분기별_유효전력최대(전월)'!$E$4:$E$2020='7층~4층_매핑테이블'!O67),0))</f>
        <v>0</v>
      </c>
      <c r="Q67" s="1" t="str">
        <f t="shared" si="67"/>
        <v>6-DaHall 1-PDU-05-30-176-DaHall 1-PDU-06-30-17</v>
      </c>
      <c r="R67" s="217" t="s">
        <v>9754</v>
      </c>
      <c r="S67" s="217" t="s">
        <v>9755</v>
      </c>
      <c r="T67" t="str">
        <f t="shared" si="7"/>
        <v>6-DaHall 1-PDU-05</v>
      </c>
      <c r="U67" t="str">
        <f t="shared" si="68"/>
        <v>[branch#017] [A] W</v>
      </c>
      <c r="V67" t="str">
        <f t="shared" si="69"/>
        <v>6-DaHall 1-PDU-06</v>
      </c>
      <c r="W67" t="str">
        <f t="shared" si="70"/>
        <v>[branch#017] [A] W</v>
      </c>
      <c r="X67" s="2989" cm="1">
        <f t="array" ref="X67">INDEX('각층분기별_유효전력최대(전월)'!$I$4:$I$2020,MATCH(1, ('각층분기별_유효전력최대(전월)'!$G$4:$G$2020='7층~4층_매핑테이블'!T67) * ('각층분기별_유효전력최대(전월)'!$H$4:$H$2020='7층~4층_매핑테이블'!U67),0)) + INDEX('각층분기별_유효전력최대(전월)'!$I$4:$I$2020,MATCH(1, ('각층분기별_유효전력최대(전월)'!$G$4:$G$2020='7층~4층_매핑테이블'!V67) * ('각층분기별_유효전력최대(전월)'!$H$4:$H$2020='7층~4층_매핑테이블'!W67),0))</f>
        <v>0.40200000000000002</v>
      </c>
      <c r="Y67" s="3274" t="str">
        <f t="shared" si="71"/>
        <v>7-DaHall 1-A-2-50-77-DaHall 1-B-2-50-7</v>
      </c>
      <c r="Z67" s="217" t="s">
        <v>9756</v>
      </c>
      <c r="AA67" s="217" t="s">
        <v>9757</v>
      </c>
      <c r="AB67" s="3274" t="str">
        <f t="shared" si="73"/>
        <v>7-DaHall 1-A-2-50</v>
      </c>
      <c r="AC67" t="s">
        <v>9409</v>
      </c>
      <c r="AD67" t="str">
        <f t="shared" si="12"/>
        <v>7-DaHall 1-B-2-50</v>
      </c>
      <c r="AE67" t="s">
        <v>9409</v>
      </c>
      <c r="AF67" s="2989" t="e" cm="1">
        <f t="array" ref="AF67">INDEX('각층분기별_유효전력최대(전월)'!$L$4:$L$2020,MATCH(1, ('각층분기별_유효전력최대(전월)'!$J$4:$J$2020='7층~4층_매핑테이블'!AB67) * ('각층분기별_유효전력최대(전월)'!$K$4:$K$2020='7층~4층_매핑테이블'!AC67),0)) + INDEX('각층분기별_유효전력최대(전월)'!$L$4:$L$2020,MATCH(1, ('각층분기별_유효전력최대(전월)'!$J$4:$J$2020='7층~4층_매핑테이블'!AD67) * ('각층분기별_유효전력최대(전월)'!$K$4:$K$2020='7층~4층_매핑테이블'!AE67),0))</f>
        <v>#N/A</v>
      </c>
    </row>
    <row r="68" spans="1:32" x14ac:dyDescent="0.25">
      <c r="A68" t="str">
        <f t="shared" si="72"/>
        <v/>
      </c>
      <c r="B68" s="217"/>
      <c r="C68" s="217"/>
      <c r="D68" s="2989" t="str">
        <f t="shared" si="74"/>
        <v/>
      </c>
      <c r="E68" s="2989" t="str">
        <f t="shared" si="14"/>
        <v/>
      </c>
      <c r="F68" s="2989" t="str">
        <f>IF(MID(C68,16,2)="0","",MID(C68,1,15)&amp;MID(C68,16,2))</f>
        <v/>
      </c>
      <c r="G68" s="2989" t="str">
        <f>IF(IF(LEN(MID(C68,23,2))=1, "[branch#0"&amp;0&amp;MID(C68,23,2)&amp;"] [A] W", "[branch#0"&amp;MID(C68,23,2)&amp;"] [A] W")="[branch#0] [A] W", "", IF(LEN(MID(C68,23,2))=1, "[branch#0"&amp;0&amp;MID(C68,23,2)&amp;"] [A] W", "[branch#0"&amp;MID(C68,23,2)&amp;"] [A] W"))</f>
        <v/>
      </c>
      <c r="H68" s="2989" cm="1">
        <f t="array" ref="H68">INDEX('각층분기별_유효전력최대(전월)'!$C$4:$C$2020,MATCH(1, ('각층분기별_유효전력최대(전월)'!$A$4:$A$2020='7층~4층_매핑테이블'!D68) * ('각층분기별_유효전력최대(전월)'!$B$4:$B$2020='7층~4층_매핑테이블'!E68),0)) + INDEX('각층분기별_유효전력최대(전월)'!$C$4:$C$2020,MATCH(1, ('각층분기별_유효전력최대(전월)'!$A$4:$A$2020='7층~4층_매핑테이블'!F68) * ('각층분기별_유효전력최대(전월)'!$B$4:$B$2020='7층~4층_매핑테이블'!G68),0))</f>
        <v>0</v>
      </c>
      <c r="I68" t="str">
        <f t="shared" si="30"/>
        <v>5-DaHall 1-PDU-15-30-85-DaHall 1-PDU-16-30-8</v>
      </c>
      <c r="J68" s="217" t="s">
        <v>9758</v>
      </c>
      <c r="K68" s="217" t="s">
        <v>9759</v>
      </c>
      <c r="L68" t="str">
        <f t="shared" si="2"/>
        <v>5-DaHall 1-PDU-15</v>
      </c>
      <c r="M68" t="str">
        <f t="shared" si="31"/>
        <v>[branch#008] [A] W</v>
      </c>
      <c r="N68" t="str">
        <f t="shared" si="56"/>
        <v>5-DaHall 1-PDU-16</v>
      </c>
      <c r="O68" t="str">
        <f t="shared" si="57"/>
        <v>[branch#008] [A] W</v>
      </c>
      <c r="P68" s="2989" cm="1">
        <f t="array" ref="P68">INDEX('각층분기별_유효전력최대(전월)'!$F$4:$F$2020,MATCH(1, ('각층분기별_유효전력최대(전월)'!$D$4:$D$2020='7층~4층_매핑테이블'!L68) * ('각층분기별_유효전력최대(전월)'!$E$4:$E$2020='7층~4층_매핑테이블'!M68),0)) + INDEX('각층분기별_유효전력최대(전월)'!$F$4:$F$2020,MATCH(1, ('각층분기별_유효전력최대(전월)'!$D$4:$D$2020='7층~4층_매핑테이블'!N68) * ('각층분기별_유효전력최대(전월)'!$E$4:$E$2020='7층~4층_매핑테이블'!O68),0))</f>
        <v>1.7999999999999998</v>
      </c>
      <c r="Q68" s="1" t="str">
        <f>R68&amp;S68</f>
        <v>6-DaHall 1-PDU-05-30-196-DaHall 1-PDU-06-30-19</v>
      </c>
      <c r="R68" s="217" t="s">
        <v>9760</v>
      </c>
      <c r="S68" s="217" t="s">
        <v>9761</v>
      </c>
      <c r="T68" t="str">
        <f t="shared" si="7"/>
        <v>6-DaHall 1-PDU-05</v>
      </c>
      <c r="U68" t="str">
        <f t="shared" si="68"/>
        <v>[branch#019] [A] W</v>
      </c>
      <c r="V68" t="str">
        <f>IF(MID(S68,16,2)="0","",MID(S68,1,15)&amp;MID(S68,16,2))</f>
        <v>6-DaHall 1-PDU-06</v>
      </c>
      <c r="W68" t="str">
        <f>IF(IF(LEN((MID(S68,22,2)))=1, "[branch#0"&amp;0&amp;MID(S68,22,2)&amp;"] [A] W", "[branch#0"&amp;MID(S68,22,2)&amp;"] [A] W")="[branch#0] [A] W", "", IF(LEN((MID(S68,22,2)))=1, "[branch#0"&amp;0&amp;MID(S68,22,2)&amp;"] [A] W", "[branch#0"&amp;MID(S68,22,2)&amp;"] [A] W"))</f>
        <v>[branch#019] [A] W</v>
      </c>
      <c r="X68" s="2989" cm="1">
        <f t="array" ref="X68">INDEX('각층분기별_유효전력최대(전월)'!$I$4:$I$2020,MATCH(1, ('각층분기별_유효전력최대(전월)'!$G$4:$G$2020='7층~4층_매핑테이블'!T68) * ('각층분기별_유효전력최대(전월)'!$H$4:$H$2020='7층~4층_매핑테이블'!U68),0)) + INDEX('각층분기별_유효전력최대(전월)'!$I$4:$I$2020,MATCH(1, ('각층분기별_유효전력최대(전월)'!$G$4:$G$2020='7층~4층_매핑테이블'!V68) * ('각층분기별_유효전력최대(전월)'!$H$4:$H$2020='7층~4층_매핑테이블'!W68),0))</f>
        <v>0</v>
      </c>
      <c r="Y68" s="3274" t="str">
        <f>Z68&amp;AA68</f>
        <v/>
      </c>
      <c r="Z68" s="217"/>
      <c r="AA68" s="217"/>
      <c r="AB68" s="3274" t="str">
        <f>IF(MID(Z68,16,2)="0","",MID(Z68,1,15)&amp;MID(Z68,16,2))</f>
        <v/>
      </c>
      <c r="AD68" t="str">
        <f t="shared" si="12"/>
        <v/>
      </c>
      <c r="AF68" s="2989" cm="1">
        <f t="array" ref="AF68">INDEX('각층분기별_유효전력최대(전월)'!$L$4:$L$2020,MATCH(1, ('각층분기별_유효전력최대(전월)'!$J$4:$J$2020='7층~4층_매핑테이블'!AB68) * ('각층분기별_유효전력최대(전월)'!$K$4:$K$2020='7층~4층_매핑테이블'!AC68),0)) + INDEX('각층분기별_유효전력최대(전월)'!$L$4:$L$2020,MATCH(1, ('각층분기별_유효전력최대(전월)'!$J$4:$J$2020='7층~4층_매핑테이블'!AD68) * ('각층분기별_유효전력최대(전월)'!$K$4:$K$2020='7층~4층_매핑테이블'!AE68),0))</f>
        <v>0</v>
      </c>
    </row>
    <row r="69" spans="1:32" x14ac:dyDescent="0.25">
      <c r="A69" t="str">
        <f t="shared" si="72"/>
        <v/>
      </c>
      <c r="B69" s="217"/>
      <c r="C69" s="217"/>
      <c r="D69" s="2989" t="str">
        <f t="shared" si="74"/>
        <v/>
      </c>
      <c r="E69" s="2989" t="str">
        <f t="shared" si="14"/>
        <v/>
      </c>
      <c r="F69" s="2989" t="str">
        <f t="shared" ref="F69:F73" si="75">IF(MID(C69,16,2)="0","",MID(C69,1,15)&amp;MID(C69,16,2))</f>
        <v/>
      </c>
      <c r="G69" s="2989" t="str">
        <f t="shared" ref="G69:G73" si="76">IF(IF(LEN(MID(C69,23,2))=1, "[branch#0"&amp;0&amp;MID(C69,23,2)&amp;"] [A] W", "[branch#0"&amp;MID(C69,23,2)&amp;"] [A] W")="[branch#0] [A] W", "", IF(LEN(MID(C69,23,2))=1, "[branch#0"&amp;0&amp;MID(C69,23,2)&amp;"] [A] W", "[branch#0"&amp;MID(C69,23,2)&amp;"] [A] W"))</f>
        <v/>
      </c>
      <c r="H69" s="2989" cm="1">
        <f t="array" ref="H69">INDEX('각층분기별_유효전력최대(전월)'!$C$4:$C$2020,MATCH(1, ('각층분기별_유효전력최대(전월)'!$A$4:$A$2020='7층~4층_매핑테이블'!D69) * ('각층분기별_유효전력최대(전월)'!$B$4:$B$2020='7층~4층_매핑테이블'!E69),0)) + INDEX('각층분기별_유효전력최대(전월)'!$C$4:$C$2020,MATCH(1, ('각층분기별_유효전력최대(전월)'!$A$4:$A$2020='7층~4층_매핑테이블'!F69) * ('각층분기별_유효전력최대(전월)'!$B$4:$B$2020='7층~4층_매핑테이블'!G69),0))</f>
        <v>0</v>
      </c>
      <c r="I69" t="str">
        <f t="shared" si="30"/>
        <v>5-DaHall 1-PDU-13-20-305-DaHall 1-PDU-14-20-28</v>
      </c>
      <c r="J69" s="217" t="s">
        <v>9762</v>
      </c>
      <c r="K69" s="217" t="s">
        <v>9763</v>
      </c>
      <c r="L69" t="str">
        <f t="shared" si="2"/>
        <v>5-DaHall 1-PDU-13</v>
      </c>
      <c r="M69" t="str">
        <f t="shared" si="31"/>
        <v>[branch#030] [A] W</v>
      </c>
      <c r="N69" t="str">
        <f t="shared" si="56"/>
        <v>5-DaHall 1-PDU-14</v>
      </c>
      <c r="O69" t="str">
        <f t="shared" si="57"/>
        <v>[branch#028] [A] W</v>
      </c>
      <c r="P69" s="2989" cm="1">
        <f t="array" ref="P69">INDEX('각층분기별_유효전력최대(전월)'!$F$4:$F$2020,MATCH(1, ('각층분기별_유효전력최대(전월)'!$D$4:$D$2020='7층~4층_매핑테이블'!L69) * ('각층분기별_유효전력최대(전월)'!$E$4:$E$2020='7층~4층_매핑테이블'!M69),0)) + INDEX('각층분기별_유효전력최대(전월)'!$F$4:$F$2020,MATCH(1, ('각층분기별_유효전력최대(전월)'!$D$4:$D$2020='7층~4층_매핑테이블'!N69) * ('각층분기별_유효전력최대(전월)'!$E$4:$E$2020='7층~4층_매핑테이블'!O69),0))</f>
        <v>0</v>
      </c>
      <c r="Q69" s="1" t="str">
        <f>R69&amp;S69</f>
        <v/>
      </c>
      <c r="R69" s="217"/>
      <c r="S69" s="217"/>
      <c r="T69" t="str">
        <f t="shared" si="7"/>
        <v/>
      </c>
      <c r="U69" t="str">
        <f>IF(IF(LEN((MID(R69,22,2)))=1, "[branch#0"&amp;0&amp;MID(R69,22,2)&amp;"] [A] W", "[branch#0"&amp;MID(R69,22,2)&amp;"] [A] W")="[branch#0] [A] W", "", IF(LEN((MID(R69,22,2)))=1, "[branch#0"&amp;0&amp;MID(R69,22,2)&amp;"] [A] W", "[branch#0"&amp;MID(R69,22,2)&amp;"] [A] W"))</f>
        <v/>
      </c>
      <c r="V69" t="str">
        <f>IF(MID(S69,16,2)="0","",MID(S69,1,15)&amp;MID(S69,16,2))</f>
        <v/>
      </c>
      <c r="W69" t="str">
        <f>IF(IF(LEN((MID(S69,22,2)))=1, "[branch#0"&amp;0&amp;MID(S69,22,2)&amp;"] [A] W", "[branch#0"&amp;MID(S69,22,2)&amp;"] [A] W")="[branch#0] [A] W", "", IF(LEN((MID(S69,22,2)))=1, "[branch#0"&amp;0&amp;MID(S69,22,2)&amp;"] [A] W", "[branch#0"&amp;MID(S69,22,2)&amp;"] [A] W"))</f>
        <v/>
      </c>
      <c r="X69" s="2989" cm="1">
        <f t="array" ref="X69">INDEX('각층분기별_유효전력최대(전월)'!$I$4:$I$2020,MATCH(1, ('각층분기별_유효전력최대(전월)'!$G$4:$G$2020='7층~4층_매핑테이블'!T69) * ('각층분기별_유효전력최대(전월)'!$H$4:$H$2020='7층~4층_매핑테이블'!U69),0)) + INDEX('각층분기별_유효전력최대(전월)'!$I$4:$I$2020,MATCH(1, ('각층분기별_유효전력최대(전월)'!$G$4:$G$2020='7층~4층_매핑테이블'!V69) * ('각층분기별_유효전력최대(전월)'!$H$4:$H$2020='7층~4층_매핑테이블'!W69),0))</f>
        <v>0</v>
      </c>
      <c r="Y69" s="3274" t="str">
        <f>Z69&amp;AA69</f>
        <v>7-DaHall 1-A-2-35-627-DaHall 1-B-2-35-62</v>
      </c>
      <c r="Z69" s="217" t="s">
        <v>9764</v>
      </c>
      <c r="AA69" s="217" t="s">
        <v>9765</v>
      </c>
      <c r="AB69" s="3274" t="str">
        <f>IF(MID(Z69,16,2)="0","",MID(Z69,1,15)&amp;MID(Z69,16,2))</f>
        <v>7-DaHall 1-A-2-35</v>
      </c>
      <c r="AC69" t="s">
        <v>9766</v>
      </c>
      <c r="AD69" t="str">
        <f t="shared" si="12"/>
        <v>7-DaHall 1-B-2-35</v>
      </c>
      <c r="AE69" t="s">
        <v>9766</v>
      </c>
      <c r="AF69" s="2989" t="e" cm="1">
        <f t="array" ref="AF69">INDEX('각층분기별_유효전력최대(전월)'!$L$4:$L$2020,MATCH(1, ('각층분기별_유효전력최대(전월)'!$J$4:$J$2020='7층~4층_매핑테이블'!AB69) * ('각층분기별_유효전력최대(전월)'!$K$4:$K$2020='7층~4층_매핑테이블'!AC69),0)) + INDEX('각층분기별_유효전력최대(전월)'!$L$4:$L$2020,MATCH(1, ('각층분기별_유효전력최대(전월)'!$J$4:$J$2020='7층~4층_매핑테이블'!AD69) * ('각층분기별_유효전력최대(전월)'!$K$4:$K$2020='7층~4층_매핑테이블'!AE69),0))</f>
        <v>#N/A</v>
      </c>
    </row>
    <row r="70" spans="1:32" x14ac:dyDescent="0.25">
      <c r="A70" t="str">
        <f t="shared" si="72"/>
        <v/>
      </c>
      <c r="B70" s="217"/>
      <c r="C70" s="217"/>
      <c r="D70" s="2989" t="str">
        <f t="shared" si="74"/>
        <v/>
      </c>
      <c r="E70" s="2989" t="str">
        <f t="shared" si="14"/>
        <v/>
      </c>
      <c r="F70" s="2989" t="str">
        <f t="shared" si="75"/>
        <v/>
      </c>
      <c r="G70" s="2989" t="str">
        <f t="shared" si="76"/>
        <v/>
      </c>
      <c r="H70" s="2989" cm="1">
        <f t="array" ref="H70">INDEX('각층분기별_유효전력최대(전월)'!$C$4:$C$2020,MATCH(1, ('각층분기별_유효전력최대(전월)'!$A$4:$A$2020='7층~4층_매핑테이블'!D70) * ('각층분기별_유효전력최대(전월)'!$B$4:$B$2020='7층~4층_매핑테이블'!E70),0)) + INDEX('각층분기별_유효전력최대(전월)'!$C$4:$C$2020,MATCH(1, ('각층분기별_유효전력최대(전월)'!$A$4:$A$2020='7층~4층_매핑테이블'!F70) * ('각층분기별_유효전력최대(전월)'!$B$4:$B$2020='7층~4층_매핑테이블'!G70),0))</f>
        <v>0</v>
      </c>
      <c r="I70" t="str">
        <f t="shared" si="30"/>
        <v>5-DaHall 1-PDU-13-20-325-DaHall 1-PDU-14-20-30</v>
      </c>
      <c r="J70" s="217" t="s">
        <v>9767</v>
      </c>
      <c r="K70" s="217" t="s">
        <v>9768</v>
      </c>
      <c r="L70" t="str">
        <f t="shared" si="2"/>
        <v>5-DaHall 1-PDU-13</v>
      </c>
      <c r="M70" t="str">
        <f t="shared" si="31"/>
        <v>[branch#032] [A] W</v>
      </c>
      <c r="N70" t="str">
        <f t="shared" si="56"/>
        <v>5-DaHall 1-PDU-14</v>
      </c>
      <c r="O70" t="str">
        <f t="shared" si="57"/>
        <v>[branch#030] [A] W</v>
      </c>
      <c r="P70" s="2989" cm="1">
        <f t="array" ref="P70">INDEX('각층분기별_유효전력최대(전월)'!$F$4:$F$2020,MATCH(1, ('각층분기별_유효전력최대(전월)'!$D$4:$D$2020='7층~4층_매핑테이블'!L70) * ('각층분기별_유효전력최대(전월)'!$E$4:$E$2020='7층~4층_매핑테이블'!M70),0)) + INDEX('각층분기별_유효전력최대(전월)'!$F$4:$F$2020,MATCH(1, ('각층분기별_유효전력최대(전월)'!$D$4:$D$2020='7층~4층_매핑테이블'!N70) * ('각층분기별_유효전력최대(전월)'!$E$4:$E$2020='7층~4층_매핑테이블'!O70),0))</f>
        <v>0</v>
      </c>
      <c r="Q70" s="1" t="str">
        <f t="shared" ref="Q70:Q71" si="77">R70&amp;S70</f>
        <v/>
      </c>
      <c r="R70" s="217"/>
      <c r="S70" s="217"/>
      <c r="T70" t="str">
        <f t="shared" si="7"/>
        <v/>
      </c>
      <c r="U70" t="str">
        <f t="shared" ref="U70:U71" si="78">IF(IF(LEN((MID(R70,22,2)))=1, "[branch#0"&amp;0&amp;MID(R70,22,2)&amp;"] [A] W", "[branch#0"&amp;MID(R70,22,2)&amp;"] [A] W")="[branch#0] [A] W", "", IF(LEN((MID(R70,22,2)))=1, "[branch#0"&amp;0&amp;MID(R70,22,2)&amp;"] [A] W", "[branch#0"&amp;MID(R70,22,2)&amp;"] [A] W"))</f>
        <v/>
      </c>
      <c r="V70" t="str">
        <f t="shared" ref="V70:V71" si="79">IF(MID(S70,16,2)="0","",MID(S70,1,15)&amp;MID(S70,16,2))</f>
        <v/>
      </c>
      <c r="W70" t="str">
        <f t="shared" ref="W70:W71" si="80">IF(IF(LEN((MID(S70,22,2)))=1, "[branch#0"&amp;0&amp;MID(S70,22,2)&amp;"] [A] W", "[branch#0"&amp;MID(S70,22,2)&amp;"] [A] W")="[branch#0] [A] W", "", IF(LEN((MID(S70,22,2)))=1, "[branch#0"&amp;0&amp;MID(S70,22,2)&amp;"] [A] W", "[branch#0"&amp;MID(S70,22,2)&amp;"] [A] W"))</f>
        <v/>
      </c>
      <c r="X70" s="2989" cm="1">
        <f t="array" ref="X70">INDEX('각층분기별_유효전력최대(전월)'!$I$4:$I$2020,MATCH(1, ('각층분기별_유효전력최대(전월)'!$G$4:$G$2020='7층~4층_매핑테이블'!T70) * ('각층분기별_유효전력최대(전월)'!$H$4:$H$2020='7층~4층_매핑테이블'!U70),0)) + INDEX('각층분기별_유효전력최대(전월)'!$I$4:$I$2020,MATCH(1, ('각층분기별_유효전력최대(전월)'!$G$4:$G$2020='7층~4층_매핑테이블'!V70) * ('각층분기별_유효전력최대(전월)'!$H$4:$H$2020='7층~4층_매핑테이블'!W70),0))</f>
        <v>0</v>
      </c>
      <c r="Y70" s="3274" t="str">
        <f t="shared" ref="Y70:Y81" si="81">Z70&amp;AA70</f>
        <v>7-DaHall 1-A-2-35-637-DaHall 1-B-2-35-63</v>
      </c>
      <c r="Z70" s="217" t="s">
        <v>9769</v>
      </c>
      <c r="AA70" s="217" t="s">
        <v>9770</v>
      </c>
      <c r="AB70" s="3274" t="str">
        <f>IF(MID(Z70,16,2)="0","",MID(Z70,1,15)&amp;MID(Z70,16,2))</f>
        <v>7-DaHall 1-A-2-35</v>
      </c>
      <c r="AC70" t="s">
        <v>9771</v>
      </c>
      <c r="AD70" t="str">
        <f t="shared" si="12"/>
        <v>7-DaHall 1-B-2-35</v>
      </c>
      <c r="AE70" t="s">
        <v>9771</v>
      </c>
      <c r="AF70" s="2989" t="e" cm="1">
        <f t="array" ref="AF70">INDEX('각층분기별_유효전력최대(전월)'!$L$4:$L$2020,MATCH(1, ('각층분기별_유효전력최대(전월)'!$J$4:$J$2020='7층~4층_매핑테이블'!AB70) * ('각층분기별_유효전력최대(전월)'!$K$4:$K$2020='7층~4층_매핑테이블'!AC70),0)) + INDEX('각층분기별_유효전력최대(전월)'!$L$4:$L$2020,MATCH(1, ('각층분기별_유효전력최대(전월)'!$J$4:$J$2020='7층~4층_매핑테이블'!AD70) * ('각층분기별_유효전력최대(전월)'!$K$4:$K$2020='7층~4층_매핑테이블'!AE70),0))</f>
        <v>#N/A</v>
      </c>
    </row>
    <row r="71" spans="1:32" x14ac:dyDescent="0.25">
      <c r="A71" t="str">
        <f t="shared" si="72"/>
        <v/>
      </c>
      <c r="B71" s="217"/>
      <c r="C71" s="217"/>
      <c r="D71" s="2989" t="str">
        <f t="shared" si="74"/>
        <v/>
      </c>
      <c r="E71" s="2989" t="str">
        <f t="shared" si="14"/>
        <v/>
      </c>
      <c r="F71" s="2989" t="str">
        <f t="shared" si="75"/>
        <v/>
      </c>
      <c r="G71" s="2989" t="str">
        <f t="shared" si="76"/>
        <v/>
      </c>
      <c r="H71" s="2989" cm="1">
        <f t="array" ref="H71">INDEX('각층분기별_유효전력최대(전월)'!$C$4:$C$2020,MATCH(1, ('각층분기별_유효전력최대(전월)'!$A$4:$A$2020='7층~4층_매핑테이블'!D71) * ('각층분기별_유효전력최대(전월)'!$B$4:$B$2020='7층~4층_매핑테이블'!E71),0)) + INDEX('각층분기별_유효전력최대(전월)'!$C$4:$C$2020,MATCH(1, ('각층분기별_유효전력최대(전월)'!$A$4:$A$2020='7층~4층_매핑테이블'!F71) * ('각층분기별_유효전력최대(전월)'!$B$4:$B$2020='7층~4층_매핑테이블'!G71),0))</f>
        <v>0</v>
      </c>
      <c r="I71" t="str">
        <f t="shared" si="30"/>
        <v>5-DaHall 1-PDU-03-30-325-DaHall 1-PDU-04-30-32</v>
      </c>
      <c r="J71" s="3107" t="s">
        <v>9772</v>
      </c>
      <c r="K71" s="3107" t="s">
        <v>9773</v>
      </c>
      <c r="L71" t="str">
        <f t="shared" ref="L71:L135" si="82">IF(MID(J71,16,2)="0","",MID(J71,1,15)&amp;MID(J71,16,2))</f>
        <v>5-DaHall 1-PDU-03</v>
      </c>
      <c r="M71" t="str">
        <f t="shared" si="31"/>
        <v>[branch#032] [A] W</v>
      </c>
      <c r="N71" t="str">
        <f t="shared" si="56"/>
        <v>5-DaHall 1-PDU-04</v>
      </c>
      <c r="O71" t="str">
        <f t="shared" si="57"/>
        <v>[branch#032] [A] W</v>
      </c>
      <c r="P71" s="2989" t="e" cm="1">
        <f t="array" ref="P71">INDEX('각층분기별_유효전력최대(전월)'!$F$4:$F$2020,MATCH(1, ('각층분기별_유효전력최대(전월)'!$D$4:$D$2020='7층~4층_매핑테이블'!L71) * ('각층분기별_유효전력최대(전월)'!$E$4:$E$2020='7층~4층_매핑테이블'!M71),0)) + INDEX('각층분기별_유효전력최대(전월)'!$F$4:$F$2020,MATCH(1, ('각층분기별_유효전력최대(전월)'!$D$4:$D$2020='7층~4층_매핑테이블'!N71) * ('각층분기별_유효전력최대(전월)'!$E$4:$E$2020='7층~4층_매핑테이블'!O71),0))</f>
        <v>#N/A</v>
      </c>
      <c r="Q71" s="1" t="str">
        <f t="shared" si="77"/>
        <v/>
      </c>
      <c r="R71" s="217"/>
      <c r="S71" s="217"/>
      <c r="T71" t="str">
        <f t="shared" ref="T71" si="83">IF(MID(R71,16,2)="0","",MID(R71,1,15)&amp;MID(R71,16,2))</f>
        <v/>
      </c>
      <c r="U71" t="str">
        <f t="shared" si="78"/>
        <v/>
      </c>
      <c r="V71" t="str">
        <f t="shared" si="79"/>
        <v/>
      </c>
      <c r="W71" t="str">
        <f t="shared" si="80"/>
        <v/>
      </c>
      <c r="X71" s="2989" cm="1">
        <f t="array" ref="X71">INDEX('각층분기별_유효전력최대(전월)'!$I$4:$I$2020,MATCH(1, ('각층분기별_유효전력최대(전월)'!$G$4:$G$2020='7층~4층_매핑테이블'!T71) * ('각층분기별_유효전력최대(전월)'!$H$4:$H$2020='7층~4층_매핑테이블'!U71),0)) + INDEX('각층분기별_유효전력최대(전월)'!$I$4:$I$2020,MATCH(1, ('각층분기별_유효전력최대(전월)'!$G$4:$G$2020='7층~4층_매핑테이블'!V71) * ('각층분기별_유효전력최대(전월)'!$H$4:$H$2020='7층~4층_매핑테이블'!W71),0))</f>
        <v>0</v>
      </c>
      <c r="Y71" s="3274" t="str">
        <f t="shared" si="81"/>
        <v>7-DaHall 1-A-3-50-577-DaHall 1-B-3-50-57</v>
      </c>
      <c r="Z71" s="217" t="s">
        <v>9774</v>
      </c>
      <c r="AA71" s="217" t="s">
        <v>9775</v>
      </c>
      <c r="AB71" s="3274" t="str">
        <f t="shared" ref="AB71:AB76" si="84">IF(MID(Z71,16,2)="0","",MID(Z71,1,15)&amp;MID(Z71,16,2))</f>
        <v>7-DaHall 1-A-3-50</v>
      </c>
      <c r="AC71" t="s">
        <v>9593</v>
      </c>
      <c r="AD71" t="str">
        <f t="shared" ref="AD71:AD134" si="85">IF(MID(AA71,16,2)="0","",MID(AA71,1,15)&amp;MID(AA71,16,2))</f>
        <v>7-DaHall 1-B-3-50</v>
      </c>
      <c r="AE71" t="s">
        <v>9593</v>
      </c>
      <c r="AF71" s="2989" t="e" cm="1">
        <f t="array" ref="AF71">INDEX('각층분기별_유효전력최대(전월)'!$L$4:$L$2020,MATCH(1, ('각층분기별_유효전력최대(전월)'!$J$4:$J$2020='7층~4층_매핑테이블'!AB71) * ('각층분기별_유효전력최대(전월)'!$K$4:$K$2020='7층~4층_매핑테이블'!AC71),0)) + INDEX('각층분기별_유효전력최대(전월)'!$L$4:$L$2020,MATCH(1, ('각층분기별_유효전력최대(전월)'!$J$4:$J$2020='7층~4층_매핑테이블'!AD71) * ('각층분기별_유효전력최대(전월)'!$K$4:$K$2020='7층~4층_매핑테이블'!AE71),0))</f>
        <v>#N/A</v>
      </c>
    </row>
    <row r="72" spans="1:32" x14ac:dyDescent="0.25">
      <c r="A72" t="str">
        <f t="shared" si="72"/>
        <v/>
      </c>
      <c r="B72" s="217"/>
      <c r="C72" s="217"/>
      <c r="D72" s="2989" t="str">
        <f>IF(MID(B72,16,2)="0","",MID(B72,1,15)&amp;MID(B72,16,2))</f>
        <v/>
      </c>
      <c r="E72" s="2989" t="str">
        <f t="shared" ref="E72:E135" si="86">IF(IF(LEN(MID(B72,23,2))=1, "[branch#0"&amp;0&amp;MID(B72,23,2)&amp;"] [A] W", "[branch#0"&amp;MID(B72,23,2)&amp;"] [A] W")="[branch#0] [A] W", "", IF(LEN(MID(B72,23,2))=1, "[branch#0"&amp;0&amp;MID(B72,23,2)&amp;"] [A] W", "[branch#0"&amp;MID(B72,23,2)&amp;"] [A] W"))</f>
        <v/>
      </c>
      <c r="F72" s="2989" t="str">
        <f t="shared" si="75"/>
        <v/>
      </c>
      <c r="G72" s="2989" t="str">
        <f t="shared" si="76"/>
        <v/>
      </c>
      <c r="H72" s="2989" cm="1">
        <f t="array" ref="H72">INDEX('각층분기별_유효전력최대(전월)'!$C$4:$C$2020,MATCH(1, ('각층분기별_유효전력최대(전월)'!$A$4:$A$2020='7층~4층_매핑테이블'!D72) * ('각층분기별_유효전력최대(전월)'!$B$4:$B$2020='7층~4층_매핑테이블'!E72),0)) + INDEX('각층분기별_유효전력최대(전월)'!$C$4:$C$2020,MATCH(1, ('각층분기별_유효전력최대(전월)'!$A$4:$A$2020='7층~4층_매핑테이블'!F72) * ('각층분기별_유효전력최대(전월)'!$B$4:$B$2020='7층~4층_매핑테이블'!G72),0))</f>
        <v>0</v>
      </c>
      <c r="I72" t="str">
        <f t="shared" si="30"/>
        <v>5-DaHall 1-PDU-03-30-345-DaHall 1-PDU-04-30-34</v>
      </c>
      <c r="J72" s="3107" t="s">
        <v>9776</v>
      </c>
      <c r="K72" s="3107" t="s">
        <v>9777</v>
      </c>
      <c r="L72" t="str">
        <f t="shared" si="82"/>
        <v>5-DaHall 1-PDU-03</v>
      </c>
      <c r="M72" t="str">
        <f t="shared" si="31"/>
        <v>[branch#034] [A] W</v>
      </c>
      <c r="N72" t="str">
        <f t="shared" si="56"/>
        <v>5-DaHall 1-PDU-04</v>
      </c>
      <c r="O72" t="str">
        <f t="shared" si="57"/>
        <v>[branch#034] [A] W</v>
      </c>
      <c r="P72" s="2989" t="e" cm="1">
        <f t="array" ref="P72">INDEX('각층분기별_유효전력최대(전월)'!$F$4:$F$2020,MATCH(1, ('각층분기별_유효전력최대(전월)'!$D$4:$D$2020='7층~4층_매핑테이블'!L72) * ('각층분기별_유효전력최대(전월)'!$E$4:$E$2020='7층~4층_매핑테이블'!M72),0)) + INDEX('각층분기별_유효전력최대(전월)'!$F$4:$F$2020,MATCH(1, ('각층분기별_유효전력최대(전월)'!$D$4:$D$2020='7층~4층_매핑테이블'!N72) * ('각층분기별_유효전력최대(전월)'!$E$4:$E$2020='7층~4층_매핑테이블'!O72),0))</f>
        <v>#N/A</v>
      </c>
      <c r="Q72" s="1" t="str">
        <f>R72&amp;S72</f>
        <v>6-DaHall 1-PDU-05-30-256-DaHall 1-PDU-06-30-25</v>
      </c>
      <c r="R72" s="217" t="s">
        <v>9778</v>
      </c>
      <c r="S72" s="217" t="s">
        <v>9779</v>
      </c>
      <c r="T72" t="str">
        <f t="shared" si="7"/>
        <v>6-DaHall 1-PDU-05</v>
      </c>
      <c r="U72" t="str">
        <f>IF(IF(LEN((MID(R72,22,2)))=1, "[branch#0"&amp;0&amp;MID(R72,22,2)&amp;"] [A] W", "[branch#0"&amp;MID(R72,22,2)&amp;"] [A] W")="[branch#0] [A] W", "", IF(LEN((MID(R72,22,2)))=1, "[branch#0"&amp;0&amp;MID(R72,22,2)&amp;"] [A] W", "[branch#0"&amp;MID(R72,22,2)&amp;"] [A] W"))</f>
        <v>[branch#025] [A] W</v>
      </c>
      <c r="V72" t="str">
        <f>IF(MID(S72,16,2)="0","",MID(S72,1,15)&amp;MID(S72,16,2))</f>
        <v>6-DaHall 1-PDU-06</v>
      </c>
      <c r="W72" t="str">
        <f>IF(IF(LEN((MID(S72,22,2)))=1, "[branch#0"&amp;0&amp;MID(S72,22,2)&amp;"] [A] W", "[branch#0"&amp;MID(S72,22,2)&amp;"] [A] W")="[branch#0] [A] W", "", IF(LEN((MID(S72,22,2)))=1, "[branch#0"&amp;0&amp;MID(S72,22,2)&amp;"] [A] W", "[branch#0"&amp;MID(S72,22,2)&amp;"] [A] W"))</f>
        <v>[branch#025] [A] W</v>
      </c>
      <c r="X72" s="2989" cm="1">
        <f t="array" ref="X72">INDEX('각층분기별_유효전력최대(전월)'!$I$4:$I$2020,MATCH(1, ('각층분기별_유효전력최대(전월)'!$G$4:$G$2020='7층~4층_매핑테이블'!T72) * ('각층분기별_유효전력최대(전월)'!$H$4:$H$2020='7층~4층_매핑테이블'!U72),0)) + INDEX('각층분기별_유효전력최대(전월)'!$I$4:$I$2020,MATCH(1, ('각층분기별_유효전력최대(전월)'!$G$4:$G$2020='7층~4층_매핑테이블'!V72) * ('각층분기별_유효전력최대(전월)'!$H$4:$H$2020='7층~4층_매핑테이블'!W72),0))</f>
        <v>4.3639999999999999</v>
      </c>
      <c r="Y72" s="3274" t="str">
        <f t="shared" si="81"/>
        <v>7-DaHall 1-A-3-50-587-DaHall 1-B-3-50-58</v>
      </c>
      <c r="Z72" s="217" t="s">
        <v>9780</v>
      </c>
      <c r="AA72" s="217" t="s">
        <v>9781</v>
      </c>
      <c r="AB72" s="3274" t="str">
        <f t="shared" si="84"/>
        <v>7-DaHall 1-A-3-50</v>
      </c>
      <c r="AC72" t="s">
        <v>9392</v>
      </c>
      <c r="AD72" t="str">
        <f t="shared" si="85"/>
        <v>7-DaHall 1-B-3-50</v>
      </c>
      <c r="AE72" t="s">
        <v>9392</v>
      </c>
      <c r="AF72" s="2989" t="e" cm="1">
        <f t="array" ref="AF72">INDEX('각층분기별_유효전력최대(전월)'!$L$4:$L$2020,MATCH(1, ('각층분기별_유효전력최대(전월)'!$J$4:$J$2020='7층~4층_매핑테이블'!AB72) * ('각층분기별_유효전력최대(전월)'!$K$4:$K$2020='7층~4층_매핑테이블'!AC72),0)) + INDEX('각층분기별_유효전력최대(전월)'!$L$4:$L$2020,MATCH(1, ('각층분기별_유효전력최대(전월)'!$J$4:$J$2020='7층~4층_매핑테이블'!AD72) * ('각층분기별_유효전력최대(전월)'!$K$4:$K$2020='7층~4층_매핑테이블'!AE72),0))</f>
        <v>#N/A</v>
      </c>
    </row>
    <row r="73" spans="1:32" x14ac:dyDescent="0.25">
      <c r="A73" t="str">
        <f t="shared" si="72"/>
        <v/>
      </c>
      <c r="B73" s="217"/>
      <c r="C73" s="217"/>
      <c r="D73" s="2989" t="str">
        <f>IF(MID(B73,16,2)="0","",MID(B73,1,15)&amp;MID(B73,16,2))</f>
        <v/>
      </c>
      <c r="E73" s="2989" t="str">
        <f t="shared" si="86"/>
        <v/>
      </c>
      <c r="F73" s="2989" t="str">
        <f t="shared" si="75"/>
        <v/>
      </c>
      <c r="G73" s="2989" t="str">
        <f t="shared" si="76"/>
        <v/>
      </c>
      <c r="H73" s="2989" cm="1">
        <f t="array" ref="H73">INDEX('각층분기별_유효전력최대(전월)'!$C$4:$C$2020,MATCH(1, ('각층분기별_유효전력최대(전월)'!$A$4:$A$2020='7층~4층_매핑테이블'!D73) * ('각층분기별_유효전력최대(전월)'!$B$4:$B$2020='7층~4층_매핑테이블'!E73),0)) + INDEX('각층분기별_유효전력최대(전월)'!$C$4:$C$2020,MATCH(1, ('각층분기별_유효전력최대(전월)'!$A$4:$A$2020='7층~4층_매핑테이블'!F73) * ('각층분기별_유효전력최대(전월)'!$B$4:$B$2020='7층~4층_매핑테이블'!G73),0))</f>
        <v>0</v>
      </c>
      <c r="I73" t="str">
        <f t="shared" si="30"/>
        <v>5-DaHall 1-PDU-03-30-365-DaHall 1-PDU-04-30-36</v>
      </c>
      <c r="J73" s="3107" t="s">
        <v>9782</v>
      </c>
      <c r="K73" s="3107" t="s">
        <v>9783</v>
      </c>
      <c r="L73" t="str">
        <f t="shared" si="82"/>
        <v>5-DaHall 1-PDU-03</v>
      </c>
      <c r="M73" t="str">
        <f t="shared" si="31"/>
        <v>[branch#036] [A] W</v>
      </c>
      <c r="N73" t="str">
        <f t="shared" si="56"/>
        <v>5-DaHall 1-PDU-04</v>
      </c>
      <c r="O73" t="str">
        <f t="shared" si="57"/>
        <v>[branch#036] [A] W</v>
      </c>
      <c r="P73" s="2989" t="e" cm="1">
        <f t="array" ref="P73">INDEX('각층분기별_유효전력최대(전월)'!$F$4:$F$2020,MATCH(1, ('각층분기별_유효전력최대(전월)'!$D$4:$D$2020='7층~4층_매핑테이블'!L73) * ('각층분기별_유효전력최대(전월)'!$E$4:$E$2020='7층~4층_매핑테이블'!M73),0)) + INDEX('각층분기별_유효전력최대(전월)'!$F$4:$F$2020,MATCH(1, ('각층분기별_유효전력최대(전월)'!$D$4:$D$2020='7층~4층_매핑테이블'!N73) * ('각층분기별_유효전력최대(전월)'!$E$4:$E$2020='7층~4층_매핑테이블'!O73),0))</f>
        <v>#N/A</v>
      </c>
      <c r="Q73" s="1" t="str">
        <f t="shared" ref="Q73:Q77" si="87">R73&amp;S73</f>
        <v>6-DaHall 1-PDU-05-30-276-DaHall 1-PDU-06-30-27</v>
      </c>
      <c r="R73" s="217" t="s">
        <v>9784</v>
      </c>
      <c r="S73" s="217" t="s">
        <v>9785</v>
      </c>
      <c r="T73" t="str">
        <f t="shared" ref="T73:T136" si="88">IF(MID(R73,16,2)="0","",MID(R73,1,15)&amp;MID(R73,16,2))</f>
        <v>6-DaHall 1-PDU-05</v>
      </c>
      <c r="U73" t="str">
        <f t="shared" ref="U73:U78" si="89">IF(IF(LEN((MID(R73,22,2)))=1, "[branch#0"&amp;0&amp;MID(R73,22,2)&amp;"] [A] W", "[branch#0"&amp;MID(R73,22,2)&amp;"] [A] W")="[branch#0] [A] W", "", IF(LEN((MID(R73,22,2)))=1, "[branch#0"&amp;0&amp;MID(R73,22,2)&amp;"] [A] W", "[branch#0"&amp;MID(R73,22,2)&amp;"] [A] W"))</f>
        <v>[branch#027] [A] W</v>
      </c>
      <c r="V73" t="str">
        <f t="shared" ref="V73:V77" si="90">IF(MID(S73,16,2)="0","",MID(S73,1,15)&amp;MID(S73,16,2))</f>
        <v>6-DaHall 1-PDU-06</v>
      </c>
      <c r="W73" t="str">
        <f t="shared" ref="W73:W77" si="91">IF(IF(LEN((MID(S73,22,2)))=1, "[branch#0"&amp;0&amp;MID(S73,22,2)&amp;"] [A] W", "[branch#0"&amp;MID(S73,22,2)&amp;"] [A] W")="[branch#0] [A] W", "", IF(LEN((MID(S73,22,2)))=1, "[branch#0"&amp;0&amp;MID(S73,22,2)&amp;"] [A] W", "[branch#0"&amp;MID(S73,22,2)&amp;"] [A] W"))</f>
        <v>[branch#027] [A] W</v>
      </c>
      <c r="X73" s="2989" cm="1">
        <f t="array" ref="X73">INDEX('각층분기별_유효전력최대(전월)'!$I$4:$I$2020,MATCH(1, ('각층분기별_유효전력최대(전월)'!$G$4:$G$2020='7층~4층_매핑테이블'!T73) * ('각층분기별_유효전력최대(전월)'!$H$4:$H$2020='7층~4층_매핑테이블'!U73),0)) + INDEX('각층분기별_유효전력최대(전월)'!$I$4:$I$2020,MATCH(1, ('각층분기별_유효전력최대(전월)'!$G$4:$G$2020='7층~4층_매핑테이블'!V73) * ('각층분기별_유효전력최대(전월)'!$H$4:$H$2020='7층~4층_매핑테이블'!W73),0))</f>
        <v>2.6710000000000003</v>
      </c>
      <c r="Y73" s="3274" t="str">
        <f t="shared" si="81"/>
        <v>7-DaHall 1-A-3-100-17-DaHall 1-B-3-100-1</v>
      </c>
      <c r="Z73" s="217" t="s">
        <v>9786</v>
      </c>
      <c r="AA73" s="217" t="s">
        <v>9787</v>
      </c>
      <c r="AB73" s="3274" t="str">
        <f t="shared" si="84"/>
        <v>7-DaHall 1-A-3-10</v>
      </c>
      <c r="AC73" t="s">
        <v>9344</v>
      </c>
      <c r="AD73" t="str">
        <f t="shared" si="85"/>
        <v>7-DaHall 1-B-3-10</v>
      </c>
      <c r="AE73" t="s">
        <v>9344</v>
      </c>
      <c r="AF73" s="2989" t="e" cm="1">
        <f t="array" ref="AF73">INDEX('각층분기별_유효전력최대(전월)'!$L$4:$L$2020,MATCH(1, ('각층분기별_유효전력최대(전월)'!$J$4:$J$2020='7층~4층_매핑테이블'!AB73) * ('각층분기별_유효전력최대(전월)'!$K$4:$K$2020='7층~4층_매핑테이블'!AC73),0)) + INDEX('각층분기별_유효전력최대(전월)'!$L$4:$L$2020,MATCH(1, ('각층분기별_유효전력최대(전월)'!$J$4:$J$2020='7층~4층_매핑테이블'!AD73) * ('각층분기별_유효전력최대(전월)'!$K$4:$K$2020='7층~4층_매핑테이블'!AE73),0))</f>
        <v>#N/A</v>
      </c>
    </row>
    <row r="74" spans="1:32" x14ac:dyDescent="0.25">
      <c r="A74" t="str">
        <f>B74&amp;C74</f>
        <v>4-DaHall 1-PDU-06-100-94-DaHall 1-PDU-05-100-9</v>
      </c>
      <c r="B74" s="217" t="s">
        <v>9788</v>
      </c>
      <c r="C74" s="217" t="s">
        <v>9789</v>
      </c>
      <c r="D74" s="2989" t="str">
        <f>IF(MID(B74,16,2)="0","",MID(B74,1,15)&amp;MID(B74,16,2))</f>
        <v>4-DaHall 1-PDU-06</v>
      </c>
      <c r="E74" s="2989" t="str">
        <f t="shared" si="86"/>
        <v>[branch#009] [A] W</v>
      </c>
      <c r="F74" s="2989" t="str">
        <f>IF(MID(C74,16,2)="0","",MID(C74,1,15)&amp;MID(C74,16,2))</f>
        <v>4-DaHall 1-PDU-05</v>
      </c>
      <c r="G74" s="2989" t="str">
        <f>IF(IF(LEN(MID(C74,23,2))=1, "[branch#0"&amp;0&amp;MID(C74,23,2)&amp;"] [A] W", "[branch#0"&amp;MID(C74,23,2)&amp;"] [A] W")="[branch#0] [A] W", "", IF(LEN(MID(C74,23,2))=1, "[branch#0"&amp;0&amp;MID(C74,23,2)&amp;"] [A] W", "[branch#0"&amp;MID(C74,23,2)&amp;"] [A] W"))</f>
        <v>[branch#009] [A] W</v>
      </c>
      <c r="H74" s="2989" cm="1">
        <f t="array" ref="H74">INDEX('각층분기별_유효전력최대(전월)'!$C$4:$C$2020,MATCH(1, ('각층분기별_유효전력최대(전월)'!$A$4:$A$2020='7층~4층_매핑테이블'!D74) * ('각층분기별_유효전력최대(전월)'!$B$4:$B$2020='7층~4층_매핑테이블'!E74),0)) + INDEX('각층분기별_유효전력최대(전월)'!$C$4:$C$2020,MATCH(1, ('각층분기별_유효전력최대(전월)'!$A$4:$A$2020='7층~4층_매핑테이블'!F74) * ('각층분기별_유효전력최대(전월)'!$B$4:$B$2020='7층~4층_매핑테이블'!G74),0))</f>
        <v>0</v>
      </c>
      <c r="I74" t="str">
        <f t="shared" si="30"/>
        <v>5-DaHall 1-PDU-03-30-385-DaHall 1-PDU-04-30-38</v>
      </c>
      <c r="J74" s="3107" t="s">
        <v>9790</v>
      </c>
      <c r="K74" s="3107" t="s">
        <v>9791</v>
      </c>
      <c r="L74" t="str">
        <f t="shared" si="82"/>
        <v>5-DaHall 1-PDU-03</v>
      </c>
      <c r="M74" t="str">
        <f t="shared" si="31"/>
        <v>[branch#038] [A] W</v>
      </c>
      <c r="N74" t="str">
        <f t="shared" si="56"/>
        <v>5-DaHall 1-PDU-04</v>
      </c>
      <c r="O74" t="str">
        <f t="shared" si="57"/>
        <v>[branch#038] [A] W</v>
      </c>
      <c r="P74" s="2989" t="e" cm="1">
        <f t="array" ref="P74">INDEX('각층분기별_유효전력최대(전월)'!$F$4:$F$2020,MATCH(1, ('각층분기별_유효전력최대(전월)'!$D$4:$D$2020='7층~4층_매핑테이블'!L74) * ('각층분기별_유효전력최대(전월)'!$E$4:$E$2020='7층~4층_매핑테이블'!M74),0)) + INDEX('각층분기별_유효전력최대(전월)'!$F$4:$F$2020,MATCH(1, ('각층분기별_유효전력최대(전월)'!$D$4:$D$2020='7층~4층_매핑테이블'!N74) * ('각층분기별_유효전력최대(전월)'!$E$4:$E$2020='7층~4층_매핑테이블'!O74),0))</f>
        <v>#N/A</v>
      </c>
      <c r="Q74" s="1" t="str">
        <f t="shared" si="87"/>
        <v>6-DaHall 1-PDU-05-30-296-DaHall 1-PDU-06-30-29</v>
      </c>
      <c r="R74" s="217" t="s">
        <v>9792</v>
      </c>
      <c r="S74" s="217" t="s">
        <v>9793</v>
      </c>
      <c r="T74" t="str">
        <f t="shared" si="88"/>
        <v>6-DaHall 1-PDU-05</v>
      </c>
      <c r="U74" t="str">
        <f t="shared" si="89"/>
        <v>[branch#029] [A] W</v>
      </c>
      <c r="V74" t="str">
        <f t="shared" si="90"/>
        <v>6-DaHall 1-PDU-06</v>
      </c>
      <c r="W74" t="str">
        <f t="shared" si="91"/>
        <v>[branch#029] [A] W</v>
      </c>
      <c r="X74" s="2989" cm="1">
        <f t="array" ref="X74">INDEX('각층분기별_유효전력최대(전월)'!$I$4:$I$2020,MATCH(1, ('각층분기별_유효전력최대(전월)'!$G$4:$G$2020='7층~4층_매핑테이블'!T74) * ('각층분기별_유효전력최대(전월)'!$H$4:$H$2020='7층~4층_매핑테이블'!U74),0)) + INDEX('각층분기별_유효전력최대(전월)'!$I$4:$I$2020,MATCH(1, ('각층분기별_유효전력최대(전월)'!$G$4:$G$2020='7층~4층_매핑테이블'!V74) * ('각층분기별_유효전력최대(전월)'!$H$4:$H$2020='7층~4층_매핑테이블'!W74),0))</f>
        <v>0</v>
      </c>
      <c r="Y74" s="3274" t="str">
        <f t="shared" si="81"/>
        <v>7-DaHall 1-A-3-100-27-DaHall 1-B-3-100-2</v>
      </c>
      <c r="Z74" s="217" t="s">
        <v>9794</v>
      </c>
      <c r="AA74" s="217" t="s">
        <v>9795</v>
      </c>
      <c r="AB74" s="3274" t="str">
        <f t="shared" si="84"/>
        <v>7-DaHall 1-A-3-10</v>
      </c>
      <c r="AC74" t="s">
        <v>9361</v>
      </c>
      <c r="AD74" t="str">
        <f t="shared" si="85"/>
        <v>7-DaHall 1-B-3-10</v>
      </c>
      <c r="AE74" t="s">
        <v>9361</v>
      </c>
      <c r="AF74" s="2989" t="e" cm="1">
        <f t="array" ref="AF74">INDEX('각층분기별_유효전력최대(전월)'!$L$4:$L$2020,MATCH(1, ('각층분기별_유효전력최대(전월)'!$J$4:$J$2020='7층~4층_매핑테이블'!AB74) * ('각층분기별_유효전력최대(전월)'!$K$4:$K$2020='7층~4층_매핑테이블'!AC74),0)) + INDEX('각층분기별_유효전력최대(전월)'!$L$4:$L$2020,MATCH(1, ('각층분기별_유효전력최대(전월)'!$J$4:$J$2020='7층~4층_매핑테이블'!AD74) * ('각층분기별_유효전력최대(전월)'!$K$4:$K$2020='7층~4층_매핑테이블'!AE74),0))</f>
        <v>#N/A</v>
      </c>
    </row>
    <row r="75" spans="1:32" x14ac:dyDescent="0.25">
      <c r="A75" t="str">
        <f>B75&amp;C75</f>
        <v/>
      </c>
      <c r="B75" s="217"/>
      <c r="C75" s="217"/>
      <c r="D75" s="2989" t="str">
        <f>IF(MID(B75,16,2)="0","",MID(B75,1,15)&amp;MID(B75,16,2))</f>
        <v/>
      </c>
      <c r="E75" s="2989" t="str">
        <f t="shared" si="86"/>
        <v/>
      </c>
      <c r="F75" s="2989" t="str">
        <f>IF(MID(C75,16,2)="0","",MID(C75,1,15)&amp;MID(C75,16,2))</f>
        <v/>
      </c>
      <c r="G75" s="2989" t="str">
        <f>IF(IF(LEN(MID(C75,23,2))=1, "[branch#0"&amp;0&amp;MID(C75,23,2)&amp;"] [A] W", "[branch#0"&amp;MID(C75,23,2)&amp;"] [A] W")="[branch#0] [A] W", "", IF(LEN(MID(C75,23,2))=1, "[branch#0"&amp;0&amp;MID(C75,23,2)&amp;"] [A] W", "[branch#0"&amp;MID(C75,23,2)&amp;"] [A] W"))</f>
        <v/>
      </c>
      <c r="H75" s="2989" cm="1">
        <f t="array" ref="H75">INDEX('각층분기별_유효전력최대(전월)'!$C$4:$C$2020,MATCH(1, ('각층분기별_유효전력최대(전월)'!$A$4:$A$2020='7층~4층_매핑테이블'!D75) * ('각층분기별_유효전력최대(전월)'!$B$4:$B$2020='7층~4층_매핑테이블'!E75),0)) + INDEX('각층분기별_유효전력최대(전월)'!$C$4:$C$2020,MATCH(1, ('각층분기별_유효전력최대(전월)'!$A$4:$A$2020='7층~4층_매핑테이블'!F75) * ('각층분기별_유효전력최대(전월)'!$B$4:$B$2020='7층~4층_매핑테이블'!G75),0))</f>
        <v>0</v>
      </c>
      <c r="I75" t="str">
        <f t="shared" si="30"/>
        <v>5-DaHall 1-PDU-03-30-405-DaHall 1-PDU-04-30-40</v>
      </c>
      <c r="J75" s="3107" t="s">
        <v>9796</v>
      </c>
      <c r="K75" s="3107" t="s">
        <v>9797</v>
      </c>
      <c r="L75" t="str">
        <f t="shared" si="82"/>
        <v>5-DaHall 1-PDU-03</v>
      </c>
      <c r="M75" t="str">
        <f t="shared" si="31"/>
        <v>[branch#040] [A] W</v>
      </c>
      <c r="N75" t="str">
        <f t="shared" si="56"/>
        <v>5-DaHall 1-PDU-04</v>
      </c>
      <c r="O75" t="str">
        <f t="shared" si="57"/>
        <v>[branch#040] [A] W</v>
      </c>
      <c r="P75" s="2989" t="e" cm="1">
        <f t="array" ref="P75">INDEX('각층분기별_유효전력최대(전월)'!$F$4:$F$2020,MATCH(1, ('각층분기별_유효전력최대(전월)'!$D$4:$D$2020='7층~4층_매핑테이블'!L75) * ('각층분기별_유효전력최대(전월)'!$E$4:$E$2020='7층~4층_매핑테이블'!M75),0)) + INDEX('각층분기별_유효전력최대(전월)'!$F$4:$F$2020,MATCH(1, ('각층분기별_유효전력최대(전월)'!$D$4:$D$2020='7층~4층_매핑테이블'!N75) * ('각층분기별_유효전력최대(전월)'!$E$4:$E$2020='7층~4층_매핑테이블'!O75),0))</f>
        <v>#N/A</v>
      </c>
      <c r="Q75" s="1" t="str">
        <f t="shared" si="87"/>
        <v>6-DaHall 1-PDU-05-30-236-DaHall 1-PDU-06-30-23</v>
      </c>
      <c r="R75" s="217" t="s">
        <v>9798</v>
      </c>
      <c r="S75" s="217" t="s">
        <v>9799</v>
      </c>
      <c r="T75" t="str">
        <f t="shared" si="88"/>
        <v>6-DaHall 1-PDU-05</v>
      </c>
      <c r="U75" t="str">
        <f t="shared" si="89"/>
        <v>[branch#023] [A] W</v>
      </c>
      <c r="V75" t="str">
        <f t="shared" si="90"/>
        <v>6-DaHall 1-PDU-06</v>
      </c>
      <c r="W75" t="str">
        <f t="shared" si="91"/>
        <v>[branch#023] [A] W</v>
      </c>
      <c r="X75" s="2989" cm="1">
        <f t="array" ref="X75">INDEX('각층분기별_유효전력최대(전월)'!$I$4:$I$2020,MATCH(1, ('각층분기별_유효전력최대(전월)'!$G$4:$G$2020='7층~4층_매핑테이블'!T75) * ('각층분기별_유효전력최대(전월)'!$H$4:$H$2020='7층~4층_매핑테이블'!U75),0)) + INDEX('각층분기별_유효전력최대(전월)'!$I$4:$I$2020,MATCH(1, ('각층분기별_유효전력최대(전월)'!$G$4:$G$2020='7층~4층_매핑테이블'!V75) * ('각층분기별_유효전력최대(전월)'!$H$4:$H$2020='7층~4층_매핑테이블'!W75),0))</f>
        <v>0</v>
      </c>
      <c r="Y75" s="3274" t="str">
        <f t="shared" si="81"/>
        <v>7-DaHall 1-A-3-50-37-DaHall 1-B-3-50-3</v>
      </c>
      <c r="Z75" s="217" t="s">
        <v>9800</v>
      </c>
      <c r="AA75" s="217" t="s">
        <v>9801</v>
      </c>
      <c r="AB75" s="3274" t="str">
        <f t="shared" si="84"/>
        <v>7-DaHall 1-A-3-50</v>
      </c>
      <c r="AC75" t="s">
        <v>9315</v>
      </c>
      <c r="AD75" t="str">
        <f t="shared" si="85"/>
        <v>7-DaHall 1-B-3-50</v>
      </c>
      <c r="AE75" t="s">
        <v>9315</v>
      </c>
      <c r="AF75" s="2989" t="e" cm="1">
        <f t="array" ref="AF75">INDEX('각층분기별_유효전력최대(전월)'!$L$4:$L$2020,MATCH(1, ('각층분기별_유효전력최대(전월)'!$J$4:$J$2020='7층~4층_매핑테이블'!AB75) * ('각층분기별_유효전력최대(전월)'!$K$4:$K$2020='7층~4층_매핑테이블'!AC75),0)) + INDEX('각층분기별_유효전력최대(전월)'!$L$4:$L$2020,MATCH(1, ('각층분기별_유효전력최대(전월)'!$J$4:$J$2020='7층~4층_매핑테이블'!AD75) * ('각층분기별_유효전력최대(전월)'!$K$4:$K$2020='7층~4층_매핑테이블'!AE75),0))</f>
        <v>#N/A</v>
      </c>
    </row>
    <row r="76" spans="1:32" x14ac:dyDescent="0.25">
      <c r="A76" t="str">
        <f t="shared" ref="A76:A83" si="92">B76&amp;C76</f>
        <v/>
      </c>
      <c r="B76" s="217"/>
      <c r="C76" s="217"/>
      <c r="D76" s="2989" t="str">
        <f>IF(MID(B76,16,2)="0","",MID(B76,1,15)&amp;MID(B76,16,2))</f>
        <v/>
      </c>
      <c r="E76" s="2989" t="str">
        <f t="shared" si="86"/>
        <v/>
      </c>
      <c r="F76" s="2989" t="str">
        <f>IF(MID(C76,16,2)="0","",MID(C76,1,15)&amp;MID(C76,16,2))</f>
        <v/>
      </c>
      <c r="G76" s="2989" t="str">
        <f>IF(IF(LEN(MID(C76,23,2))=1, "[branch#0"&amp;0&amp;MID(C76,23,2)&amp;"] [A] W", "[branch#0"&amp;MID(C76,23,2)&amp;"] [A] W")="[branch#0] [A] W", "", IF(LEN(MID(C76,23,2))=1, "[branch#0"&amp;0&amp;MID(C76,23,2)&amp;"] [A] W", "[branch#0"&amp;MID(C76,23,2)&amp;"] [A] W"))</f>
        <v/>
      </c>
      <c r="H76" s="2989" cm="1">
        <f t="array" ref="H76">INDEX('각층분기별_유효전력최대(전월)'!$C$4:$C$2020,MATCH(1, ('각층분기별_유효전력최대(전월)'!$A$4:$A$2020='7층~4층_매핑테이블'!D76) * ('각층분기별_유효전력최대(전월)'!$B$4:$B$2020='7층~4층_매핑테이블'!E76),0)) + INDEX('각층분기별_유효전력최대(전월)'!$C$4:$C$2020,MATCH(1, ('각층분기별_유효전력최대(전월)'!$A$4:$A$2020='7층~4층_매핑테이블'!F76) * ('각층분기별_유효전력최대(전월)'!$B$4:$B$2020='7층~4층_매핑테이블'!G76),0))</f>
        <v>0</v>
      </c>
      <c r="I76" t="str">
        <f t="shared" si="30"/>
        <v>5-DaHall 1-PDU-03-30-425-DaHall 1-PDU-04-30-42</v>
      </c>
      <c r="J76" s="3107" t="s">
        <v>9802</v>
      </c>
      <c r="K76" s="3107" t="s">
        <v>9803</v>
      </c>
      <c r="L76" t="str">
        <f t="shared" si="82"/>
        <v>5-DaHall 1-PDU-03</v>
      </c>
      <c r="M76" t="str">
        <f t="shared" si="31"/>
        <v>[branch#042] [A] W</v>
      </c>
      <c r="N76" t="str">
        <f t="shared" si="56"/>
        <v>5-DaHall 1-PDU-04</v>
      </c>
      <c r="O76" t="str">
        <f t="shared" si="57"/>
        <v>[branch#042] [A] W</v>
      </c>
      <c r="P76" s="2989" t="e" cm="1">
        <f t="array" ref="P76">INDEX('각층분기별_유효전력최대(전월)'!$F$4:$F$2020,MATCH(1, ('각층분기별_유효전력최대(전월)'!$D$4:$D$2020='7층~4층_매핑테이블'!L76) * ('각층분기별_유효전력최대(전월)'!$E$4:$E$2020='7층~4층_매핑테이블'!M76),0)) + INDEX('각층분기별_유효전력최대(전월)'!$F$4:$F$2020,MATCH(1, ('각층분기별_유효전력최대(전월)'!$D$4:$D$2020='7층~4층_매핑테이블'!N76) * ('각층분기별_유효전력최대(전월)'!$E$4:$E$2020='7층~4층_매핑테이블'!O76),0))</f>
        <v>#N/A</v>
      </c>
      <c r="Q76" s="1" t="str">
        <f t="shared" si="87"/>
        <v>6-DaHall 1-PDU-05-30-316-DaHall 1-PDU-06-30-31</v>
      </c>
      <c r="R76" s="217" t="s">
        <v>9804</v>
      </c>
      <c r="S76" s="217" t="s">
        <v>9805</v>
      </c>
      <c r="T76" t="str">
        <f t="shared" si="88"/>
        <v>6-DaHall 1-PDU-05</v>
      </c>
      <c r="U76" t="str">
        <f t="shared" si="89"/>
        <v>[branch#031] [A] W</v>
      </c>
      <c r="V76" t="str">
        <f t="shared" si="90"/>
        <v>6-DaHall 1-PDU-06</v>
      </c>
      <c r="W76" t="str">
        <f t="shared" si="91"/>
        <v>[branch#031] [A] W</v>
      </c>
      <c r="X76" s="2989" cm="1">
        <f t="array" ref="X76">INDEX('각층분기별_유효전력최대(전월)'!$I$4:$I$2020,MATCH(1, ('각층분기별_유효전력최대(전월)'!$G$4:$G$2020='7층~4층_매핑테이블'!T76) * ('각층분기별_유효전력최대(전월)'!$H$4:$H$2020='7층~4층_매핑테이블'!U76),0)) + INDEX('각층분기별_유효전력최대(전월)'!$I$4:$I$2020,MATCH(1, ('각층분기별_유효전력최대(전월)'!$G$4:$G$2020='7층~4층_매핑테이블'!V76) * ('각층분기별_유효전력최대(전월)'!$H$4:$H$2020='7층~4층_매핑테이블'!W76),0))</f>
        <v>0.432</v>
      </c>
      <c r="Y76" s="3274" t="str">
        <f t="shared" si="81"/>
        <v>7-DaHall 1-A-3-50-427-DaHall 1-B-3-50-42</v>
      </c>
      <c r="Z76" s="217" t="s">
        <v>9806</v>
      </c>
      <c r="AA76" s="217" t="s">
        <v>9807</v>
      </c>
      <c r="AB76" s="3274" t="str">
        <f t="shared" si="84"/>
        <v>7-DaHall 1-A-3-50</v>
      </c>
      <c r="AC76" t="s">
        <v>9378</v>
      </c>
      <c r="AD76" t="str">
        <f t="shared" si="85"/>
        <v>7-DaHall 1-B-3-50</v>
      </c>
      <c r="AE76" t="s">
        <v>9378</v>
      </c>
      <c r="AF76" s="2989" t="e" cm="1">
        <f t="array" ref="AF76">INDEX('각층분기별_유효전력최대(전월)'!$L$4:$L$2020,MATCH(1, ('각층분기별_유효전력최대(전월)'!$J$4:$J$2020='7층~4층_매핑테이블'!AB76) * ('각층분기별_유효전력최대(전월)'!$K$4:$K$2020='7층~4층_매핑테이블'!AC76),0)) + INDEX('각층분기별_유효전력최대(전월)'!$L$4:$L$2020,MATCH(1, ('각층분기별_유효전력최대(전월)'!$J$4:$J$2020='7층~4층_매핑테이블'!AD76) * ('각층분기별_유효전력최대(전월)'!$K$4:$K$2020='7층~4층_매핑테이블'!AE76),0))</f>
        <v>#N/A</v>
      </c>
    </row>
    <row r="77" spans="1:32" x14ac:dyDescent="0.25">
      <c r="A77" t="str">
        <f t="shared" si="92"/>
        <v/>
      </c>
      <c r="B77" s="217"/>
      <c r="C77" s="217"/>
      <c r="D77" s="2989" t="str">
        <f t="shared" ref="D77:D81" si="93">IF(MID(B77,16,2)="0","",MID(B77,1,15)&amp;MID(B77,16,2))</f>
        <v/>
      </c>
      <c r="E77" s="2989" t="str">
        <f t="shared" si="86"/>
        <v/>
      </c>
      <c r="F77" s="2989" t="str">
        <f>IF(MID(C77,16,2)="0","",MID(C77,1,15)&amp;MID(C77,16,2))</f>
        <v/>
      </c>
      <c r="G77" s="2989" t="str">
        <f>IF(IF(LEN(MID(C77,23,2))=1, "[branch#0"&amp;0&amp;MID(C77,23,2)&amp;"] [A] W", "[branch#0"&amp;MID(C77,23,2)&amp;"] [A] W")="[branch#0] [A] W", "", IF(LEN(MID(C77,23,2))=1, "[branch#0"&amp;0&amp;MID(C77,23,2)&amp;"] [A] W", "[branch#0"&amp;MID(C77,23,2)&amp;"] [A] W"))</f>
        <v/>
      </c>
      <c r="H77" s="2989" cm="1">
        <f t="array" ref="H77">INDEX('각층분기별_유효전력최대(전월)'!$C$4:$C$2020,MATCH(1, ('각층분기별_유효전력최대(전월)'!$A$4:$A$2020='7층~4층_매핑테이블'!D77) * ('각층분기별_유효전력최대(전월)'!$B$4:$B$2020='7층~4층_매핑테이블'!E77),0)) + INDEX('각층분기별_유효전력최대(전월)'!$C$4:$C$2020,MATCH(1, ('각층분기별_유효전력최대(전월)'!$A$4:$A$2020='7층~4층_매핑테이블'!F77) * ('각층분기별_유효전력최대(전월)'!$B$4:$B$2020='7층~4층_매핑테이블'!G77),0))</f>
        <v>0</v>
      </c>
      <c r="I77" t="str">
        <f t="shared" si="30"/>
        <v>5-DaHall 1-PDU-03-30-445-DaHall 1-PDU-04-30-44</v>
      </c>
      <c r="J77" s="3107" t="s">
        <v>9808</v>
      </c>
      <c r="K77" s="3107" t="s">
        <v>9809</v>
      </c>
      <c r="L77" t="str">
        <f t="shared" si="82"/>
        <v>5-DaHall 1-PDU-03</v>
      </c>
      <c r="M77" t="str">
        <f t="shared" si="31"/>
        <v>[branch#044] [A] W</v>
      </c>
      <c r="N77" t="str">
        <f t="shared" si="56"/>
        <v>5-DaHall 1-PDU-04</v>
      </c>
      <c r="O77" t="str">
        <f t="shared" si="57"/>
        <v>[branch#044] [A] W</v>
      </c>
      <c r="P77" s="2989" t="e" cm="1">
        <f t="array" ref="P77">INDEX('각층분기별_유효전력최대(전월)'!$F$4:$F$2020,MATCH(1, ('각층분기별_유효전력최대(전월)'!$D$4:$D$2020='7층~4층_매핑테이블'!L77) * ('각층분기별_유효전력최대(전월)'!$E$4:$E$2020='7층~4층_매핑테이블'!M77),0)) + INDEX('각층분기별_유효전력최대(전월)'!$F$4:$F$2020,MATCH(1, ('각층분기별_유효전력최대(전월)'!$D$4:$D$2020='7층~4층_매핑테이블'!N77) * ('각층분기별_유효전력최대(전월)'!$E$4:$E$2020='7층~4층_매핑테이블'!O77),0))</f>
        <v>#N/A</v>
      </c>
      <c r="Q77" s="1" t="str">
        <f t="shared" si="87"/>
        <v>6-DaHall 1-PDU-05-30-336-DaHall 1-PDU-06-30-33</v>
      </c>
      <c r="R77" s="217" t="s">
        <v>9810</v>
      </c>
      <c r="S77" s="217" t="s">
        <v>9811</v>
      </c>
      <c r="T77" t="str">
        <f t="shared" si="88"/>
        <v>6-DaHall 1-PDU-05</v>
      </c>
      <c r="U77" t="str">
        <f t="shared" si="89"/>
        <v>[branch#033] [A] W</v>
      </c>
      <c r="V77" t="str">
        <f t="shared" si="90"/>
        <v>6-DaHall 1-PDU-06</v>
      </c>
      <c r="W77" t="str">
        <f t="shared" si="91"/>
        <v>[branch#033] [A] W</v>
      </c>
      <c r="X77" s="2989" cm="1">
        <f t="array" ref="X77">INDEX('각층분기별_유효전력최대(전월)'!$I$4:$I$2020,MATCH(1, ('각층분기별_유효전력최대(전월)'!$G$4:$G$2020='7층~4층_매핑테이블'!T77) * ('각층분기별_유효전력최대(전월)'!$H$4:$H$2020='7층~4층_매핑테이블'!U77),0)) + INDEX('각층분기별_유효전력최대(전월)'!$I$4:$I$2020,MATCH(1, ('각층분기별_유효전력최대(전월)'!$G$4:$G$2020='7층~4층_매핑테이블'!V77) * ('각층분기별_유효전력최대(전월)'!$H$4:$H$2020='7층~4층_매핑테이블'!W77),0))</f>
        <v>0.41599999999999998</v>
      </c>
      <c r="Y77" s="3274" t="str">
        <f>Z77&amp;AA77</f>
        <v>7-DaHall 1-A-3-50-437-DaHall 1-B-3-50-43</v>
      </c>
      <c r="Z77" s="217" t="s">
        <v>9812</v>
      </c>
      <c r="AA77" s="217" t="s">
        <v>9813</v>
      </c>
      <c r="AB77" s="3274" t="str">
        <f>IF(MID(Z77,16,2)="0","",MID(Z77,1,15)&amp;MID(Z77,16,2))</f>
        <v>7-DaHall 1-A-3-50</v>
      </c>
      <c r="AC77" t="s">
        <v>9527</v>
      </c>
      <c r="AD77" t="str">
        <f t="shared" si="85"/>
        <v>7-DaHall 1-B-3-50</v>
      </c>
      <c r="AE77" t="s">
        <v>9527</v>
      </c>
      <c r="AF77" s="2989" t="e" cm="1">
        <f t="array" ref="AF77">INDEX('각층분기별_유효전력최대(전월)'!$L$4:$L$2020,MATCH(1, ('각층분기별_유효전력최대(전월)'!$J$4:$J$2020='7층~4층_매핑테이블'!AB77) * ('각층분기별_유효전력최대(전월)'!$K$4:$K$2020='7층~4층_매핑테이블'!AC77),0)) + INDEX('각층분기별_유효전력최대(전월)'!$L$4:$L$2020,MATCH(1, ('각층분기별_유효전력최대(전월)'!$J$4:$J$2020='7층~4층_매핑테이블'!AD77) * ('각층분기별_유효전력최대(전월)'!$K$4:$K$2020='7층~4층_매핑테이블'!AE77),0))</f>
        <v>#N/A</v>
      </c>
    </row>
    <row r="78" spans="1:32" x14ac:dyDescent="0.25">
      <c r="A78" t="str">
        <f t="shared" si="92"/>
        <v/>
      </c>
      <c r="B78" s="217"/>
      <c r="C78" s="217"/>
      <c r="D78" s="2989" t="str">
        <f t="shared" si="93"/>
        <v/>
      </c>
      <c r="E78" s="2989" t="str">
        <f t="shared" si="86"/>
        <v/>
      </c>
      <c r="F78" s="2989" t="str">
        <f>IF(MID(C78,16,2)="0","",MID(C78,1,15)&amp;MID(C78,16,2))</f>
        <v/>
      </c>
      <c r="G78" s="2989" t="str">
        <f>IF(IF(LEN(MID(C78,23,2))=1, "[branch#0"&amp;0&amp;MID(C78,23,2)&amp;"] [A] W", "[branch#0"&amp;MID(C78,23,2)&amp;"] [A] W")="[branch#0] [A] W", "", IF(LEN(MID(C78,23,2))=1, "[branch#0"&amp;0&amp;MID(C78,23,2)&amp;"] [A] W", "[branch#0"&amp;MID(C78,23,2)&amp;"] [A] W"))</f>
        <v/>
      </c>
      <c r="H78" s="2989" cm="1">
        <f t="array" ref="H78">INDEX('각층분기별_유효전력최대(전월)'!$C$4:$C$2020,MATCH(1, ('각층분기별_유효전력최대(전월)'!$A$4:$A$2020='7층~4층_매핑테이블'!D78) * ('각층분기별_유효전력최대(전월)'!$B$4:$B$2020='7층~4층_매핑테이블'!E78),0)) + INDEX('각층분기별_유효전력최대(전월)'!$C$4:$C$2020,MATCH(1, ('각층분기별_유효전력최대(전월)'!$A$4:$A$2020='7층~4층_매핑테이블'!F78) * ('각층분기별_유효전력최대(전월)'!$B$4:$B$2020='7층~4층_매핑테이블'!G78),0))</f>
        <v>0</v>
      </c>
      <c r="I78" t="str">
        <f t="shared" si="30"/>
        <v>5-DaHall 1-PDU-03-30-465-DaHall 1-PDU-04-30-46</v>
      </c>
      <c r="J78" s="3107" t="s">
        <v>9814</v>
      </c>
      <c r="K78" s="3107" t="s">
        <v>9815</v>
      </c>
      <c r="L78" t="str">
        <f t="shared" si="82"/>
        <v>5-DaHall 1-PDU-03</v>
      </c>
      <c r="M78" t="str">
        <f t="shared" si="31"/>
        <v>[branch#046] [A] W</v>
      </c>
      <c r="N78" t="str">
        <f t="shared" si="56"/>
        <v>5-DaHall 1-PDU-04</v>
      </c>
      <c r="O78" t="str">
        <f t="shared" si="57"/>
        <v>[branch#046] [A] W</v>
      </c>
      <c r="P78" s="2989" t="e" cm="1">
        <f t="array" ref="P78">INDEX('각층분기별_유효전력최대(전월)'!$F$4:$F$2020,MATCH(1, ('각층분기별_유효전력최대(전월)'!$D$4:$D$2020='7층~4층_매핑테이블'!L78) * ('각층분기별_유효전력최대(전월)'!$E$4:$E$2020='7층~4층_매핑테이블'!M78),0)) + INDEX('각층분기별_유효전력최대(전월)'!$F$4:$F$2020,MATCH(1, ('각층분기별_유효전력최대(전월)'!$D$4:$D$2020='7층~4층_매핑테이블'!N78) * ('각층분기별_유효전력최대(전월)'!$E$4:$E$2020='7층~4층_매핑테이블'!O78),0))</f>
        <v>#N/A</v>
      </c>
      <c r="Q78" s="1" t="str">
        <f>R78&amp;S78</f>
        <v>6-DaHall 1-PDU-05-30-356-DaHall 1-PDU-06-30-35</v>
      </c>
      <c r="R78" s="217" t="s">
        <v>9816</v>
      </c>
      <c r="S78" s="217" t="s">
        <v>9817</v>
      </c>
      <c r="T78" t="str">
        <f t="shared" si="88"/>
        <v>6-DaHall 1-PDU-05</v>
      </c>
      <c r="U78" t="str">
        <f t="shared" si="89"/>
        <v>[branch#035] [A] W</v>
      </c>
      <c r="V78" t="str">
        <f>IF(MID(S78,16,2)="0","",MID(S78,1,15)&amp;MID(S78,16,2))</f>
        <v>6-DaHall 1-PDU-06</v>
      </c>
      <c r="W78" t="str">
        <f>IF(IF(LEN((MID(S78,22,2)))=1, "[branch#0"&amp;0&amp;MID(S78,22,2)&amp;"] [A] W", "[branch#0"&amp;MID(S78,22,2)&amp;"] [A] W")="[branch#0] [A] W", "", IF(LEN((MID(S78,22,2)))=1, "[branch#0"&amp;0&amp;MID(S78,22,2)&amp;"] [A] W", "[branch#0"&amp;MID(S78,22,2)&amp;"] [A] W"))</f>
        <v>[branch#035] [A] W</v>
      </c>
      <c r="X78" s="2989" cm="1">
        <f t="array" ref="X78">INDEX('각층분기별_유효전력최대(전월)'!$I$4:$I$2020,MATCH(1, ('각층분기별_유효전력최대(전월)'!$G$4:$G$2020='7층~4층_매핑테이블'!T78) * ('각층분기별_유효전력최대(전월)'!$H$4:$H$2020='7층~4층_매핑테이블'!U78),0)) + INDEX('각층분기별_유효전력최대(전월)'!$I$4:$I$2020,MATCH(1, ('각층분기별_유효전력최대(전월)'!$G$4:$G$2020='7층~4층_매핑테이블'!V78) * ('각층분기별_유효전력최대(전월)'!$H$4:$H$2020='7층~4층_매핑테이블'!W78),0))</f>
        <v>0.193</v>
      </c>
      <c r="Y78" s="3274" t="str">
        <f t="shared" si="81"/>
        <v>7-DaHall 1-A-3-50-277-DaHall 1-B-3-50-27</v>
      </c>
      <c r="Z78" s="217" t="s">
        <v>9818</v>
      </c>
      <c r="AA78" s="217" t="s">
        <v>9819</v>
      </c>
      <c r="AB78" s="3274" t="str">
        <f>IF(MID(Z78,16,2)="0","",MID(Z78,1,15)&amp;MID(Z78,16,2))</f>
        <v>7-DaHall 1-A-3-50</v>
      </c>
      <c r="AC78" t="s">
        <v>9521</v>
      </c>
      <c r="AD78" t="str">
        <f t="shared" si="85"/>
        <v>7-DaHall 1-B-3-50</v>
      </c>
      <c r="AE78" t="s">
        <v>9521</v>
      </c>
      <c r="AF78" s="2989" t="e" cm="1">
        <f t="array" ref="AF78">INDEX('각층분기별_유효전력최대(전월)'!$L$4:$L$2020,MATCH(1, ('각층분기별_유효전력최대(전월)'!$J$4:$J$2020='7층~4층_매핑테이블'!AB78) * ('각층분기별_유효전력최대(전월)'!$K$4:$K$2020='7층~4층_매핑테이블'!AC78),0)) + INDEX('각층분기별_유효전력최대(전월)'!$L$4:$L$2020,MATCH(1, ('각층분기별_유효전력최대(전월)'!$J$4:$J$2020='7층~4층_매핑테이블'!AD78) * ('각층분기별_유효전력최대(전월)'!$K$4:$K$2020='7층~4층_매핑테이블'!AE78),0))</f>
        <v>#N/A</v>
      </c>
    </row>
    <row r="79" spans="1:32" x14ac:dyDescent="0.25">
      <c r="A79" t="str">
        <f t="shared" si="92"/>
        <v/>
      </c>
      <c r="B79" s="217"/>
      <c r="C79" s="217"/>
      <c r="D79" s="2989" t="str">
        <f t="shared" si="93"/>
        <v/>
      </c>
      <c r="E79" s="2989" t="str">
        <f t="shared" si="86"/>
        <v/>
      </c>
      <c r="F79" s="2989" t="str">
        <f t="shared" ref="F79:F83" si="94">IF(MID(C79,16,2)="0","",MID(C79,1,15)&amp;MID(C79,16,2))</f>
        <v/>
      </c>
      <c r="G79" s="2989" t="str">
        <f t="shared" ref="G79:G83" si="95">IF(IF(LEN(MID(C79,23,2))=1, "[branch#0"&amp;0&amp;MID(C79,23,2)&amp;"] [A] W", "[branch#0"&amp;MID(C79,23,2)&amp;"] [A] W")="[branch#0] [A] W", "", IF(LEN(MID(C79,23,2))=1, "[branch#0"&amp;0&amp;MID(C79,23,2)&amp;"] [A] W", "[branch#0"&amp;MID(C79,23,2)&amp;"] [A] W"))</f>
        <v/>
      </c>
      <c r="H79" s="2989" cm="1">
        <f t="array" ref="H79">INDEX('각층분기별_유효전력최대(전월)'!$C$4:$C$2020,MATCH(1, ('각층분기별_유효전력최대(전월)'!$A$4:$A$2020='7층~4층_매핑테이블'!D79) * ('각층분기별_유효전력최대(전월)'!$B$4:$B$2020='7층~4층_매핑테이블'!E79),0)) + INDEX('각층분기별_유효전력최대(전월)'!$C$4:$C$2020,MATCH(1, ('각층분기별_유효전력최대(전월)'!$A$4:$A$2020='7층~4층_매핑테이블'!F79) * ('각층분기별_유효전력최대(전월)'!$B$4:$B$2020='7층~4층_매핑테이블'!G79),0))</f>
        <v>0</v>
      </c>
      <c r="I79" t="str">
        <f t="shared" si="30"/>
        <v>5-DaHall 1-PDU-03-30-485-DaHall 1-PDU-04-30-48</v>
      </c>
      <c r="J79" s="3107" t="s">
        <v>9820</v>
      </c>
      <c r="K79" s="3107" t="s">
        <v>9821</v>
      </c>
      <c r="L79" t="str">
        <f t="shared" si="82"/>
        <v>5-DaHall 1-PDU-03</v>
      </c>
      <c r="M79" t="str">
        <f t="shared" si="31"/>
        <v>[branch#048] [A] W</v>
      </c>
      <c r="N79" t="str">
        <f t="shared" si="56"/>
        <v>5-DaHall 1-PDU-04</v>
      </c>
      <c r="O79" t="str">
        <f t="shared" si="57"/>
        <v>[branch#048] [A] W</v>
      </c>
      <c r="P79" s="2989" t="e" cm="1">
        <f t="array" ref="P79">INDEX('각층분기별_유효전력최대(전월)'!$F$4:$F$2020,MATCH(1, ('각층분기별_유효전력최대(전월)'!$D$4:$D$2020='7층~4층_매핑테이블'!L79) * ('각층분기별_유효전력최대(전월)'!$E$4:$E$2020='7층~4층_매핑테이블'!M79),0)) + INDEX('각층분기별_유효전력최대(전월)'!$F$4:$F$2020,MATCH(1, ('각층분기별_유효전력최대(전월)'!$D$4:$D$2020='7층~4층_매핑테이블'!N79) * ('각층분기별_유효전력최대(전월)'!$E$4:$E$2020='7층~4층_매핑테이블'!O79),0))</f>
        <v>#N/A</v>
      </c>
      <c r="Q79" s="1" t="str">
        <f>R79&amp;S79</f>
        <v/>
      </c>
      <c r="R79" s="217"/>
      <c r="S79" s="217"/>
      <c r="T79" t="str">
        <f t="shared" si="88"/>
        <v/>
      </c>
      <c r="U79" t="str">
        <f>IF(IF(LEN((MID(R79,22,2)))=1, "[branch#0"&amp;0&amp;MID(R79,22,2)&amp;"] [A] W", "[branch#0"&amp;MID(R79,22,2)&amp;"] [A] W")="[branch#0] [A] W", "", IF(LEN((MID(R79,22,2)))=1, "[branch#0"&amp;0&amp;MID(R79,22,2)&amp;"] [A] W", "[branch#0"&amp;MID(R79,22,2)&amp;"] [A] W"))</f>
        <v/>
      </c>
      <c r="V79" t="str">
        <f>IF(MID(S79,16,2)="0","",MID(S79,1,15)&amp;MID(S79,16,2))</f>
        <v/>
      </c>
      <c r="W79" t="str">
        <f>IF(IF(LEN((MID(S79,22,2)))=1, "[branch#0"&amp;0&amp;MID(S79,22,2)&amp;"] [A] W", "[branch#0"&amp;MID(S79,22,2)&amp;"] [A] W")="[branch#0] [A] W", "", IF(LEN((MID(S79,22,2)))=1, "[branch#0"&amp;0&amp;MID(S79,22,2)&amp;"] [A] W", "[branch#0"&amp;MID(S79,22,2)&amp;"] [A] W"))</f>
        <v/>
      </c>
      <c r="X79" s="2989" cm="1">
        <f t="array" ref="X79">INDEX('각층분기별_유효전력최대(전월)'!$I$4:$I$2020,MATCH(1, ('각층분기별_유효전력최대(전월)'!$G$4:$G$2020='7층~4층_매핑테이블'!T79) * ('각층분기별_유효전력최대(전월)'!$H$4:$H$2020='7층~4층_매핑테이블'!U79),0)) + INDEX('각층분기별_유효전력최대(전월)'!$I$4:$I$2020,MATCH(1, ('각층분기별_유효전력최대(전월)'!$G$4:$G$2020='7층~4층_매핑테이블'!V79) * ('각층분기별_유효전력최대(전월)'!$H$4:$H$2020='7층~4층_매핑테이블'!W79),0))</f>
        <v>0</v>
      </c>
      <c r="Y79" s="3274" t="str">
        <f t="shared" si="81"/>
        <v>7-DaHall 1-A-3-50-267-DaHall 1-B-3-50-26</v>
      </c>
      <c r="Z79" s="217" t="s">
        <v>9822</v>
      </c>
      <c r="AA79" s="217" t="s">
        <v>9823</v>
      </c>
      <c r="AB79" s="3274" t="str">
        <f t="shared" ref="AB79" si="96">IF(MID(Z79,16,2)="0","",MID(Z79,1,15)&amp;MID(Z79,16,2))</f>
        <v>7-DaHall 1-A-3-50</v>
      </c>
      <c r="AC79" t="s">
        <v>9365</v>
      </c>
      <c r="AD79" t="str">
        <f t="shared" si="85"/>
        <v>7-DaHall 1-B-3-50</v>
      </c>
      <c r="AE79" t="s">
        <v>9365</v>
      </c>
      <c r="AF79" s="2989" t="e" cm="1">
        <f t="array" ref="AF79">INDEX('각층분기별_유효전력최대(전월)'!$L$4:$L$2020,MATCH(1, ('각층분기별_유효전력최대(전월)'!$J$4:$J$2020='7층~4층_매핑테이블'!AB79) * ('각층분기별_유효전력최대(전월)'!$K$4:$K$2020='7층~4층_매핑테이블'!AC79),0)) + INDEX('각층분기별_유효전력최대(전월)'!$L$4:$L$2020,MATCH(1, ('각층분기별_유효전력최대(전월)'!$J$4:$J$2020='7층~4층_매핑테이블'!AD79) * ('각층분기별_유효전력최대(전월)'!$K$4:$K$2020='7층~4층_매핑테이블'!AE79),0))</f>
        <v>#N/A</v>
      </c>
    </row>
    <row r="80" spans="1:32" x14ac:dyDescent="0.25">
      <c r="A80" t="str">
        <f t="shared" si="92"/>
        <v/>
      </c>
      <c r="B80" s="217"/>
      <c r="C80" s="217"/>
      <c r="D80" s="2989" t="str">
        <f t="shared" si="93"/>
        <v/>
      </c>
      <c r="E80" s="2989" t="str">
        <f t="shared" si="86"/>
        <v/>
      </c>
      <c r="F80" s="2989" t="str">
        <f t="shared" si="94"/>
        <v/>
      </c>
      <c r="G80" s="2989" t="str">
        <f t="shared" si="95"/>
        <v/>
      </c>
      <c r="H80" s="2989" cm="1">
        <f t="array" ref="H80">INDEX('각층분기별_유효전력최대(전월)'!$C$4:$C$2020,MATCH(1, ('각층분기별_유효전력최대(전월)'!$A$4:$A$2020='7층~4층_매핑테이블'!D80) * ('각층분기별_유효전력최대(전월)'!$B$4:$B$2020='7층~4층_매핑테이블'!E80),0)) + INDEX('각층분기별_유효전력최대(전월)'!$C$4:$C$2020,MATCH(1, ('각층분기별_유효전력최대(전월)'!$A$4:$A$2020='7층~4층_매핑테이블'!F80) * ('각층분기별_유효전력최대(전월)'!$B$4:$B$2020='7층~4층_매핑테이블'!G80),0))</f>
        <v>0</v>
      </c>
      <c r="I80" t="str">
        <f t="shared" si="30"/>
        <v>5-DaHall 1-PDU-03-30-505-DaHall 1-PDU-04-30-50</v>
      </c>
      <c r="J80" s="3107" t="s">
        <v>9824</v>
      </c>
      <c r="K80" s="3107" t="s">
        <v>9825</v>
      </c>
      <c r="L80" t="str">
        <f t="shared" si="82"/>
        <v>5-DaHall 1-PDU-03</v>
      </c>
      <c r="M80" t="str">
        <f t="shared" si="31"/>
        <v>[branch#050] [A] W</v>
      </c>
      <c r="N80" t="str">
        <f t="shared" si="56"/>
        <v>5-DaHall 1-PDU-04</v>
      </c>
      <c r="O80" t="str">
        <f t="shared" si="57"/>
        <v>[branch#050] [A] W</v>
      </c>
      <c r="P80" s="2989" t="e" cm="1">
        <f t="array" ref="P80">INDEX('각층분기별_유효전력최대(전월)'!$F$4:$F$2020,MATCH(1, ('각층분기별_유효전력최대(전월)'!$D$4:$D$2020='7층~4층_매핑테이블'!L80) * ('각층분기별_유효전력최대(전월)'!$E$4:$E$2020='7층~4층_매핑테이블'!M80),0)) + INDEX('각층분기별_유효전력최대(전월)'!$F$4:$F$2020,MATCH(1, ('각층분기별_유효전력최대(전월)'!$D$4:$D$2020='7층~4층_매핑테이블'!N80) * ('각층분기별_유효전력최대(전월)'!$E$4:$E$2020='7층~4층_매핑테이블'!O80),0))</f>
        <v>#N/A</v>
      </c>
      <c r="Q80" s="1" t="str">
        <f>R80&amp;S80</f>
        <v>6-DaHall 1-PDU-11-30-236-DaHall 1-PDU-12-30-23</v>
      </c>
      <c r="R80" s="217" t="s">
        <v>9826</v>
      </c>
      <c r="S80" s="217" t="s">
        <v>9827</v>
      </c>
      <c r="T80" t="str">
        <f t="shared" si="88"/>
        <v>6-DaHall 1-PDU-11</v>
      </c>
      <c r="U80" t="str">
        <f>IF(IF(LEN((MID(R80,22,2)))=1, "[branch#0"&amp;0&amp;MID(R80,22,2)&amp;"] [A] W", "[branch#0"&amp;MID(R80,22,2)&amp;"] [A] W")="[branch#0] [A] W", "", IF(LEN((MID(R80,22,2)))=1, "[branch#0"&amp;0&amp;MID(R80,22,2)&amp;"] [A] W", "[branch#0"&amp;MID(R80,22,2)&amp;"] [A] W"))</f>
        <v>[branch#023] [A] W</v>
      </c>
      <c r="V80" t="str">
        <f>IF(MID(S80,16,2)="0","",MID(S80,1,15)&amp;MID(S80,16,2))</f>
        <v>6-DaHall 1-PDU-12</v>
      </c>
      <c r="W80" t="str">
        <f>IF(IF(LEN((MID(S80,22,2)))=1, "[branch#0"&amp;0&amp;MID(S80,22,2)&amp;"] [A] W", "[branch#0"&amp;MID(S80,22,2)&amp;"] [A] W")="[branch#0] [A] W", "", IF(LEN((MID(S80,22,2)))=1, "[branch#0"&amp;0&amp;MID(S80,22,2)&amp;"] [A] W", "[branch#0"&amp;MID(S80,22,2)&amp;"] [A] W"))</f>
        <v>[branch#023] [A] W</v>
      </c>
      <c r="X80" s="2989" cm="1">
        <f t="array" ref="X80">INDEX('각층분기별_유효전력최대(전월)'!$I$4:$I$2020,MATCH(1, ('각층분기별_유효전력최대(전월)'!$G$4:$G$2020='7층~4층_매핑테이블'!T80) * ('각층분기별_유효전력최대(전월)'!$H$4:$H$2020='7층~4층_매핑테이블'!U80),0)) + INDEX('각층분기별_유효전력최대(전월)'!$I$4:$I$2020,MATCH(1, ('각층분기별_유효전력최대(전월)'!$G$4:$G$2020='7층~4층_매핑테이블'!V80) * ('각층분기별_유효전력최대(전월)'!$H$4:$H$2020='7층~4층_매핑테이블'!W80),0))</f>
        <v>0</v>
      </c>
      <c r="Y80" s="3274" t="str">
        <f>Z80&amp;AA80</f>
        <v>7-DaHall 1-A-3-35-537-DaHall 1-B-3-35-52</v>
      </c>
      <c r="Z80" s="217" t="s">
        <v>9828</v>
      </c>
      <c r="AA80" s="217" t="s">
        <v>9829</v>
      </c>
      <c r="AB80" s="3274" t="str">
        <f t="shared" ref="AB80:AB89" si="97">IF(MID(Z80,16,2)="0","",MID(Z80,1,15)&amp;MID(Z80,16,2))</f>
        <v>7-DaHall 1-A-3-35</v>
      </c>
      <c r="AC80" t="s">
        <v>9440</v>
      </c>
      <c r="AD80" t="str">
        <f t="shared" si="85"/>
        <v>7-DaHall 1-B-3-35</v>
      </c>
      <c r="AE80" t="s">
        <v>9635</v>
      </c>
      <c r="AF80" s="2989" t="e" cm="1">
        <f t="array" ref="AF80">INDEX('각층분기별_유효전력최대(전월)'!$L$4:$L$2020,MATCH(1, ('각층분기별_유효전력최대(전월)'!$J$4:$J$2020='7층~4층_매핑테이블'!AB80) * ('각층분기별_유효전력최대(전월)'!$K$4:$K$2020='7층~4층_매핑테이블'!AC80),0)) + INDEX('각층분기별_유효전력최대(전월)'!$L$4:$L$2020,MATCH(1, ('각층분기별_유효전력최대(전월)'!$J$4:$J$2020='7층~4층_매핑테이블'!AD80) * ('각층분기별_유효전력최대(전월)'!$K$4:$K$2020='7층~4층_매핑테이블'!AE80),0))</f>
        <v>#N/A</v>
      </c>
    </row>
    <row r="81" spans="1:32" x14ac:dyDescent="0.25">
      <c r="A81" t="str">
        <f t="shared" si="92"/>
        <v/>
      </c>
      <c r="B81" s="217"/>
      <c r="C81" s="217"/>
      <c r="D81" s="2989" t="str">
        <f t="shared" si="93"/>
        <v/>
      </c>
      <c r="E81" s="2989" t="str">
        <f t="shared" si="86"/>
        <v/>
      </c>
      <c r="F81" s="2989" t="str">
        <f t="shared" si="94"/>
        <v/>
      </c>
      <c r="G81" s="2989" t="str">
        <f t="shared" si="95"/>
        <v/>
      </c>
      <c r="H81" s="2989" cm="1">
        <f t="array" ref="H81">INDEX('각층분기별_유효전력최대(전월)'!$C$4:$C$2020,MATCH(1, ('각층분기별_유효전력최대(전월)'!$A$4:$A$2020='7층~4층_매핑테이블'!D81) * ('각층분기별_유효전력최대(전월)'!$B$4:$B$2020='7층~4층_매핑테이블'!E81),0)) + INDEX('각층분기별_유효전력최대(전월)'!$C$4:$C$2020,MATCH(1, ('각층분기별_유효전력최대(전월)'!$A$4:$A$2020='7층~4층_매핑테이블'!F81) * ('각층분기별_유효전력최대(전월)'!$B$4:$B$2020='7층~4층_매핑테이블'!G81),0))</f>
        <v>0</v>
      </c>
      <c r="I81" t="str">
        <f t="shared" si="30"/>
        <v>5-DaHall 1-PDU-03-30-475-DaHall 1-PDU-04-30-47</v>
      </c>
      <c r="J81" s="3107" t="s">
        <v>9830</v>
      </c>
      <c r="K81" s="3107" t="s">
        <v>9831</v>
      </c>
      <c r="L81" t="str">
        <f t="shared" si="82"/>
        <v>5-DaHall 1-PDU-03</v>
      </c>
      <c r="M81" t="str">
        <f t="shared" si="31"/>
        <v>[branch#047] [A] W</v>
      </c>
      <c r="N81" t="str">
        <f t="shared" si="56"/>
        <v>5-DaHall 1-PDU-04</v>
      </c>
      <c r="O81" t="str">
        <f t="shared" si="57"/>
        <v>[branch#047] [A] W</v>
      </c>
      <c r="P81" s="2989" t="e" cm="1">
        <f t="array" ref="P81">INDEX('각층분기별_유효전력최대(전월)'!$F$4:$F$2020,MATCH(1, ('각층분기별_유효전력최대(전월)'!$D$4:$D$2020='7층~4층_매핑테이블'!L81) * ('각층분기별_유효전력최대(전월)'!$E$4:$E$2020='7층~4층_매핑테이블'!M81),0)) + INDEX('각층분기별_유효전력최대(전월)'!$F$4:$F$2020,MATCH(1, ('각층분기별_유효전력최대(전월)'!$D$4:$D$2020='7층~4층_매핑테이블'!N81) * ('각층분기별_유효전력최대(전월)'!$E$4:$E$2020='7층~4층_매핑테이블'!O81),0))</f>
        <v>#N/A</v>
      </c>
      <c r="Q81" s="1" t="str">
        <f t="shared" ref="Q81:Q87" si="98">R81&amp;S81</f>
        <v>6-DaHall 1-PDU-11-30-256-DaHall 1-PDU-12-30-25</v>
      </c>
      <c r="R81" s="217" t="s">
        <v>9832</v>
      </c>
      <c r="S81" s="217" t="s">
        <v>9833</v>
      </c>
      <c r="T81" t="str">
        <f t="shared" si="88"/>
        <v>6-DaHall 1-PDU-11</v>
      </c>
      <c r="U81" t="str">
        <f t="shared" ref="U81:U87" si="99">IF(IF(LEN((MID(R81,22,2)))=1, "[branch#0"&amp;0&amp;MID(R81,22,2)&amp;"] [A] W", "[branch#0"&amp;MID(R81,22,2)&amp;"] [A] W")="[branch#0] [A] W", "", IF(LEN((MID(R81,22,2)))=1, "[branch#0"&amp;0&amp;MID(R81,22,2)&amp;"] [A] W", "[branch#0"&amp;MID(R81,22,2)&amp;"] [A] W"))</f>
        <v>[branch#025] [A] W</v>
      </c>
      <c r="V81" t="str">
        <f t="shared" ref="V81:V87" si="100">IF(MID(S81,16,2)="0","",MID(S81,1,15)&amp;MID(S81,16,2))</f>
        <v>6-DaHall 1-PDU-12</v>
      </c>
      <c r="W81" t="str">
        <f t="shared" ref="W81:W87" si="101">IF(IF(LEN((MID(S81,22,2)))=1, "[branch#0"&amp;0&amp;MID(S81,22,2)&amp;"] [A] W", "[branch#0"&amp;MID(S81,22,2)&amp;"] [A] W")="[branch#0] [A] W", "", IF(LEN((MID(S81,22,2)))=1, "[branch#0"&amp;0&amp;MID(S81,22,2)&amp;"] [A] W", "[branch#0"&amp;MID(S81,22,2)&amp;"] [A] W"))</f>
        <v>[branch#025] [A] W</v>
      </c>
      <c r="X81" s="2989" cm="1">
        <f t="array" ref="X81">INDEX('각층분기별_유효전력최대(전월)'!$I$4:$I$2020,MATCH(1, ('각층분기별_유효전력최대(전월)'!$G$4:$G$2020='7층~4층_매핑테이블'!T81) * ('각층분기별_유효전력최대(전월)'!$H$4:$H$2020='7층~4층_매핑테이블'!U81),0)) + INDEX('각층분기별_유효전력최대(전월)'!$I$4:$I$2020,MATCH(1, ('각층분기별_유효전력최대(전월)'!$G$4:$G$2020='7층~4층_매핑테이블'!V81) * ('각층분기별_유효전력최대(전월)'!$H$4:$H$2020='7층~4층_매핑테이블'!W81),0))</f>
        <v>0</v>
      </c>
      <c r="Y81" s="3274" t="str">
        <f t="shared" si="81"/>
        <v>7-DaHall 1-A-2-35-527-DaHall 1-B-2-35-52</v>
      </c>
      <c r="Z81" s="217" t="s">
        <v>9834</v>
      </c>
      <c r="AA81" s="217" t="s">
        <v>9835</v>
      </c>
      <c r="AB81" s="3274" t="str">
        <f t="shared" si="97"/>
        <v>7-DaHall 1-A-2-35</v>
      </c>
      <c r="AC81" t="s">
        <v>9635</v>
      </c>
      <c r="AD81" t="str">
        <f t="shared" si="85"/>
        <v>7-DaHall 1-B-2-35</v>
      </c>
      <c r="AE81" t="s">
        <v>9635</v>
      </c>
      <c r="AF81" s="2989" t="e" cm="1">
        <f t="array" ref="AF81">INDEX('각층분기별_유효전력최대(전월)'!$L$4:$L$2020,MATCH(1, ('각층분기별_유효전력최대(전월)'!$J$4:$J$2020='7층~4층_매핑테이블'!AB81) * ('각층분기별_유효전력최대(전월)'!$K$4:$K$2020='7층~4층_매핑테이블'!AC81),0)) + INDEX('각층분기별_유효전력최대(전월)'!$L$4:$L$2020,MATCH(1, ('각층분기별_유효전력최대(전월)'!$J$4:$J$2020='7층~4층_매핑테이블'!AD81) * ('각층분기별_유효전력최대(전월)'!$K$4:$K$2020='7층~4층_매핑테이블'!AE81),0))</f>
        <v>#N/A</v>
      </c>
    </row>
    <row r="82" spans="1:32" x14ac:dyDescent="0.25">
      <c r="A82" t="str">
        <f t="shared" si="92"/>
        <v/>
      </c>
      <c r="B82" s="217"/>
      <c r="C82" s="217"/>
      <c r="D82" s="2989" t="str">
        <f>IF(MID(B82,16,2)="0","",MID(B82,1,15)&amp;MID(B82,16,2))</f>
        <v/>
      </c>
      <c r="E82" s="2989" t="str">
        <f t="shared" si="86"/>
        <v/>
      </c>
      <c r="F82" s="2989" t="str">
        <f t="shared" si="94"/>
        <v/>
      </c>
      <c r="G82" s="2989" t="str">
        <f t="shared" si="95"/>
        <v/>
      </c>
      <c r="H82" s="2989" cm="1">
        <f t="array" ref="H82">INDEX('각층분기별_유효전력최대(전월)'!$C$4:$C$2020,MATCH(1, ('각층분기별_유효전력최대(전월)'!$A$4:$A$2020='7층~4층_매핑테이블'!D82) * ('각층분기별_유효전력최대(전월)'!$B$4:$B$2020='7층~4층_매핑테이블'!E82),0)) + INDEX('각층분기별_유효전력최대(전월)'!$C$4:$C$2020,MATCH(1, ('각층분기별_유효전력최대(전월)'!$A$4:$A$2020='7층~4층_매핑테이블'!F82) * ('각층분기별_유효전력최대(전월)'!$B$4:$B$2020='7층~4층_매핑테이블'!G82),0))</f>
        <v>0</v>
      </c>
      <c r="I82" t="str">
        <f t="shared" si="30"/>
        <v>5-DaHall 1-PDU-03-30-495-DaHall 1-PDU-04-30-49</v>
      </c>
      <c r="J82" s="3107" t="s">
        <v>9836</v>
      </c>
      <c r="K82" s="3107" t="s">
        <v>9837</v>
      </c>
      <c r="L82" t="str">
        <f t="shared" si="82"/>
        <v>5-DaHall 1-PDU-03</v>
      </c>
      <c r="M82" t="str">
        <f t="shared" si="31"/>
        <v>[branch#049] [A] W</v>
      </c>
      <c r="N82" t="str">
        <f t="shared" si="56"/>
        <v>5-DaHall 1-PDU-04</v>
      </c>
      <c r="O82" t="str">
        <f t="shared" si="57"/>
        <v>[branch#049] [A] W</v>
      </c>
      <c r="P82" s="2989" t="e" cm="1">
        <f t="array" ref="P82">INDEX('각층분기별_유효전력최대(전월)'!$F$4:$F$2020,MATCH(1, ('각층분기별_유효전력최대(전월)'!$D$4:$D$2020='7층~4층_매핑테이블'!L82) * ('각층분기별_유효전력최대(전월)'!$E$4:$E$2020='7층~4층_매핑테이블'!M82),0)) + INDEX('각층분기별_유효전력최대(전월)'!$F$4:$F$2020,MATCH(1, ('각층분기별_유효전력최대(전월)'!$D$4:$D$2020='7층~4층_매핑테이블'!N82) * ('각층분기별_유효전력최대(전월)'!$E$4:$E$2020='7층~4층_매핑테이블'!O82),0))</f>
        <v>#N/A</v>
      </c>
      <c r="Q82" s="1" t="str">
        <f t="shared" si="98"/>
        <v>6-DaHall 1-PDU-11-30-276-DaHall 1-PDU-12-30-27</v>
      </c>
      <c r="R82" s="217" t="s">
        <v>9838</v>
      </c>
      <c r="S82" s="217" t="s">
        <v>9839</v>
      </c>
      <c r="T82" t="str">
        <f t="shared" si="88"/>
        <v>6-DaHall 1-PDU-11</v>
      </c>
      <c r="U82" t="str">
        <f t="shared" si="99"/>
        <v>[branch#027] [A] W</v>
      </c>
      <c r="V82" t="str">
        <f t="shared" si="100"/>
        <v>6-DaHall 1-PDU-12</v>
      </c>
      <c r="W82" t="str">
        <f t="shared" si="101"/>
        <v>[branch#027] [A] W</v>
      </c>
      <c r="X82" s="2989" cm="1">
        <f t="array" ref="X82">INDEX('각층분기별_유효전력최대(전월)'!$I$4:$I$2020,MATCH(1, ('각층분기별_유효전력최대(전월)'!$G$4:$G$2020='7층~4층_매핑테이블'!T82) * ('각층분기별_유효전력최대(전월)'!$H$4:$H$2020='7층~4층_매핑테이블'!U82),0)) + INDEX('각층분기별_유효전력최대(전월)'!$I$4:$I$2020,MATCH(1, ('각층분기별_유효전력최대(전월)'!$G$4:$G$2020='7층~4층_매핑테이블'!V82) * ('각층분기별_유효전력최대(전월)'!$H$4:$H$2020='7층~4층_매핑테이블'!W82),0))</f>
        <v>0</v>
      </c>
      <c r="Y82" s="3274" t="str">
        <f>Z82&amp;AA82</f>
        <v/>
      </c>
      <c r="Z82" s="217"/>
      <c r="AA82" s="217"/>
      <c r="AB82" s="3274" t="str">
        <f t="shared" si="97"/>
        <v/>
      </c>
      <c r="AD82" t="str">
        <f t="shared" si="85"/>
        <v/>
      </c>
      <c r="AF82" s="2989" cm="1">
        <f t="array" ref="AF82">INDEX('각층분기별_유효전력최대(전월)'!$L$4:$L$2020,MATCH(1, ('각층분기별_유효전력최대(전월)'!$J$4:$J$2020='7층~4층_매핑테이블'!AB82) * ('각층분기별_유효전력최대(전월)'!$K$4:$K$2020='7층~4층_매핑테이블'!AC82),0)) + INDEX('각층분기별_유효전력최대(전월)'!$L$4:$L$2020,MATCH(1, ('각층분기별_유효전력최대(전월)'!$J$4:$J$2020='7층~4층_매핑테이블'!AD82) * ('각층분기별_유효전력최대(전월)'!$K$4:$K$2020='7층~4층_매핑테이블'!AE82),0))</f>
        <v>0</v>
      </c>
    </row>
    <row r="83" spans="1:32" x14ac:dyDescent="0.25">
      <c r="A83" t="str">
        <f t="shared" si="92"/>
        <v/>
      </c>
      <c r="B83" s="217"/>
      <c r="C83" s="217"/>
      <c r="D83" s="2989" t="str">
        <f>IF(MID(B83,16,2)="0","",MID(B83,1,15)&amp;MID(B83,16,2))</f>
        <v/>
      </c>
      <c r="E83" s="2989" t="str">
        <f t="shared" si="86"/>
        <v/>
      </c>
      <c r="F83" s="2989" t="str">
        <f t="shared" si="94"/>
        <v/>
      </c>
      <c r="G83" s="2989" t="str">
        <f t="shared" si="95"/>
        <v/>
      </c>
      <c r="H83" s="2989" cm="1">
        <f t="array" ref="H83">INDEX('각층분기별_유효전력최대(전월)'!$C$4:$C$2020,MATCH(1, ('각층분기별_유효전력최대(전월)'!$A$4:$A$2020='7층~4층_매핑테이블'!D83) * ('각층분기별_유효전력최대(전월)'!$B$4:$B$2020='7층~4층_매핑테이블'!E83),0)) + INDEX('각층분기별_유효전력최대(전월)'!$C$4:$C$2020,MATCH(1, ('각층분기별_유효전력최대(전월)'!$A$4:$A$2020='7층~4층_매핑테이블'!F83) * ('각층분기별_유효전력최대(전월)'!$B$4:$B$2020='7층~4층_매핑테이블'!G83),0))</f>
        <v>0</v>
      </c>
      <c r="I83" t="str">
        <f t="shared" si="30"/>
        <v>5-DaHall 1-PDU-03-30-25-DaHall 1-PDU-04-30-2</v>
      </c>
      <c r="J83" s="217" t="s">
        <v>9840</v>
      </c>
      <c r="K83" s="217" t="s">
        <v>9841</v>
      </c>
      <c r="L83" t="str">
        <f t="shared" si="82"/>
        <v>5-DaHall 1-PDU-03</v>
      </c>
      <c r="M83" t="str">
        <f t="shared" si="31"/>
        <v>[branch#002] [A] W</v>
      </c>
      <c r="N83" t="str">
        <f t="shared" si="56"/>
        <v>5-DaHall 1-PDU-04</v>
      </c>
      <c r="O83" t="str">
        <f t="shared" si="57"/>
        <v>[branch#002] [A] W</v>
      </c>
      <c r="P83" s="2989" cm="1">
        <f t="array" ref="P83">INDEX('각층분기별_유효전력최대(전월)'!$F$4:$F$2020,MATCH(1, ('각층분기별_유효전력최대(전월)'!$D$4:$D$2020='7층~4층_매핑테이블'!L83) * ('각층분기별_유효전력최대(전월)'!$E$4:$E$2020='7층~4층_매핑테이블'!M83),0)) + INDEX('각층분기별_유효전력최대(전월)'!$F$4:$F$2020,MATCH(1, ('각층분기별_유효전력최대(전월)'!$D$4:$D$2020='7층~4층_매핑테이블'!N83) * ('각층분기별_유효전력최대(전월)'!$E$4:$E$2020='7층~4층_매핑테이블'!O83),0))</f>
        <v>0</v>
      </c>
      <c r="Q83" s="1" t="str">
        <f t="shared" si="98"/>
        <v>6-DaHall 1-PDU-11-30-496-DaHall 1-PDU-12-30-49</v>
      </c>
      <c r="R83" s="217" t="s">
        <v>9842</v>
      </c>
      <c r="S83" s="217" t="s">
        <v>9843</v>
      </c>
      <c r="T83" t="str">
        <f t="shared" si="88"/>
        <v>6-DaHall 1-PDU-11</v>
      </c>
      <c r="U83" t="str">
        <f t="shared" si="99"/>
        <v>[branch#049] [A] W</v>
      </c>
      <c r="V83" t="str">
        <f t="shared" si="100"/>
        <v>6-DaHall 1-PDU-12</v>
      </c>
      <c r="W83" t="str">
        <f t="shared" si="101"/>
        <v>[branch#049] [A] W</v>
      </c>
      <c r="X83" s="2989" cm="1">
        <f t="array" ref="X83">INDEX('각층분기별_유효전력최대(전월)'!$I$4:$I$2020,MATCH(1, ('각층분기별_유효전력최대(전월)'!$G$4:$G$2020='7층~4층_매핑테이블'!T83) * ('각층분기별_유효전력최대(전월)'!$H$4:$H$2020='7층~4층_매핑테이블'!U83),0)) + INDEX('각층분기별_유효전력최대(전월)'!$I$4:$I$2020,MATCH(1, ('각층분기별_유효전력최대(전월)'!$G$4:$G$2020='7층~4층_매핑테이블'!V83) * ('각층분기별_유효전력최대(전월)'!$H$4:$H$2020='7층~4층_매핑테이블'!W83),0))</f>
        <v>0</v>
      </c>
      <c r="Y83" s="3274" t="str">
        <f>Z83&amp;AA83</f>
        <v>7-DaHall 1-A-2-35-497-DaHall 1-B-2-35-49</v>
      </c>
      <c r="Z83" s="217" t="s">
        <v>9844</v>
      </c>
      <c r="AA83" s="217" t="s">
        <v>9845</v>
      </c>
      <c r="AB83" s="3274" t="str">
        <f t="shared" si="97"/>
        <v>7-DaHall 1-A-2-35</v>
      </c>
      <c r="AC83" t="s">
        <v>9456</v>
      </c>
      <c r="AD83" t="str">
        <f t="shared" si="85"/>
        <v>7-DaHall 1-B-2-35</v>
      </c>
      <c r="AE83" t="s">
        <v>9456</v>
      </c>
      <c r="AF83" s="2989" t="e" cm="1">
        <f t="array" ref="AF83">INDEX('각층분기별_유효전력최대(전월)'!$L$4:$L$2020,MATCH(1, ('각층분기별_유효전력최대(전월)'!$J$4:$J$2020='7층~4층_매핑테이블'!AB83) * ('각층분기별_유효전력최대(전월)'!$K$4:$K$2020='7층~4층_매핑테이블'!AC83),0)) + INDEX('각층분기별_유효전력최대(전월)'!$L$4:$L$2020,MATCH(1, ('각층분기별_유효전력최대(전월)'!$J$4:$J$2020='7층~4층_매핑테이블'!AD83) * ('각층분기별_유효전력최대(전월)'!$K$4:$K$2020='7층~4층_매핑테이블'!AE83),0))</f>
        <v>#N/A</v>
      </c>
    </row>
    <row r="84" spans="1:32" x14ac:dyDescent="0.25">
      <c r="A84" t="str">
        <f>B84&amp;C84</f>
        <v>4-DaHall 1-PDU-06-100-84-DaHall 1-PDU-05-100-8</v>
      </c>
      <c r="B84" s="217" t="s">
        <v>9846</v>
      </c>
      <c r="C84" s="217" t="s">
        <v>9847</v>
      </c>
      <c r="D84" s="2989" t="str">
        <f>IF(MID(B84,16,2)="0","",MID(B84,1,15)&amp;MID(B84,16,2))</f>
        <v>4-DaHall 1-PDU-06</v>
      </c>
      <c r="E84" s="2989" t="str">
        <f t="shared" si="86"/>
        <v>[branch#008] [A] W</v>
      </c>
      <c r="F84" s="2989" t="str">
        <f>IF(MID(C84,16,2)="0","",MID(C84,1,15)&amp;MID(C84,16,2))</f>
        <v>4-DaHall 1-PDU-05</v>
      </c>
      <c r="G84" s="2989" t="str">
        <f>IF(IF(LEN(MID(C84,23,2))=1, "[branch#0"&amp;0&amp;MID(C84,23,2)&amp;"] [A] W", "[branch#0"&amp;MID(C84,23,2)&amp;"] [A] W")="[branch#0] [A] W", "", IF(LEN(MID(C84,23,2))=1, "[branch#0"&amp;0&amp;MID(C84,23,2)&amp;"] [A] W", "[branch#0"&amp;MID(C84,23,2)&amp;"] [A] W"))</f>
        <v>[branch#008] [A] W</v>
      </c>
      <c r="H84" s="2989" cm="1">
        <f t="array" ref="H84">INDEX('각층분기별_유효전력최대(전월)'!$C$4:$C$2020,MATCH(1, ('각층분기별_유효전력최대(전월)'!$A$4:$A$2020='7층~4층_매핑테이블'!D84) * ('각층분기별_유효전력최대(전월)'!$B$4:$B$2020='7층~4층_매핑테이블'!E84),0)) + INDEX('각층분기별_유효전력최대(전월)'!$C$4:$C$2020,MATCH(1, ('각층분기별_유효전력최대(전월)'!$A$4:$A$2020='7층~4층_매핑테이블'!F84) * ('각층분기별_유효전력최대(전월)'!$B$4:$B$2020='7층~4층_매핑테이블'!G84),0))</f>
        <v>5.8550000000000004</v>
      </c>
      <c r="I84" t="str">
        <f t="shared" si="30"/>
        <v>5-DaHall 1-PDU-03-30-45-DaHall 1-PDU-04-30-4</v>
      </c>
      <c r="J84" s="217" t="s">
        <v>9848</v>
      </c>
      <c r="K84" s="217" t="s">
        <v>9849</v>
      </c>
      <c r="L84" t="str">
        <f t="shared" si="82"/>
        <v>5-DaHall 1-PDU-03</v>
      </c>
      <c r="M84" t="str">
        <f t="shared" si="31"/>
        <v>[branch#004] [A] W</v>
      </c>
      <c r="N84" t="str">
        <f t="shared" si="56"/>
        <v>5-DaHall 1-PDU-04</v>
      </c>
      <c r="O84" t="str">
        <f t="shared" si="57"/>
        <v>[branch#004] [A] W</v>
      </c>
      <c r="P84" s="2989" cm="1">
        <f t="array" ref="P84">INDEX('각층분기별_유효전력최대(전월)'!$F$4:$F$2020,MATCH(1, ('각층분기별_유효전력최대(전월)'!$D$4:$D$2020='7층~4층_매핑테이블'!L84) * ('각층분기별_유효전력최대(전월)'!$E$4:$E$2020='7층~4층_매핑테이블'!M84),0)) + INDEX('각층분기별_유효전력최대(전월)'!$F$4:$F$2020,MATCH(1, ('각층분기별_유효전력최대(전월)'!$D$4:$D$2020='7층~4층_매핑테이블'!N84) * ('각층분기별_유효전력최대(전월)'!$E$4:$E$2020='7층~4층_매핑테이블'!O84),0))</f>
        <v>0</v>
      </c>
      <c r="Q84" s="1" t="str">
        <f t="shared" si="98"/>
        <v>6-DaHall 1-PDU-11-30-296-DaHall 1-PDU-12-30-29</v>
      </c>
      <c r="R84" s="217" t="s">
        <v>9850</v>
      </c>
      <c r="S84" s="217" t="s">
        <v>9851</v>
      </c>
      <c r="T84" t="str">
        <f t="shared" si="88"/>
        <v>6-DaHall 1-PDU-11</v>
      </c>
      <c r="U84" t="str">
        <f t="shared" si="99"/>
        <v>[branch#029] [A] W</v>
      </c>
      <c r="V84" t="str">
        <f t="shared" si="100"/>
        <v>6-DaHall 1-PDU-12</v>
      </c>
      <c r="W84" t="str">
        <f t="shared" si="101"/>
        <v>[branch#029] [A] W</v>
      </c>
      <c r="X84" s="2989" cm="1">
        <f t="array" ref="X84">INDEX('각층분기별_유효전력최대(전월)'!$I$4:$I$2020,MATCH(1, ('각층분기별_유효전력최대(전월)'!$G$4:$G$2020='7층~4층_매핑테이블'!T84) * ('각층분기별_유효전력최대(전월)'!$H$4:$H$2020='7층~4층_매핑테이블'!U84),0)) + INDEX('각층분기별_유효전력최대(전월)'!$I$4:$I$2020,MATCH(1, ('각층분기별_유효전력최대(전월)'!$G$4:$G$2020='7층~4층_매핑테이블'!V84) * ('각층분기별_유효전력최대(전월)'!$H$4:$H$2020='7층~4층_매핑테이블'!W84),0))</f>
        <v>0</v>
      </c>
      <c r="Y84" s="3274" t="str">
        <f>Z84&amp;AA84</f>
        <v/>
      </c>
      <c r="Z84" s="217"/>
      <c r="AA84" s="217"/>
      <c r="AB84" s="3274" t="str">
        <f t="shared" si="97"/>
        <v/>
      </c>
      <c r="AD84" t="str">
        <f t="shared" si="85"/>
        <v/>
      </c>
      <c r="AF84" s="2989" cm="1">
        <f t="array" ref="AF84">INDEX('각층분기별_유효전력최대(전월)'!$L$4:$L$2020,MATCH(1, ('각층분기별_유효전력최대(전월)'!$J$4:$J$2020='7층~4층_매핑테이블'!AB84) * ('각층분기별_유효전력최대(전월)'!$K$4:$K$2020='7층~4층_매핑테이블'!AC84),0)) + INDEX('각층분기별_유효전력최대(전월)'!$L$4:$L$2020,MATCH(1, ('각층분기별_유효전력최대(전월)'!$J$4:$J$2020='7층~4층_매핑테이블'!AD84) * ('각층분기별_유효전력최대(전월)'!$K$4:$K$2020='7층~4층_매핑테이블'!AE84),0))</f>
        <v>0</v>
      </c>
    </row>
    <row r="85" spans="1:32" x14ac:dyDescent="0.25">
      <c r="A85" t="str">
        <f>B85&amp;C85</f>
        <v/>
      </c>
      <c r="B85" s="217"/>
      <c r="C85" s="217"/>
      <c r="D85" s="2989" t="str">
        <f>IF(MID(B85,16,2)="0","",MID(B85,1,15)&amp;MID(B85,16,2))</f>
        <v/>
      </c>
      <c r="E85" s="2989" t="str">
        <f t="shared" si="86"/>
        <v/>
      </c>
      <c r="F85" s="2989" t="str">
        <f>IF(MID(C85,16,2)="0","",MID(C85,1,15)&amp;MID(C85,16,2))</f>
        <v/>
      </c>
      <c r="G85" s="2989" t="str">
        <f>IF(IF(LEN(MID(C85,23,2))=1, "[branch#0"&amp;0&amp;MID(C85,23,2)&amp;"] [A] W", "[branch#0"&amp;MID(C85,23,2)&amp;"] [A] W")="[branch#0] [A] W", "", IF(LEN(MID(C85,23,2))=1, "[branch#0"&amp;0&amp;MID(C85,23,2)&amp;"] [A] W", "[branch#0"&amp;MID(C85,23,2)&amp;"] [A] W"))</f>
        <v/>
      </c>
      <c r="H85" s="2989" cm="1">
        <f t="array" ref="H85">INDEX('각층분기별_유효전력최대(전월)'!$C$4:$C$2020,MATCH(1, ('각층분기별_유효전력최대(전월)'!$A$4:$A$2020='7층~4층_매핑테이블'!D85) * ('각층분기별_유효전력최대(전월)'!$B$4:$B$2020='7층~4층_매핑테이블'!E85),0)) + INDEX('각층분기별_유효전력최대(전월)'!$C$4:$C$2020,MATCH(1, ('각층분기별_유효전력최대(전월)'!$A$4:$A$2020='7층~4층_매핑테이블'!F85) * ('각층분기별_유효전력최대(전월)'!$B$4:$B$2020='7층~4층_매핑테이블'!G85),0))</f>
        <v>0</v>
      </c>
      <c r="I85" t="str">
        <f t="shared" si="30"/>
        <v>5-DaHall 1-PDU-03-30-415-DaHall 1-PDU-04-30-41</v>
      </c>
      <c r="J85" s="3107" t="s">
        <v>9852</v>
      </c>
      <c r="K85" s="3107" t="s">
        <v>9853</v>
      </c>
      <c r="L85" t="str">
        <f t="shared" si="82"/>
        <v>5-DaHall 1-PDU-03</v>
      </c>
      <c r="M85" t="str">
        <f t="shared" si="31"/>
        <v>[branch#041] [A] W</v>
      </c>
      <c r="N85" t="str">
        <f t="shared" si="56"/>
        <v>5-DaHall 1-PDU-04</v>
      </c>
      <c r="O85" t="str">
        <f t="shared" si="57"/>
        <v>[branch#041] [A] W</v>
      </c>
      <c r="P85" s="2989" t="e" cm="1">
        <f t="array" ref="P85">INDEX('각층분기별_유효전력최대(전월)'!$F$4:$F$2020,MATCH(1, ('각층분기별_유효전력최대(전월)'!$D$4:$D$2020='7층~4층_매핑테이블'!L85) * ('각층분기별_유효전력최대(전월)'!$E$4:$E$2020='7층~4층_매핑테이블'!M85),0)) + INDEX('각층분기별_유효전력최대(전월)'!$F$4:$F$2020,MATCH(1, ('각층분기별_유효전력최대(전월)'!$D$4:$D$2020='7층~4층_매핑테이블'!N85) * ('각층분기별_유효전력최대(전월)'!$E$4:$E$2020='7층~4층_매핑테이블'!O85),0))</f>
        <v>#N/A</v>
      </c>
      <c r="Q85" s="1" t="str">
        <f t="shared" si="98"/>
        <v>6-DaHall 1-PDU-11-30-316-DaHall 1-PDU-12-30-31</v>
      </c>
      <c r="R85" s="217" t="s">
        <v>9854</v>
      </c>
      <c r="S85" s="217" t="s">
        <v>9855</v>
      </c>
      <c r="T85" t="str">
        <f t="shared" si="88"/>
        <v>6-DaHall 1-PDU-11</v>
      </c>
      <c r="U85" t="str">
        <f t="shared" si="99"/>
        <v>[branch#031] [A] W</v>
      </c>
      <c r="V85" t="str">
        <f t="shared" si="100"/>
        <v>6-DaHall 1-PDU-12</v>
      </c>
      <c r="W85" t="str">
        <f t="shared" si="101"/>
        <v>[branch#031] [A] W</v>
      </c>
      <c r="X85" s="2989" cm="1">
        <f t="array" ref="X85">INDEX('각층분기별_유효전력최대(전월)'!$I$4:$I$2020,MATCH(1, ('각층분기별_유효전력최대(전월)'!$G$4:$G$2020='7층~4층_매핑테이블'!T85) * ('각층분기별_유효전력최대(전월)'!$H$4:$H$2020='7층~4층_매핑테이블'!U85),0)) + INDEX('각층분기별_유효전력최대(전월)'!$I$4:$I$2020,MATCH(1, ('각층분기별_유효전력최대(전월)'!$G$4:$G$2020='7층~4층_매핑테이블'!V85) * ('각층분기별_유효전력최대(전월)'!$H$4:$H$2020='7층~4층_매핑테이블'!W85),0))</f>
        <v>0</v>
      </c>
      <c r="Y85" s="3274" t="str">
        <f t="shared" ref="Y85" si="102">Z85&amp;AA85</f>
        <v/>
      </c>
      <c r="Z85" s="217"/>
      <c r="AA85" s="217"/>
      <c r="AB85" s="3274" t="str">
        <f t="shared" si="97"/>
        <v/>
      </c>
      <c r="AD85" t="str">
        <f t="shared" si="85"/>
        <v/>
      </c>
      <c r="AF85" s="2989" cm="1">
        <f t="array" ref="AF85">INDEX('각층분기별_유효전력최대(전월)'!$L$4:$L$2020,MATCH(1, ('각층분기별_유효전력최대(전월)'!$J$4:$J$2020='7층~4층_매핑테이블'!AB85) * ('각층분기별_유효전력최대(전월)'!$K$4:$K$2020='7층~4층_매핑테이블'!AC85),0)) + INDEX('각층분기별_유효전력최대(전월)'!$L$4:$L$2020,MATCH(1, ('각층분기별_유효전력최대(전월)'!$J$4:$J$2020='7층~4층_매핑테이블'!AD85) * ('각층분기별_유효전력최대(전월)'!$K$4:$K$2020='7층~4층_매핑테이블'!AE85),0))</f>
        <v>0</v>
      </c>
    </row>
    <row r="86" spans="1:32" x14ac:dyDescent="0.25">
      <c r="A86" t="str">
        <f t="shared" ref="A86:A93" si="103">B86&amp;C86</f>
        <v/>
      </c>
      <c r="B86" s="217"/>
      <c r="C86" s="217"/>
      <c r="D86" s="2989" t="str">
        <f>IF(MID(B86,16,2)="0","",MID(B86,1,15)&amp;MID(B86,16,2))</f>
        <v/>
      </c>
      <c r="E86" s="2989" t="str">
        <f t="shared" si="86"/>
        <v/>
      </c>
      <c r="F86" s="2989" t="str">
        <f>IF(MID(C86,16,2)="0","",MID(C86,1,15)&amp;MID(C86,16,2))</f>
        <v/>
      </c>
      <c r="G86" s="2989" t="str">
        <f>IF(IF(LEN(MID(C86,23,2))=1, "[branch#0"&amp;0&amp;MID(C86,23,2)&amp;"] [A] W", "[branch#0"&amp;MID(C86,23,2)&amp;"] [A] W")="[branch#0] [A] W", "", IF(LEN(MID(C86,23,2))=1, "[branch#0"&amp;0&amp;MID(C86,23,2)&amp;"] [A] W", "[branch#0"&amp;MID(C86,23,2)&amp;"] [A] W"))</f>
        <v/>
      </c>
      <c r="H86" s="2989" cm="1">
        <f t="array" ref="H86">INDEX('각층분기별_유효전력최대(전월)'!$C$4:$C$2020,MATCH(1, ('각층분기별_유효전력최대(전월)'!$A$4:$A$2020='7층~4층_매핑테이블'!D86) * ('각층분기별_유효전력최대(전월)'!$B$4:$B$2020='7층~4층_매핑테이블'!E86),0)) + INDEX('각층분기별_유효전력최대(전월)'!$C$4:$C$2020,MATCH(1, ('각층분기별_유효전력최대(전월)'!$A$4:$A$2020='7층~4층_매핑테이블'!F86) * ('각층분기별_유효전력최대(전월)'!$B$4:$B$2020='7층~4층_매핑테이블'!G86),0))</f>
        <v>0</v>
      </c>
      <c r="I86" t="str">
        <f t="shared" si="30"/>
        <v>5-DaHall 1-PDU-03-30-65-DaHall 1-PDU-04-30-6</v>
      </c>
      <c r="J86" s="217" t="s">
        <v>9856</v>
      </c>
      <c r="K86" s="217" t="s">
        <v>9857</v>
      </c>
      <c r="L86" t="str">
        <f t="shared" si="82"/>
        <v>5-DaHall 1-PDU-03</v>
      </c>
      <c r="M86" t="str">
        <f t="shared" si="31"/>
        <v>[branch#006] [A] W</v>
      </c>
      <c r="N86" t="str">
        <f t="shared" si="56"/>
        <v>5-DaHall 1-PDU-04</v>
      </c>
      <c r="O86" t="str">
        <f t="shared" si="57"/>
        <v>[branch#006] [A] W</v>
      </c>
      <c r="P86" s="2989" cm="1">
        <f t="array" ref="P86">INDEX('각층분기별_유효전력최대(전월)'!$F$4:$F$2020,MATCH(1, ('각층분기별_유효전력최대(전월)'!$D$4:$D$2020='7층~4층_매핑테이블'!L86) * ('각층분기별_유효전력최대(전월)'!$E$4:$E$2020='7층~4층_매핑테이블'!M86),0)) + INDEX('각층분기별_유효전력최대(전월)'!$F$4:$F$2020,MATCH(1, ('각층분기별_유효전력최대(전월)'!$D$4:$D$2020='7층~4층_매핑테이블'!N86) * ('각층분기별_유효전력최대(전월)'!$E$4:$E$2020='7층~4층_매핑테이블'!O86),0))</f>
        <v>0</v>
      </c>
      <c r="Q86" s="1" t="str">
        <f>R86&amp;S86</f>
        <v>6-DaHall 1-PDU-11-30-476-DaHall 1-PDU-12-30-47</v>
      </c>
      <c r="R86" s="217" t="s">
        <v>9858</v>
      </c>
      <c r="S86" s="217" t="s">
        <v>9859</v>
      </c>
      <c r="T86" t="str">
        <f t="shared" si="88"/>
        <v>6-DaHall 1-PDU-11</v>
      </c>
      <c r="U86" t="str">
        <f t="shared" si="99"/>
        <v>[branch#047] [A] W</v>
      </c>
      <c r="V86" t="str">
        <f>IF(MID(S86,16,2)="0","",MID(S86,1,15)&amp;MID(S86,16,2))</f>
        <v>6-DaHall 1-PDU-12</v>
      </c>
      <c r="W86" t="str">
        <f>IF(IF(LEN((MID(S86,22,2)))=1, "[branch#0"&amp;0&amp;MID(S86,22,2)&amp;"] [A] W", "[branch#0"&amp;MID(S86,22,2)&amp;"] [A] W")="[branch#0] [A] W", "", IF(LEN((MID(S86,22,2)))=1, "[branch#0"&amp;0&amp;MID(S86,22,2)&amp;"] [A] W", "[branch#0"&amp;MID(S86,22,2)&amp;"] [A] W"))</f>
        <v>[branch#047] [A] W</v>
      </c>
      <c r="X86" s="2989" cm="1">
        <f t="array" ref="X86">INDEX('각층분기별_유효전력최대(전월)'!$I$4:$I$2020,MATCH(1, ('각층분기별_유효전력최대(전월)'!$G$4:$G$2020='7층~4층_매핑테이블'!T86) * ('각층분기별_유효전력최대(전월)'!$H$4:$H$2020='7층~4층_매핑테이블'!U86),0)) + INDEX('각층분기별_유효전력최대(전월)'!$I$4:$I$2020,MATCH(1, ('각층분기별_유효전력최대(전월)'!$G$4:$G$2020='7층~4층_매핑테이블'!V86) * ('각층분기별_유효전력최대(전월)'!$H$4:$H$2020='7층~4층_매핑테이블'!W86),0))</f>
        <v>0</v>
      </c>
      <c r="Y86" s="3274" t="str">
        <f>Z86&amp;AA86</f>
        <v>7-DaHall 1-A-2-35-107-DaHall 1-B-2-35-10</v>
      </c>
      <c r="Z86" s="217" t="s">
        <v>9860</v>
      </c>
      <c r="AA86" s="217" t="s">
        <v>9861</v>
      </c>
      <c r="AB86" s="3274" t="str">
        <f t="shared" si="97"/>
        <v>7-DaHall 1-A-2-35</v>
      </c>
      <c r="AC86" t="s">
        <v>9500</v>
      </c>
      <c r="AD86" t="str">
        <f t="shared" si="85"/>
        <v>7-DaHall 1-B-2-35</v>
      </c>
      <c r="AE86" t="s">
        <v>9500</v>
      </c>
      <c r="AF86" s="2989" t="e" cm="1">
        <f t="array" ref="AF86">INDEX('각층분기별_유효전력최대(전월)'!$L$4:$L$2020,MATCH(1, ('각층분기별_유효전력최대(전월)'!$J$4:$J$2020='7층~4층_매핑테이블'!AB86) * ('각층분기별_유효전력최대(전월)'!$K$4:$K$2020='7층~4층_매핑테이블'!AC86),0)) + INDEX('각층분기별_유효전력최대(전월)'!$L$4:$L$2020,MATCH(1, ('각층분기별_유효전력최대(전월)'!$J$4:$J$2020='7층~4층_매핑테이블'!AD86) * ('각층분기별_유효전력최대(전월)'!$K$4:$K$2020='7층~4층_매핑테이블'!AE86),0))</f>
        <v>#N/A</v>
      </c>
    </row>
    <row r="87" spans="1:32" x14ac:dyDescent="0.25">
      <c r="A87" t="str">
        <f t="shared" si="103"/>
        <v/>
      </c>
      <c r="B87" s="217"/>
      <c r="C87" s="217"/>
      <c r="D87" s="2989" t="str">
        <f t="shared" ref="D87:D91" si="104">IF(MID(B87,16,2)="0","",MID(B87,1,15)&amp;MID(B87,16,2))</f>
        <v/>
      </c>
      <c r="E87" s="2989" t="str">
        <f t="shared" si="86"/>
        <v/>
      </c>
      <c r="F87" s="2989" t="str">
        <f>IF(MID(C87,16,2)="0","",MID(C87,1,15)&amp;MID(C87,16,2))</f>
        <v/>
      </c>
      <c r="G87" s="2989" t="str">
        <f>IF(IF(LEN(MID(C87,23,2))=1, "[branch#0"&amp;0&amp;MID(C87,23,2)&amp;"] [A] W", "[branch#0"&amp;MID(C87,23,2)&amp;"] [A] W")="[branch#0] [A] W", "", IF(LEN(MID(C87,23,2))=1, "[branch#0"&amp;0&amp;MID(C87,23,2)&amp;"] [A] W", "[branch#0"&amp;MID(C87,23,2)&amp;"] [A] W"))</f>
        <v/>
      </c>
      <c r="H87" s="2989" cm="1">
        <f t="array" ref="H87">INDEX('각층분기별_유효전력최대(전월)'!$C$4:$C$2020,MATCH(1, ('각층분기별_유효전력최대(전월)'!$A$4:$A$2020='7층~4층_매핑테이블'!D87) * ('각층분기별_유효전력최대(전월)'!$B$4:$B$2020='7층~4층_매핑테이블'!E87),0)) + INDEX('각층분기별_유효전력최대(전월)'!$C$4:$C$2020,MATCH(1, ('각층분기별_유효전력최대(전월)'!$A$4:$A$2020='7층~4층_매핑테이블'!F87) * ('각층분기별_유효전력최대(전월)'!$B$4:$B$2020='7층~4층_매핑테이블'!G87),0))</f>
        <v>0</v>
      </c>
      <c r="I87" t="str">
        <f t="shared" si="30"/>
        <v>5-DaHall 1-PDU-03-30-85-DaHall 1-PDU-04-30-8</v>
      </c>
      <c r="J87" s="217" t="s">
        <v>9862</v>
      </c>
      <c r="K87" s="217" t="s">
        <v>9863</v>
      </c>
      <c r="L87" t="str">
        <f t="shared" si="82"/>
        <v>5-DaHall 1-PDU-03</v>
      </c>
      <c r="M87" t="str">
        <f t="shared" si="31"/>
        <v>[branch#008] [A] W</v>
      </c>
      <c r="N87" t="str">
        <f t="shared" si="56"/>
        <v>5-DaHall 1-PDU-04</v>
      </c>
      <c r="O87" t="str">
        <f t="shared" si="57"/>
        <v>[branch#008] [A] W</v>
      </c>
      <c r="P87" s="2989" cm="1">
        <f t="array" ref="P87">INDEX('각층분기별_유효전력최대(전월)'!$F$4:$F$2020,MATCH(1, ('각층분기별_유효전력최대(전월)'!$D$4:$D$2020='7층~4층_매핑테이블'!L87) * ('각층분기별_유효전력최대(전월)'!$E$4:$E$2020='7층~4층_매핑테이블'!M87),0)) + INDEX('각층분기별_유효전력최대(전월)'!$F$4:$F$2020,MATCH(1, ('각층분기별_유효전력최대(전월)'!$D$4:$D$2020='7층~4층_매핑테이블'!N87) * ('각층분기별_유효전력최대(전월)'!$E$4:$E$2020='7층~4층_매핑테이블'!O87),0))</f>
        <v>0</v>
      </c>
      <c r="Q87" s="1" t="str">
        <f t="shared" si="98"/>
        <v>6-DaHall 1-PDU-11-30-336-DaHall 1-PDU-12-30-33</v>
      </c>
      <c r="R87" s="217" t="s">
        <v>9864</v>
      </c>
      <c r="S87" s="217" t="s">
        <v>9865</v>
      </c>
      <c r="T87" t="str">
        <f t="shared" si="88"/>
        <v>6-DaHall 1-PDU-11</v>
      </c>
      <c r="U87" t="str">
        <f t="shared" si="99"/>
        <v>[branch#033] [A] W</v>
      </c>
      <c r="V87" t="str">
        <f t="shared" si="100"/>
        <v>6-DaHall 1-PDU-12</v>
      </c>
      <c r="W87" t="str">
        <f t="shared" si="101"/>
        <v>[branch#033] [A] W</v>
      </c>
      <c r="X87" s="2989" cm="1">
        <f t="array" ref="X87">INDEX('각층분기별_유효전력최대(전월)'!$I$4:$I$2020,MATCH(1, ('각층분기별_유효전력최대(전월)'!$G$4:$G$2020='7층~4층_매핑테이블'!T87) * ('각층분기별_유효전력최대(전월)'!$H$4:$H$2020='7층~4층_매핑테이블'!U87),0)) + INDEX('각층분기별_유효전력최대(전월)'!$I$4:$I$2020,MATCH(1, ('각층분기별_유효전력최대(전월)'!$G$4:$G$2020='7층~4층_매핑테이블'!V87) * ('각층분기별_유효전력최대(전월)'!$H$4:$H$2020='7층~4층_매핑테이블'!W87),0))</f>
        <v>0</v>
      </c>
      <c r="Y87" s="3274" t="str">
        <f>Z87&amp;AA87</f>
        <v/>
      </c>
      <c r="Z87" s="217"/>
      <c r="AA87" s="217"/>
      <c r="AB87" s="3274" t="str">
        <f t="shared" si="97"/>
        <v/>
      </c>
      <c r="AD87" t="str">
        <f t="shared" si="85"/>
        <v/>
      </c>
      <c r="AF87" s="2989" cm="1">
        <f t="array" ref="AF87">INDEX('각층분기별_유효전력최대(전월)'!$L$4:$L$2020,MATCH(1, ('각층분기별_유효전력최대(전월)'!$J$4:$J$2020='7층~4층_매핑테이블'!AB87) * ('각층분기별_유효전력최대(전월)'!$K$4:$K$2020='7층~4층_매핑테이블'!AC87),0)) + INDEX('각층분기별_유효전력최대(전월)'!$L$4:$L$2020,MATCH(1, ('각층분기별_유효전력최대(전월)'!$J$4:$J$2020='7층~4층_매핑테이블'!AD87) * ('각층분기별_유효전력최대(전월)'!$K$4:$K$2020='7층~4층_매핑테이블'!AE87),0))</f>
        <v>0</v>
      </c>
    </row>
    <row r="88" spans="1:32" x14ac:dyDescent="0.25">
      <c r="A88" t="str">
        <f t="shared" si="103"/>
        <v/>
      </c>
      <c r="B88" s="217"/>
      <c r="C88" s="217"/>
      <c r="D88" s="2989" t="str">
        <f t="shared" si="104"/>
        <v/>
      </c>
      <c r="E88" s="2989" t="str">
        <f t="shared" si="86"/>
        <v/>
      </c>
      <c r="F88" s="2989" t="str">
        <f>IF(MID(C88,16,2)="0","",MID(C88,1,15)&amp;MID(C88,16,2))</f>
        <v/>
      </c>
      <c r="G88" s="2989" t="str">
        <f>IF(IF(LEN(MID(C88,23,2))=1, "[branch#0"&amp;0&amp;MID(C88,23,2)&amp;"] [A] W", "[branch#0"&amp;MID(C88,23,2)&amp;"] [A] W")="[branch#0] [A] W", "", IF(LEN(MID(C88,23,2))=1, "[branch#0"&amp;0&amp;MID(C88,23,2)&amp;"] [A] W", "[branch#0"&amp;MID(C88,23,2)&amp;"] [A] W"))</f>
        <v/>
      </c>
      <c r="H88" s="2989" cm="1">
        <f t="array" ref="H88">INDEX('각층분기별_유효전력최대(전월)'!$C$4:$C$2020,MATCH(1, ('각층분기별_유효전력최대(전월)'!$A$4:$A$2020='7층~4층_매핑테이블'!D88) * ('각층분기별_유효전력최대(전월)'!$B$4:$B$2020='7층~4층_매핑테이블'!E88),0)) + INDEX('각층분기별_유효전력최대(전월)'!$C$4:$C$2020,MATCH(1, ('각층분기별_유효전력최대(전월)'!$A$4:$A$2020='7층~4층_매핑테이블'!F88) * ('각층분기별_유효전력최대(전월)'!$B$4:$B$2020='7층~4층_매핑테이블'!G88),0))</f>
        <v>0</v>
      </c>
      <c r="I88" t="str">
        <f t="shared" si="30"/>
        <v>5-DaHall 1-PDU-03-30-435-DaHall 1-PDU-04-30-43</v>
      </c>
      <c r="J88" s="3107" t="s">
        <v>9866</v>
      </c>
      <c r="K88" s="3107" t="s">
        <v>9867</v>
      </c>
      <c r="L88" t="str">
        <f t="shared" si="82"/>
        <v>5-DaHall 1-PDU-03</v>
      </c>
      <c r="M88" t="str">
        <f t="shared" si="31"/>
        <v>[branch#043] [A] W</v>
      </c>
      <c r="N88" t="str">
        <f t="shared" si="56"/>
        <v>5-DaHall 1-PDU-04</v>
      </c>
      <c r="O88" t="str">
        <f t="shared" si="57"/>
        <v>[branch#043] [A] W</v>
      </c>
      <c r="P88" s="2989" t="e" cm="1">
        <f t="array" ref="P88">INDEX('각층분기별_유효전력최대(전월)'!$F$4:$F$2020,MATCH(1, ('각층분기별_유효전력최대(전월)'!$D$4:$D$2020='7층~4층_매핑테이블'!L88) * ('각층분기별_유효전력최대(전월)'!$E$4:$E$2020='7층~4층_매핑테이블'!M88),0)) + INDEX('각층분기별_유효전력최대(전월)'!$F$4:$F$2020,MATCH(1, ('각층분기별_유효전력최대(전월)'!$D$4:$D$2020='7층~4층_매핑테이블'!N88) * ('각층분기별_유효전력최대(전월)'!$E$4:$E$2020='7층~4층_매핑테이블'!O88),0))</f>
        <v>#N/A</v>
      </c>
      <c r="Q88" s="1" t="str">
        <f>R88&amp;S88</f>
        <v/>
      </c>
      <c r="R88" s="217"/>
      <c r="S88" s="217"/>
      <c r="T88" t="str">
        <f t="shared" si="88"/>
        <v/>
      </c>
      <c r="U88" t="str">
        <f>IF(IF(LEN((MID(R88,22,2)))=1, "[branch#0"&amp;0&amp;MID(R88,22,2)&amp;"] [A] W", "[branch#0"&amp;MID(R88,22,2)&amp;"] [A] W")="[branch#0] [A] W", "", IF(LEN((MID(R88,22,2)))=1, "[branch#0"&amp;0&amp;MID(R88,22,2)&amp;"] [A] W", "[branch#0"&amp;MID(R88,22,2)&amp;"] [A] W"))</f>
        <v/>
      </c>
      <c r="V88" t="str">
        <f>IF(MID(S88,16,2)="0","",MID(S88,1,15)&amp;MID(S88,16,2))</f>
        <v/>
      </c>
      <c r="W88" t="str">
        <f>IF(IF(LEN((MID(S88,22,2)))=1, "[branch#0"&amp;0&amp;MID(S88,22,2)&amp;"] [A] W", "[branch#0"&amp;MID(S88,22,2)&amp;"] [A] W")="[branch#0] [A] W", "", IF(LEN((MID(S88,22,2)))=1, "[branch#0"&amp;0&amp;MID(S88,22,2)&amp;"] [A] W", "[branch#0"&amp;MID(S88,22,2)&amp;"] [A] W"))</f>
        <v/>
      </c>
      <c r="X88" s="2989" cm="1">
        <f t="array" ref="X88">INDEX('각층분기별_유효전력최대(전월)'!$I$4:$I$2020,MATCH(1, ('각층분기별_유효전력최대(전월)'!$G$4:$G$2020='7층~4층_매핑테이블'!T88) * ('각층분기별_유효전력최대(전월)'!$H$4:$H$2020='7층~4층_매핑테이블'!U88),0)) + INDEX('각층분기별_유효전력최대(전월)'!$I$4:$I$2020,MATCH(1, ('각층분기별_유효전력최대(전월)'!$G$4:$G$2020='7층~4층_매핑테이블'!V88) * ('각층분기별_유효전력최대(전월)'!$H$4:$H$2020='7층~4층_매핑테이블'!W88),0))</f>
        <v>0</v>
      </c>
      <c r="Y88" s="3274" t="str">
        <f>Z88&amp;AA88</f>
        <v>7-DaHall 1-A-3-100-607-DaHall 1-B-3-100-60</v>
      </c>
      <c r="Z88" s="217" t="s">
        <v>9868</v>
      </c>
      <c r="AA88" s="217" t="s">
        <v>9869</v>
      </c>
      <c r="AB88" s="3274" t="str">
        <f t="shared" si="97"/>
        <v>7-DaHall 1-A-3-10</v>
      </c>
      <c r="AC88" t="s">
        <v>9870</v>
      </c>
      <c r="AD88" t="str">
        <f t="shared" si="85"/>
        <v>7-DaHall 1-B-3-10</v>
      </c>
      <c r="AE88" t="s">
        <v>9870</v>
      </c>
      <c r="AF88" s="2989" t="e" cm="1">
        <f t="array" ref="AF88">INDEX('각층분기별_유효전력최대(전월)'!$L$4:$L$2020,MATCH(1, ('각층분기별_유효전력최대(전월)'!$J$4:$J$2020='7층~4층_매핑테이블'!AB88) * ('각층분기별_유효전력최대(전월)'!$K$4:$K$2020='7층~4층_매핑테이블'!AC88),0)) + INDEX('각층분기별_유효전력최대(전월)'!$L$4:$L$2020,MATCH(1, ('각층분기별_유효전력최대(전월)'!$J$4:$J$2020='7층~4층_매핑테이블'!AD88) * ('각층분기별_유효전력최대(전월)'!$K$4:$K$2020='7층~4층_매핑테이블'!AE88),0))</f>
        <v>#N/A</v>
      </c>
    </row>
    <row r="89" spans="1:32" x14ac:dyDescent="0.25">
      <c r="A89" t="str">
        <f t="shared" si="103"/>
        <v/>
      </c>
      <c r="B89" s="217"/>
      <c r="C89" s="217"/>
      <c r="D89" s="2989" t="str">
        <f t="shared" si="104"/>
        <v/>
      </c>
      <c r="E89" s="2989" t="str">
        <f t="shared" si="86"/>
        <v/>
      </c>
      <c r="F89" s="2989" t="str">
        <f t="shared" ref="F89:F93" si="105">IF(MID(C89,16,2)="0","",MID(C89,1,15)&amp;MID(C89,16,2))</f>
        <v/>
      </c>
      <c r="G89" s="2989" t="str">
        <f t="shared" ref="G89:G93" si="106">IF(IF(LEN(MID(C89,23,2))=1, "[branch#0"&amp;0&amp;MID(C89,23,2)&amp;"] [A] W", "[branch#0"&amp;MID(C89,23,2)&amp;"] [A] W")="[branch#0] [A] W", "", IF(LEN(MID(C89,23,2))=1, "[branch#0"&amp;0&amp;MID(C89,23,2)&amp;"] [A] W", "[branch#0"&amp;MID(C89,23,2)&amp;"] [A] W"))</f>
        <v/>
      </c>
      <c r="H89" s="2989" cm="1">
        <f t="array" ref="H89">INDEX('각층분기별_유효전력최대(전월)'!$C$4:$C$2020,MATCH(1, ('각층분기별_유효전력최대(전월)'!$A$4:$A$2020='7층~4층_매핑테이블'!D89) * ('각층분기별_유효전력최대(전월)'!$B$4:$B$2020='7층~4층_매핑테이블'!E89),0)) + INDEX('각층분기별_유효전력최대(전월)'!$C$4:$C$2020,MATCH(1, ('각층분기별_유효전력최대(전월)'!$A$4:$A$2020='7층~4층_매핑테이블'!F89) * ('각층분기별_유효전력최대(전월)'!$B$4:$B$2020='7층~4층_매핑테이블'!G89),0))</f>
        <v>0</v>
      </c>
      <c r="I89" t="str">
        <f t="shared" si="30"/>
        <v>5-DaHall 1-PDU-03-30-105-DaHall 1-PDU-04-30-10</v>
      </c>
      <c r="J89" s="217" t="s">
        <v>9871</v>
      </c>
      <c r="K89" s="217" t="s">
        <v>9872</v>
      </c>
      <c r="L89" t="str">
        <f t="shared" si="82"/>
        <v>5-DaHall 1-PDU-03</v>
      </c>
      <c r="M89" t="str">
        <f t="shared" si="31"/>
        <v>[branch#010] [A] W</v>
      </c>
      <c r="N89" t="str">
        <f t="shared" si="56"/>
        <v>5-DaHall 1-PDU-04</v>
      </c>
      <c r="O89" t="str">
        <f t="shared" si="57"/>
        <v>[branch#010] [A] W</v>
      </c>
      <c r="P89" s="2989" cm="1">
        <f t="array" ref="P89">INDEX('각층분기별_유효전력최대(전월)'!$F$4:$F$2020,MATCH(1, ('각층분기별_유효전력최대(전월)'!$D$4:$D$2020='7층~4층_매핑테이블'!L89) * ('각층분기별_유효전력최대(전월)'!$E$4:$E$2020='7층~4층_매핑테이블'!M89),0)) + INDEX('각층분기별_유효전력최대(전월)'!$F$4:$F$2020,MATCH(1, ('각층분기별_유효전력최대(전월)'!$D$4:$D$2020='7층~4층_매핑테이블'!N89) * ('각층분기별_유효전력최대(전월)'!$E$4:$E$2020='7층~4층_매핑테이블'!O89),0))</f>
        <v>0</v>
      </c>
      <c r="Q89" s="1" t="str">
        <f t="shared" ref="Q89:Q91" si="107">R89&amp;S89</f>
        <v/>
      </c>
      <c r="R89" s="217"/>
      <c r="S89" s="217"/>
      <c r="T89" t="str">
        <f t="shared" si="88"/>
        <v/>
      </c>
      <c r="U89" t="str">
        <f t="shared" ref="U89:U91" si="108">IF(IF(LEN((MID(R89,22,2)))=1, "[branch#0"&amp;0&amp;MID(R89,22,2)&amp;"] [A] W", "[branch#0"&amp;MID(R89,22,2)&amp;"] [A] W")="[branch#0] [A] W", "", IF(LEN((MID(R89,22,2)))=1, "[branch#0"&amp;0&amp;MID(R89,22,2)&amp;"] [A] W", "[branch#0"&amp;MID(R89,22,2)&amp;"] [A] W"))</f>
        <v/>
      </c>
      <c r="V89" t="str">
        <f t="shared" ref="V89:V91" si="109">IF(MID(S89,16,2)="0","",MID(S89,1,15)&amp;MID(S89,16,2))</f>
        <v/>
      </c>
      <c r="W89" t="str">
        <f t="shared" ref="W89:W91" si="110">IF(IF(LEN((MID(S89,22,2)))=1, "[branch#0"&amp;0&amp;MID(S89,22,2)&amp;"] [A] W", "[branch#0"&amp;MID(S89,22,2)&amp;"] [A] W")="[branch#0] [A] W", "", IF(LEN((MID(S89,22,2)))=1, "[branch#0"&amp;0&amp;MID(S89,22,2)&amp;"] [A] W", "[branch#0"&amp;MID(S89,22,2)&amp;"] [A] W"))</f>
        <v/>
      </c>
      <c r="X89" s="2989" cm="1">
        <f t="array" ref="X89">INDEX('각층분기별_유효전력최대(전월)'!$I$4:$I$2020,MATCH(1, ('각층분기별_유효전력최대(전월)'!$G$4:$G$2020='7층~4층_매핑테이블'!T89) * ('각층분기별_유효전력최대(전월)'!$H$4:$H$2020='7층~4층_매핑테이블'!U89),0)) + INDEX('각층분기별_유효전력최대(전월)'!$I$4:$I$2020,MATCH(1, ('각층분기별_유효전력최대(전월)'!$G$4:$G$2020='7층~4층_매핑테이블'!V89) * ('각층분기별_유효전력최대(전월)'!$H$4:$H$2020='7층~4층_매핑테이블'!W89),0))</f>
        <v>0</v>
      </c>
      <c r="Y89" s="3274" t="str">
        <f t="shared" ref="Y89:Y94" si="111">Z89&amp;AA89</f>
        <v>7-DaHall 1-A-3-100-287-DaHall 1-B-3-100-28</v>
      </c>
      <c r="Z89" s="217" t="s">
        <v>9873</v>
      </c>
      <c r="AA89" s="217" t="s">
        <v>9874</v>
      </c>
      <c r="AB89" s="3274" t="str">
        <f t="shared" si="97"/>
        <v>7-DaHall 1-A-3-10</v>
      </c>
      <c r="AC89" t="s">
        <v>9430</v>
      </c>
      <c r="AD89" t="str">
        <f t="shared" si="85"/>
        <v>7-DaHall 1-B-3-10</v>
      </c>
      <c r="AE89" t="s">
        <v>9430</v>
      </c>
      <c r="AF89" s="2989" t="e" cm="1">
        <f t="array" ref="AF89">INDEX('각층분기별_유효전력최대(전월)'!$L$4:$L$2020,MATCH(1, ('각층분기별_유효전력최대(전월)'!$J$4:$J$2020='7층~4층_매핑테이블'!AB89) * ('각층분기별_유효전력최대(전월)'!$K$4:$K$2020='7층~4층_매핑테이블'!AC89),0)) + INDEX('각층분기별_유효전력최대(전월)'!$L$4:$L$2020,MATCH(1, ('각층분기별_유효전력최대(전월)'!$J$4:$J$2020='7층~4층_매핑테이블'!AD89) * ('각층분기별_유효전력최대(전월)'!$K$4:$K$2020='7층~4층_매핑테이블'!AE89),0))</f>
        <v>#N/A</v>
      </c>
    </row>
    <row r="90" spans="1:32" x14ac:dyDescent="0.25">
      <c r="A90" t="str">
        <f t="shared" si="103"/>
        <v/>
      </c>
      <c r="B90" s="217"/>
      <c r="C90" s="217"/>
      <c r="D90" s="2989" t="str">
        <f t="shared" si="104"/>
        <v/>
      </c>
      <c r="E90" s="2989" t="str">
        <f t="shared" si="86"/>
        <v/>
      </c>
      <c r="F90" s="2989" t="str">
        <f t="shared" si="105"/>
        <v/>
      </c>
      <c r="G90" s="2989" t="str">
        <f t="shared" si="106"/>
        <v/>
      </c>
      <c r="H90" s="2989" cm="1">
        <f t="array" ref="H90">INDEX('각층분기별_유효전력최대(전월)'!$C$4:$C$2020,MATCH(1, ('각층분기별_유효전력최대(전월)'!$A$4:$A$2020='7층~4층_매핑테이블'!D90) * ('각층분기별_유효전력최대(전월)'!$B$4:$B$2020='7층~4층_매핑테이블'!E90),0)) + INDEX('각층분기별_유효전력최대(전월)'!$C$4:$C$2020,MATCH(1, ('각층분기별_유효전력최대(전월)'!$A$4:$A$2020='7층~4층_매핑테이블'!F90) * ('각층분기별_유효전력최대(전월)'!$B$4:$B$2020='7층~4층_매핑테이블'!G90),0))</f>
        <v>0</v>
      </c>
      <c r="I90" t="str">
        <f t="shared" si="30"/>
        <v>5-DaHall 1-PDU-03-30-125-DaHall 1-PDU-04-30-12</v>
      </c>
      <c r="J90" s="217" t="s">
        <v>9875</v>
      </c>
      <c r="K90" s="217" t="s">
        <v>9876</v>
      </c>
      <c r="L90" t="str">
        <f t="shared" si="82"/>
        <v>5-DaHall 1-PDU-03</v>
      </c>
      <c r="M90" t="str">
        <f t="shared" si="31"/>
        <v>[branch#012] [A] W</v>
      </c>
      <c r="N90" t="str">
        <f t="shared" si="56"/>
        <v>5-DaHall 1-PDU-04</v>
      </c>
      <c r="O90" t="str">
        <f t="shared" si="57"/>
        <v>[branch#012] [A] W</v>
      </c>
      <c r="P90" s="2989" cm="1">
        <f t="array" ref="P90">INDEX('각층분기별_유효전력최대(전월)'!$F$4:$F$2020,MATCH(1, ('각층분기별_유효전력최대(전월)'!$D$4:$D$2020='7층~4층_매핑테이블'!L90) * ('각층분기별_유효전력최대(전월)'!$E$4:$E$2020='7층~4층_매핑테이블'!M90),0)) + INDEX('각층분기별_유효전력최대(전월)'!$F$4:$F$2020,MATCH(1, ('각층분기별_유효전력최대(전월)'!$D$4:$D$2020='7층~4층_매핑테이블'!N90) * ('각층분기별_유효전력최대(전월)'!$E$4:$E$2020='7층~4층_매핑테이블'!O90),0))</f>
        <v>0</v>
      </c>
      <c r="Q90" s="1" t="str">
        <f t="shared" si="107"/>
        <v/>
      </c>
      <c r="R90" s="217"/>
      <c r="S90" s="217"/>
      <c r="T90" t="str">
        <f t="shared" si="88"/>
        <v/>
      </c>
      <c r="U90" t="str">
        <f t="shared" si="108"/>
        <v/>
      </c>
      <c r="V90" t="str">
        <f t="shared" si="109"/>
        <v/>
      </c>
      <c r="W90" t="str">
        <f t="shared" si="110"/>
        <v/>
      </c>
      <c r="X90" s="2989" cm="1">
        <f t="array" ref="X90">INDEX('각층분기별_유효전력최대(전월)'!$I$4:$I$2020,MATCH(1, ('각층분기별_유효전력최대(전월)'!$G$4:$G$2020='7층~4층_매핑테이블'!T90) * ('각층분기별_유효전력최대(전월)'!$H$4:$H$2020='7층~4층_매핑테이블'!U90),0)) + INDEX('각층분기별_유효전력최대(전월)'!$I$4:$I$2020,MATCH(1, ('각층분기별_유효전력최대(전월)'!$G$4:$G$2020='7층~4층_매핑테이블'!V90) * ('각층분기별_유효전력최대(전월)'!$H$4:$H$2020='7층~4층_매핑테이블'!W90),0))</f>
        <v>0</v>
      </c>
      <c r="Y90" s="3274" t="str">
        <f t="shared" si="111"/>
        <v>7-DaHall 1-A-3-50-157-DaHall 1-B-3-50-15</v>
      </c>
      <c r="Z90" s="217" t="s">
        <v>9877</v>
      </c>
      <c r="AA90" s="217" t="s">
        <v>9878</v>
      </c>
      <c r="AB90" s="3274" t="str">
        <f t="shared" ref="AB90:AB94" si="112">IF(MID(Z90,16,2)="0","",MID(Z90,1,15)&amp;MID(Z90,16,2))</f>
        <v>7-DaHall 1-A-3-50</v>
      </c>
      <c r="AC90" t="s">
        <v>9453</v>
      </c>
      <c r="AD90" t="str">
        <f t="shared" si="85"/>
        <v>7-DaHall 1-B-3-50</v>
      </c>
      <c r="AE90" t="s">
        <v>9453</v>
      </c>
      <c r="AF90" s="2989" t="e" cm="1">
        <f t="array" ref="AF90">INDEX('각층분기별_유효전력최대(전월)'!$L$4:$L$2020,MATCH(1, ('각층분기별_유효전력최대(전월)'!$J$4:$J$2020='7층~4층_매핑테이블'!AB90) * ('각층분기별_유효전력최대(전월)'!$K$4:$K$2020='7층~4층_매핑테이블'!AC90),0)) + INDEX('각층분기별_유효전력최대(전월)'!$L$4:$L$2020,MATCH(1, ('각층분기별_유효전력최대(전월)'!$J$4:$J$2020='7층~4층_매핑테이블'!AD90) * ('각층분기별_유효전력최대(전월)'!$K$4:$K$2020='7층~4층_매핑테이블'!AE90),0))</f>
        <v>#N/A</v>
      </c>
    </row>
    <row r="91" spans="1:32" x14ac:dyDescent="0.25">
      <c r="A91" t="str">
        <f t="shared" si="103"/>
        <v/>
      </c>
      <c r="B91" s="217"/>
      <c r="C91" s="217"/>
      <c r="D91" s="2989" t="str">
        <f t="shared" si="104"/>
        <v/>
      </c>
      <c r="E91" s="2989" t="str">
        <f t="shared" si="86"/>
        <v/>
      </c>
      <c r="F91" s="2989" t="str">
        <f t="shared" si="105"/>
        <v/>
      </c>
      <c r="G91" s="2989" t="str">
        <f t="shared" si="106"/>
        <v/>
      </c>
      <c r="H91" s="2989" cm="1">
        <f t="array" ref="H91">INDEX('각층분기별_유효전력최대(전월)'!$C$4:$C$2020,MATCH(1, ('각층분기별_유효전력최대(전월)'!$A$4:$A$2020='7층~4층_매핑테이블'!D91) * ('각층분기별_유효전력최대(전월)'!$B$4:$B$2020='7층~4층_매핑테이블'!E91),0)) + INDEX('각층분기별_유효전력최대(전월)'!$C$4:$C$2020,MATCH(1, ('각층분기별_유효전력최대(전월)'!$A$4:$A$2020='7층~4층_매핑테이블'!F91) * ('각층분기별_유효전력최대(전월)'!$B$4:$B$2020='7층~4층_매핑테이블'!G91),0))</f>
        <v>0</v>
      </c>
      <c r="I91" t="str">
        <f t="shared" si="30"/>
        <v>5-DaHall 1-PDU-03-30-455-DaHall 1-PDU-04-30-45</v>
      </c>
      <c r="J91" s="3107" t="s">
        <v>9879</v>
      </c>
      <c r="K91" s="3107" t="s">
        <v>9880</v>
      </c>
      <c r="L91" t="str">
        <f t="shared" si="82"/>
        <v>5-DaHall 1-PDU-03</v>
      </c>
      <c r="M91" t="str">
        <f t="shared" si="31"/>
        <v>[branch#045] [A] W</v>
      </c>
      <c r="N91" t="str">
        <f t="shared" si="56"/>
        <v>5-DaHall 1-PDU-04</v>
      </c>
      <c r="O91" t="str">
        <f t="shared" si="57"/>
        <v>[branch#045] [A] W</v>
      </c>
      <c r="P91" s="2989" t="e" cm="1">
        <f t="array" ref="P91">INDEX('각층분기별_유효전력최대(전월)'!$F$4:$F$2020,MATCH(1, ('각층분기별_유효전력최대(전월)'!$D$4:$D$2020='7층~4층_매핑테이블'!L91) * ('각층분기별_유효전력최대(전월)'!$E$4:$E$2020='7층~4층_매핑테이블'!M91),0)) + INDEX('각층분기별_유효전력최대(전월)'!$F$4:$F$2020,MATCH(1, ('각층분기별_유효전력최대(전월)'!$D$4:$D$2020='7층~4층_매핑테이블'!N91) * ('각층분기별_유효전력최대(전월)'!$E$4:$E$2020='7층~4층_매핑테이블'!O91),0))</f>
        <v>#N/A</v>
      </c>
      <c r="Q91" s="1" t="str">
        <f t="shared" si="107"/>
        <v/>
      </c>
      <c r="R91" s="217"/>
      <c r="S91" s="217"/>
      <c r="T91" t="str">
        <f t="shared" si="88"/>
        <v/>
      </c>
      <c r="U91" t="str">
        <f t="shared" si="108"/>
        <v/>
      </c>
      <c r="V91" t="str">
        <f t="shared" si="109"/>
        <v/>
      </c>
      <c r="W91" t="str">
        <f t="shared" si="110"/>
        <v/>
      </c>
      <c r="X91" s="2989" cm="1">
        <f t="array" ref="X91">INDEX('각층분기별_유효전력최대(전월)'!$I$4:$I$2020,MATCH(1, ('각층분기별_유효전력최대(전월)'!$G$4:$G$2020='7층~4층_매핑테이블'!T91) * ('각층분기별_유효전력최대(전월)'!$H$4:$H$2020='7층~4층_매핑테이블'!U91),0)) + INDEX('각층분기별_유효전력최대(전월)'!$I$4:$I$2020,MATCH(1, ('각층분기별_유효전력최대(전월)'!$G$4:$G$2020='7층~4층_매핑테이블'!V91) * ('각층분기별_유효전력최대(전월)'!$H$4:$H$2020='7층~4층_매핑테이블'!W91),0))</f>
        <v>0</v>
      </c>
      <c r="Y91" s="3274" t="str">
        <f t="shared" si="111"/>
        <v>7-DaHall 1-A-3-50-167-DaHall 1-B-3-50-16</v>
      </c>
      <c r="Z91" s="217" t="s">
        <v>9881</v>
      </c>
      <c r="AA91" s="217" t="s">
        <v>9882</v>
      </c>
      <c r="AB91" s="3274" t="str">
        <f t="shared" si="112"/>
        <v>7-DaHall 1-A-3-50</v>
      </c>
      <c r="AC91" t="s">
        <v>9465</v>
      </c>
      <c r="AD91" t="str">
        <f t="shared" si="85"/>
        <v>7-DaHall 1-B-3-50</v>
      </c>
      <c r="AE91" t="s">
        <v>9465</v>
      </c>
      <c r="AF91" s="2989" t="e" cm="1">
        <f t="array" ref="AF91">INDEX('각층분기별_유효전력최대(전월)'!$L$4:$L$2020,MATCH(1, ('각층분기별_유효전력최대(전월)'!$J$4:$J$2020='7층~4층_매핑테이블'!AB91) * ('각층분기별_유효전력최대(전월)'!$K$4:$K$2020='7층~4층_매핑테이블'!AC91),0)) + INDEX('각층분기별_유효전력최대(전월)'!$L$4:$L$2020,MATCH(1, ('각층분기별_유효전력최대(전월)'!$J$4:$J$2020='7층~4층_매핑테이블'!AD91) * ('각층분기별_유효전력최대(전월)'!$K$4:$K$2020='7층~4층_매핑테이블'!AE91),0))</f>
        <v>#N/A</v>
      </c>
    </row>
    <row r="92" spans="1:32" x14ac:dyDescent="0.25">
      <c r="A92" t="str">
        <f t="shared" si="103"/>
        <v/>
      </c>
      <c r="B92" s="217"/>
      <c r="C92" s="217"/>
      <c r="D92" s="2989" t="str">
        <f>IF(MID(B92,16,2)="0","",MID(B92,1,15)&amp;MID(B92,16,2))</f>
        <v/>
      </c>
      <c r="E92" s="2989" t="str">
        <f t="shared" si="86"/>
        <v/>
      </c>
      <c r="F92" s="2989" t="str">
        <f t="shared" si="105"/>
        <v/>
      </c>
      <c r="G92" s="2989" t="str">
        <f t="shared" si="106"/>
        <v/>
      </c>
      <c r="H92" s="2989" cm="1">
        <f t="array" ref="H92">INDEX('각층분기별_유효전력최대(전월)'!$C$4:$C$2020,MATCH(1, ('각층분기별_유효전력최대(전월)'!$A$4:$A$2020='7층~4층_매핑테이블'!D92) * ('각층분기별_유효전력최대(전월)'!$B$4:$B$2020='7층~4층_매핑테이블'!E92),0)) + INDEX('각층분기별_유효전력최대(전월)'!$C$4:$C$2020,MATCH(1, ('각층분기별_유효전력최대(전월)'!$A$4:$A$2020='7층~4층_매핑테이블'!F92) * ('각층분기별_유효전력최대(전월)'!$B$4:$B$2020='7층~4층_매핑테이블'!G92),0))</f>
        <v>0</v>
      </c>
      <c r="I92" t="str">
        <f t="shared" si="30"/>
        <v>5-DaHall 1-PDU-03-30-145-DaHall 1-PDU-04-30-14</v>
      </c>
      <c r="J92" s="217" t="s">
        <v>9883</v>
      </c>
      <c r="K92" s="217" t="s">
        <v>9884</v>
      </c>
      <c r="L92" t="str">
        <f t="shared" si="82"/>
        <v>5-DaHall 1-PDU-03</v>
      </c>
      <c r="M92" t="str">
        <f t="shared" si="31"/>
        <v>[branch#014] [A] W</v>
      </c>
      <c r="N92" t="str">
        <f t="shared" si="56"/>
        <v>5-DaHall 1-PDU-04</v>
      </c>
      <c r="O92" t="str">
        <f t="shared" si="57"/>
        <v>[branch#014] [A] W</v>
      </c>
      <c r="P92" s="2989" cm="1">
        <f t="array" ref="P92">INDEX('각층분기별_유효전력최대(전월)'!$F$4:$F$2020,MATCH(1, ('각층분기별_유효전력최대(전월)'!$D$4:$D$2020='7층~4층_매핑테이블'!L92) * ('각층분기별_유효전력최대(전월)'!$E$4:$E$2020='7층~4층_매핑테이블'!M92),0)) + INDEX('각층분기별_유효전력최대(전월)'!$F$4:$F$2020,MATCH(1, ('각층분기별_유효전력최대(전월)'!$D$4:$D$2020='7층~4층_매핑테이블'!N92) * ('각층분기별_유효전력최대(전월)'!$E$4:$E$2020='7층~4층_매핑테이블'!O92),0))</f>
        <v>0</v>
      </c>
      <c r="Q92" s="1" t="str">
        <f>R92&amp;S92</f>
        <v>6-DaHall 1-PDU-01-30-256-DaHall 1-PDU-02-30-25</v>
      </c>
      <c r="R92" s="217" t="s">
        <v>9885</v>
      </c>
      <c r="S92" s="217" t="s">
        <v>9886</v>
      </c>
      <c r="T92" t="str">
        <f t="shared" si="88"/>
        <v>6-DaHall 1-PDU-01</v>
      </c>
      <c r="U92" t="str">
        <f>IF(IF(LEN((MID(R92,22,2)))=1, "[branch#0"&amp;0&amp;MID(R92,22,2)&amp;"] [A] W", "[branch#0"&amp;MID(R92,22,2)&amp;"] [A] W")="[branch#0] [A] W", "", IF(LEN((MID(R92,22,2)))=1, "[branch#0"&amp;0&amp;MID(R92,22,2)&amp;"] [A] W", "[branch#0"&amp;MID(R92,22,2)&amp;"] [A] W"))</f>
        <v>[branch#025] [A] W</v>
      </c>
      <c r="V92" t="str">
        <f>IF(MID(S92,16,2)="0","",MID(S92,1,15)&amp;MID(S92,16,2))</f>
        <v>6-DaHall 1-PDU-02</v>
      </c>
      <c r="W92" t="str">
        <f>IF(IF(LEN((MID(S92,22,2)))=1, "[branch#0"&amp;0&amp;MID(S92,22,2)&amp;"] [A] W", "[branch#0"&amp;MID(S92,22,2)&amp;"] [A] W")="[branch#0] [A] W", "", IF(LEN((MID(S92,22,2)))=1, "[branch#0"&amp;0&amp;MID(S92,22,2)&amp;"] [A] W", "[branch#0"&amp;MID(S92,22,2)&amp;"] [A] W"))</f>
        <v>[branch#025] [A] W</v>
      </c>
      <c r="X92" s="2989" cm="1">
        <f t="array" ref="X92">INDEX('각층분기별_유효전력최대(전월)'!$I$4:$I$2020,MATCH(1, ('각층분기별_유효전력최대(전월)'!$G$4:$G$2020='7층~4층_매핑테이블'!T92) * ('각층분기별_유효전력최대(전월)'!$H$4:$H$2020='7층~4층_매핑테이블'!U92),0)) + INDEX('각층분기별_유효전력최대(전월)'!$I$4:$I$2020,MATCH(1, ('각층분기별_유효전력최대(전월)'!$G$4:$G$2020='7층~4층_매핑테이블'!V92) * ('각층분기별_유효전력최대(전월)'!$H$4:$H$2020='7층~4층_매핑테이블'!W92),0))</f>
        <v>0</v>
      </c>
      <c r="Y92" s="3274" t="str">
        <f t="shared" si="111"/>
        <v>7-DaHall 1-A-3-50-177-DaHall 1-B-3-50-17</v>
      </c>
      <c r="Z92" s="217" t="s">
        <v>9887</v>
      </c>
      <c r="AA92" s="217" t="s">
        <v>9888</v>
      </c>
      <c r="AB92" s="3274" t="str">
        <f t="shared" si="112"/>
        <v>7-DaHall 1-A-3-50</v>
      </c>
      <c r="AC92" t="s">
        <v>9462</v>
      </c>
      <c r="AD92" t="str">
        <f t="shared" si="85"/>
        <v>7-DaHall 1-B-3-50</v>
      </c>
      <c r="AE92" t="s">
        <v>9462</v>
      </c>
      <c r="AF92" s="2989" t="e" cm="1">
        <f t="array" ref="AF92">INDEX('각층분기별_유효전력최대(전월)'!$L$4:$L$2020,MATCH(1, ('각층분기별_유효전력최대(전월)'!$J$4:$J$2020='7층~4층_매핑테이블'!AB92) * ('각층분기별_유효전력최대(전월)'!$K$4:$K$2020='7층~4층_매핑테이블'!AC92),0)) + INDEX('각층분기별_유효전력최대(전월)'!$L$4:$L$2020,MATCH(1, ('각층분기별_유효전력최대(전월)'!$J$4:$J$2020='7층~4층_매핑테이블'!AD92) * ('각층분기별_유효전력최대(전월)'!$K$4:$K$2020='7층~4층_매핑테이블'!AE92),0))</f>
        <v>#N/A</v>
      </c>
    </row>
    <row r="93" spans="1:32" x14ac:dyDescent="0.25">
      <c r="A93" t="str">
        <f t="shared" si="103"/>
        <v/>
      </c>
      <c r="B93" s="217"/>
      <c r="C93" s="217"/>
      <c r="D93" s="2989" t="str">
        <f>IF(MID(B93,16,2)="0","",MID(B93,1,15)&amp;MID(B93,16,2))</f>
        <v/>
      </c>
      <c r="E93" s="2989" t="str">
        <f t="shared" si="86"/>
        <v/>
      </c>
      <c r="F93" s="2989" t="str">
        <f t="shared" si="105"/>
        <v/>
      </c>
      <c r="G93" s="2989" t="str">
        <f t="shared" si="106"/>
        <v/>
      </c>
      <c r="H93" s="2989" cm="1">
        <f t="array" ref="H93">INDEX('각층분기별_유효전력최대(전월)'!$C$4:$C$2020,MATCH(1, ('각층분기별_유효전력최대(전월)'!$A$4:$A$2020='7층~4층_매핑테이블'!D93) * ('각층분기별_유효전력최대(전월)'!$B$4:$B$2020='7층~4층_매핑테이블'!E93),0)) + INDEX('각층분기별_유효전력최대(전월)'!$C$4:$C$2020,MATCH(1, ('각층분기별_유효전력최대(전월)'!$A$4:$A$2020='7층~4층_매핑테이블'!F93) * ('각층분기별_유효전력최대(전월)'!$B$4:$B$2020='7층~4층_매핑테이블'!G93),0))</f>
        <v>0</v>
      </c>
      <c r="I93" t="str">
        <f t="shared" si="30"/>
        <v>5-DaHall 1-PDU-03-30-375-DaHall 1-PDU-04-30-37</v>
      </c>
      <c r="J93" s="3107" t="s">
        <v>9889</v>
      </c>
      <c r="K93" s="3107" t="s">
        <v>9890</v>
      </c>
      <c r="L93" t="str">
        <f t="shared" si="82"/>
        <v>5-DaHall 1-PDU-03</v>
      </c>
      <c r="M93" t="str">
        <f t="shared" si="31"/>
        <v>[branch#037] [A] W</v>
      </c>
      <c r="N93" t="str">
        <f t="shared" si="56"/>
        <v>5-DaHall 1-PDU-04</v>
      </c>
      <c r="O93" t="str">
        <f t="shared" si="57"/>
        <v>[branch#037] [A] W</v>
      </c>
      <c r="P93" s="2989" t="e" cm="1">
        <f t="array" ref="P93">INDEX('각층분기별_유효전력최대(전월)'!$F$4:$F$2020,MATCH(1, ('각층분기별_유효전력최대(전월)'!$D$4:$D$2020='7층~4층_매핑테이블'!L93) * ('각층분기별_유효전력최대(전월)'!$E$4:$E$2020='7층~4층_매핑테이블'!M93),0)) + INDEX('각층분기별_유효전력최대(전월)'!$F$4:$F$2020,MATCH(1, ('각층분기별_유효전력최대(전월)'!$D$4:$D$2020='7층~4층_매핑테이블'!N93) * ('각층분기별_유효전력최대(전월)'!$E$4:$E$2020='7층~4층_매핑테이블'!O93),0))</f>
        <v>#N/A</v>
      </c>
      <c r="Q93" s="1" t="str">
        <f t="shared" ref="Q93:Q101" si="113">R93&amp;S93</f>
        <v>6-DaHall 1-PDU-01-30-276-DaHall 1-PDU-02-30-27</v>
      </c>
      <c r="R93" s="217" t="s">
        <v>9891</v>
      </c>
      <c r="S93" s="217" t="s">
        <v>9892</v>
      </c>
      <c r="T93" t="str">
        <f t="shared" si="88"/>
        <v>6-DaHall 1-PDU-01</v>
      </c>
      <c r="U93" t="str">
        <f t="shared" ref="U93:U101" si="114">IF(IF(LEN((MID(R93,22,2)))=1, "[branch#0"&amp;0&amp;MID(R93,22,2)&amp;"] [A] W", "[branch#0"&amp;MID(R93,22,2)&amp;"] [A] W")="[branch#0] [A] W", "", IF(LEN((MID(R93,22,2)))=1, "[branch#0"&amp;0&amp;MID(R93,22,2)&amp;"] [A] W", "[branch#0"&amp;MID(R93,22,2)&amp;"] [A] W"))</f>
        <v>[branch#027] [A] W</v>
      </c>
      <c r="V93" t="str">
        <f t="shared" ref="V93:V101" si="115">IF(MID(S93,16,2)="0","",MID(S93,1,15)&amp;MID(S93,16,2))</f>
        <v>6-DaHall 1-PDU-02</v>
      </c>
      <c r="W93" t="str">
        <f t="shared" ref="W93:W101" si="116">IF(IF(LEN((MID(S93,22,2)))=1, "[branch#0"&amp;0&amp;MID(S93,22,2)&amp;"] [A] W", "[branch#0"&amp;MID(S93,22,2)&amp;"] [A] W")="[branch#0] [A] W", "", IF(LEN((MID(S93,22,2)))=1, "[branch#0"&amp;0&amp;MID(S93,22,2)&amp;"] [A] W", "[branch#0"&amp;MID(S93,22,2)&amp;"] [A] W"))</f>
        <v>[branch#027] [A] W</v>
      </c>
      <c r="X93" s="2989" cm="1">
        <f t="array" ref="X93">INDEX('각층분기별_유효전력최대(전월)'!$I$4:$I$2020,MATCH(1, ('각층분기별_유효전력최대(전월)'!$G$4:$G$2020='7층~4층_매핑테이블'!T93) * ('각층분기별_유효전력최대(전월)'!$H$4:$H$2020='7층~4층_매핑테이블'!U93),0)) + INDEX('각층분기별_유효전력최대(전월)'!$I$4:$I$2020,MATCH(1, ('각층분기별_유효전력최대(전월)'!$G$4:$G$2020='7층~4층_매핑테이블'!V93) * ('각층분기별_유효전력최대(전월)'!$H$4:$H$2020='7층~4층_매핑테이블'!W93),0))</f>
        <v>0.68399999999999994</v>
      </c>
      <c r="Y93" s="3274" t="str">
        <f t="shared" si="111"/>
        <v>7-DaHall 1-A-3-35-237-DaHall 1-B-3-35-24</v>
      </c>
      <c r="Z93" s="217" t="s">
        <v>9893</v>
      </c>
      <c r="AA93" s="217" t="s">
        <v>9894</v>
      </c>
      <c r="AB93" s="3274" t="str">
        <f t="shared" si="112"/>
        <v>7-DaHall 1-A-3-35</v>
      </c>
      <c r="AC93" t="s">
        <v>9497</v>
      </c>
      <c r="AD93" t="str">
        <f t="shared" si="85"/>
        <v>7-DaHall 1-B-3-35</v>
      </c>
      <c r="AE93" t="s">
        <v>9554</v>
      </c>
      <c r="AF93" s="2989" t="e" cm="1">
        <f t="array" ref="AF93">INDEX('각층분기별_유효전력최대(전월)'!$L$4:$L$2020,MATCH(1, ('각층분기별_유효전력최대(전월)'!$J$4:$J$2020='7층~4층_매핑테이블'!AB93) * ('각층분기별_유효전력최대(전월)'!$K$4:$K$2020='7층~4층_매핑테이블'!AC93),0)) + INDEX('각층분기별_유효전력최대(전월)'!$L$4:$L$2020,MATCH(1, ('각층분기별_유효전력최대(전월)'!$J$4:$J$2020='7층~4층_매핑테이블'!AD93) * ('각층분기별_유효전력최대(전월)'!$K$4:$K$2020='7층~4층_매핑테이블'!AE93),0))</f>
        <v>#N/A</v>
      </c>
    </row>
    <row r="94" spans="1:32" x14ac:dyDescent="0.25">
      <c r="A94" t="str">
        <f>B94&amp;C94</f>
        <v>4-DaHall 1-PDU-06-100-74-DaHall 1-PDU-05-100-7</v>
      </c>
      <c r="B94" s="217" t="s">
        <v>9895</v>
      </c>
      <c r="C94" s="217" t="s">
        <v>9896</v>
      </c>
      <c r="D94" s="2989" t="str">
        <f>IF(MID(B94,16,2)="0","",MID(B94,1,15)&amp;MID(B94,16,2))</f>
        <v>4-DaHall 1-PDU-06</v>
      </c>
      <c r="E94" s="2989" t="str">
        <f t="shared" si="86"/>
        <v>[branch#007] [A] W</v>
      </c>
      <c r="F94" s="2989" t="str">
        <f>IF(MID(C94,16,2)="0","",MID(C94,1,15)&amp;MID(C94,16,2))</f>
        <v>4-DaHall 1-PDU-05</v>
      </c>
      <c r="G94" s="2989" t="str">
        <f>IF(IF(LEN(MID(C94,23,2))=1, "[branch#0"&amp;0&amp;MID(C94,23,2)&amp;"] [A] W", "[branch#0"&amp;MID(C94,23,2)&amp;"] [A] W")="[branch#0] [A] W", "", IF(LEN(MID(C94,23,2))=1, "[branch#0"&amp;0&amp;MID(C94,23,2)&amp;"] [A] W", "[branch#0"&amp;MID(C94,23,2)&amp;"] [A] W"))</f>
        <v>[branch#007] [A] W</v>
      </c>
      <c r="H94" s="2989" cm="1">
        <f t="array" ref="H94">INDEX('각층분기별_유효전력최대(전월)'!$C$4:$C$2020,MATCH(1, ('각층분기별_유효전력최대(전월)'!$A$4:$A$2020='7층~4층_매핑테이블'!D94) * ('각층분기별_유효전력최대(전월)'!$B$4:$B$2020='7층~4층_매핑테이블'!E94),0)) + INDEX('각층분기별_유효전력최대(전월)'!$C$4:$C$2020,MATCH(1, ('각층분기별_유효전력최대(전월)'!$A$4:$A$2020='7층~4층_매핑테이블'!F94) * ('각층분기별_유효전력최대(전월)'!$B$4:$B$2020='7층~4층_매핑테이블'!G94),0))</f>
        <v>3.4470000000000001</v>
      </c>
      <c r="I94" t="str">
        <f t="shared" si="30"/>
        <v>5-DaHall 1-PDU-03-30-165-DaHall 1-PDU-04-30-16</v>
      </c>
      <c r="J94" s="217" t="s">
        <v>9897</v>
      </c>
      <c r="K94" s="217" t="s">
        <v>9898</v>
      </c>
      <c r="L94" t="str">
        <f t="shared" si="82"/>
        <v>5-DaHall 1-PDU-03</v>
      </c>
      <c r="M94" t="str">
        <f t="shared" si="31"/>
        <v>[branch#016] [A] W</v>
      </c>
      <c r="N94" t="str">
        <f t="shared" si="56"/>
        <v>5-DaHall 1-PDU-04</v>
      </c>
      <c r="O94" t="str">
        <f t="shared" si="57"/>
        <v>[branch#016] [A] W</v>
      </c>
      <c r="P94" s="2989" cm="1">
        <f t="array" ref="P94">INDEX('각층분기별_유효전력최대(전월)'!$F$4:$F$2020,MATCH(1, ('각층분기별_유효전력최대(전월)'!$D$4:$D$2020='7층~4층_매핑테이블'!L94) * ('각층분기별_유효전력최대(전월)'!$E$4:$E$2020='7층~4층_매핑테이블'!M94),0)) + INDEX('각층분기별_유효전력최대(전월)'!$F$4:$F$2020,MATCH(1, ('각층분기별_유효전력최대(전월)'!$D$4:$D$2020='7층~4층_매핑테이블'!N94) * ('각층분기별_유효전력최대(전월)'!$E$4:$E$2020='7층~4층_매핑테이블'!O94),0))</f>
        <v>0</v>
      </c>
      <c r="Q94" s="1" t="str">
        <f t="shared" si="113"/>
        <v>6-DaHall 1-PDU-01-30-296-DaHall 1-PDU-02-30-29</v>
      </c>
      <c r="R94" s="217" t="s">
        <v>9899</v>
      </c>
      <c r="S94" s="217" t="s">
        <v>9900</v>
      </c>
      <c r="T94" t="str">
        <f t="shared" si="88"/>
        <v>6-DaHall 1-PDU-01</v>
      </c>
      <c r="U94" t="str">
        <f t="shared" si="114"/>
        <v>[branch#029] [A] W</v>
      </c>
      <c r="V94" t="str">
        <f t="shared" si="115"/>
        <v>6-DaHall 1-PDU-02</v>
      </c>
      <c r="W94" t="str">
        <f t="shared" si="116"/>
        <v>[branch#029] [A] W</v>
      </c>
      <c r="X94" s="2989" cm="1">
        <f t="array" ref="X94">INDEX('각층분기별_유효전력최대(전월)'!$I$4:$I$2020,MATCH(1, ('각층분기별_유효전력최대(전월)'!$G$4:$G$2020='7층~4층_매핑테이블'!T94) * ('각층분기별_유효전력최대(전월)'!$H$4:$H$2020='7층~4층_매핑테이블'!U94),0)) + INDEX('각층분기별_유효전력최대(전월)'!$I$4:$I$2020,MATCH(1, ('각층분기별_유효전력최대(전월)'!$G$4:$G$2020='7층~4층_매핑테이블'!V94) * ('각층분기별_유효전력최대(전월)'!$H$4:$H$2020='7층~4층_매핑테이블'!W94),0))</f>
        <v>0</v>
      </c>
      <c r="Y94" s="3274" t="str">
        <f t="shared" si="111"/>
        <v>7-DaHall 1-A-3-100-597-DaHall 1-B-3-100-59</v>
      </c>
      <c r="Z94" s="217" t="s">
        <v>9901</v>
      </c>
      <c r="AA94" s="217" t="s">
        <v>9902</v>
      </c>
      <c r="AB94" s="3274" t="str">
        <f t="shared" si="112"/>
        <v>7-DaHall 1-A-3-10</v>
      </c>
      <c r="AC94" t="s">
        <v>9412</v>
      </c>
      <c r="AD94" t="str">
        <f t="shared" si="85"/>
        <v>7-DaHall 1-B-3-10</v>
      </c>
      <c r="AE94" t="s">
        <v>9412</v>
      </c>
      <c r="AF94" s="2989" t="e" cm="1">
        <f t="array" ref="AF94">INDEX('각층분기별_유효전력최대(전월)'!$L$4:$L$2020,MATCH(1, ('각층분기별_유효전력최대(전월)'!$J$4:$J$2020='7층~4층_매핑테이블'!AB94) * ('각층분기별_유효전력최대(전월)'!$K$4:$K$2020='7층~4층_매핑테이블'!AC94),0)) + INDEX('각층분기별_유효전력최대(전월)'!$L$4:$L$2020,MATCH(1, ('각층분기별_유효전력최대(전월)'!$J$4:$J$2020='7층~4층_매핑테이블'!AD94) * ('각층분기별_유효전력최대(전월)'!$K$4:$K$2020='7층~4층_매핑테이블'!AE94),0))</f>
        <v>#N/A</v>
      </c>
    </row>
    <row r="95" spans="1:32" x14ac:dyDescent="0.25">
      <c r="A95" t="str">
        <f>B95&amp;C95</f>
        <v/>
      </c>
      <c r="B95" s="217"/>
      <c r="C95" s="217"/>
      <c r="D95" s="2989" t="str">
        <f>IF(MID(B95,16,2)="0","",MID(B95,1,15)&amp;MID(B95,16,2))</f>
        <v/>
      </c>
      <c r="E95" s="2989" t="str">
        <f t="shared" si="86"/>
        <v/>
      </c>
      <c r="F95" s="2989" t="str">
        <f>IF(MID(C95,16,2)="0","",MID(C95,1,15)&amp;MID(C95,16,2))</f>
        <v/>
      </c>
      <c r="G95" s="2989" t="str">
        <f>IF(IF(LEN(MID(C95,23,2))=1, "[branch#0"&amp;0&amp;MID(C95,23,2)&amp;"] [A] W", "[branch#0"&amp;MID(C95,23,2)&amp;"] [A] W")="[branch#0] [A] W", "", IF(LEN(MID(C95,23,2))=1, "[branch#0"&amp;0&amp;MID(C95,23,2)&amp;"] [A] W", "[branch#0"&amp;MID(C95,23,2)&amp;"] [A] W"))</f>
        <v/>
      </c>
      <c r="H95" s="2989" cm="1">
        <f t="array" ref="H95">INDEX('각층분기별_유효전력최대(전월)'!$C$4:$C$2020,MATCH(1, ('각층분기별_유효전력최대(전월)'!$A$4:$A$2020='7층~4층_매핑테이블'!D95) * ('각층분기별_유효전력최대(전월)'!$B$4:$B$2020='7층~4층_매핑테이블'!E95),0)) + INDEX('각층분기별_유효전력최대(전월)'!$C$4:$C$2020,MATCH(1, ('각층분기별_유효전력최대(전월)'!$A$4:$A$2020='7층~4층_매핑테이블'!F95) * ('각층분기별_유효전력최대(전월)'!$B$4:$B$2020='7층~4층_매핑테이블'!G95),0))</f>
        <v>0</v>
      </c>
      <c r="I95" t="str">
        <f t="shared" si="30"/>
        <v>5-DaHall 1-PDU-03-30-395-DaHall 1-PDU-04-30-39</v>
      </c>
      <c r="J95" s="3107" t="s">
        <v>9903</v>
      </c>
      <c r="K95" s="3107" t="s">
        <v>9904</v>
      </c>
      <c r="L95" t="str">
        <f t="shared" si="82"/>
        <v>5-DaHall 1-PDU-03</v>
      </c>
      <c r="M95" t="str">
        <f t="shared" si="31"/>
        <v>[branch#039] [A] W</v>
      </c>
      <c r="N95" t="str">
        <f t="shared" si="56"/>
        <v>5-DaHall 1-PDU-04</v>
      </c>
      <c r="O95" t="str">
        <f t="shared" si="57"/>
        <v>[branch#039] [A] W</v>
      </c>
      <c r="P95" s="2989" t="e" cm="1">
        <f t="array" ref="P95">INDEX('각층분기별_유효전력최대(전월)'!$F$4:$F$2020,MATCH(1, ('각층분기별_유효전력최대(전월)'!$D$4:$D$2020='7층~4층_매핑테이블'!L95) * ('각층분기별_유효전력최대(전월)'!$E$4:$E$2020='7층~4층_매핑테이블'!M95),0)) + INDEX('각층분기별_유효전력최대(전월)'!$F$4:$F$2020,MATCH(1, ('각층분기별_유효전력최대(전월)'!$D$4:$D$2020='7층~4층_매핑테이블'!N95) * ('각층분기별_유효전력최대(전월)'!$E$4:$E$2020='7층~4층_매핑테이블'!O95),0))</f>
        <v>#N/A</v>
      </c>
      <c r="Q95" s="1" t="str">
        <f t="shared" si="113"/>
        <v>6-DaHall 1-PDU-01-30-316-DaHall 1-PDU-02-30-31</v>
      </c>
      <c r="R95" s="217" t="s">
        <v>9905</v>
      </c>
      <c r="S95" s="217" t="s">
        <v>9906</v>
      </c>
      <c r="T95" t="str">
        <f t="shared" si="88"/>
        <v>6-DaHall 1-PDU-01</v>
      </c>
      <c r="U95" t="str">
        <f t="shared" si="114"/>
        <v>[branch#031] [A] W</v>
      </c>
      <c r="V95" t="str">
        <f t="shared" si="115"/>
        <v>6-DaHall 1-PDU-02</v>
      </c>
      <c r="W95" t="str">
        <f t="shared" si="116"/>
        <v>[branch#031] [A] W</v>
      </c>
      <c r="X95" s="2989" cm="1">
        <f t="array" ref="X95">INDEX('각층분기별_유효전력최대(전월)'!$I$4:$I$2020,MATCH(1, ('각층분기별_유효전력최대(전월)'!$G$4:$G$2020='7층~4층_매핑테이블'!T95) * ('각층분기별_유효전력최대(전월)'!$H$4:$H$2020='7층~4층_매핑테이블'!U95),0)) + INDEX('각층분기별_유효전력최대(전월)'!$I$4:$I$2020,MATCH(1, ('각층분기별_유효전력최대(전월)'!$G$4:$G$2020='7층~4층_매핑테이블'!V95) * ('각층분기별_유효전력최대(전월)'!$H$4:$H$2020='7층~4층_매핑테이블'!W95),0))</f>
        <v>0</v>
      </c>
      <c r="Y95" s="3274" t="str">
        <f>Z95&amp;AA95</f>
        <v/>
      </c>
      <c r="Z95" s="217"/>
      <c r="AA95" s="217"/>
      <c r="AB95" s="3274" t="str">
        <f t="shared" ref="AB95:AB100" si="117">IF(MID(Z95,16,2)="0","",MID(Z95,1,15)&amp;MID(Z95,16,2))</f>
        <v/>
      </c>
      <c r="AD95" t="str">
        <f t="shared" si="85"/>
        <v/>
      </c>
      <c r="AF95" s="2989" cm="1">
        <f t="array" ref="AF95">INDEX('각층분기별_유효전력최대(전월)'!$L$4:$L$2020,MATCH(1, ('각층분기별_유효전력최대(전월)'!$J$4:$J$2020='7층~4층_매핑테이블'!AB95) * ('각층분기별_유효전력최대(전월)'!$K$4:$K$2020='7층~4층_매핑테이블'!AC95),0)) + INDEX('각층분기별_유효전력최대(전월)'!$L$4:$L$2020,MATCH(1, ('각층분기별_유효전력최대(전월)'!$J$4:$J$2020='7층~4층_매핑테이블'!AD95) * ('각층분기별_유효전력최대(전월)'!$K$4:$K$2020='7층~4층_매핑테이블'!AE95),0))</f>
        <v>0</v>
      </c>
    </row>
    <row r="96" spans="1:32" x14ac:dyDescent="0.25">
      <c r="A96" t="str">
        <f t="shared" ref="A96:A103" si="118">B96&amp;C96</f>
        <v/>
      </c>
      <c r="B96" s="217"/>
      <c r="C96" s="217"/>
      <c r="D96" s="2989" t="str">
        <f>IF(MID(B96,16,2)="0","",MID(B96,1,15)&amp;MID(B96,16,2))</f>
        <v/>
      </c>
      <c r="E96" s="2989" t="str">
        <f t="shared" si="86"/>
        <v/>
      </c>
      <c r="F96" s="2989" t="str">
        <f>IF(MID(C96,16,2)="0","",MID(C96,1,15)&amp;MID(C96,16,2))</f>
        <v/>
      </c>
      <c r="G96" s="2989" t="str">
        <f>IF(IF(LEN(MID(C96,23,2))=1, "[branch#0"&amp;0&amp;MID(C96,23,2)&amp;"] [A] W", "[branch#0"&amp;MID(C96,23,2)&amp;"] [A] W")="[branch#0] [A] W", "", IF(LEN(MID(C96,23,2))=1, "[branch#0"&amp;0&amp;MID(C96,23,2)&amp;"] [A] W", "[branch#0"&amp;MID(C96,23,2)&amp;"] [A] W"))</f>
        <v/>
      </c>
      <c r="H96" s="2989" cm="1">
        <f t="array" ref="H96">INDEX('각층분기별_유효전력최대(전월)'!$C$4:$C$2020,MATCH(1, ('각층분기별_유효전력최대(전월)'!$A$4:$A$2020='7층~4층_매핑테이블'!D96) * ('각층분기별_유효전력최대(전월)'!$B$4:$B$2020='7층~4층_매핑테이블'!E96),0)) + INDEX('각층분기별_유효전력최대(전월)'!$C$4:$C$2020,MATCH(1, ('각층분기별_유효전력최대(전월)'!$A$4:$A$2020='7층~4층_매핑테이블'!F96) * ('각층분기별_유효전력최대(전월)'!$B$4:$B$2020='7층~4층_매핑테이블'!G96),0))</f>
        <v>0</v>
      </c>
      <c r="I96" t="str">
        <f t="shared" si="30"/>
        <v>5-DaHall 1-PDU-03-30-185-DaHall 1-PDU-04-30-18</v>
      </c>
      <c r="J96" s="217" t="s">
        <v>9907</v>
      </c>
      <c r="K96" s="217" t="s">
        <v>9908</v>
      </c>
      <c r="L96" t="str">
        <f t="shared" si="82"/>
        <v>5-DaHall 1-PDU-03</v>
      </c>
      <c r="M96" t="str">
        <f t="shared" si="31"/>
        <v>[branch#018] [A] W</v>
      </c>
      <c r="N96" t="str">
        <f t="shared" si="56"/>
        <v>5-DaHall 1-PDU-04</v>
      </c>
      <c r="O96" t="str">
        <f t="shared" si="57"/>
        <v>[branch#018] [A] W</v>
      </c>
      <c r="P96" s="2989" cm="1">
        <f t="array" ref="P96">INDEX('각층분기별_유효전력최대(전월)'!$F$4:$F$2020,MATCH(1, ('각층분기별_유효전력최대(전월)'!$D$4:$D$2020='7층~4층_매핑테이블'!L96) * ('각층분기별_유효전력최대(전월)'!$E$4:$E$2020='7층~4층_매핑테이블'!M96),0)) + INDEX('각층분기별_유효전력최대(전월)'!$F$4:$F$2020,MATCH(1, ('각층분기별_유효전력최대(전월)'!$D$4:$D$2020='7층~4층_매핑테이블'!N96) * ('각층분기별_유효전력최대(전월)'!$E$4:$E$2020='7층~4층_매핑테이블'!O96),0))</f>
        <v>0</v>
      </c>
      <c r="Q96" s="1" t="str">
        <f t="shared" si="113"/>
        <v>6-DaHall 1-PDU-01-30-336-DaHall 1-PDU-02-30-33</v>
      </c>
      <c r="R96" s="217" t="s">
        <v>9909</v>
      </c>
      <c r="S96" s="217" t="s">
        <v>9910</v>
      </c>
      <c r="T96" t="str">
        <f t="shared" si="88"/>
        <v>6-DaHall 1-PDU-01</v>
      </c>
      <c r="U96" t="str">
        <f t="shared" si="114"/>
        <v>[branch#033] [A] W</v>
      </c>
      <c r="V96" t="str">
        <f t="shared" si="115"/>
        <v>6-DaHall 1-PDU-02</v>
      </c>
      <c r="W96" t="str">
        <f t="shared" si="116"/>
        <v>[branch#033] [A] W</v>
      </c>
      <c r="X96" s="2989" cm="1">
        <f t="array" ref="X96">INDEX('각층분기별_유효전력최대(전월)'!$I$4:$I$2020,MATCH(1, ('각층분기별_유효전력최대(전월)'!$G$4:$G$2020='7층~4층_매핑테이블'!T96) * ('각층분기별_유효전력최대(전월)'!$H$4:$H$2020='7층~4층_매핑테이블'!U96),0)) + INDEX('각층분기별_유효전력최대(전월)'!$I$4:$I$2020,MATCH(1, ('각층분기별_유효전력최대(전월)'!$G$4:$G$2020='7층~4층_매핑테이블'!V96) * ('각층분기별_유효전력최대(전월)'!$H$4:$H$2020='7층~4층_매핑테이블'!W96),0))</f>
        <v>0</v>
      </c>
      <c r="Y96" s="3274" t="str">
        <f t="shared" ref="Y96" si="119">Z96&amp;AA96</f>
        <v/>
      </c>
      <c r="Z96" s="217"/>
      <c r="AA96" s="217"/>
      <c r="AB96" s="3274" t="str">
        <f t="shared" si="117"/>
        <v/>
      </c>
      <c r="AD96" t="str">
        <f t="shared" si="85"/>
        <v/>
      </c>
      <c r="AF96" s="2989" cm="1">
        <f t="array" ref="AF96">INDEX('각층분기별_유효전력최대(전월)'!$L$4:$L$2020,MATCH(1, ('각층분기별_유효전력최대(전월)'!$J$4:$J$2020='7층~4층_매핑테이블'!AB96) * ('각층분기별_유효전력최대(전월)'!$K$4:$K$2020='7층~4층_매핑테이블'!AC96),0)) + INDEX('각층분기별_유효전력최대(전월)'!$L$4:$L$2020,MATCH(1, ('각층분기별_유효전력최대(전월)'!$J$4:$J$2020='7층~4층_매핑테이블'!AD96) * ('각층분기별_유효전력최대(전월)'!$K$4:$K$2020='7층~4층_매핑테이블'!AE96),0))</f>
        <v>0</v>
      </c>
    </row>
    <row r="97" spans="1:32" x14ac:dyDescent="0.25">
      <c r="A97" t="str">
        <f t="shared" si="118"/>
        <v/>
      </c>
      <c r="B97" s="217"/>
      <c r="C97" s="217"/>
      <c r="D97" s="2989" t="str">
        <f t="shared" ref="D97:D101" si="120">IF(MID(B97,16,2)="0","",MID(B97,1,15)&amp;MID(B97,16,2))</f>
        <v/>
      </c>
      <c r="E97" s="2989" t="str">
        <f t="shared" si="86"/>
        <v/>
      </c>
      <c r="F97" s="2989" t="str">
        <f>IF(MID(C97,16,2)="0","",MID(C97,1,15)&amp;MID(C97,16,2))</f>
        <v/>
      </c>
      <c r="G97" s="2989" t="str">
        <f>IF(IF(LEN(MID(C97,23,2))=1, "[branch#0"&amp;0&amp;MID(C97,23,2)&amp;"] [A] W", "[branch#0"&amp;MID(C97,23,2)&amp;"] [A] W")="[branch#0] [A] W", "", IF(LEN(MID(C97,23,2))=1, "[branch#0"&amp;0&amp;MID(C97,23,2)&amp;"] [A] W", "[branch#0"&amp;MID(C97,23,2)&amp;"] [A] W"))</f>
        <v/>
      </c>
      <c r="H97" s="2989" cm="1">
        <f t="array" ref="H97">INDEX('각층분기별_유효전력최대(전월)'!$C$4:$C$2020,MATCH(1, ('각층분기별_유효전력최대(전월)'!$A$4:$A$2020='7층~4층_매핑테이블'!D97) * ('각층분기별_유효전력최대(전월)'!$B$4:$B$2020='7층~4층_매핑테이블'!E97),0)) + INDEX('각층분기별_유효전력최대(전월)'!$C$4:$C$2020,MATCH(1, ('각층분기별_유효전력최대(전월)'!$A$4:$A$2020='7층~4층_매핑테이블'!F97) * ('각층분기별_유효전력최대(전월)'!$B$4:$B$2020='7층~4층_매핑테이블'!G97),0))</f>
        <v>0</v>
      </c>
      <c r="I97" t="str">
        <f t="shared" si="30"/>
        <v>5-DaHall 1-PDU-03-30-205-DaHall 1-PDU-04-30-20</v>
      </c>
      <c r="J97" s="217" t="s">
        <v>9911</v>
      </c>
      <c r="K97" s="217" t="s">
        <v>9912</v>
      </c>
      <c r="L97" t="str">
        <f t="shared" si="82"/>
        <v>5-DaHall 1-PDU-03</v>
      </c>
      <c r="M97" t="str">
        <f t="shared" si="31"/>
        <v>[branch#020] [A] W</v>
      </c>
      <c r="N97" t="str">
        <f t="shared" si="56"/>
        <v>5-DaHall 1-PDU-04</v>
      </c>
      <c r="O97" t="str">
        <f t="shared" si="57"/>
        <v>[branch#020] [A] W</v>
      </c>
      <c r="P97" s="2989" cm="1">
        <f t="array" ref="P97">INDEX('각층분기별_유효전력최대(전월)'!$F$4:$F$2020,MATCH(1, ('각층분기별_유효전력최대(전월)'!$D$4:$D$2020='7층~4층_매핑테이블'!L97) * ('각층분기별_유효전력최대(전월)'!$E$4:$E$2020='7층~4층_매핑테이블'!M97),0)) + INDEX('각층분기별_유효전력최대(전월)'!$F$4:$F$2020,MATCH(1, ('각층분기별_유효전력최대(전월)'!$D$4:$D$2020='7층~4층_매핑테이블'!N97) * ('각층분기별_유효전력최대(전월)'!$E$4:$E$2020='7층~4층_매핑테이블'!O97),0))</f>
        <v>1.9500000000000002</v>
      </c>
      <c r="Q97" s="1" t="str">
        <f t="shared" si="113"/>
        <v>6-DaHall 1-PDU-01-30-356-DaHall 1-PDU-02-30-35</v>
      </c>
      <c r="R97" s="217" t="s">
        <v>9913</v>
      </c>
      <c r="S97" s="217" t="s">
        <v>9914</v>
      </c>
      <c r="T97" t="str">
        <f t="shared" si="88"/>
        <v>6-DaHall 1-PDU-01</v>
      </c>
      <c r="U97" t="str">
        <f t="shared" si="114"/>
        <v>[branch#035] [A] W</v>
      </c>
      <c r="V97" t="str">
        <f t="shared" si="115"/>
        <v>6-DaHall 1-PDU-02</v>
      </c>
      <c r="W97" t="str">
        <f t="shared" si="116"/>
        <v>[branch#035] [A] W</v>
      </c>
      <c r="X97" s="2989" cm="1">
        <f t="array" ref="X97">INDEX('각층분기별_유효전력최대(전월)'!$I$4:$I$2020,MATCH(1, ('각층분기별_유효전력최대(전월)'!$G$4:$G$2020='7층~4층_매핑테이블'!T97) * ('각층분기별_유효전력최대(전월)'!$H$4:$H$2020='7층~4층_매핑테이블'!U97),0)) + INDEX('각층분기별_유효전력최대(전월)'!$I$4:$I$2020,MATCH(1, ('각층분기별_유효전력최대(전월)'!$G$4:$G$2020='7층~4층_매핑테이블'!V97) * ('각층분기별_유효전력최대(전월)'!$H$4:$H$2020='7층~4층_매핑테이블'!W97),0))</f>
        <v>0</v>
      </c>
      <c r="Y97" s="3274" t="str">
        <f>Z97&amp;AA97</f>
        <v>7-DaHall 1-PDU-01-30-29</v>
      </c>
      <c r="Z97" s="217" t="s">
        <v>9915</v>
      </c>
      <c r="AA97" s="217"/>
      <c r="AB97" s="3274" t="str">
        <f t="shared" si="117"/>
        <v>7-DaHall 1-PDU-01</v>
      </c>
      <c r="AC97" t="s">
        <v>9459</v>
      </c>
      <c r="AD97" t="str">
        <f t="shared" si="85"/>
        <v/>
      </c>
      <c r="AF97" s="2989" cm="1">
        <f t="array" ref="AF97">INDEX('각층분기별_유효전력최대(전월)'!$L$4:$L$2020,MATCH(1, ('각층분기별_유효전력최대(전월)'!$J$4:$J$2020='7층~4층_매핑테이블'!AB97) * ('각층분기별_유효전력최대(전월)'!$K$4:$K$2020='7층~4층_매핑테이블'!AC97),0)) + INDEX('각층분기별_유효전력최대(전월)'!$L$4:$L$2020,MATCH(1, ('각층분기별_유효전력최대(전월)'!$J$4:$J$2020='7층~4층_매핑테이블'!AD97) * ('각층분기별_유효전력최대(전월)'!$K$4:$K$2020='7층~4층_매핑테이블'!AE97),0))</f>
        <v>7.9000000000000001E-2</v>
      </c>
    </row>
    <row r="98" spans="1:32" x14ac:dyDescent="0.25">
      <c r="A98" t="str">
        <f t="shared" si="118"/>
        <v/>
      </c>
      <c r="B98" s="217"/>
      <c r="C98" s="217"/>
      <c r="D98" s="2989" t="str">
        <f t="shared" si="120"/>
        <v/>
      </c>
      <c r="E98" s="2989" t="str">
        <f t="shared" si="86"/>
        <v/>
      </c>
      <c r="F98" s="2989" t="str">
        <f>IF(MID(C98,16,2)="0","",MID(C98,1,15)&amp;MID(C98,16,2))</f>
        <v/>
      </c>
      <c r="G98" s="2989" t="str">
        <f>IF(IF(LEN(MID(C98,23,2))=1, "[branch#0"&amp;0&amp;MID(C98,23,2)&amp;"] [A] W", "[branch#0"&amp;MID(C98,23,2)&amp;"] [A] W")="[branch#0] [A] W", "", IF(LEN(MID(C98,23,2))=1, "[branch#0"&amp;0&amp;MID(C98,23,2)&amp;"] [A] W", "[branch#0"&amp;MID(C98,23,2)&amp;"] [A] W"))</f>
        <v/>
      </c>
      <c r="H98" s="2989" cm="1">
        <f t="array" ref="H98">INDEX('각층분기별_유효전력최대(전월)'!$C$4:$C$2020,MATCH(1, ('각층분기별_유효전력최대(전월)'!$A$4:$A$2020='7층~4층_매핑테이블'!D98) * ('각층분기별_유효전력최대(전월)'!$B$4:$B$2020='7층~4층_매핑테이블'!E98),0)) + INDEX('각층분기별_유효전력최대(전월)'!$C$4:$C$2020,MATCH(1, ('각층분기별_유효전력최대(전월)'!$A$4:$A$2020='7층~4층_매핑테이블'!F98) * ('각층분기별_유효전력최대(전월)'!$B$4:$B$2020='7층~4층_매핑테이블'!G98),0))</f>
        <v>0</v>
      </c>
      <c r="I98" t="str">
        <f t="shared" si="30"/>
        <v>5-DaHall 1-PDU-03-30-225-DaHall 1-PDU-04-30-22</v>
      </c>
      <c r="J98" s="217" t="s">
        <v>9916</v>
      </c>
      <c r="K98" s="217" t="s">
        <v>9917</v>
      </c>
      <c r="L98" t="str">
        <f t="shared" si="82"/>
        <v>5-DaHall 1-PDU-03</v>
      </c>
      <c r="M98" t="str">
        <f t="shared" si="31"/>
        <v>[branch#022] [A] W</v>
      </c>
      <c r="N98" t="str">
        <f t="shared" si="56"/>
        <v>5-DaHall 1-PDU-04</v>
      </c>
      <c r="O98" t="str">
        <f t="shared" si="57"/>
        <v>[branch#022] [A] W</v>
      </c>
      <c r="P98" s="2989" cm="1">
        <f t="array" ref="P98">INDEX('각층분기별_유효전력최대(전월)'!$F$4:$F$2020,MATCH(1, ('각층분기별_유효전력최대(전월)'!$D$4:$D$2020='7층~4층_매핑테이블'!L98) * ('각층분기별_유효전력최대(전월)'!$E$4:$E$2020='7층~4층_매핑테이블'!M98),0)) + INDEX('각층분기별_유효전력최대(전월)'!$F$4:$F$2020,MATCH(1, ('각층분기별_유효전력최대(전월)'!$D$4:$D$2020='7층~4층_매핑테이블'!N98) * ('각층분기별_유효전력최대(전월)'!$E$4:$E$2020='7층~4층_매핑테이블'!O98),0))</f>
        <v>0</v>
      </c>
      <c r="Q98" s="1" t="str">
        <f>R98&amp;S98</f>
        <v>6-DaHall 1-PDU-01-30-376-DaHall 1-PDU-02-30-37</v>
      </c>
      <c r="R98" s="217" t="s">
        <v>9918</v>
      </c>
      <c r="S98" s="217" t="s">
        <v>9919</v>
      </c>
      <c r="T98" t="str">
        <f t="shared" si="88"/>
        <v>6-DaHall 1-PDU-01</v>
      </c>
      <c r="U98" t="str">
        <f t="shared" si="114"/>
        <v>[branch#037] [A] W</v>
      </c>
      <c r="V98" t="str">
        <f>IF(MID(S98,16,2)="0","",MID(S98,1,15)&amp;MID(S98,16,2))</f>
        <v>6-DaHall 1-PDU-02</v>
      </c>
      <c r="W98" t="str">
        <f>IF(IF(LEN((MID(S98,22,2)))=1, "[branch#0"&amp;0&amp;MID(S98,22,2)&amp;"] [A] W", "[branch#0"&amp;MID(S98,22,2)&amp;"] [A] W")="[branch#0] [A] W", "", IF(LEN((MID(S98,22,2)))=1, "[branch#0"&amp;0&amp;MID(S98,22,2)&amp;"] [A] W", "[branch#0"&amp;MID(S98,22,2)&amp;"] [A] W"))</f>
        <v>[branch#037] [A] W</v>
      </c>
      <c r="X98" s="2989" cm="1">
        <f t="array" ref="X98">INDEX('각층분기별_유효전력최대(전월)'!$I$4:$I$2020,MATCH(1, ('각층분기별_유효전력최대(전월)'!$G$4:$G$2020='7층~4층_매핑테이블'!T98) * ('각층분기별_유효전력최대(전월)'!$H$4:$H$2020='7층~4층_매핑테이블'!U98),0)) + INDEX('각층분기별_유효전력최대(전월)'!$I$4:$I$2020,MATCH(1, ('각층분기별_유효전력최대(전월)'!$G$4:$G$2020='7층~4층_매핑테이블'!V98) * ('각층분기별_유효전력최대(전월)'!$H$4:$H$2020='7층~4층_매핑테이블'!W98),0))</f>
        <v>0</v>
      </c>
      <c r="Y98" s="3274" t="str">
        <f>Z98&amp;AA98</f>
        <v/>
      </c>
      <c r="Z98" s="217"/>
      <c r="AA98" s="217"/>
      <c r="AB98" s="3274" t="str">
        <f t="shared" si="117"/>
        <v/>
      </c>
      <c r="AD98" t="str">
        <f t="shared" si="85"/>
        <v/>
      </c>
      <c r="AF98" s="2989" cm="1">
        <f t="array" ref="AF98">INDEX('각층분기별_유효전력최대(전월)'!$L$4:$L$2020,MATCH(1, ('각층분기별_유효전력최대(전월)'!$J$4:$J$2020='7층~4층_매핑테이블'!AB98) * ('각층분기별_유효전력최대(전월)'!$K$4:$K$2020='7층~4층_매핑테이블'!AC98),0)) + INDEX('각층분기별_유효전력최대(전월)'!$L$4:$L$2020,MATCH(1, ('각층분기별_유효전력최대(전월)'!$J$4:$J$2020='7층~4층_매핑테이블'!AD98) * ('각층분기별_유효전력최대(전월)'!$K$4:$K$2020='7층~4층_매핑테이블'!AE98),0))</f>
        <v>0</v>
      </c>
    </row>
    <row r="99" spans="1:32" x14ac:dyDescent="0.25">
      <c r="A99" t="str">
        <f t="shared" si="118"/>
        <v/>
      </c>
      <c r="B99" s="217"/>
      <c r="C99" s="217"/>
      <c r="D99" s="2989" t="str">
        <f t="shared" si="120"/>
        <v/>
      </c>
      <c r="E99" s="2989" t="str">
        <f t="shared" si="86"/>
        <v/>
      </c>
      <c r="F99" s="2989" t="str">
        <f t="shared" ref="F99:F103" si="121">IF(MID(C99,16,2)="0","",MID(C99,1,15)&amp;MID(C99,16,2))</f>
        <v/>
      </c>
      <c r="G99" s="2989" t="str">
        <f t="shared" ref="G99:G103" si="122">IF(IF(LEN(MID(C99,23,2))=1, "[branch#0"&amp;0&amp;MID(C99,23,2)&amp;"] [A] W", "[branch#0"&amp;MID(C99,23,2)&amp;"] [A] W")="[branch#0] [A] W", "", IF(LEN(MID(C99,23,2))=1, "[branch#0"&amp;0&amp;MID(C99,23,2)&amp;"] [A] W", "[branch#0"&amp;MID(C99,23,2)&amp;"] [A] W"))</f>
        <v/>
      </c>
      <c r="H99" s="2989" cm="1">
        <f t="array" ref="H99">INDEX('각층분기별_유효전력최대(전월)'!$C$4:$C$2020,MATCH(1, ('각층분기별_유효전력최대(전월)'!$A$4:$A$2020='7층~4층_매핑테이블'!D99) * ('각층분기별_유효전력최대(전월)'!$B$4:$B$2020='7층~4층_매핑테이블'!E99),0)) + INDEX('각층분기별_유효전력최대(전월)'!$C$4:$C$2020,MATCH(1, ('각층분기별_유효전력최대(전월)'!$A$4:$A$2020='7층~4층_매핑테이블'!F99) * ('각층분기별_유효전력최대(전월)'!$B$4:$B$2020='7층~4층_매핑테이블'!G99),0))</f>
        <v>0</v>
      </c>
      <c r="I99" t="str">
        <f t="shared" ref="I99:I103" si="123">J99&amp;K99</f>
        <v>5-DaHall 1-PDU-03-30-245-DaHall 1-PDU-04-30-24</v>
      </c>
      <c r="J99" s="217" t="s">
        <v>9920</v>
      </c>
      <c r="K99" s="217" t="s">
        <v>9921</v>
      </c>
      <c r="L99" t="str">
        <f t="shared" si="82"/>
        <v>5-DaHall 1-PDU-03</v>
      </c>
      <c r="M99" t="str">
        <f t="shared" ref="M99:M103" si="124">IF(IF(LEN((MID(J99,22,2)))=1, "[branch#0"&amp;0&amp;MID(J99,22,2)&amp;"] [A] W", "[branch#0"&amp;MID(J99,22,2)&amp;"] [A] W")="[branch#0] [A] W", "", IF(LEN((MID(J99,22,2)))=1, "[branch#0"&amp;0&amp;MID(J99,22,2)&amp;"] [A] W", "[branch#0"&amp;MID(J99,22,2)&amp;"] [A] W"))</f>
        <v>[branch#024] [A] W</v>
      </c>
      <c r="N99" t="str">
        <f t="shared" si="56"/>
        <v>5-DaHall 1-PDU-04</v>
      </c>
      <c r="O99" t="str">
        <f t="shared" si="57"/>
        <v>[branch#024] [A] W</v>
      </c>
      <c r="P99" s="2989" cm="1">
        <f t="array" ref="P99">INDEX('각층분기별_유효전력최대(전월)'!$F$4:$F$2020,MATCH(1, ('각층분기별_유효전력최대(전월)'!$D$4:$D$2020='7층~4층_매핑테이블'!L99) * ('각층분기별_유효전력최대(전월)'!$E$4:$E$2020='7층~4층_매핑테이블'!M99),0)) + INDEX('각층분기별_유효전력최대(전월)'!$F$4:$F$2020,MATCH(1, ('각층분기별_유효전력최대(전월)'!$D$4:$D$2020='7층~4층_매핑테이블'!N99) * ('각층분기별_유효전력최대(전월)'!$E$4:$E$2020='7층~4층_매핑테이블'!O99),0))</f>
        <v>0</v>
      </c>
      <c r="Q99" s="1" t="str">
        <f t="shared" si="113"/>
        <v>6-DaHall 1-PDU-01-30-396-DaHall 1-PDU-02-30-39</v>
      </c>
      <c r="R99" s="217" t="s">
        <v>9922</v>
      </c>
      <c r="S99" s="217" t="s">
        <v>9923</v>
      </c>
      <c r="T99" t="str">
        <f t="shared" si="88"/>
        <v>6-DaHall 1-PDU-01</v>
      </c>
      <c r="U99" t="str">
        <f t="shared" si="114"/>
        <v>[branch#039] [A] W</v>
      </c>
      <c r="V99" t="str">
        <f t="shared" si="115"/>
        <v>6-DaHall 1-PDU-02</v>
      </c>
      <c r="W99" t="str">
        <f t="shared" si="116"/>
        <v>[branch#039] [A] W</v>
      </c>
      <c r="X99" s="2989" cm="1">
        <f t="array" ref="X99">INDEX('각층분기별_유효전력최대(전월)'!$I$4:$I$2020,MATCH(1, ('각층분기별_유효전력최대(전월)'!$G$4:$G$2020='7층~4층_매핑테이블'!T99) * ('각층분기별_유효전력최대(전월)'!$H$4:$H$2020='7층~4층_매핑테이블'!U99),0)) + INDEX('각층분기별_유효전력최대(전월)'!$I$4:$I$2020,MATCH(1, ('각층분기별_유효전력최대(전월)'!$G$4:$G$2020='7층~4층_매핑테이블'!V99) * ('각층분기별_유효전력최대(전월)'!$H$4:$H$2020='7층~4층_매핑테이블'!W99),0))</f>
        <v>0</v>
      </c>
      <c r="Y99" s="3274" t="str">
        <f>Z99&amp;AA99</f>
        <v>7-DaHall 1-PDU-01-30-187-DaHall 1-PDU-02-30-18</v>
      </c>
      <c r="Z99" s="217" t="s">
        <v>9925</v>
      </c>
      <c r="AA99" s="217" t="s">
        <v>9926</v>
      </c>
      <c r="AB99" s="3274" t="str">
        <f t="shared" si="117"/>
        <v>7-DaHall 1-PDU-01</v>
      </c>
      <c r="AC99" t="s">
        <v>9473</v>
      </c>
      <c r="AD99" t="str">
        <f t="shared" si="85"/>
        <v>7-DaHall 1-PDU-02</v>
      </c>
      <c r="AE99" t="s">
        <v>9473</v>
      </c>
      <c r="AF99" s="2989" cm="1">
        <f t="array" ref="AF99">INDEX('각층분기별_유효전력최대(전월)'!$L$4:$L$2020,MATCH(1, ('각층분기별_유효전력최대(전월)'!$J$4:$J$2020='7층~4층_매핑테이블'!AB99) * ('각층분기별_유효전력최대(전월)'!$K$4:$K$2020='7층~4층_매핑테이블'!AC99),0)) + INDEX('각층분기별_유효전력최대(전월)'!$L$4:$L$2020,MATCH(1, ('각층분기별_유효전력최대(전월)'!$J$4:$J$2020='7층~4층_매핑테이블'!AD99) * ('각층분기별_유효전력최대(전월)'!$K$4:$K$2020='7층~4층_매핑테이블'!AE99),0))</f>
        <v>0.89900000000000002</v>
      </c>
    </row>
    <row r="100" spans="1:32" x14ac:dyDescent="0.25">
      <c r="A100" t="str">
        <f t="shared" si="118"/>
        <v/>
      </c>
      <c r="B100" s="217"/>
      <c r="C100" s="217"/>
      <c r="D100" s="2989" t="str">
        <f t="shared" si="120"/>
        <v/>
      </c>
      <c r="E100" s="2989" t="str">
        <f t="shared" si="86"/>
        <v/>
      </c>
      <c r="F100" s="2989" t="str">
        <f t="shared" si="121"/>
        <v/>
      </c>
      <c r="G100" s="2989" t="str">
        <f t="shared" si="122"/>
        <v/>
      </c>
      <c r="H100" s="2989" cm="1">
        <f t="array" ref="H100">INDEX('각층분기별_유효전력최대(전월)'!$C$4:$C$2020,MATCH(1, ('각층분기별_유효전력최대(전월)'!$A$4:$A$2020='7층~4층_매핑테이블'!D100) * ('각층분기별_유효전력최대(전월)'!$B$4:$B$2020='7층~4층_매핑테이블'!E100),0)) + INDEX('각층분기별_유효전력최대(전월)'!$C$4:$C$2020,MATCH(1, ('각층분기별_유효전력최대(전월)'!$A$4:$A$2020='7층~4층_매핑테이블'!F100) * ('각층분기별_유효전력최대(전월)'!$B$4:$B$2020='7층~4층_매핑테이블'!G100),0))</f>
        <v>0</v>
      </c>
      <c r="I100" t="str">
        <f t="shared" si="123"/>
        <v>5-DaHall 1-PDU-03-30-265-DaHall 1-PDU-04-30-26</v>
      </c>
      <c r="J100" s="217" t="s">
        <v>9927</v>
      </c>
      <c r="K100" s="217" t="s">
        <v>9928</v>
      </c>
      <c r="L100" t="str">
        <f t="shared" si="82"/>
        <v>5-DaHall 1-PDU-03</v>
      </c>
      <c r="M100" t="str">
        <f t="shared" si="124"/>
        <v>[branch#026] [A] W</v>
      </c>
      <c r="N100" t="str">
        <f t="shared" si="56"/>
        <v>5-DaHall 1-PDU-04</v>
      </c>
      <c r="O100" t="str">
        <f t="shared" si="57"/>
        <v>[branch#026] [A] W</v>
      </c>
      <c r="P100" s="2989" cm="1">
        <f t="array" ref="P100">INDEX('각층분기별_유효전력최대(전월)'!$F$4:$F$2020,MATCH(1, ('각층분기별_유효전력최대(전월)'!$D$4:$D$2020='7층~4층_매핑테이블'!L100) * ('각층분기별_유효전력최대(전월)'!$E$4:$E$2020='7층~4층_매핑테이블'!M100),0)) + INDEX('각층분기별_유효전력최대(전월)'!$F$4:$F$2020,MATCH(1, ('각층분기별_유효전력최대(전월)'!$D$4:$D$2020='7층~4층_매핑테이블'!N100) * ('각층분기별_유효전력최대(전월)'!$E$4:$E$2020='7층~4층_매핑테이블'!O100),0))</f>
        <v>2.7370000000000001</v>
      </c>
      <c r="Q100" s="1" t="str">
        <f t="shared" si="113"/>
        <v>6-DaHall 1-PDU-01-30-416-DaHall 1-PDU-02-30-41</v>
      </c>
      <c r="R100" s="217" t="s">
        <v>9929</v>
      </c>
      <c r="S100" s="217" t="s">
        <v>9930</v>
      </c>
      <c r="T100" t="str">
        <f t="shared" si="88"/>
        <v>6-DaHall 1-PDU-01</v>
      </c>
      <c r="U100" t="str">
        <f t="shared" si="114"/>
        <v>[branch#041] [A] W</v>
      </c>
      <c r="V100" t="str">
        <f t="shared" si="115"/>
        <v>6-DaHall 1-PDU-02</v>
      </c>
      <c r="W100" t="str">
        <f t="shared" si="116"/>
        <v>[branch#041] [A] W</v>
      </c>
      <c r="X100" s="2989" cm="1">
        <f t="array" ref="X100">INDEX('각층분기별_유효전력최대(전월)'!$I$4:$I$2020,MATCH(1, ('각층분기별_유효전력최대(전월)'!$G$4:$G$2020='7층~4층_매핑테이블'!T100) * ('각층분기별_유효전력최대(전월)'!$H$4:$H$2020='7층~4층_매핑테이블'!U100),0)) + INDEX('각층분기별_유효전력최대(전월)'!$I$4:$I$2020,MATCH(1, ('각층분기별_유효전력최대(전월)'!$G$4:$G$2020='7층~4층_매핑테이블'!V100) * ('각층분기별_유효전력최대(전월)'!$H$4:$H$2020='7층~4층_매핑테이블'!W100),0))</f>
        <v>0.36599999999999999</v>
      </c>
      <c r="Y100" s="3274" t="str">
        <f t="shared" ref="Y100:Y115" si="125">Z100&amp;AA100</f>
        <v>7-DaHall 1-PDU-01-30-207-DaHall 1-PDU-02-30-20</v>
      </c>
      <c r="Z100" s="217" t="s">
        <v>9931</v>
      </c>
      <c r="AA100" s="217" t="s">
        <v>9932</v>
      </c>
      <c r="AB100" s="3274" t="str">
        <f t="shared" si="117"/>
        <v>7-DaHall 1-PDU-01</v>
      </c>
      <c r="AC100" t="s">
        <v>9512</v>
      </c>
      <c r="AD100" t="str">
        <f t="shared" si="85"/>
        <v>7-DaHall 1-PDU-02</v>
      </c>
      <c r="AE100" t="s">
        <v>9512</v>
      </c>
      <c r="AF100" s="2989" cm="1">
        <f t="array" ref="AF100">INDEX('각층분기별_유효전력최대(전월)'!$L$4:$L$2020,MATCH(1, ('각층분기별_유효전력최대(전월)'!$J$4:$J$2020='7층~4층_매핑테이블'!AB100) * ('각층분기별_유효전력최대(전월)'!$K$4:$K$2020='7층~4층_매핑테이블'!AC100),0)) + INDEX('각층분기별_유효전력최대(전월)'!$L$4:$L$2020,MATCH(1, ('각층분기별_유효전력최대(전월)'!$J$4:$J$2020='7층~4층_매핑테이블'!AD100) * ('각층분기별_유효전력최대(전월)'!$K$4:$K$2020='7층~4층_매핑테이블'!AE100),0))</f>
        <v>1.0649999999999999</v>
      </c>
    </row>
    <row r="101" spans="1:32" x14ac:dyDescent="0.25">
      <c r="A101" t="str">
        <f t="shared" si="118"/>
        <v/>
      </c>
      <c r="B101" s="217"/>
      <c r="C101" s="217"/>
      <c r="D101" s="2989" t="str">
        <f t="shared" si="120"/>
        <v/>
      </c>
      <c r="E101" s="2989" t="str">
        <f t="shared" si="86"/>
        <v/>
      </c>
      <c r="F101" s="2989" t="str">
        <f t="shared" si="121"/>
        <v/>
      </c>
      <c r="G101" s="2989" t="str">
        <f t="shared" si="122"/>
        <v/>
      </c>
      <c r="H101" s="2989" cm="1">
        <f t="array" ref="H101">INDEX('각층분기별_유효전력최대(전월)'!$C$4:$C$2020,MATCH(1, ('각층분기별_유효전력최대(전월)'!$A$4:$A$2020='7층~4층_매핑테이블'!D101) * ('각층분기별_유효전력최대(전월)'!$B$4:$B$2020='7층~4층_매핑테이블'!E101),0)) + INDEX('각층분기별_유효전력최대(전월)'!$C$4:$C$2020,MATCH(1, ('각층분기별_유효전력최대(전월)'!$A$4:$A$2020='7층~4층_매핑테이블'!F101) * ('각층분기별_유효전력최대(전월)'!$B$4:$B$2020='7층~4층_매핑테이블'!G101),0))</f>
        <v>0</v>
      </c>
      <c r="I101" t="str">
        <f t="shared" si="123"/>
        <v>5-DaHall 1-PDU-03-30-285-DaHall 1-PDU-04-30-28</v>
      </c>
      <c r="J101" s="3107" t="s">
        <v>9933</v>
      </c>
      <c r="K101" s="3107" t="s">
        <v>9934</v>
      </c>
      <c r="L101" t="str">
        <f t="shared" si="82"/>
        <v>5-DaHall 1-PDU-03</v>
      </c>
      <c r="M101" t="str">
        <f t="shared" si="124"/>
        <v>[branch#028] [A] W</v>
      </c>
      <c r="N101" t="str">
        <f t="shared" si="56"/>
        <v>5-DaHall 1-PDU-04</v>
      </c>
      <c r="O101" t="str">
        <f t="shared" si="57"/>
        <v>[branch#028] [A] W</v>
      </c>
      <c r="P101" s="2989" t="e" cm="1">
        <f t="array" ref="P101">INDEX('각층분기별_유효전력최대(전월)'!$F$4:$F$2020,MATCH(1, ('각층분기별_유효전력최대(전월)'!$D$4:$D$2020='7층~4층_매핑테이블'!L101) * ('각층분기별_유효전력최대(전월)'!$E$4:$E$2020='7층~4층_매핑테이블'!M101),0)) + INDEX('각층분기별_유효전력최대(전월)'!$F$4:$F$2020,MATCH(1, ('각층분기별_유효전력최대(전월)'!$D$4:$D$2020='7층~4층_매핑테이블'!N101) * ('각층분기별_유효전력최대(전월)'!$E$4:$E$2020='7층~4층_매핑테이블'!O101),0))</f>
        <v>#N/A</v>
      </c>
      <c r="Q101" s="1" t="str">
        <f t="shared" si="113"/>
        <v>6-DaHall 1-PDU-01-30-496-DaHall 1-PDU-02-30-30</v>
      </c>
      <c r="R101" s="217" t="s">
        <v>9935</v>
      </c>
      <c r="S101" s="217" t="s">
        <v>9936</v>
      </c>
      <c r="T101" t="str">
        <f t="shared" si="88"/>
        <v>6-DaHall 1-PDU-01</v>
      </c>
      <c r="U101" t="str">
        <f t="shared" si="114"/>
        <v>[branch#049] [A] W</v>
      </c>
      <c r="V101" t="str">
        <f t="shared" si="115"/>
        <v>6-DaHall 1-PDU-02</v>
      </c>
      <c r="W101" t="str">
        <f t="shared" si="116"/>
        <v>[branch#030] [A] W</v>
      </c>
      <c r="X101" s="2989" cm="1">
        <f t="array" ref="X101">INDEX('각층분기별_유효전력최대(전월)'!$I$4:$I$2020,MATCH(1, ('각층분기별_유효전력최대(전월)'!$G$4:$G$2020='7층~4층_매핑테이블'!T101) * ('각층분기별_유효전력최대(전월)'!$H$4:$H$2020='7층~4층_매핑테이블'!U101),0)) + INDEX('각층분기별_유효전력최대(전월)'!$I$4:$I$2020,MATCH(1, ('각층분기별_유효전력최대(전월)'!$G$4:$G$2020='7층~4층_매핑테이블'!V101) * ('각층분기별_유효전력최대(전월)'!$H$4:$H$2020='7층~4층_매핑테이블'!W101),0))</f>
        <v>4.3920000000000003</v>
      </c>
      <c r="Y101" s="3274" t="str">
        <f t="shared" si="125"/>
        <v>7-DaHall 1-PDU-01-30-227-DaHall 1-PDU-02-30-22</v>
      </c>
      <c r="Z101" s="217" t="s">
        <v>9937</v>
      </c>
      <c r="AA101" s="217" t="s">
        <v>9938</v>
      </c>
      <c r="AB101" s="3274" t="str">
        <f t="shared" ref="AB101:AB106" si="126">IF(MID(Z101,16,2)="0","",MID(Z101,1,15)&amp;MID(Z101,16,2))</f>
        <v>7-DaHall 1-PDU-01</v>
      </c>
      <c r="AC101" t="s">
        <v>9547</v>
      </c>
      <c r="AD101" t="str">
        <f t="shared" si="85"/>
        <v>7-DaHall 1-PDU-02</v>
      </c>
      <c r="AE101" t="s">
        <v>9547</v>
      </c>
      <c r="AF101" s="2989" cm="1">
        <f t="array" ref="AF101">INDEX('각층분기별_유효전력최대(전월)'!$L$4:$L$2020,MATCH(1, ('각층분기별_유효전력최대(전월)'!$J$4:$J$2020='7층~4층_매핑테이블'!AB101) * ('각층분기별_유효전력최대(전월)'!$K$4:$K$2020='7층~4층_매핑테이블'!AC101),0)) + INDEX('각층분기별_유효전력최대(전월)'!$L$4:$L$2020,MATCH(1, ('각층분기별_유효전력최대(전월)'!$J$4:$J$2020='7층~4층_매핑테이블'!AD101) * ('각층분기별_유효전력최대(전월)'!$K$4:$K$2020='7층~4층_매핑테이블'!AE101),0))</f>
        <v>0.79899999999999993</v>
      </c>
    </row>
    <row r="102" spans="1:32" x14ac:dyDescent="0.25">
      <c r="A102" t="str">
        <f t="shared" si="118"/>
        <v/>
      </c>
      <c r="B102" s="217"/>
      <c r="C102" s="217"/>
      <c r="D102" s="2989" t="str">
        <f>IF(MID(B102,16,2)="0","",MID(B102,1,15)&amp;MID(B102,16,2))</f>
        <v/>
      </c>
      <c r="E102" s="2989" t="str">
        <f t="shared" si="86"/>
        <v/>
      </c>
      <c r="F102" s="2989" t="str">
        <f t="shared" si="121"/>
        <v/>
      </c>
      <c r="G102" s="2989" t="str">
        <f t="shared" si="122"/>
        <v/>
      </c>
      <c r="H102" s="2989" cm="1">
        <f t="array" ref="H102">INDEX('각층분기별_유효전력최대(전월)'!$C$4:$C$2020,MATCH(1, ('각층분기별_유효전력최대(전월)'!$A$4:$A$2020='7층~4층_매핑테이블'!D102) * ('각층분기별_유효전력최대(전월)'!$B$4:$B$2020='7층~4층_매핑테이블'!E102),0)) + INDEX('각층분기별_유효전력최대(전월)'!$C$4:$C$2020,MATCH(1, ('각층분기별_유효전력최대(전월)'!$A$4:$A$2020='7층~4층_매핑테이블'!F102) * ('각층분기별_유효전력최대(전월)'!$B$4:$B$2020='7층~4층_매핑테이블'!G102),0))</f>
        <v>0</v>
      </c>
      <c r="I102" t="str">
        <f t="shared" si="123"/>
        <v>5-DaHall 1-PDU-03-30-305-DaHall 1-PDU-04-30-30</v>
      </c>
      <c r="J102" s="3107" t="s">
        <v>9939</v>
      </c>
      <c r="K102" s="3107" t="s">
        <v>9940</v>
      </c>
      <c r="L102" t="str">
        <f t="shared" si="82"/>
        <v>5-DaHall 1-PDU-03</v>
      </c>
      <c r="M102" t="str">
        <f t="shared" si="124"/>
        <v>[branch#030] [A] W</v>
      </c>
      <c r="N102" t="str">
        <f t="shared" si="56"/>
        <v>5-DaHall 1-PDU-04</v>
      </c>
      <c r="O102" t="str">
        <f t="shared" si="57"/>
        <v>[branch#030] [A] W</v>
      </c>
      <c r="P102" s="2989" t="e" cm="1">
        <f t="array" ref="P102">INDEX('각층분기별_유효전력최대(전월)'!$F$4:$F$2020,MATCH(1, ('각층분기별_유효전력최대(전월)'!$D$4:$D$2020='7층~4층_매핑테이블'!L102) * ('각층분기별_유효전력최대(전월)'!$E$4:$E$2020='7층~4층_매핑테이블'!M102),0)) + INDEX('각층분기별_유효전력최대(전월)'!$F$4:$F$2020,MATCH(1, ('각층분기별_유효전력최대(전월)'!$D$4:$D$2020='7층~4층_매핑테이블'!N102) * ('각층분기별_유효전력최대(전월)'!$E$4:$E$2020='7층~4층_매핑테이블'!O102),0))</f>
        <v>#N/A</v>
      </c>
      <c r="Q102" s="1" t="str">
        <f>R102&amp;S102</f>
        <v/>
      </c>
      <c r="R102" s="217"/>
      <c r="S102" s="217"/>
      <c r="T102" t="str">
        <f t="shared" si="88"/>
        <v/>
      </c>
      <c r="U102" t="str">
        <f>IF(IF(LEN((MID(R102,22,2)))=1, "[branch#0"&amp;0&amp;MID(R102,22,2)&amp;"] [A] W", "[branch#0"&amp;MID(R102,22,2)&amp;"] [A] W")="[branch#0] [A] W", "", IF(LEN((MID(R102,22,2)))=1, "[branch#0"&amp;0&amp;MID(R102,22,2)&amp;"] [A] W", "[branch#0"&amp;MID(R102,22,2)&amp;"] [A] W"))</f>
        <v/>
      </c>
      <c r="V102" t="str">
        <f>IF(MID(S102,16,2)="0","",MID(S102,1,15)&amp;MID(S102,16,2))</f>
        <v/>
      </c>
      <c r="W102" t="str">
        <f>IF(IF(LEN((MID(S102,22,2)))=1, "[branch#0"&amp;0&amp;MID(S102,22,2)&amp;"] [A] W", "[branch#0"&amp;MID(S102,22,2)&amp;"] [A] W")="[branch#0] [A] W", "", IF(LEN((MID(S102,22,2)))=1, "[branch#0"&amp;0&amp;MID(S102,22,2)&amp;"] [A] W", "[branch#0"&amp;MID(S102,22,2)&amp;"] [A] W"))</f>
        <v/>
      </c>
      <c r="X102" s="2989" cm="1">
        <f t="array" ref="X102">INDEX('각층분기별_유효전력최대(전월)'!$I$4:$I$2020,MATCH(1, ('각층분기별_유효전력최대(전월)'!$G$4:$G$2020='7층~4층_매핑테이블'!T102) * ('각층분기별_유효전력최대(전월)'!$H$4:$H$2020='7층~4층_매핑테이블'!U102),0)) + INDEX('각층분기별_유효전력최대(전월)'!$I$4:$I$2020,MATCH(1, ('각층분기별_유효전력최대(전월)'!$G$4:$G$2020='7층~4층_매핑테이블'!V102) * ('각층분기별_유효전력최대(전월)'!$H$4:$H$2020='7층~4층_매핑테이블'!W102),0))</f>
        <v>0</v>
      </c>
      <c r="Y102" s="3274" t="str">
        <f t="shared" si="125"/>
        <v>7-DaHall 1-PDU-01-30-247-DaHall 1-PDU-02-30-24</v>
      </c>
      <c r="Z102" s="217" t="s">
        <v>9941</v>
      </c>
      <c r="AA102" s="217" t="s">
        <v>9942</v>
      </c>
      <c r="AB102" s="3274" t="str">
        <f t="shared" si="126"/>
        <v>7-DaHall 1-PDU-01</v>
      </c>
      <c r="AC102" t="s">
        <v>9554</v>
      </c>
      <c r="AD102" t="str">
        <f t="shared" si="85"/>
        <v>7-DaHall 1-PDU-02</v>
      </c>
      <c r="AE102" t="s">
        <v>9554</v>
      </c>
      <c r="AF102" s="2989" cm="1">
        <f t="array" ref="AF102">INDEX('각층분기별_유효전력최대(전월)'!$L$4:$L$2020,MATCH(1, ('각층분기별_유효전력최대(전월)'!$J$4:$J$2020='7층~4층_매핑테이블'!AB102) * ('각층분기별_유효전력최대(전월)'!$K$4:$K$2020='7층~4층_매핑테이블'!AC102),0)) + INDEX('각층분기별_유효전력최대(전월)'!$L$4:$L$2020,MATCH(1, ('각층분기별_유효전력최대(전월)'!$J$4:$J$2020='7층~4층_매핑테이블'!AD102) * ('각층분기별_유효전력최대(전월)'!$K$4:$K$2020='7층~4층_매핑테이블'!AE102),0))</f>
        <v>1.2230000000000001</v>
      </c>
    </row>
    <row r="103" spans="1:32" x14ac:dyDescent="0.25">
      <c r="A103" t="str">
        <f t="shared" si="118"/>
        <v/>
      </c>
      <c r="B103" s="217"/>
      <c r="C103" s="217"/>
      <c r="D103" s="2989" t="str">
        <f>IF(MID(B103,16,2)="0","",MID(B103,1,15)&amp;MID(B103,16,2))</f>
        <v/>
      </c>
      <c r="E103" s="2989" t="str">
        <f t="shared" si="86"/>
        <v/>
      </c>
      <c r="F103" s="2989" t="str">
        <f t="shared" si="121"/>
        <v/>
      </c>
      <c r="G103" s="2989" t="str">
        <f t="shared" si="122"/>
        <v/>
      </c>
      <c r="H103" s="2989" cm="1">
        <f t="array" ref="H103">INDEX('각층분기별_유효전력최대(전월)'!$C$4:$C$2020,MATCH(1, ('각층분기별_유효전력최대(전월)'!$A$4:$A$2020='7층~4층_매핑테이블'!D103) * ('각층분기별_유효전력최대(전월)'!$B$4:$B$2020='7층~4층_매핑테이블'!E103),0)) + INDEX('각층분기별_유효전력최대(전월)'!$C$4:$C$2020,MATCH(1, ('각층분기별_유효전력최대(전월)'!$A$4:$A$2020='7층~4층_매핑테이블'!F103) * ('각층분기별_유효전력최대(전월)'!$B$4:$B$2020='7층~4층_매핑테이블'!G103),0))</f>
        <v>0</v>
      </c>
      <c r="I103" t="str">
        <f t="shared" si="123"/>
        <v>5-DaHall 1-PDU-01-30-465-DaHall 1-PDU-02-30-46</v>
      </c>
      <c r="J103" s="3107" t="s">
        <v>9943</v>
      </c>
      <c r="K103" s="3107" t="s">
        <v>9944</v>
      </c>
      <c r="L103" t="str">
        <f t="shared" si="82"/>
        <v>5-DaHall 1-PDU-01</v>
      </c>
      <c r="M103" t="str">
        <f t="shared" si="124"/>
        <v>[branch#046] [A] W</v>
      </c>
      <c r="N103" t="str">
        <f t="shared" si="56"/>
        <v>5-DaHall 1-PDU-02</v>
      </c>
      <c r="O103" t="str">
        <f t="shared" si="57"/>
        <v>[branch#046] [A] W</v>
      </c>
      <c r="P103" s="2989" t="e" cm="1">
        <f t="array" ref="P103">INDEX('각층분기별_유효전력최대(전월)'!$F$4:$F$2020,MATCH(1, ('각층분기별_유효전력최대(전월)'!$D$4:$D$2020='7층~4층_매핑테이블'!L103) * ('각층분기별_유효전력최대(전월)'!$E$4:$E$2020='7층~4층_매핑테이블'!M103),0)) + INDEX('각층분기별_유효전력최대(전월)'!$F$4:$F$2020,MATCH(1, ('각층분기별_유효전력최대(전월)'!$D$4:$D$2020='7층~4층_매핑테이블'!N103) * ('각층분기별_유효전력최대(전월)'!$E$4:$E$2020='7층~4층_매핑테이블'!O103),0))</f>
        <v>#N/A</v>
      </c>
      <c r="Q103" s="1" t="str">
        <f t="shared" ref="Q103" si="127">R103&amp;S103</f>
        <v/>
      </c>
      <c r="R103" s="217"/>
      <c r="S103" s="217"/>
      <c r="T103" t="str">
        <f t="shared" si="88"/>
        <v/>
      </c>
      <c r="U103" t="str">
        <f t="shared" ref="U103" si="128">IF(IF(LEN((MID(R103,22,2)))=1, "[branch#0"&amp;0&amp;MID(R103,22,2)&amp;"] [A] W", "[branch#0"&amp;MID(R103,22,2)&amp;"] [A] W")="[branch#0] [A] W", "", IF(LEN((MID(R103,22,2)))=1, "[branch#0"&amp;0&amp;MID(R103,22,2)&amp;"] [A] W", "[branch#0"&amp;MID(R103,22,2)&amp;"] [A] W"))</f>
        <v/>
      </c>
      <c r="V103" t="str">
        <f t="shared" ref="V103" si="129">IF(MID(S103,16,2)="0","",MID(S103,1,15)&amp;MID(S103,16,2))</f>
        <v/>
      </c>
      <c r="W103" t="str">
        <f t="shared" ref="W103" si="130">IF(IF(LEN((MID(S103,22,2)))=1, "[branch#0"&amp;0&amp;MID(S103,22,2)&amp;"] [A] W", "[branch#0"&amp;MID(S103,22,2)&amp;"] [A] W")="[branch#0] [A] W", "", IF(LEN((MID(S103,22,2)))=1, "[branch#0"&amp;0&amp;MID(S103,22,2)&amp;"] [A] W", "[branch#0"&amp;MID(S103,22,2)&amp;"] [A] W"))</f>
        <v/>
      </c>
      <c r="X103" s="2989" cm="1">
        <f t="array" ref="X103">INDEX('각층분기별_유효전력최대(전월)'!$I$4:$I$2020,MATCH(1, ('각층분기별_유효전력최대(전월)'!$G$4:$G$2020='7층~4층_매핑테이블'!T103) * ('각층분기별_유효전력최대(전월)'!$H$4:$H$2020='7층~4층_매핑테이블'!U103),0)) + INDEX('각층분기별_유효전력최대(전월)'!$I$4:$I$2020,MATCH(1, ('각층분기별_유효전력최대(전월)'!$G$4:$G$2020='7층~4층_매핑테이블'!V103) * ('각층분기별_유효전력최대(전월)'!$H$4:$H$2020='7층~4층_매핑테이블'!W103),0))</f>
        <v>0</v>
      </c>
      <c r="Y103" s="3274" t="str">
        <f t="shared" si="125"/>
        <v>7-DaHall 1-PDU-01-30-267-DaHall 1-PDU-02-30-26</v>
      </c>
      <c r="Z103" s="217" t="s">
        <v>9945</v>
      </c>
      <c r="AA103" s="217" t="s">
        <v>9946</v>
      </c>
      <c r="AB103" s="3274" t="str">
        <f t="shared" si="126"/>
        <v>7-DaHall 1-PDU-01</v>
      </c>
      <c r="AC103" t="s">
        <v>9365</v>
      </c>
      <c r="AD103" t="str">
        <f t="shared" si="85"/>
        <v>7-DaHall 1-PDU-02</v>
      </c>
      <c r="AE103" t="s">
        <v>9365</v>
      </c>
      <c r="AF103" s="2989" cm="1">
        <f t="array" ref="AF103">INDEX('각층분기별_유효전력최대(전월)'!$L$4:$L$2020,MATCH(1, ('각층분기별_유효전력최대(전월)'!$J$4:$J$2020='7층~4층_매핑테이블'!AB103) * ('각층분기별_유효전력최대(전월)'!$K$4:$K$2020='7층~4층_매핑테이블'!AC103),0)) + INDEX('각층분기별_유효전력최대(전월)'!$L$4:$L$2020,MATCH(1, ('각층분기별_유효전력최대(전월)'!$J$4:$J$2020='7층~4층_매핑테이블'!AD103) * ('각층분기별_유효전력최대(전월)'!$K$4:$K$2020='7층~4층_매핑테이블'!AE103),0))</f>
        <v>1.476</v>
      </c>
    </row>
    <row r="104" spans="1:32" x14ac:dyDescent="0.25">
      <c r="A104" t="str">
        <f>B104&amp;C104</f>
        <v>4-DaHall 1-PDU-06-100-64-DaHall 1-PDU-05-100-6</v>
      </c>
      <c r="B104" s="217" t="s">
        <v>9947</v>
      </c>
      <c r="C104" s="217" t="s">
        <v>9948</v>
      </c>
      <c r="D104" s="2989" t="str">
        <f>IF(MID(B104,16,2)="0","",MID(B104,1,15)&amp;MID(B104,16,2))</f>
        <v>4-DaHall 1-PDU-06</v>
      </c>
      <c r="E104" s="2989" t="str">
        <f t="shared" si="86"/>
        <v>[branch#006] [A] W</v>
      </c>
      <c r="F104" s="2989" t="str">
        <f>IF(MID(C104,16,2)="0","",MID(C104,1,15)&amp;MID(C104,16,2))</f>
        <v>4-DaHall 1-PDU-05</v>
      </c>
      <c r="G104" s="2989" t="str">
        <f>IF(IF(LEN(MID(C104,23,2))=1, "[branch#0"&amp;0&amp;MID(C104,23,2)&amp;"] [A] W", "[branch#0"&amp;MID(C104,23,2)&amp;"] [A] W")="[branch#0] [A] W", "", IF(LEN(MID(C104,23,2))=1, "[branch#0"&amp;0&amp;MID(C104,23,2)&amp;"] [A] W", "[branch#0"&amp;MID(C104,23,2)&amp;"] [A] W"))</f>
        <v>[branch#006] [A] W</v>
      </c>
      <c r="H104" s="2989" cm="1">
        <f t="array" ref="H104">INDEX('각층분기별_유효전력최대(전월)'!$C$4:$C$2020,MATCH(1, ('각층분기별_유효전력최대(전월)'!$A$4:$A$2020='7층~4층_매핑테이블'!D104) * ('각층분기별_유효전력최대(전월)'!$B$4:$B$2020='7층~4층_매핑테이블'!E104),0)) + INDEX('각층분기별_유효전력최대(전월)'!$C$4:$C$2020,MATCH(1, ('각층분기별_유효전력최대(전월)'!$A$4:$A$2020='7층~4층_매핑테이블'!F104) * ('각층분기별_유효전력최대(전월)'!$B$4:$B$2020='7층~4층_매핑테이블'!G104),0))</f>
        <v>2.57</v>
      </c>
      <c r="I104" t="str">
        <f>J104&amp;K104</f>
        <v/>
      </c>
      <c r="J104" s="217"/>
      <c r="K104" s="217"/>
      <c r="L104" t="str">
        <f t="shared" si="82"/>
        <v/>
      </c>
      <c r="M104" t="str">
        <f>IF(IF(LEN((MID(J104,22,2)))=1, "[branch#0"&amp;0&amp;MID(J104,22,2)&amp;"] [A] W", "[branch#0"&amp;MID(J104,22,2)&amp;"] [A] W")="[branch#0] [A] W", "", IF(LEN((MID(J104,22,2)))=1, "[branch#0"&amp;0&amp;MID(J104,22,2)&amp;"] [A] W", "[branch#0"&amp;MID(J104,22,2)&amp;"] [A] W"))</f>
        <v/>
      </c>
      <c r="N104" t="str">
        <f>IF(MID(K104,16,2)="0","",MID(K104,1,15)&amp;MID(K104,16,2))</f>
        <v/>
      </c>
      <c r="O104" t="str">
        <f>IF(IF(LEN((MID(K104,22,2)))=1, "[branch#0"&amp;0&amp;MID(K104,22,2)&amp;"] [A] W", "[branch#0"&amp;MID(K104,22,2)&amp;"] [A] W")="[branch#0] [A] W", "", IF(LEN((MID(K104,22,2)))=1, "[branch#0"&amp;0&amp;MID(K104,22,2)&amp;"] [A] W", "[branch#0"&amp;MID(K104,22,2)&amp;"] [A] W"))</f>
        <v/>
      </c>
      <c r="P104" s="2989" cm="1">
        <f t="array" ref="P104">INDEX('각층분기별_유효전력최대(전월)'!$F$4:$F$2020,MATCH(1, ('각층분기별_유효전력최대(전월)'!$D$4:$D$2020='7층~4층_매핑테이블'!L104) * ('각층분기별_유효전력최대(전월)'!$E$4:$E$2020='7층~4층_매핑테이블'!M104),0)) + INDEX('각층분기별_유효전력최대(전월)'!$F$4:$F$2020,MATCH(1, ('각층분기별_유효전력최대(전월)'!$D$4:$D$2020='7층~4층_매핑테이블'!N104) * ('각층분기별_유효전력최대(전월)'!$E$4:$E$2020='7층~4층_매핑테이블'!O104),0))</f>
        <v>0</v>
      </c>
      <c r="Q104" s="1" t="str">
        <f>R104&amp;S104</f>
        <v>6-DaHall 1-PDU-01-30-456-DaHall 1-PDU-02-30-45</v>
      </c>
      <c r="R104" s="217" t="s">
        <v>9949</v>
      </c>
      <c r="S104" s="217" t="s">
        <v>9950</v>
      </c>
      <c r="T104" t="str">
        <f t="shared" si="88"/>
        <v>6-DaHall 1-PDU-01</v>
      </c>
      <c r="U104" t="str">
        <f>IF(IF(LEN((MID(R104,22,2)))=1, "[branch#0"&amp;0&amp;MID(R104,22,2)&amp;"] [A] W", "[branch#0"&amp;MID(R104,22,2)&amp;"] [A] W")="[branch#0] [A] W", "", IF(LEN((MID(R104,22,2)))=1, "[branch#0"&amp;0&amp;MID(R104,22,2)&amp;"] [A] W", "[branch#0"&amp;MID(R104,22,2)&amp;"] [A] W"))</f>
        <v>[branch#045] [A] W</v>
      </c>
      <c r="V104" t="str">
        <f>IF(MID(S104,16,2)="0","",MID(S104,1,15)&amp;MID(S104,16,2))</f>
        <v>6-DaHall 1-PDU-02</v>
      </c>
      <c r="W104" t="str">
        <f>IF(IF(LEN((MID(S104,22,2)))=1, "[branch#0"&amp;0&amp;MID(S104,22,2)&amp;"] [A] W", "[branch#0"&amp;MID(S104,22,2)&amp;"] [A] W")="[branch#0] [A] W", "", IF(LEN((MID(S104,22,2)))=1, "[branch#0"&amp;0&amp;MID(S104,22,2)&amp;"] [A] W", "[branch#0"&amp;MID(S104,22,2)&amp;"] [A] W"))</f>
        <v>[branch#045] [A] W</v>
      </c>
      <c r="X104" s="2989" cm="1">
        <f t="array" ref="X104">INDEX('각층분기별_유효전력최대(전월)'!$I$4:$I$2020,MATCH(1, ('각층분기별_유효전력최대(전월)'!$G$4:$G$2020='7층~4층_매핑테이블'!T104) * ('각층분기별_유효전력최대(전월)'!$H$4:$H$2020='7층~4층_매핑테이블'!U104),0)) + INDEX('각층분기별_유효전력최대(전월)'!$I$4:$I$2020,MATCH(1, ('각층분기별_유효전력최대(전월)'!$G$4:$G$2020='7층~4층_매핑테이블'!V104) * ('각층분기별_유효전력최대(전월)'!$H$4:$H$2020='7층~4층_매핑테이블'!W104),0))</f>
        <v>0</v>
      </c>
      <c r="Y104" s="3274" t="str">
        <f t="shared" si="125"/>
        <v>7-DaHall 1-PDU-01-30-287-DaHall 1-PDU-02-30-28</v>
      </c>
      <c r="Z104" s="217" t="s">
        <v>9951</v>
      </c>
      <c r="AA104" s="217" t="s">
        <v>9952</v>
      </c>
      <c r="AB104" s="3274" t="str">
        <f t="shared" si="126"/>
        <v>7-DaHall 1-PDU-01</v>
      </c>
      <c r="AC104" t="s">
        <v>9430</v>
      </c>
      <c r="AD104" t="str">
        <f t="shared" si="85"/>
        <v>7-DaHall 1-PDU-02</v>
      </c>
      <c r="AE104" t="s">
        <v>9430</v>
      </c>
      <c r="AF104" s="2989" cm="1">
        <f t="array" ref="AF104">INDEX('각층분기별_유효전력최대(전월)'!$L$4:$L$2020,MATCH(1, ('각층분기별_유효전력최대(전월)'!$J$4:$J$2020='7층~4층_매핑테이블'!AB104) * ('각층분기별_유효전력최대(전월)'!$K$4:$K$2020='7층~4층_매핑테이블'!AC104),0)) + INDEX('각층분기별_유효전력최대(전월)'!$L$4:$L$2020,MATCH(1, ('각층분기별_유효전력최대(전월)'!$J$4:$J$2020='7층~4층_매핑테이블'!AD104) * ('각층분기별_유효전력최대(전월)'!$K$4:$K$2020='7층~4층_매핑테이블'!AE104),0))</f>
        <v>2.3559999999999999</v>
      </c>
    </row>
    <row r="105" spans="1:32" x14ac:dyDescent="0.25">
      <c r="A105" t="str">
        <f>B105&amp;C105</f>
        <v/>
      </c>
      <c r="B105" s="217"/>
      <c r="C105" s="217"/>
      <c r="D105" s="2989" t="str">
        <f>IF(MID(B105,16,2)="0","",MID(B105,1,15)&amp;MID(B105,16,2))</f>
        <v/>
      </c>
      <c r="E105" s="2989" t="str">
        <f t="shared" si="86"/>
        <v/>
      </c>
      <c r="F105" s="2989" t="str">
        <f>IF(MID(C105,16,2)="0","",MID(C105,1,15)&amp;MID(C105,16,2))</f>
        <v/>
      </c>
      <c r="G105" s="2989" t="str">
        <f>IF(IF(LEN(MID(C105,23,2))=1, "[branch#0"&amp;0&amp;MID(C105,23,2)&amp;"] [A] W", "[branch#0"&amp;MID(C105,23,2)&amp;"] [A] W")="[branch#0] [A] W", "", IF(LEN(MID(C105,23,2))=1, "[branch#0"&amp;0&amp;MID(C105,23,2)&amp;"] [A] W", "[branch#0"&amp;MID(C105,23,2)&amp;"] [A] W"))</f>
        <v/>
      </c>
      <c r="H105" s="2989" cm="1">
        <f t="array" ref="H105">INDEX('각층분기별_유효전력최대(전월)'!$C$4:$C$2020,MATCH(1, ('각층분기별_유효전력최대(전월)'!$A$4:$A$2020='7층~4층_매핑테이블'!D105) * ('각층분기별_유효전력최대(전월)'!$B$4:$B$2020='7층~4층_매핑테이블'!E105),0)) + INDEX('각층분기별_유효전력최대(전월)'!$C$4:$C$2020,MATCH(1, ('각층분기별_유효전력최대(전월)'!$A$4:$A$2020='7층~4층_매핑테이블'!F105) * ('각층분기별_유효전력최대(전월)'!$B$4:$B$2020='7층~4층_매핑테이블'!G105),0))</f>
        <v>0</v>
      </c>
      <c r="I105" t="str">
        <f>J105&amp;K105</f>
        <v>5-DaHall 1-PDU-03-30-55-DaHall 1-PDU-04-30-5</v>
      </c>
      <c r="J105" s="217" t="s">
        <v>9953</v>
      </c>
      <c r="K105" s="217" t="s">
        <v>9954</v>
      </c>
      <c r="L105" t="str">
        <f t="shared" si="82"/>
        <v>5-DaHall 1-PDU-03</v>
      </c>
      <c r="M105" t="str">
        <f>IF(IF(LEN((MID(J105,22,2)))=1, "[branch#0"&amp;0&amp;MID(J105,22,2)&amp;"] [A] W", "[branch#0"&amp;MID(J105,22,2)&amp;"] [A] W")="[branch#0] [A] W", "", IF(LEN((MID(J105,22,2)))=1, "[branch#0"&amp;0&amp;MID(J105,22,2)&amp;"] [A] W", "[branch#0"&amp;MID(J105,22,2)&amp;"] [A] W"))</f>
        <v>[branch#005] [A] W</v>
      </c>
      <c r="N105" t="str">
        <f>IF(MID(K105,16,2)="0","",MID(K105,1,15)&amp;MID(K105,16,2))</f>
        <v>5-DaHall 1-PDU-04</v>
      </c>
      <c r="O105" t="str">
        <f>IF(IF(LEN((MID(K105,22,2)))=1, "[branch#0"&amp;0&amp;MID(K105,22,2)&amp;"] [A] W", "[branch#0"&amp;MID(K105,22,2)&amp;"] [A] W")="[branch#0] [A] W", "", IF(LEN((MID(K105,22,2)))=1, "[branch#0"&amp;0&amp;MID(K105,22,2)&amp;"] [A] W", "[branch#0"&amp;MID(K105,22,2)&amp;"] [A] W"))</f>
        <v>[branch#005] [A] W</v>
      </c>
      <c r="P105" s="2989" cm="1">
        <f t="array" ref="P105">INDEX('각층분기별_유효전력최대(전월)'!$F$4:$F$2020,MATCH(1, ('각층분기별_유효전력최대(전월)'!$D$4:$D$2020='7층~4층_매핑테이블'!L105) * ('각층분기별_유효전력최대(전월)'!$E$4:$E$2020='7층~4층_매핑테이블'!M105),0)) + INDEX('각층분기별_유효전력최대(전월)'!$F$4:$F$2020,MATCH(1, ('각층분기별_유효전력최대(전월)'!$D$4:$D$2020='7층~4층_매핑테이블'!N105) * ('각층분기별_유효전력최대(전월)'!$E$4:$E$2020='7층~4층_매핑테이블'!O105),0))</f>
        <v>0</v>
      </c>
      <c r="Q105" s="1" t="str">
        <f t="shared" ref="Q105:Q112" si="131">R105&amp;S105</f>
        <v>6-DaHall 1-PDU-01-30-476-DaHall 1-PDU-02-30-47</v>
      </c>
      <c r="R105" s="217" t="s">
        <v>9955</v>
      </c>
      <c r="S105" s="217" t="s">
        <v>9956</v>
      </c>
      <c r="T105" t="str">
        <f t="shared" si="88"/>
        <v>6-DaHall 1-PDU-01</v>
      </c>
      <c r="U105" t="str">
        <f t="shared" ref="U105:U112" si="132">IF(IF(LEN((MID(R105,22,2)))=1, "[branch#0"&amp;0&amp;MID(R105,22,2)&amp;"] [A] W", "[branch#0"&amp;MID(R105,22,2)&amp;"] [A] W")="[branch#0] [A] W", "", IF(LEN((MID(R105,22,2)))=1, "[branch#0"&amp;0&amp;MID(R105,22,2)&amp;"] [A] W", "[branch#0"&amp;MID(R105,22,2)&amp;"] [A] W"))</f>
        <v>[branch#047] [A] W</v>
      </c>
      <c r="V105" t="str">
        <f t="shared" ref="V105:V112" si="133">IF(MID(S105,16,2)="0","",MID(S105,1,15)&amp;MID(S105,16,2))</f>
        <v>6-DaHall 1-PDU-02</v>
      </c>
      <c r="W105" t="str">
        <f t="shared" ref="W105:W112" si="134">IF(IF(LEN((MID(S105,22,2)))=1, "[branch#0"&amp;0&amp;MID(S105,22,2)&amp;"] [A] W", "[branch#0"&amp;MID(S105,22,2)&amp;"] [A] W")="[branch#0] [A] W", "", IF(LEN((MID(S105,22,2)))=1, "[branch#0"&amp;0&amp;MID(S105,22,2)&amp;"] [A] W", "[branch#0"&amp;MID(S105,22,2)&amp;"] [A] W"))</f>
        <v>[branch#047] [A] W</v>
      </c>
      <c r="X105" s="2989" cm="1">
        <f t="array" ref="X105">INDEX('각층분기별_유효전력최대(전월)'!$I$4:$I$2020,MATCH(1, ('각층분기별_유효전력최대(전월)'!$G$4:$G$2020='7층~4층_매핑테이블'!T105) * ('각층분기별_유효전력최대(전월)'!$H$4:$H$2020='7층~4층_매핑테이블'!U105),0)) + INDEX('각층분기별_유효전력최대(전월)'!$I$4:$I$2020,MATCH(1, ('각층분기별_유효전력최대(전월)'!$G$4:$G$2020='7층~4층_매핑테이블'!V105) * ('각층분기별_유효전력최대(전월)'!$H$4:$H$2020='7층~4층_매핑테이블'!W105),0))</f>
        <v>0</v>
      </c>
      <c r="Y105" s="3274" t="str">
        <f t="shared" si="125"/>
        <v>7-DaHall 1-PDU-01-    30AT-407-DaHall 1-PDU-02-    30AT-40</v>
      </c>
      <c r="Z105" s="217" t="s">
        <v>9957</v>
      </c>
      <c r="AA105" s="217" t="s">
        <v>9958</v>
      </c>
      <c r="AB105" s="3274" t="str">
        <f t="shared" si="126"/>
        <v>7-DaHall 1-PDU-01</v>
      </c>
      <c r="AC105" t="s">
        <v>9368</v>
      </c>
      <c r="AD105" t="str">
        <f t="shared" si="85"/>
        <v>7-DaHall 1-PDU-02</v>
      </c>
      <c r="AE105" t="s">
        <v>9368</v>
      </c>
      <c r="AF105" s="2989" cm="1">
        <f t="array" ref="AF105">INDEX('각층분기별_유효전력최대(전월)'!$L$4:$L$2020,MATCH(1, ('각층분기별_유효전력최대(전월)'!$J$4:$J$2020='7층~4층_매핑테이블'!AB105) * ('각층분기별_유효전력최대(전월)'!$K$4:$K$2020='7층~4층_매핑테이블'!AC105),0)) + INDEX('각층분기별_유효전력최대(전월)'!$L$4:$L$2020,MATCH(1, ('각층분기별_유효전력최대(전월)'!$J$4:$J$2020='7층~4층_매핑테이블'!AD105) * ('각층분기별_유효전력최대(전월)'!$K$4:$K$2020='7층~4층_매핑테이블'!AE105),0))</f>
        <v>1.4039999999999999</v>
      </c>
    </row>
    <row r="106" spans="1:32" x14ac:dyDescent="0.25">
      <c r="A106" t="str">
        <f t="shared" ref="A106:A114" si="135">B106&amp;C106</f>
        <v/>
      </c>
      <c r="B106" s="217"/>
      <c r="C106" s="217"/>
      <c r="D106" s="2989" t="str">
        <f>IF(MID(B106,16,2)="0","",MID(B106,1,15)&amp;MID(B106,16,2))</f>
        <v/>
      </c>
      <c r="E106" s="2989" t="str">
        <f t="shared" si="86"/>
        <v/>
      </c>
      <c r="F106" s="2989" t="str">
        <f>IF(MID(C106,16,2)="0","",MID(C106,1,15)&amp;MID(C106,16,2))</f>
        <v/>
      </c>
      <c r="G106" s="2989" t="str">
        <f>IF(IF(LEN(MID(C106,23,2))=1, "[branch#0"&amp;0&amp;MID(C106,23,2)&amp;"] [A] W", "[branch#0"&amp;MID(C106,23,2)&amp;"] [A] W")="[branch#0] [A] W", "", IF(LEN(MID(C106,23,2))=1, "[branch#0"&amp;0&amp;MID(C106,23,2)&amp;"] [A] W", "[branch#0"&amp;MID(C106,23,2)&amp;"] [A] W"))</f>
        <v/>
      </c>
      <c r="H106" s="2989" cm="1">
        <f t="array" ref="H106">INDEX('각층분기별_유효전력최대(전월)'!$C$4:$C$2020,MATCH(1, ('각층분기별_유효전력최대(전월)'!$A$4:$A$2020='7층~4층_매핑테이블'!D106) * ('각층분기별_유효전력최대(전월)'!$B$4:$B$2020='7층~4층_매핑테이블'!E106),0)) + INDEX('각층분기별_유효전력최대(전월)'!$C$4:$C$2020,MATCH(1, ('각층분기별_유효전력최대(전월)'!$A$4:$A$2020='7층~4층_매핑테이블'!F106) * ('각층분기별_유효전력최대(전월)'!$B$4:$B$2020='7층~4층_매핑테이블'!G106),0))</f>
        <v>0</v>
      </c>
      <c r="I106" t="str">
        <f t="shared" ref="I106:I111" si="136">J106&amp;K106</f>
        <v>5-DaHall 1-PDU-03-30-75-DaHall 1-PDU-04-30-7</v>
      </c>
      <c r="J106" s="217" t="s">
        <v>9959</v>
      </c>
      <c r="K106" s="217" t="s">
        <v>9960</v>
      </c>
      <c r="L106" t="str">
        <f t="shared" si="82"/>
        <v>5-DaHall 1-PDU-03</v>
      </c>
      <c r="M106" t="str">
        <f t="shared" ref="M106:M111" si="137">IF(IF(LEN((MID(J106,22,2)))=1, "[branch#0"&amp;0&amp;MID(J106,22,2)&amp;"] [A] W", "[branch#0"&amp;MID(J106,22,2)&amp;"] [A] W")="[branch#0] [A] W", "", IF(LEN((MID(J106,22,2)))=1, "[branch#0"&amp;0&amp;MID(J106,22,2)&amp;"] [A] W", "[branch#0"&amp;MID(J106,22,2)&amp;"] [A] W"))</f>
        <v>[branch#007] [A] W</v>
      </c>
      <c r="N106" t="str">
        <f t="shared" ref="N106:N111" si="138">IF(MID(K106,16,2)="0","",MID(K106,1,15)&amp;MID(K106,16,2))</f>
        <v>5-DaHall 1-PDU-04</v>
      </c>
      <c r="O106" t="str">
        <f t="shared" ref="O106:O111" si="139">IF(IF(LEN((MID(K106,22,2)))=1, "[branch#0"&amp;0&amp;MID(K106,22,2)&amp;"] [A] W", "[branch#0"&amp;MID(K106,22,2)&amp;"] [A] W")="[branch#0] [A] W", "", IF(LEN((MID(K106,22,2)))=1, "[branch#0"&amp;0&amp;MID(K106,22,2)&amp;"] [A] W", "[branch#0"&amp;MID(K106,22,2)&amp;"] [A] W"))</f>
        <v>[branch#007] [A] W</v>
      </c>
      <c r="P106" s="2989" cm="1">
        <f t="array" ref="P106">INDEX('각층분기별_유효전력최대(전월)'!$F$4:$F$2020,MATCH(1, ('각층분기별_유효전력최대(전월)'!$D$4:$D$2020='7층~4층_매핑테이블'!L106) * ('각층분기별_유효전력최대(전월)'!$E$4:$E$2020='7층~4층_매핑테이블'!M106),0)) + INDEX('각층분기별_유효전력최대(전월)'!$F$4:$F$2020,MATCH(1, ('각층분기별_유효전력최대(전월)'!$D$4:$D$2020='7층~4층_매핑테이블'!N106) * ('각층분기별_유효전력최대(전월)'!$E$4:$E$2020='7층~4층_매핑테이블'!O106),0))</f>
        <v>0</v>
      </c>
      <c r="Q106" s="1" t="str">
        <f t="shared" si="131"/>
        <v>6-DaHall 1-PDU-05-30-486-DaHall 1-PDU-06-30-48</v>
      </c>
      <c r="R106" s="217" t="s">
        <v>9961</v>
      </c>
      <c r="S106" s="217" t="s">
        <v>9962</v>
      </c>
      <c r="T106" t="str">
        <f t="shared" si="88"/>
        <v>6-DaHall 1-PDU-05</v>
      </c>
      <c r="U106" t="str">
        <f t="shared" si="132"/>
        <v>[branch#048] [A] W</v>
      </c>
      <c r="V106" t="str">
        <f t="shared" si="133"/>
        <v>6-DaHall 1-PDU-06</v>
      </c>
      <c r="W106" t="str">
        <f t="shared" si="134"/>
        <v>[branch#048] [A] W</v>
      </c>
      <c r="X106" s="2989" cm="1">
        <f t="array" ref="X106">INDEX('각층분기별_유효전력최대(전월)'!$I$4:$I$2020,MATCH(1, ('각층분기별_유효전력최대(전월)'!$G$4:$G$2020='7층~4층_매핑테이블'!T106) * ('각층분기별_유효전력최대(전월)'!$H$4:$H$2020='7층~4층_매핑테이블'!U106),0)) + INDEX('각층분기별_유효전력최대(전월)'!$I$4:$I$2020,MATCH(1, ('각층분기별_유효전력최대(전월)'!$G$4:$G$2020='7층~4층_매핑테이블'!V106) * ('각층분기별_유효전력최대(전월)'!$H$4:$H$2020='7층~4층_매핑테이블'!W106),0))</f>
        <v>0</v>
      </c>
      <c r="Y106" s="3274" t="str">
        <f t="shared" si="125"/>
        <v>7-DaHall 1-PDU-01-    30AT-387-DaHall 1-PDU-02-    30AT-38</v>
      </c>
      <c r="Z106" s="217" t="s">
        <v>9963</v>
      </c>
      <c r="AA106" s="217" t="s">
        <v>9964</v>
      </c>
      <c r="AB106" s="3274" t="str">
        <f t="shared" si="126"/>
        <v>7-DaHall 1-PDU-01</v>
      </c>
      <c r="AC106" t="s">
        <v>9358</v>
      </c>
      <c r="AD106" t="str">
        <f t="shared" si="85"/>
        <v>7-DaHall 1-PDU-02</v>
      </c>
      <c r="AE106" t="s">
        <v>9358</v>
      </c>
      <c r="AF106" s="2989" cm="1">
        <f t="array" ref="AF106">INDEX('각층분기별_유효전력최대(전월)'!$L$4:$L$2020,MATCH(1, ('각층분기별_유효전력최대(전월)'!$J$4:$J$2020='7층~4층_매핑테이블'!AB106) * ('각층분기별_유효전력최대(전월)'!$K$4:$K$2020='7층~4층_매핑테이블'!AC106),0)) + INDEX('각층분기별_유효전력최대(전월)'!$L$4:$L$2020,MATCH(1, ('각층분기별_유효전력최대(전월)'!$J$4:$J$2020='7층~4층_매핑테이블'!AD106) * ('각층분기별_유효전력최대(전월)'!$K$4:$K$2020='7층~4층_매핑테이블'!AE106),0))</f>
        <v>1.3820000000000001</v>
      </c>
    </row>
    <row r="107" spans="1:32" x14ac:dyDescent="0.25">
      <c r="A107" t="str">
        <f t="shared" si="135"/>
        <v/>
      </c>
      <c r="B107" s="217"/>
      <c r="C107" s="217"/>
      <c r="D107" s="2989" t="str">
        <f t="shared" ref="D107:D123" si="140">IF(MID(B107,16,2)="0","",MID(B107,1,15)&amp;MID(B107,16,2))</f>
        <v/>
      </c>
      <c r="E107" s="2989" t="str">
        <f t="shared" si="86"/>
        <v/>
      </c>
      <c r="F107" s="2989" t="str">
        <f>IF(MID(C107,16,2)="0","",MID(C107,1,15)&amp;MID(C107,16,2))</f>
        <v/>
      </c>
      <c r="G107" s="2989" t="str">
        <f>IF(IF(LEN(MID(C107,23,2))=1, "[branch#0"&amp;0&amp;MID(C107,23,2)&amp;"] [A] W", "[branch#0"&amp;MID(C107,23,2)&amp;"] [A] W")="[branch#0] [A] W", "", IF(LEN(MID(C107,23,2))=1, "[branch#0"&amp;0&amp;MID(C107,23,2)&amp;"] [A] W", "[branch#0"&amp;MID(C107,23,2)&amp;"] [A] W"))</f>
        <v/>
      </c>
      <c r="H107" s="2989" cm="1">
        <f t="array" ref="H107">INDEX('각층분기별_유효전력최대(전월)'!$C$4:$C$2020,MATCH(1, ('각층분기별_유효전력최대(전월)'!$A$4:$A$2020='7층~4층_매핑테이블'!D107) * ('각층분기별_유효전력최대(전월)'!$B$4:$B$2020='7층~4층_매핑테이블'!E107),0)) + INDEX('각층분기별_유효전력최대(전월)'!$C$4:$C$2020,MATCH(1, ('각층분기별_유효전력최대(전월)'!$A$4:$A$2020='7층~4층_매핑테이블'!F107) * ('각층분기별_유효전력최대(전월)'!$B$4:$B$2020='7층~4층_매핑테이블'!G107),0))</f>
        <v>0</v>
      </c>
      <c r="I107" t="str">
        <f t="shared" si="136"/>
        <v>5-DaHall 1-PDU-03-30-95-DaHall 1-PDU-04-30-9</v>
      </c>
      <c r="J107" s="217" t="s">
        <v>9965</v>
      </c>
      <c r="K107" s="217" t="s">
        <v>9966</v>
      </c>
      <c r="L107" t="str">
        <f t="shared" si="82"/>
        <v>5-DaHall 1-PDU-03</v>
      </c>
      <c r="M107" t="str">
        <f t="shared" si="137"/>
        <v>[branch#009] [A] W</v>
      </c>
      <c r="N107" t="str">
        <f t="shared" si="138"/>
        <v>5-DaHall 1-PDU-04</v>
      </c>
      <c r="O107" t="str">
        <f t="shared" si="139"/>
        <v>[branch#009] [A] W</v>
      </c>
      <c r="P107" s="2989" cm="1">
        <f t="array" ref="P107">INDEX('각층분기별_유효전력최대(전월)'!$F$4:$F$2020,MATCH(1, ('각층분기별_유효전력최대(전월)'!$D$4:$D$2020='7층~4층_매핑테이블'!L107) * ('각층분기별_유효전력최대(전월)'!$E$4:$E$2020='7층~4층_매핑테이블'!M107),0)) + INDEX('각층분기별_유효전력최대(전월)'!$F$4:$F$2020,MATCH(1, ('각층분기별_유효전력최대(전월)'!$D$4:$D$2020='7층~4층_매핑테이블'!N107) * ('각층분기별_유효전력최대(전월)'!$E$4:$E$2020='7층~4층_매핑테이블'!O107),0))</f>
        <v>0</v>
      </c>
      <c r="Q107" s="1" t="str">
        <f t="shared" si="131"/>
        <v>6-DaHall 1-PDU-01-30-186-DaHall 1-PDU-02-30-34</v>
      </c>
      <c r="R107" s="217" t="s">
        <v>9967</v>
      </c>
      <c r="S107" s="217" t="s">
        <v>9968</v>
      </c>
      <c r="T107" t="str">
        <f t="shared" si="88"/>
        <v>6-DaHall 1-PDU-01</v>
      </c>
      <c r="U107" t="str">
        <f t="shared" si="132"/>
        <v>[branch#018] [A] W</v>
      </c>
      <c r="V107" t="str">
        <f t="shared" si="133"/>
        <v>6-DaHall 1-PDU-02</v>
      </c>
      <c r="W107" t="str">
        <f t="shared" si="134"/>
        <v>[branch#034] [A] W</v>
      </c>
      <c r="X107" s="2989" cm="1">
        <f t="array" ref="X107">INDEX('각층분기별_유효전력최대(전월)'!$I$4:$I$2020,MATCH(1, ('각층분기별_유효전력최대(전월)'!$G$4:$G$2020='7층~4층_매핑테이블'!T107) * ('각층분기별_유효전력최대(전월)'!$H$4:$H$2020='7층~4층_매핑테이블'!U107),0)) + INDEX('각층분기별_유효전력최대(전월)'!$I$4:$I$2020,MATCH(1, ('각층분기별_유효전력최대(전월)'!$G$4:$G$2020='7층~4층_매핑테이블'!V107) * ('각층분기별_유효전력최대(전월)'!$H$4:$H$2020='7층~4층_매핑테이블'!W107),0))</f>
        <v>0</v>
      </c>
      <c r="Y107" s="3274" t="str">
        <f>Z107&amp;AA107</f>
        <v>7-DaHall 1-PDU-01-    30AT-367-DaHall 1-PDU-02-    30AT-36</v>
      </c>
      <c r="Z107" s="217" t="s">
        <v>9969</v>
      </c>
      <c r="AA107" s="217" t="s">
        <v>9970</v>
      </c>
      <c r="AB107" s="3274" t="str">
        <f>IF(MID(Z107,16,2)="0","",MID(Z107,1,15)&amp;MID(Z107,16,2))</f>
        <v>7-DaHall 1-PDU-01</v>
      </c>
      <c r="AC107" t="s">
        <v>9349</v>
      </c>
      <c r="AD107" t="str">
        <f t="shared" si="85"/>
        <v>7-DaHall 1-PDU-02</v>
      </c>
      <c r="AE107" t="s">
        <v>9349</v>
      </c>
      <c r="AF107" s="2989" cm="1">
        <f t="array" ref="AF107">INDEX('각층분기별_유효전력최대(전월)'!$L$4:$L$2020,MATCH(1, ('각층분기별_유효전력최대(전월)'!$J$4:$J$2020='7층~4층_매핑테이블'!AB107) * ('각층분기별_유효전력최대(전월)'!$K$4:$K$2020='7층~4층_매핑테이블'!AC107),0)) + INDEX('각층분기별_유효전력최대(전월)'!$L$4:$L$2020,MATCH(1, ('각층분기별_유효전력최대(전월)'!$J$4:$J$2020='7층~4층_매핑테이블'!AD107) * ('각층분기별_유효전력최대(전월)'!$K$4:$K$2020='7층~4층_매핑테이블'!AE107),0))</f>
        <v>0</v>
      </c>
    </row>
    <row r="108" spans="1:32" x14ac:dyDescent="0.25">
      <c r="A108" t="str">
        <f t="shared" si="135"/>
        <v/>
      </c>
      <c r="B108" s="217"/>
      <c r="C108" s="217"/>
      <c r="D108" s="2989" t="str">
        <f t="shared" si="140"/>
        <v/>
      </c>
      <c r="E108" s="2989" t="str">
        <f t="shared" si="86"/>
        <v/>
      </c>
      <c r="F108" s="2989" t="str">
        <f>IF(MID(C108,16,2)="0","",MID(C108,1,15)&amp;MID(C108,16,2))</f>
        <v/>
      </c>
      <c r="G108" s="2989" t="str">
        <f>IF(IF(LEN(MID(C108,23,2))=1, "[branch#0"&amp;0&amp;MID(C108,23,2)&amp;"] [A] W", "[branch#0"&amp;MID(C108,23,2)&amp;"] [A] W")="[branch#0] [A] W", "", IF(LEN(MID(C108,23,2))=1, "[branch#0"&amp;0&amp;MID(C108,23,2)&amp;"] [A] W", "[branch#0"&amp;MID(C108,23,2)&amp;"] [A] W"))</f>
        <v/>
      </c>
      <c r="H108" s="2989" cm="1">
        <f t="array" ref="H108">INDEX('각층분기별_유효전력최대(전월)'!$C$4:$C$2020,MATCH(1, ('각층분기별_유효전력최대(전월)'!$A$4:$A$2020='7층~4층_매핑테이블'!D108) * ('각층분기별_유효전력최대(전월)'!$B$4:$B$2020='7층~4층_매핑테이블'!E108),0)) + INDEX('각층분기별_유효전력최대(전월)'!$C$4:$C$2020,MATCH(1, ('각층분기별_유효전력최대(전월)'!$A$4:$A$2020='7층~4층_매핑테이블'!F108) * ('각층분기별_유효전력최대(전월)'!$B$4:$B$2020='7층~4층_매핑테이블'!G108),0))</f>
        <v>0</v>
      </c>
      <c r="I108" t="str">
        <f t="shared" si="136"/>
        <v>5-DaHall 1-PDU-03-30-115-DaHall 1-PDU-04-30-11</v>
      </c>
      <c r="J108" s="217" t="s">
        <v>9971</v>
      </c>
      <c r="K108" s="217" t="s">
        <v>9972</v>
      </c>
      <c r="L108" t="str">
        <f t="shared" si="82"/>
        <v>5-DaHall 1-PDU-03</v>
      </c>
      <c r="M108" t="str">
        <f t="shared" si="137"/>
        <v>[branch#011] [A] W</v>
      </c>
      <c r="N108" t="str">
        <f t="shared" si="138"/>
        <v>5-DaHall 1-PDU-04</v>
      </c>
      <c r="O108" t="str">
        <f t="shared" si="139"/>
        <v>[branch#011] [A] W</v>
      </c>
      <c r="P108" s="2989" cm="1">
        <f t="array" ref="P108">INDEX('각층분기별_유효전력최대(전월)'!$F$4:$F$2020,MATCH(1, ('각층분기별_유효전력최대(전월)'!$D$4:$D$2020='7층~4층_매핑테이블'!L108) * ('각층분기별_유효전력최대(전월)'!$E$4:$E$2020='7층~4층_매핑테이블'!M108),0)) + INDEX('각층분기별_유효전력최대(전월)'!$F$4:$F$2020,MATCH(1, ('각층분기별_유효전력최대(전월)'!$D$4:$D$2020='7층~4층_매핑테이블'!N108) * ('각층분기별_유효전력최대(전월)'!$E$4:$E$2020='7층~4층_매핑테이블'!O108),0))</f>
        <v>0</v>
      </c>
      <c r="Q108" s="1" t="str">
        <f t="shared" si="131"/>
        <v>6-DaHall 1-PDU-01-30-206-DaHall 1-PDU-02-30-20</v>
      </c>
      <c r="R108" s="217" t="s">
        <v>9973</v>
      </c>
      <c r="S108" s="217" t="s">
        <v>9974</v>
      </c>
      <c r="T108" t="str">
        <f t="shared" si="88"/>
        <v>6-DaHall 1-PDU-01</v>
      </c>
      <c r="U108" t="str">
        <f t="shared" si="132"/>
        <v>[branch#020] [A] W</v>
      </c>
      <c r="V108" t="str">
        <f t="shared" si="133"/>
        <v>6-DaHall 1-PDU-02</v>
      </c>
      <c r="W108" t="str">
        <f t="shared" si="134"/>
        <v>[branch#020] [A] W</v>
      </c>
      <c r="X108" s="2989" cm="1">
        <f t="array" ref="X108">INDEX('각층분기별_유효전력최대(전월)'!$I$4:$I$2020,MATCH(1, ('각층분기별_유효전력최대(전월)'!$G$4:$G$2020='7층~4층_매핑테이블'!T108) * ('각층분기별_유효전력최대(전월)'!$H$4:$H$2020='7층~4층_매핑테이블'!U108),0)) + INDEX('각층분기별_유효전력최대(전월)'!$I$4:$I$2020,MATCH(1, ('각층분기별_유효전력최대(전월)'!$G$4:$G$2020='7층~4층_매핑테이블'!V108) * ('각층분기별_유효전력최대(전월)'!$H$4:$H$2020='7층~4층_매핑테이블'!W108),0))</f>
        <v>0</v>
      </c>
      <c r="Y108" s="3274" t="str">
        <f t="shared" si="125"/>
        <v>7-DaHall 1-A-3-35-227-DaHall 1-B-3-35-22</v>
      </c>
      <c r="Z108" s="217" t="s">
        <v>9975</v>
      </c>
      <c r="AA108" s="217" t="s">
        <v>9976</v>
      </c>
      <c r="AB108" s="3274" t="str">
        <f>IF(MID(Z108,16,2)="0","",MID(Z108,1,15)&amp;MID(Z108,16,2))</f>
        <v>7-DaHall 1-A-3-35</v>
      </c>
      <c r="AC108" t="s">
        <v>9547</v>
      </c>
      <c r="AD108" t="str">
        <f t="shared" si="85"/>
        <v>7-DaHall 1-B-3-35</v>
      </c>
      <c r="AE108" t="s">
        <v>9547</v>
      </c>
      <c r="AF108" s="2989" t="e" cm="1">
        <f t="array" ref="AF108">INDEX('각층분기별_유효전력최대(전월)'!$L$4:$L$2020,MATCH(1, ('각층분기별_유효전력최대(전월)'!$J$4:$J$2020='7층~4층_매핑테이블'!AB108) * ('각층분기별_유효전력최대(전월)'!$K$4:$K$2020='7층~4층_매핑테이블'!AC108),0)) + INDEX('각층분기별_유효전력최대(전월)'!$L$4:$L$2020,MATCH(1, ('각층분기별_유효전력최대(전월)'!$J$4:$J$2020='7층~4층_매핑테이블'!AD108) * ('각층분기별_유효전력최대(전월)'!$K$4:$K$2020='7층~4층_매핑테이블'!AE108),0))</f>
        <v>#N/A</v>
      </c>
    </row>
    <row r="109" spans="1:32" x14ac:dyDescent="0.25">
      <c r="A109" t="str">
        <f t="shared" si="135"/>
        <v/>
      </c>
      <c r="B109" s="217"/>
      <c r="C109" s="217"/>
      <c r="D109" s="2989" t="str">
        <f t="shared" si="140"/>
        <v/>
      </c>
      <c r="E109" s="2989" t="str">
        <f t="shared" si="86"/>
        <v/>
      </c>
      <c r="F109" s="2989" t="str">
        <f t="shared" ref="F109:F123" si="141">IF(MID(C109,16,2)="0","",MID(C109,1,15)&amp;MID(C109,16,2))</f>
        <v/>
      </c>
      <c r="G109" s="2989" t="str">
        <f t="shared" ref="G109:G123" si="142">IF(IF(LEN(MID(C109,23,2))=1, "[branch#0"&amp;0&amp;MID(C109,23,2)&amp;"] [A] W", "[branch#0"&amp;MID(C109,23,2)&amp;"] [A] W")="[branch#0] [A] W", "", IF(LEN(MID(C109,23,2))=1, "[branch#0"&amp;0&amp;MID(C109,23,2)&amp;"] [A] W", "[branch#0"&amp;MID(C109,23,2)&amp;"] [A] W"))</f>
        <v/>
      </c>
      <c r="H109" s="2989" cm="1">
        <f t="array" ref="H109">INDEX('각층분기별_유효전력최대(전월)'!$C$4:$C$2020,MATCH(1, ('각층분기별_유효전력최대(전월)'!$A$4:$A$2020='7층~4층_매핑테이블'!D109) * ('각층분기별_유효전력최대(전월)'!$B$4:$B$2020='7층~4층_매핑테이블'!E109),0)) + INDEX('각층분기별_유효전력최대(전월)'!$C$4:$C$2020,MATCH(1, ('각층분기별_유효전력최대(전월)'!$A$4:$A$2020='7층~4층_매핑테이블'!F109) * ('각층분기별_유효전력최대(전월)'!$B$4:$B$2020='7층~4층_매핑테이블'!G109),0))</f>
        <v>0</v>
      </c>
      <c r="I109" t="str">
        <f t="shared" si="136"/>
        <v>5-DaHall 1-PDU-03-30-135-DaHall 1-PDU-04-30-13</v>
      </c>
      <c r="J109" s="217" t="s">
        <v>9977</v>
      </c>
      <c r="K109" s="217" t="s">
        <v>9978</v>
      </c>
      <c r="L109" t="str">
        <f t="shared" si="82"/>
        <v>5-DaHall 1-PDU-03</v>
      </c>
      <c r="M109" t="str">
        <f t="shared" si="137"/>
        <v>[branch#013] [A] W</v>
      </c>
      <c r="N109" t="str">
        <f t="shared" si="138"/>
        <v>5-DaHall 1-PDU-04</v>
      </c>
      <c r="O109" t="str">
        <f t="shared" si="139"/>
        <v>[branch#013] [A] W</v>
      </c>
      <c r="P109" s="2989" cm="1">
        <f t="array" ref="P109">INDEX('각층분기별_유효전력최대(전월)'!$F$4:$F$2020,MATCH(1, ('각층분기별_유효전력최대(전월)'!$D$4:$D$2020='7층~4층_매핑테이블'!L109) * ('각층분기별_유효전력최대(전월)'!$E$4:$E$2020='7층~4층_매핑테이블'!M109),0)) + INDEX('각층분기별_유효전력최대(전월)'!$F$4:$F$2020,MATCH(1, ('각층분기별_유효전력최대(전월)'!$D$4:$D$2020='7층~4층_매핑테이블'!N109) * ('각층분기별_유효전력최대(전월)'!$E$4:$E$2020='7층~4층_매핑테이블'!O109),0))</f>
        <v>0</v>
      </c>
      <c r="Q109" s="1" t="str">
        <f t="shared" si="131"/>
        <v>6-DaHall 1-PDU-01-30-226-DaHall 1-PDU-02-30-22</v>
      </c>
      <c r="R109" s="217" t="s">
        <v>9979</v>
      </c>
      <c r="S109" s="217" t="s">
        <v>9980</v>
      </c>
      <c r="T109" t="str">
        <f t="shared" si="88"/>
        <v>6-DaHall 1-PDU-01</v>
      </c>
      <c r="U109" t="str">
        <f t="shared" si="132"/>
        <v>[branch#022] [A] W</v>
      </c>
      <c r="V109" t="str">
        <f t="shared" si="133"/>
        <v>6-DaHall 1-PDU-02</v>
      </c>
      <c r="W109" t="str">
        <f t="shared" si="134"/>
        <v>[branch#022] [A] W</v>
      </c>
      <c r="X109" s="2989" cm="1">
        <f t="array" ref="X109">INDEX('각층분기별_유효전력최대(전월)'!$I$4:$I$2020,MATCH(1, ('각층분기별_유효전력최대(전월)'!$G$4:$G$2020='7층~4층_매핑테이블'!T109) * ('각층분기별_유효전력최대(전월)'!$H$4:$H$2020='7층~4층_매핑테이블'!U109),0)) + INDEX('각층분기별_유효전력최대(전월)'!$I$4:$I$2020,MATCH(1, ('각층분기별_유효전력최대(전월)'!$G$4:$G$2020='7층~4층_매핑테이블'!V109) * ('각층분기별_유효전력최대(전월)'!$H$4:$H$2020='7층~4층_매핑테이블'!W109),0))</f>
        <v>0</v>
      </c>
      <c r="Y109" s="3274" t="str">
        <f t="shared" si="125"/>
        <v>7-DaHall 1-A-3-35-517-DaHall 1-B-3-35-51</v>
      </c>
      <c r="Z109" s="217" t="s">
        <v>9981</v>
      </c>
      <c r="AA109" s="217" t="s">
        <v>9982</v>
      </c>
      <c r="AB109" s="3274" t="str">
        <f t="shared" ref="AB109" si="143">IF(MID(Z109,16,2)="0","",MID(Z109,1,15)&amp;MID(Z109,16,2))</f>
        <v>7-DaHall 1-A-3-35</v>
      </c>
      <c r="AC109" t="s">
        <v>9448</v>
      </c>
      <c r="AD109" t="str">
        <f t="shared" si="85"/>
        <v>7-DaHall 1-B-3-35</v>
      </c>
      <c r="AE109" t="s">
        <v>9448</v>
      </c>
      <c r="AF109" s="2989" t="e" cm="1">
        <f t="array" ref="AF109">INDEX('각층분기별_유효전력최대(전월)'!$L$4:$L$2020,MATCH(1, ('각층분기별_유효전력최대(전월)'!$J$4:$J$2020='7층~4층_매핑테이블'!AB109) * ('각층분기별_유효전력최대(전월)'!$K$4:$K$2020='7층~4층_매핑테이블'!AC109),0)) + INDEX('각층분기별_유효전력최대(전월)'!$L$4:$L$2020,MATCH(1, ('각층분기별_유효전력최대(전월)'!$J$4:$J$2020='7층~4층_매핑테이블'!AD109) * ('각층분기별_유효전력최대(전월)'!$K$4:$K$2020='7층~4층_매핑테이블'!AE109),0))</f>
        <v>#N/A</v>
      </c>
    </row>
    <row r="110" spans="1:32" x14ac:dyDescent="0.25">
      <c r="A110" t="str">
        <f t="shared" si="135"/>
        <v/>
      </c>
      <c r="B110" s="217"/>
      <c r="C110" s="217"/>
      <c r="D110" s="2989" t="str">
        <f t="shared" si="140"/>
        <v/>
      </c>
      <c r="E110" s="2989" t="str">
        <f t="shared" si="86"/>
        <v/>
      </c>
      <c r="F110" s="2989" t="str">
        <f t="shared" si="141"/>
        <v/>
      </c>
      <c r="G110" s="2989" t="str">
        <f t="shared" si="142"/>
        <v/>
      </c>
      <c r="H110" s="2989" cm="1">
        <f t="array" ref="H110">INDEX('각층분기별_유효전력최대(전월)'!$C$4:$C$2020,MATCH(1, ('각층분기별_유효전력최대(전월)'!$A$4:$A$2020='7층~4층_매핑테이블'!D110) * ('각층분기별_유효전력최대(전월)'!$B$4:$B$2020='7층~4층_매핑테이블'!E110),0)) + INDEX('각층분기별_유효전력최대(전월)'!$C$4:$C$2020,MATCH(1, ('각층분기별_유효전력최대(전월)'!$A$4:$A$2020='7층~4층_매핑테이블'!F110) * ('각층분기별_유효전력최대(전월)'!$B$4:$B$2020='7층~4층_매핑테이블'!G110),0))</f>
        <v>0</v>
      </c>
      <c r="I110" t="str">
        <f t="shared" si="136"/>
        <v>5-DaHall 1-PDU-03-30-155-DaHall 1-PDU-04-30-15</v>
      </c>
      <c r="J110" s="217" t="s">
        <v>9983</v>
      </c>
      <c r="K110" s="217" t="s">
        <v>9984</v>
      </c>
      <c r="L110" t="str">
        <f t="shared" si="82"/>
        <v>5-DaHall 1-PDU-03</v>
      </c>
      <c r="M110" t="str">
        <f t="shared" si="137"/>
        <v>[branch#015] [A] W</v>
      </c>
      <c r="N110" t="str">
        <f t="shared" si="138"/>
        <v>5-DaHall 1-PDU-04</v>
      </c>
      <c r="O110" t="str">
        <f t="shared" si="139"/>
        <v>[branch#015] [A] W</v>
      </c>
      <c r="P110" s="2989" cm="1">
        <f t="array" ref="P110">INDEX('각층분기별_유효전력최대(전월)'!$F$4:$F$2020,MATCH(1, ('각층분기별_유효전력최대(전월)'!$D$4:$D$2020='7층~4층_매핑테이블'!L110) * ('각층분기별_유효전력최대(전월)'!$E$4:$E$2020='7층~4층_매핑테이블'!M110),0)) + INDEX('각층분기별_유효전력최대(전월)'!$F$4:$F$2020,MATCH(1, ('각층분기별_유효전력최대(전월)'!$D$4:$D$2020='7층~4층_매핑테이블'!N110) * ('각층분기별_유효전력최대(전월)'!$E$4:$E$2020='7층~4층_매핑테이블'!O110),0))</f>
        <v>0</v>
      </c>
      <c r="Q110" s="1" t="str">
        <f>R110&amp;S110</f>
        <v>6-DaHall 1-PDU-01-30-246-DaHall 1-PDU-02-30-24</v>
      </c>
      <c r="R110" s="217" t="s">
        <v>9985</v>
      </c>
      <c r="S110" s="217" t="s">
        <v>9986</v>
      </c>
      <c r="T110" t="str">
        <f t="shared" si="88"/>
        <v>6-DaHall 1-PDU-01</v>
      </c>
      <c r="U110" t="str">
        <f t="shared" si="132"/>
        <v>[branch#024] [A] W</v>
      </c>
      <c r="V110" t="str">
        <f>IF(MID(S110,16,2)="0","",MID(S110,1,15)&amp;MID(S110,16,2))</f>
        <v>6-DaHall 1-PDU-02</v>
      </c>
      <c r="W110" t="str">
        <f>IF(IF(LEN((MID(S110,22,2)))=1, "[branch#0"&amp;0&amp;MID(S110,22,2)&amp;"] [A] W", "[branch#0"&amp;MID(S110,22,2)&amp;"] [A] W")="[branch#0] [A] W", "", IF(LEN((MID(S110,22,2)))=1, "[branch#0"&amp;0&amp;MID(S110,22,2)&amp;"] [A] W", "[branch#0"&amp;MID(S110,22,2)&amp;"] [A] W"))</f>
        <v>[branch#024] [A] W</v>
      </c>
      <c r="X110" s="2989" cm="1">
        <f t="array" ref="X110">INDEX('각층분기별_유효전력최대(전월)'!$I$4:$I$2020,MATCH(1, ('각층분기별_유효전력최대(전월)'!$G$4:$G$2020='7층~4층_매핑테이블'!T110) * ('각층분기별_유효전력최대(전월)'!$H$4:$H$2020='7층~4층_매핑테이블'!U110),0)) + INDEX('각층분기별_유효전력최대(전월)'!$I$4:$I$2020,MATCH(1, ('각층분기별_유효전력최대(전월)'!$G$4:$G$2020='7층~4층_매핑테이블'!V110) * ('각층분기별_유효전력최대(전월)'!$H$4:$H$2020='7층~4층_매핑테이블'!W110),0))</f>
        <v>0</v>
      </c>
      <c r="Y110" s="3274" t="str">
        <f>Z110&amp;AA110</f>
        <v>7-DaHall 1-A-3-35-507-DaHall 1-B-3-35-50</v>
      </c>
      <c r="Z110" s="217" t="s">
        <v>9987</v>
      </c>
      <c r="AA110" s="217" t="s">
        <v>9988</v>
      </c>
      <c r="AB110" s="3274" t="str">
        <f>IF(MID(Z110,16,2)="0","",MID(Z110,1,15)&amp;MID(Z110,16,2))</f>
        <v>7-DaHall 1-A-3-35</v>
      </c>
      <c r="AC110" t="s">
        <v>9533</v>
      </c>
      <c r="AD110" t="str">
        <f t="shared" si="85"/>
        <v>7-DaHall 1-B-3-35</v>
      </c>
      <c r="AE110" t="s">
        <v>9533</v>
      </c>
      <c r="AF110" s="2989" t="e" cm="1">
        <f t="array" ref="AF110">INDEX('각층분기별_유효전력최대(전월)'!$L$4:$L$2020,MATCH(1, ('각층분기별_유효전력최대(전월)'!$J$4:$J$2020='7층~4층_매핑테이블'!AB110) * ('각층분기별_유효전력최대(전월)'!$K$4:$K$2020='7층~4층_매핑테이블'!AC110),0)) + INDEX('각층분기별_유효전력최대(전월)'!$L$4:$L$2020,MATCH(1, ('각층분기별_유효전력최대(전월)'!$J$4:$J$2020='7층~4층_매핑테이블'!AD110) * ('각층분기별_유효전력최대(전월)'!$K$4:$K$2020='7층~4층_매핑테이블'!AE110),0))</f>
        <v>#N/A</v>
      </c>
    </row>
    <row r="111" spans="1:32" x14ac:dyDescent="0.25">
      <c r="A111" t="str">
        <f t="shared" si="135"/>
        <v/>
      </c>
      <c r="B111" s="217"/>
      <c r="C111" s="217"/>
      <c r="D111" s="2989" t="str">
        <f t="shared" si="140"/>
        <v/>
      </c>
      <c r="E111" s="2989" t="str">
        <f t="shared" si="86"/>
        <v/>
      </c>
      <c r="F111" s="2989" t="str">
        <f t="shared" si="141"/>
        <v/>
      </c>
      <c r="G111" s="2989" t="str">
        <f t="shared" si="142"/>
        <v/>
      </c>
      <c r="H111" s="2989" cm="1">
        <f t="array" ref="H111">INDEX('각층분기별_유효전력최대(전월)'!$C$4:$C$2020,MATCH(1, ('각층분기별_유효전력최대(전월)'!$A$4:$A$2020='7층~4층_매핑테이블'!D111) * ('각층분기별_유효전력최대(전월)'!$B$4:$B$2020='7층~4층_매핑테이블'!E111),0)) + INDEX('각층분기별_유효전력최대(전월)'!$C$4:$C$2020,MATCH(1, ('각층분기별_유효전력최대(전월)'!$A$4:$A$2020='7층~4층_매핑테이블'!F111) * ('각층분기별_유효전력최대(전월)'!$B$4:$B$2020='7층~4층_매핑테이블'!G111),0))</f>
        <v>0</v>
      </c>
      <c r="I111" t="str">
        <f t="shared" si="136"/>
        <v>5-DaHall 1-PDU-03-30-175-DaHall 1-PDU-04-30-17</v>
      </c>
      <c r="J111" s="217" t="s">
        <v>9989</v>
      </c>
      <c r="K111" s="217" t="s">
        <v>9990</v>
      </c>
      <c r="L111" t="str">
        <f t="shared" si="82"/>
        <v>5-DaHall 1-PDU-03</v>
      </c>
      <c r="M111" t="str">
        <f t="shared" si="137"/>
        <v>[branch#017] [A] W</v>
      </c>
      <c r="N111" t="str">
        <f t="shared" si="138"/>
        <v>5-DaHall 1-PDU-04</v>
      </c>
      <c r="O111" t="str">
        <f t="shared" si="139"/>
        <v>[branch#017] [A] W</v>
      </c>
      <c r="P111" s="2989" cm="1">
        <f t="array" ref="P111">INDEX('각층분기별_유효전력최대(전월)'!$F$4:$F$2020,MATCH(1, ('각층분기별_유효전력최대(전월)'!$D$4:$D$2020='7층~4층_매핑테이블'!L111) * ('각층분기별_유효전력최대(전월)'!$E$4:$E$2020='7층~4층_매핑테이블'!M111),0)) + INDEX('각층분기별_유효전력최대(전월)'!$F$4:$F$2020,MATCH(1, ('각층분기별_유효전력최대(전월)'!$D$4:$D$2020='7층~4층_매핑테이블'!N111) * ('각층분기별_유효전력최대(전월)'!$E$4:$E$2020='7층~4층_매핑테이블'!O111),0))</f>
        <v>0</v>
      </c>
      <c r="Q111" s="1" t="str">
        <f t="shared" si="131"/>
        <v>6-DaHall 1-PDU-01-30-266-DaHall 1-PDU-02-30-26</v>
      </c>
      <c r="R111" s="217" t="s">
        <v>9991</v>
      </c>
      <c r="S111" s="217" t="s">
        <v>9992</v>
      </c>
      <c r="T111" t="str">
        <f t="shared" si="88"/>
        <v>6-DaHall 1-PDU-01</v>
      </c>
      <c r="U111" t="str">
        <f t="shared" si="132"/>
        <v>[branch#026] [A] W</v>
      </c>
      <c r="V111" t="str">
        <f t="shared" si="133"/>
        <v>6-DaHall 1-PDU-02</v>
      </c>
      <c r="W111" t="str">
        <f t="shared" si="134"/>
        <v>[branch#026] [A] W</v>
      </c>
      <c r="X111" s="2989" cm="1">
        <f t="array" ref="X111">INDEX('각층분기별_유효전력최대(전월)'!$I$4:$I$2020,MATCH(1, ('각층분기별_유효전력최대(전월)'!$G$4:$G$2020='7층~4층_매핑테이블'!T111) * ('각층분기별_유효전력최대(전월)'!$H$4:$H$2020='7층~4층_매핑테이블'!U111),0)) + INDEX('각층분기별_유효전력최대(전월)'!$I$4:$I$2020,MATCH(1, ('각층분기별_유효전력최대(전월)'!$G$4:$G$2020='7층~4층_매핑테이블'!V111) * ('각층분기별_유효전력최대(전월)'!$H$4:$H$2020='7층~4층_매핑테이블'!W111),0))</f>
        <v>0</v>
      </c>
      <c r="Y111" s="3274" t="str">
        <f t="shared" si="125"/>
        <v>7-DaHall 1-A-3-50-497-DaHall 1-B-3-35-49</v>
      </c>
      <c r="Z111" s="217" t="s">
        <v>9993</v>
      </c>
      <c r="AA111" s="217" t="s">
        <v>9994</v>
      </c>
      <c r="AB111" s="3274" t="str">
        <f>IF(MID(Z111,16,2)="0","",MID(Z111,1,15)&amp;MID(Z111,16,2))</f>
        <v>7-DaHall 1-A-3-50</v>
      </c>
      <c r="AC111" t="s">
        <v>9456</v>
      </c>
      <c r="AD111" t="str">
        <f t="shared" si="85"/>
        <v>7-DaHall 1-B-3-35</v>
      </c>
      <c r="AE111" t="s">
        <v>9456</v>
      </c>
      <c r="AF111" s="2989" t="e" cm="1">
        <f t="array" ref="AF111">INDEX('각층분기별_유효전력최대(전월)'!$L$4:$L$2020,MATCH(1, ('각층분기별_유효전력최대(전월)'!$J$4:$J$2020='7층~4층_매핑테이블'!AB111) * ('각층분기별_유효전력최대(전월)'!$K$4:$K$2020='7층~4층_매핑테이블'!AC111),0)) + INDEX('각층분기별_유효전력최대(전월)'!$L$4:$L$2020,MATCH(1, ('각층분기별_유효전력최대(전월)'!$J$4:$J$2020='7층~4층_매핑테이블'!AD111) * ('각층분기별_유효전력최대(전월)'!$K$4:$K$2020='7층~4층_매핑테이블'!AE111),0))</f>
        <v>#N/A</v>
      </c>
    </row>
    <row r="112" spans="1:32" x14ac:dyDescent="0.25">
      <c r="A112" t="str">
        <f t="shared" si="135"/>
        <v/>
      </c>
      <c r="B112" s="217"/>
      <c r="C112" s="217"/>
      <c r="D112" s="2989" t="str">
        <f t="shared" si="140"/>
        <v/>
      </c>
      <c r="E112" s="2989" t="str">
        <f t="shared" si="86"/>
        <v/>
      </c>
      <c r="F112" s="2989" t="str">
        <f t="shared" si="141"/>
        <v/>
      </c>
      <c r="G112" s="2989" t="str">
        <f t="shared" si="142"/>
        <v/>
      </c>
      <c r="H112" s="2989" cm="1">
        <f t="array" ref="H112">INDEX('각층분기별_유효전력최대(전월)'!$C$4:$C$2020,MATCH(1, ('각층분기별_유효전력최대(전월)'!$A$4:$A$2020='7층~4층_매핑테이블'!D112) * ('각층분기별_유효전력최대(전월)'!$B$4:$B$2020='7층~4층_매핑테이블'!E112),0)) + INDEX('각층분기별_유효전력최대(전월)'!$C$4:$C$2020,MATCH(1, ('각층분기별_유효전력최대(전월)'!$A$4:$A$2020='7층~4층_매핑테이블'!F112) * ('각층분기별_유효전력최대(전월)'!$B$4:$B$2020='7층~4층_매핑테이블'!G112),0))</f>
        <v>0</v>
      </c>
      <c r="I112" t="str">
        <f>J112&amp;K112</f>
        <v/>
      </c>
      <c r="J112" s="217"/>
      <c r="K112" s="217"/>
      <c r="L112" t="str">
        <f t="shared" si="82"/>
        <v/>
      </c>
      <c r="M112" t="str">
        <f>IF(IF(LEN((MID(J112,22,2)))=1, "[branch#0"&amp;0&amp;MID(J112,22,2)&amp;"] [A] W", "[branch#0"&amp;MID(J112,22,2)&amp;"] [A] W")="[branch#0] [A] W", "", IF(LEN((MID(J112,22,2)))=1, "[branch#0"&amp;0&amp;MID(J112,22,2)&amp;"] [A] W", "[branch#0"&amp;MID(J112,22,2)&amp;"] [A] W"))</f>
        <v/>
      </c>
      <c r="N112" t="str">
        <f>IF(MID(K112,16,2)="0","",MID(K112,1,15)&amp;MID(K112,16,2))</f>
        <v/>
      </c>
      <c r="O112" t="str">
        <f>IF(IF(LEN((MID(K112,22,2)))=1, "[branch#0"&amp;0&amp;MID(K112,22,2)&amp;"] [A] W", "[branch#0"&amp;MID(K112,22,2)&amp;"] [A] W")="[branch#0] [A] W", "", IF(LEN((MID(K112,22,2)))=1, "[branch#0"&amp;0&amp;MID(K112,22,2)&amp;"] [A] W", "[branch#0"&amp;MID(K112,22,2)&amp;"] [A] W"))</f>
        <v/>
      </c>
      <c r="P112" s="2989" cm="1">
        <f t="array" ref="P112">INDEX('각층분기별_유효전력최대(전월)'!$F$4:$F$2020,MATCH(1, ('각층분기별_유효전력최대(전월)'!$D$4:$D$2020='7층~4층_매핑테이블'!L112) * ('각층분기별_유효전력최대(전월)'!$E$4:$E$2020='7층~4층_매핑테이블'!M112),0)) + INDEX('각층분기별_유효전력최대(전월)'!$F$4:$F$2020,MATCH(1, ('각층분기별_유효전력최대(전월)'!$D$4:$D$2020='7층~4층_매핑테이블'!N112) * ('각층분기별_유효전력최대(전월)'!$E$4:$E$2020='7층~4층_매핑테이블'!O112),0))</f>
        <v>0</v>
      </c>
      <c r="Q112" s="1" t="str">
        <f t="shared" si="131"/>
        <v>6-DaHall 1-PDU-01-30-286-DaHall 1-PDU-02-30-28</v>
      </c>
      <c r="R112" s="217" t="s">
        <v>9995</v>
      </c>
      <c r="S112" s="217" t="s">
        <v>9996</v>
      </c>
      <c r="T112" t="str">
        <f t="shared" si="88"/>
        <v>6-DaHall 1-PDU-01</v>
      </c>
      <c r="U112" t="str">
        <f t="shared" si="132"/>
        <v>[branch#028] [A] W</v>
      </c>
      <c r="V112" t="str">
        <f t="shared" si="133"/>
        <v>6-DaHall 1-PDU-02</v>
      </c>
      <c r="W112" t="str">
        <f t="shared" si="134"/>
        <v>[branch#028] [A] W</v>
      </c>
      <c r="X112" s="2989" cm="1">
        <f t="array" ref="X112">INDEX('각층분기별_유효전력최대(전월)'!$I$4:$I$2020,MATCH(1, ('각층분기별_유효전력최대(전월)'!$G$4:$G$2020='7층~4층_매핑테이블'!T112) * ('각층분기별_유효전력최대(전월)'!$H$4:$H$2020='7층~4층_매핑테이블'!U112),0)) + INDEX('각층분기별_유효전력최대(전월)'!$I$4:$I$2020,MATCH(1, ('각층분기별_유효전력최대(전월)'!$G$4:$G$2020='7층~4층_매핑테이블'!V112) * ('각층분기별_유효전력최대(전월)'!$H$4:$H$2020='7층~4층_매핑테이블'!W112),0))</f>
        <v>0</v>
      </c>
      <c r="Y112" s="3274" t="str">
        <f t="shared" si="125"/>
        <v>7-DaHall 1-A-3-50-217-DaHall 1-B-3-50-21</v>
      </c>
      <c r="Z112" s="217" t="s">
        <v>9997</v>
      </c>
      <c r="AA112" s="217" t="s">
        <v>9998</v>
      </c>
      <c r="AB112" s="3274" t="str">
        <f t="shared" ref="AB112:AB115" si="144">IF(MID(Z112,16,2)="0","",MID(Z112,1,15)&amp;MID(Z112,16,2))</f>
        <v>7-DaHall 1-A-3-50</v>
      </c>
      <c r="AC112" t="s">
        <v>9489</v>
      </c>
      <c r="AD112" t="str">
        <f t="shared" si="85"/>
        <v>7-DaHall 1-B-3-50</v>
      </c>
      <c r="AE112" t="s">
        <v>9489</v>
      </c>
      <c r="AF112" s="2989" t="e" cm="1">
        <f t="array" ref="AF112">INDEX('각층분기별_유효전력최대(전월)'!$L$4:$L$2020,MATCH(1, ('각층분기별_유효전력최대(전월)'!$J$4:$J$2020='7층~4층_매핑테이블'!AB112) * ('각층분기별_유효전력최대(전월)'!$K$4:$K$2020='7층~4층_매핑테이블'!AC112),0)) + INDEX('각층분기별_유효전력최대(전월)'!$L$4:$L$2020,MATCH(1, ('각층분기별_유효전력최대(전월)'!$J$4:$J$2020='7층~4층_매핑테이블'!AD112) * ('각층분기별_유효전력최대(전월)'!$K$4:$K$2020='7층~4층_매핑테이블'!AE112),0))</f>
        <v>#N/A</v>
      </c>
    </row>
    <row r="113" spans="1:32" x14ac:dyDescent="0.25">
      <c r="A113" t="str">
        <f t="shared" si="135"/>
        <v/>
      </c>
      <c r="B113" s="217"/>
      <c r="C113" s="217"/>
      <c r="D113" s="2989" t="str">
        <f t="shared" si="140"/>
        <v/>
      </c>
      <c r="E113" s="2989" t="str">
        <f t="shared" si="86"/>
        <v/>
      </c>
      <c r="F113" s="2989" t="str">
        <f t="shared" si="141"/>
        <v/>
      </c>
      <c r="G113" s="2989" t="str">
        <f t="shared" si="142"/>
        <v/>
      </c>
      <c r="H113" s="2989" cm="1">
        <f t="array" ref="H113">INDEX('각층분기별_유효전력최대(전월)'!$C$4:$C$2020,MATCH(1, ('각층분기별_유효전력최대(전월)'!$A$4:$A$2020='7층~4층_매핑테이블'!D113) * ('각층분기별_유효전력최대(전월)'!$B$4:$B$2020='7층~4층_매핑테이블'!E113),0)) + INDEX('각층분기별_유효전력최대(전월)'!$C$4:$C$2020,MATCH(1, ('각층분기별_유효전력최대(전월)'!$A$4:$A$2020='7층~4층_매핑테이블'!F113) * ('각층분기별_유효전력최대(전월)'!$B$4:$B$2020='7층~4층_매핑테이블'!G113),0))</f>
        <v>0</v>
      </c>
      <c r="I113" t="str">
        <f t="shared" ref="I113:I114" si="145">J113&amp;K113</f>
        <v/>
      </c>
      <c r="J113" s="217"/>
      <c r="K113" s="217"/>
      <c r="L113" t="str">
        <f t="shared" si="82"/>
        <v/>
      </c>
      <c r="M113" t="str">
        <f t="shared" ref="M113:M114" si="146">IF(IF(LEN((MID(J113,22,2)))=1, "[branch#0"&amp;0&amp;MID(J113,22,2)&amp;"] [A] W", "[branch#0"&amp;MID(J113,22,2)&amp;"] [A] W")="[branch#0] [A] W", "", IF(LEN((MID(J113,22,2)))=1, "[branch#0"&amp;0&amp;MID(J113,22,2)&amp;"] [A] W", "[branch#0"&amp;MID(J113,22,2)&amp;"] [A] W"))</f>
        <v/>
      </c>
      <c r="N113" t="str">
        <f t="shared" ref="N113:N114" si="147">IF(MID(K113,16,2)="0","",MID(K113,1,15)&amp;MID(K113,16,2))</f>
        <v/>
      </c>
      <c r="O113" t="str">
        <f t="shared" ref="O113:O114" si="148">IF(IF(LEN((MID(K113,22,2)))=1, "[branch#0"&amp;0&amp;MID(K113,22,2)&amp;"] [A] W", "[branch#0"&amp;MID(K113,22,2)&amp;"] [A] W")="[branch#0] [A] W", "", IF(LEN((MID(K113,22,2)))=1, "[branch#0"&amp;0&amp;MID(K113,22,2)&amp;"] [A] W", "[branch#0"&amp;MID(K113,22,2)&amp;"] [A] W"))</f>
        <v/>
      </c>
      <c r="P113" s="2989" cm="1">
        <f t="array" ref="P113">INDEX('각층분기별_유효전력최대(전월)'!$F$4:$F$2020,MATCH(1, ('각층분기별_유효전력최대(전월)'!$D$4:$D$2020='7층~4층_매핑테이블'!L113) * ('각층분기별_유효전력최대(전월)'!$E$4:$E$2020='7층~4층_매핑테이블'!M113),0)) + INDEX('각층분기별_유효전력최대(전월)'!$F$4:$F$2020,MATCH(1, ('각층분기별_유효전력최대(전월)'!$D$4:$D$2020='7층~4층_매핑테이블'!N113) * ('각층분기별_유효전력최대(전월)'!$E$4:$E$2020='7층~4층_매핑테이블'!O113),0))</f>
        <v>0</v>
      </c>
      <c r="Q113" s="1" t="str">
        <f>R113&amp;S113</f>
        <v/>
      </c>
      <c r="R113" s="217"/>
      <c r="S113" s="217"/>
      <c r="T113" t="str">
        <f t="shared" si="88"/>
        <v/>
      </c>
      <c r="U113" t="str">
        <f>IF(IF(LEN((MID(R113,22,2)))=1, "[branch#0"&amp;0&amp;MID(R113,22,2)&amp;"] [A] W", "[branch#0"&amp;MID(R113,22,2)&amp;"] [A] W")="[branch#0] [A] W", "", IF(LEN((MID(R113,22,2)))=1, "[branch#0"&amp;0&amp;MID(R113,22,2)&amp;"] [A] W", "[branch#0"&amp;MID(R113,22,2)&amp;"] [A] W"))</f>
        <v/>
      </c>
      <c r="V113" t="str">
        <f>IF(MID(S113,16,2)="0","",MID(S113,1,15)&amp;MID(S113,16,2))</f>
        <v/>
      </c>
      <c r="W113" t="str">
        <f>IF(IF(LEN((MID(S113,22,2)))=1, "[branch#0"&amp;0&amp;MID(S113,22,2)&amp;"] [A] W", "[branch#0"&amp;MID(S113,22,2)&amp;"] [A] W")="[branch#0] [A] W", "", IF(LEN((MID(S113,22,2)))=1, "[branch#0"&amp;0&amp;MID(S113,22,2)&amp;"] [A] W", "[branch#0"&amp;MID(S113,22,2)&amp;"] [A] W"))</f>
        <v/>
      </c>
      <c r="X113" s="2989" cm="1">
        <f t="array" ref="X113">INDEX('각층분기별_유효전력최대(전월)'!$I$4:$I$2020,MATCH(1, ('각층분기별_유효전력최대(전월)'!$G$4:$G$2020='7층~4층_매핑테이블'!T113) * ('각층분기별_유효전력최대(전월)'!$H$4:$H$2020='7층~4층_매핑테이블'!U113),0)) + INDEX('각층분기별_유효전력최대(전월)'!$I$4:$I$2020,MATCH(1, ('각층분기별_유효전력최대(전월)'!$G$4:$G$2020='7층~4층_매핑테이블'!V113) * ('각층분기별_유효전력최대(전월)'!$H$4:$H$2020='7층~4층_매핑테이블'!W113),0))</f>
        <v>0</v>
      </c>
      <c r="Y113" s="3274" t="str">
        <f t="shared" si="125"/>
        <v>7-DaHall 1-A-3-35-207-DaHall 1-B-3-50-20</v>
      </c>
      <c r="Z113" s="217" t="s">
        <v>9999</v>
      </c>
      <c r="AA113" s="217" t="s">
        <v>10000</v>
      </c>
      <c r="AB113" s="3274" t="str">
        <f t="shared" si="144"/>
        <v>7-DaHall 1-A-3-35</v>
      </c>
      <c r="AC113" t="s">
        <v>9512</v>
      </c>
      <c r="AD113" t="str">
        <f t="shared" si="85"/>
        <v>7-DaHall 1-B-3-50</v>
      </c>
      <c r="AE113" t="s">
        <v>9512</v>
      </c>
      <c r="AF113" s="2989" t="e" cm="1">
        <f t="array" ref="AF113">INDEX('각층분기별_유효전력최대(전월)'!$L$4:$L$2020,MATCH(1, ('각층분기별_유효전력최대(전월)'!$J$4:$J$2020='7층~4층_매핑테이블'!AB113) * ('각층분기별_유효전력최대(전월)'!$K$4:$K$2020='7층~4층_매핑테이블'!AC113),0)) + INDEX('각층분기별_유효전력최대(전월)'!$L$4:$L$2020,MATCH(1, ('각층분기별_유효전력최대(전월)'!$J$4:$J$2020='7층~4층_매핑테이블'!AD113) * ('각층분기별_유효전력최대(전월)'!$K$4:$K$2020='7층~4층_매핑테이블'!AE113),0))</f>
        <v>#N/A</v>
      </c>
    </row>
    <row r="114" spans="1:32" x14ac:dyDescent="0.25">
      <c r="A114" t="str">
        <f t="shared" si="135"/>
        <v/>
      </c>
      <c r="B114" s="217"/>
      <c r="C114" s="217"/>
      <c r="D114" s="2989" t="str">
        <f t="shared" si="140"/>
        <v/>
      </c>
      <c r="E114" s="2989" t="str">
        <f t="shared" si="86"/>
        <v/>
      </c>
      <c r="F114" s="2989" t="str">
        <f t="shared" si="141"/>
        <v/>
      </c>
      <c r="G114" s="2989" t="str">
        <f t="shared" si="142"/>
        <v/>
      </c>
      <c r="H114" s="2989" cm="1">
        <f t="array" ref="H114">INDEX('각층분기별_유효전력최대(전월)'!$C$4:$C$2020,MATCH(1, ('각층분기별_유효전력최대(전월)'!$A$4:$A$2020='7층~4층_매핑테이블'!D114) * ('각층분기별_유효전력최대(전월)'!$B$4:$B$2020='7층~4층_매핑테이블'!E114),0)) + INDEX('각층분기별_유효전력최대(전월)'!$C$4:$C$2020,MATCH(1, ('각층분기별_유효전력최대(전월)'!$A$4:$A$2020='7층~4층_매핑테이블'!F114) * ('각층분기별_유효전력최대(전월)'!$B$4:$B$2020='7층~4층_매핑테이블'!G114),0))</f>
        <v>0</v>
      </c>
      <c r="I114" t="str">
        <f t="shared" si="145"/>
        <v/>
      </c>
      <c r="J114" s="217"/>
      <c r="K114" s="217"/>
      <c r="L114" t="str">
        <f t="shared" si="82"/>
        <v/>
      </c>
      <c r="M114" t="str">
        <f t="shared" si="146"/>
        <v/>
      </c>
      <c r="N114" t="str">
        <f t="shared" si="147"/>
        <v/>
      </c>
      <c r="O114" t="str">
        <f t="shared" si="148"/>
        <v/>
      </c>
      <c r="P114" s="2989" cm="1">
        <f t="array" ref="P114">INDEX('각층분기별_유효전력최대(전월)'!$F$4:$F$2020,MATCH(1, ('각층분기별_유효전력최대(전월)'!$D$4:$D$2020='7층~4층_매핑테이블'!L114) * ('각층분기별_유효전력최대(전월)'!$E$4:$E$2020='7층~4층_매핑테이블'!M114),0)) + INDEX('각층분기별_유효전력최대(전월)'!$F$4:$F$2020,MATCH(1, ('각층분기별_유효전력최대(전월)'!$D$4:$D$2020='7층~4층_매핑테이블'!N114) * ('각층분기별_유효전력최대(전월)'!$E$4:$E$2020='7층~4층_매핑테이블'!O114),0))</f>
        <v>0</v>
      </c>
      <c r="Q114" s="1" t="str">
        <f>R114&amp;S114</f>
        <v>6-DaHall 1-PDU-05-30-376-DaHall 1-PDU-06-30-37</v>
      </c>
      <c r="R114" s="217" t="s">
        <v>10001</v>
      </c>
      <c r="S114" s="217" t="s">
        <v>10002</v>
      </c>
      <c r="T114" t="str">
        <f t="shared" si="88"/>
        <v>6-DaHall 1-PDU-05</v>
      </c>
      <c r="U114" t="str">
        <f>IF(IF(LEN((MID(R114,22,2)))=1, "[branch#0"&amp;0&amp;MID(R114,22,2)&amp;"] [A] W", "[branch#0"&amp;MID(R114,22,2)&amp;"] [A] W")="[branch#0] [A] W", "", IF(LEN((MID(R114,22,2)))=1, "[branch#0"&amp;0&amp;MID(R114,22,2)&amp;"] [A] W", "[branch#0"&amp;MID(R114,22,2)&amp;"] [A] W"))</f>
        <v>[branch#037] [A] W</v>
      </c>
      <c r="V114" t="str">
        <f>IF(MID(S114,16,2)="0","",MID(S114,1,15)&amp;MID(S114,16,2))</f>
        <v>6-DaHall 1-PDU-06</v>
      </c>
      <c r="W114" t="str">
        <f>IF(IF(LEN((MID(S114,22,2)))=1, "[branch#0"&amp;0&amp;MID(S114,22,2)&amp;"] [A] W", "[branch#0"&amp;MID(S114,22,2)&amp;"] [A] W")="[branch#0] [A] W", "", IF(LEN((MID(S114,22,2)))=1, "[branch#0"&amp;0&amp;MID(S114,22,2)&amp;"] [A] W", "[branch#0"&amp;MID(S114,22,2)&amp;"] [A] W"))</f>
        <v>[branch#037] [A] W</v>
      </c>
      <c r="X114" s="2989" cm="1">
        <f t="array" ref="X114">INDEX('각층분기별_유효전력최대(전월)'!$I$4:$I$2020,MATCH(1, ('각층분기별_유효전력최대(전월)'!$G$4:$G$2020='7층~4층_매핑테이블'!T114) * ('각층분기별_유효전력최대(전월)'!$H$4:$H$2020='7층~4층_매핑테이블'!U114),0)) + INDEX('각층분기별_유효전력최대(전월)'!$I$4:$I$2020,MATCH(1, ('각층분기별_유효전력최대(전월)'!$G$4:$G$2020='7층~4층_매핑테이블'!V114) * ('각층분기별_유효전력최대(전월)'!$H$4:$H$2020='7층~4층_매핑테이블'!W114),0))</f>
        <v>4.0030000000000001</v>
      </c>
      <c r="Y114" s="3274" t="str">
        <f t="shared" si="125"/>
        <v>7-DaHall 1-A-3-35-527-DaHall 1-B-3-35-23</v>
      </c>
      <c r="Z114" s="217" t="s">
        <v>10003</v>
      </c>
      <c r="AA114" s="217" t="s">
        <v>10004</v>
      </c>
      <c r="AB114" s="3274" t="str">
        <f t="shared" si="144"/>
        <v>7-DaHall 1-A-3-35</v>
      </c>
      <c r="AC114" t="s">
        <v>9635</v>
      </c>
      <c r="AD114" t="str">
        <f t="shared" si="85"/>
        <v>7-DaHall 1-B-3-35</v>
      </c>
      <c r="AE114" t="s">
        <v>9497</v>
      </c>
      <c r="AF114" s="2989" t="e" cm="1">
        <f t="array" ref="AF114">INDEX('각층분기별_유효전력최대(전월)'!$L$4:$L$2020,MATCH(1, ('각층분기별_유효전력최대(전월)'!$J$4:$J$2020='7층~4층_매핑테이블'!AB114) * ('각층분기별_유효전력최대(전월)'!$K$4:$K$2020='7층~4층_매핑테이블'!AC114),0)) + INDEX('각층분기별_유효전력최대(전월)'!$L$4:$L$2020,MATCH(1, ('각층분기별_유효전력최대(전월)'!$J$4:$J$2020='7층~4층_매핑테이블'!AD114) * ('각층분기별_유효전력최대(전월)'!$K$4:$K$2020='7층~4층_매핑테이블'!AE114),0))</f>
        <v>#N/A</v>
      </c>
    </row>
    <row r="115" spans="1:32" x14ac:dyDescent="0.25">
      <c r="A115" t="str">
        <f>B115&amp;C115</f>
        <v/>
      </c>
      <c r="B115" s="217"/>
      <c r="C115" s="217"/>
      <c r="D115" s="2989" t="str">
        <f t="shared" si="140"/>
        <v/>
      </c>
      <c r="E115" s="2989" t="str">
        <f t="shared" si="86"/>
        <v/>
      </c>
      <c r="F115" s="2989" t="str">
        <f t="shared" si="141"/>
        <v/>
      </c>
      <c r="G115" s="2989" t="str">
        <f t="shared" si="142"/>
        <v/>
      </c>
      <c r="H115" s="2989" cm="1">
        <f t="array" ref="H115">INDEX('각층분기별_유효전력최대(전월)'!$C$4:$C$2020,MATCH(1, ('각층분기별_유효전력최대(전월)'!$A$4:$A$2020='7층~4층_매핑테이블'!D115) * ('각층분기별_유효전력최대(전월)'!$B$4:$B$2020='7층~4층_매핑테이블'!E115),0)) + INDEX('각층분기별_유효전력최대(전월)'!$C$4:$C$2020,MATCH(1, ('각층분기별_유효전력최대(전월)'!$A$4:$A$2020='7층~4층_매핑테이블'!F115) * ('각층분기별_유효전력최대(전월)'!$B$4:$B$2020='7층~4층_매핑테이블'!G115),0))</f>
        <v>0</v>
      </c>
      <c r="I115" t="str">
        <f>J115&amp;K115</f>
        <v>5-DaHall 1-PDU-03-30-355-DaHall 1-PDU-04-30-35</v>
      </c>
      <c r="J115" s="3107" t="s">
        <v>10005</v>
      </c>
      <c r="K115" s="3107" t="s">
        <v>10006</v>
      </c>
      <c r="L115" t="str">
        <f t="shared" si="82"/>
        <v>5-DaHall 1-PDU-03</v>
      </c>
      <c r="M115" t="str">
        <f>IF(IF(LEN((MID(J115,22,2)))=1, "[branch#0"&amp;0&amp;MID(J115,22,2)&amp;"] [A] W", "[branch#0"&amp;MID(J115,22,2)&amp;"] [A] W")="[branch#0] [A] W", "", IF(LEN((MID(J115,22,2)))=1, "[branch#0"&amp;0&amp;MID(J115,22,2)&amp;"] [A] W", "[branch#0"&amp;MID(J115,22,2)&amp;"] [A] W"))</f>
        <v>[branch#035] [A] W</v>
      </c>
      <c r="N115" t="str">
        <f>IF(MID(K115,16,2)="0","",MID(K115,1,15)&amp;MID(K115,16,2))</f>
        <v>5-DaHall 1-PDU-04</v>
      </c>
      <c r="O115" t="str">
        <f>IF(IF(LEN((MID(K115,22,2)))=1, "[branch#0"&amp;0&amp;MID(K115,22,2)&amp;"] [A] W", "[branch#0"&amp;MID(K115,22,2)&amp;"] [A] W")="[branch#0] [A] W", "", IF(LEN((MID(K115,22,2)))=1, "[branch#0"&amp;0&amp;MID(K115,22,2)&amp;"] [A] W", "[branch#0"&amp;MID(K115,22,2)&amp;"] [A] W"))</f>
        <v>[branch#035] [A] W</v>
      </c>
      <c r="P115" s="2989" t="e" cm="1">
        <f t="array" ref="P115">INDEX('각층분기별_유효전력최대(전월)'!$F$4:$F$2020,MATCH(1, ('각층분기별_유효전력최대(전월)'!$D$4:$D$2020='7층~4층_매핑테이블'!L115) * ('각층분기별_유효전력최대(전월)'!$E$4:$E$2020='7층~4층_매핑테이블'!M115),0)) + INDEX('각층분기별_유효전력최대(전월)'!$F$4:$F$2020,MATCH(1, ('각층분기별_유효전력최대(전월)'!$D$4:$D$2020='7층~4층_매핑테이블'!N115) * ('각층분기별_유효전력최대(전월)'!$E$4:$E$2020='7층~4층_매핑테이블'!O115),0))</f>
        <v>#N/A</v>
      </c>
      <c r="Q115" s="1" t="str">
        <f t="shared" ref="Q115:Q131" si="149">R115&amp;S115</f>
        <v>6-DaHall 1-PDU-05-30-396-DaHall 1-PDU-06-30-39</v>
      </c>
      <c r="R115" s="217" t="s">
        <v>10007</v>
      </c>
      <c r="S115" s="217" t="s">
        <v>10008</v>
      </c>
      <c r="T115" t="str">
        <f t="shared" si="88"/>
        <v>6-DaHall 1-PDU-05</v>
      </c>
      <c r="U115" t="str">
        <f t="shared" ref="U115:U131" si="150">IF(IF(LEN((MID(R115,22,2)))=1, "[branch#0"&amp;0&amp;MID(R115,22,2)&amp;"] [A] W", "[branch#0"&amp;MID(R115,22,2)&amp;"] [A] W")="[branch#0] [A] W", "", IF(LEN((MID(R115,22,2)))=1, "[branch#0"&amp;0&amp;MID(R115,22,2)&amp;"] [A] W", "[branch#0"&amp;MID(R115,22,2)&amp;"] [A] W"))</f>
        <v>[branch#039] [A] W</v>
      </c>
      <c r="V115" t="str">
        <f t="shared" ref="V115:V131" si="151">IF(MID(S115,16,2)="0","",MID(S115,1,15)&amp;MID(S115,16,2))</f>
        <v>6-DaHall 1-PDU-06</v>
      </c>
      <c r="W115" t="str">
        <f t="shared" ref="W115:W131" si="152">IF(IF(LEN((MID(S115,22,2)))=1, "[branch#0"&amp;0&amp;MID(S115,22,2)&amp;"] [A] W", "[branch#0"&amp;MID(S115,22,2)&amp;"] [A] W")="[branch#0] [A] W", "", IF(LEN((MID(S115,22,2)))=1, "[branch#0"&amp;0&amp;MID(S115,22,2)&amp;"] [A] W", "[branch#0"&amp;MID(S115,22,2)&amp;"] [A] W"))</f>
        <v>[branch#039] [A] W</v>
      </c>
      <c r="X115" s="2989" cm="1">
        <f t="array" ref="X115">INDEX('각층분기별_유효전력최대(전월)'!$I$4:$I$2020,MATCH(1, ('각층분기별_유효전력최대(전월)'!$G$4:$G$2020='7층~4층_매핑테이블'!T115) * ('각층분기별_유효전력최대(전월)'!$H$4:$H$2020='7층~4층_매핑테이블'!U115),0)) + INDEX('각층분기별_유효전력최대(전월)'!$I$4:$I$2020,MATCH(1, ('각층분기별_유효전력최대(전월)'!$G$4:$G$2020='7층~4층_매핑테이블'!V115) * ('각층분기별_유효전력최대(전월)'!$H$4:$H$2020='7층~4층_매핑테이블'!W115),0))</f>
        <v>0.90700000000000003</v>
      </c>
      <c r="Y115" s="3274" t="str">
        <f t="shared" si="125"/>
        <v>7-DaHall 1-A-3-35-557-DaHall 1-B-3-35-54</v>
      </c>
      <c r="Z115" s="217" t="s">
        <v>10009</v>
      </c>
      <c r="AA115" s="217" t="s">
        <v>10010</v>
      </c>
      <c r="AB115" s="3274" t="str">
        <f t="shared" si="144"/>
        <v>7-DaHall 1-A-3-35</v>
      </c>
      <c r="AC115" t="s">
        <v>10011</v>
      </c>
      <c r="AD115" t="str">
        <f t="shared" si="85"/>
        <v>7-DaHall 1-B-3-35</v>
      </c>
      <c r="AE115" t="s">
        <v>9433</v>
      </c>
      <c r="AF115" s="2989" t="e" cm="1">
        <f t="array" ref="AF115">INDEX('각층분기별_유효전력최대(전월)'!$L$4:$L$2020,MATCH(1, ('각층분기별_유효전력최대(전월)'!$J$4:$J$2020='7층~4층_매핑테이블'!AB115) * ('각층분기별_유효전력최대(전월)'!$K$4:$K$2020='7층~4층_매핑테이블'!AC115),0)) + INDEX('각층분기별_유효전력최대(전월)'!$L$4:$L$2020,MATCH(1, ('각층분기별_유효전력최대(전월)'!$J$4:$J$2020='7층~4층_매핑테이블'!AD115) * ('각층분기별_유효전력최대(전월)'!$K$4:$K$2020='7층~4층_매핑테이블'!AE115),0))</f>
        <v>#N/A</v>
      </c>
    </row>
    <row r="116" spans="1:32" x14ac:dyDescent="0.25">
      <c r="A116" t="str">
        <f>B116&amp;C116</f>
        <v>4-DaHall 1-PDU-06-100-54-DaHall 1-PDU-05-100-5</v>
      </c>
      <c r="B116" s="217" t="s">
        <v>10012</v>
      </c>
      <c r="C116" s="217" t="s">
        <v>10013</v>
      </c>
      <c r="D116" s="2989" t="str">
        <f t="shared" si="140"/>
        <v>4-DaHall 1-PDU-06</v>
      </c>
      <c r="E116" s="2989" t="str">
        <f t="shared" si="86"/>
        <v>[branch#005] [A] W</v>
      </c>
      <c r="F116" s="2989" t="str">
        <f t="shared" si="141"/>
        <v>4-DaHall 1-PDU-05</v>
      </c>
      <c r="G116" s="2989" t="str">
        <f t="shared" si="142"/>
        <v>[branch#005] [A] W</v>
      </c>
      <c r="H116" s="2989" cm="1">
        <f t="array" ref="H116">INDEX('각층분기별_유효전력최대(전월)'!$C$4:$C$2020,MATCH(1, ('각층분기별_유효전력최대(전월)'!$A$4:$A$2020='7층~4층_매핑테이블'!D116) * ('각층분기별_유효전력최대(전월)'!$B$4:$B$2020='7층~4층_매핑테이블'!E116),0)) + INDEX('각층분기별_유효전력최대(전월)'!$C$4:$C$2020,MATCH(1, ('각층분기별_유효전력최대(전월)'!$A$4:$A$2020='7층~4층_매핑테이블'!F116) * ('각층분기별_유효전력최대(전월)'!$B$4:$B$2020='7층~4층_매핑테이블'!G116),0))</f>
        <v>0</v>
      </c>
      <c r="I116" t="str">
        <f>J116&amp;K116</f>
        <v/>
      </c>
      <c r="J116" s="217"/>
      <c r="K116" s="217"/>
      <c r="L116" t="str">
        <f t="shared" si="82"/>
        <v/>
      </c>
      <c r="M116" t="str">
        <f>IF(IF(LEN((MID(J116,22,2)))=1, "[branch#0"&amp;0&amp;MID(J116,22,2)&amp;"] [A] W", "[branch#0"&amp;MID(J116,22,2)&amp;"] [A] W")="[branch#0] [A] W", "", IF(LEN((MID(J116,22,2)))=1, "[branch#0"&amp;0&amp;MID(J116,22,2)&amp;"] [A] W", "[branch#0"&amp;MID(J116,22,2)&amp;"] [A] W"))</f>
        <v/>
      </c>
      <c r="N116" t="str">
        <f>IF(MID(K116,16,2)="0","",MID(K116,1,15)&amp;MID(K116,16,2))</f>
        <v/>
      </c>
      <c r="O116" t="str">
        <f>IF(IF(LEN((MID(K116,22,2)))=1, "[branch#0"&amp;0&amp;MID(K116,22,2)&amp;"] [A] W", "[branch#0"&amp;MID(K116,22,2)&amp;"] [A] W")="[branch#0] [A] W", "", IF(LEN((MID(K116,22,2)))=1, "[branch#0"&amp;0&amp;MID(K116,22,2)&amp;"] [A] W", "[branch#0"&amp;MID(K116,22,2)&amp;"] [A] W"))</f>
        <v/>
      </c>
      <c r="P116" s="2989" cm="1">
        <f t="array" ref="P116">INDEX('각층분기별_유효전력최대(전월)'!$F$4:$F$2020,MATCH(1, ('각층분기별_유효전력최대(전월)'!$D$4:$D$2020='7층~4층_매핑테이블'!L116) * ('각층분기별_유효전력최대(전월)'!$E$4:$E$2020='7층~4층_매핑테이블'!M116),0)) + INDEX('각층분기별_유효전력최대(전월)'!$F$4:$F$2020,MATCH(1, ('각층분기별_유효전력최대(전월)'!$D$4:$D$2020='7층~4층_매핑테이블'!N116) * ('각층분기별_유효전력최대(전월)'!$E$4:$E$2020='7층~4층_매핑테이블'!O116),0))</f>
        <v>0</v>
      </c>
      <c r="Q116" s="1" t="str">
        <f t="shared" si="149"/>
        <v>6-DaHall 1-PDU-05-30-416-DaHall 1-PDU-06-30-41</v>
      </c>
      <c r="R116" s="217" t="s">
        <v>10014</v>
      </c>
      <c r="S116" s="217" t="s">
        <v>10015</v>
      </c>
      <c r="T116" t="str">
        <f t="shared" si="88"/>
        <v>6-DaHall 1-PDU-05</v>
      </c>
      <c r="U116" t="str">
        <f t="shared" si="150"/>
        <v>[branch#041] [A] W</v>
      </c>
      <c r="V116" t="str">
        <f t="shared" si="151"/>
        <v>6-DaHall 1-PDU-06</v>
      </c>
      <c r="W116" t="str">
        <f t="shared" si="152"/>
        <v>[branch#041] [A] W</v>
      </c>
      <c r="X116" s="2989" cm="1">
        <f t="array" ref="X116">INDEX('각층분기별_유효전력최대(전월)'!$I$4:$I$2020,MATCH(1, ('각층분기별_유효전력최대(전월)'!$G$4:$G$2020='7층~4층_매핑테이블'!T116) * ('각층분기별_유효전력최대(전월)'!$H$4:$H$2020='7층~4층_매핑테이블'!U116),0)) + INDEX('각층분기별_유효전력최대(전월)'!$I$4:$I$2020,MATCH(1, ('각층분기별_유효전력최대(전월)'!$G$4:$G$2020='7층~4층_매핑테이블'!V116) * ('각층분기별_유효전력최대(전월)'!$H$4:$H$2020='7층~4층_매핑테이블'!W116),0))</f>
        <v>0.69799999999999995</v>
      </c>
      <c r="Y116" s="3274" t="str">
        <f>Z116&amp;AA116</f>
        <v>7-DaHall 1-A-3-35-197-DaHall 1-B-3-50-19</v>
      </c>
      <c r="Z116" s="217" t="s">
        <v>10016</v>
      </c>
      <c r="AA116" s="217" t="s">
        <v>10017</v>
      </c>
      <c r="AB116" s="3274" t="str">
        <f>IF(MID(Z116,16,2)="0","",MID(Z116,1,15)&amp;MID(Z116,16,2))</f>
        <v>7-DaHall 1-A-3-35</v>
      </c>
      <c r="AC116" t="s">
        <v>9486</v>
      </c>
      <c r="AD116" t="str">
        <f t="shared" si="85"/>
        <v>7-DaHall 1-B-3-50</v>
      </c>
      <c r="AE116" t="s">
        <v>9486</v>
      </c>
      <c r="AF116" s="2989" t="e" cm="1">
        <f t="array" ref="AF116">INDEX('각층분기별_유효전력최대(전월)'!$L$4:$L$2020,MATCH(1, ('각층분기별_유효전력최대(전월)'!$J$4:$J$2020='7층~4층_매핑테이블'!AB116) * ('각층분기별_유효전력최대(전월)'!$K$4:$K$2020='7층~4층_매핑테이블'!AC116),0)) + INDEX('각층분기별_유효전력최대(전월)'!$L$4:$L$2020,MATCH(1, ('각층분기별_유효전력최대(전월)'!$J$4:$J$2020='7층~4층_매핑테이블'!AD116) * ('각층분기별_유효전력최대(전월)'!$K$4:$K$2020='7층~4층_매핑테이블'!AE116),0))</f>
        <v>#N/A</v>
      </c>
    </row>
    <row r="117" spans="1:32" x14ac:dyDescent="0.25">
      <c r="A117" t="str">
        <f>B117&amp;C117</f>
        <v/>
      </c>
      <c r="B117" s="217"/>
      <c r="C117" s="217"/>
      <c r="D117" s="2989" t="str">
        <f t="shared" si="140"/>
        <v/>
      </c>
      <c r="E117" s="2989" t="str">
        <f t="shared" si="86"/>
        <v/>
      </c>
      <c r="F117" s="2989" t="str">
        <f t="shared" si="141"/>
        <v/>
      </c>
      <c r="G117" s="2989" t="str">
        <f t="shared" si="142"/>
        <v/>
      </c>
      <c r="H117" s="2989" cm="1">
        <f t="array" ref="H117">INDEX('각층분기별_유효전력최대(전월)'!$C$4:$C$2020,MATCH(1, ('각층분기별_유효전력최대(전월)'!$A$4:$A$2020='7층~4층_매핑테이블'!D117) * ('각층분기별_유효전력최대(전월)'!$B$4:$B$2020='7층~4층_매핑테이블'!E117),0)) + INDEX('각층분기별_유효전력최대(전월)'!$C$4:$C$2020,MATCH(1, ('각층분기별_유효전력최대(전월)'!$A$4:$A$2020='7층~4층_매핑테이블'!F117) * ('각층분기별_유효전력최대(전월)'!$B$4:$B$2020='7층~4층_매핑테이블'!G117),0))</f>
        <v>0</v>
      </c>
      <c r="I117" t="str">
        <f t="shared" ref="I117:I134" si="153">J117&amp;K117</f>
        <v/>
      </c>
      <c r="J117" s="217"/>
      <c r="K117" s="217"/>
      <c r="L117" t="str">
        <f t="shared" si="82"/>
        <v/>
      </c>
      <c r="M117" t="str">
        <f t="shared" ref="M117:M134" si="154">IF(IF(LEN((MID(J117,22,2)))=1, "[branch#0"&amp;0&amp;MID(J117,22,2)&amp;"] [A] W", "[branch#0"&amp;MID(J117,22,2)&amp;"] [A] W")="[branch#0] [A] W", "", IF(LEN((MID(J117,22,2)))=1, "[branch#0"&amp;0&amp;MID(J117,22,2)&amp;"] [A] W", "[branch#0"&amp;MID(J117,22,2)&amp;"] [A] W"))</f>
        <v/>
      </c>
      <c r="N117" t="str">
        <f t="shared" ref="N117:N134" si="155">IF(MID(K117,16,2)="0","",MID(K117,1,15)&amp;MID(K117,16,2))</f>
        <v/>
      </c>
      <c r="O117" t="str">
        <f t="shared" ref="O117:O134" si="156">IF(IF(LEN((MID(K117,22,2)))=1, "[branch#0"&amp;0&amp;MID(K117,22,2)&amp;"] [A] W", "[branch#0"&amp;MID(K117,22,2)&amp;"] [A] W")="[branch#0] [A] W", "", IF(LEN((MID(K117,22,2)))=1, "[branch#0"&amp;0&amp;MID(K117,22,2)&amp;"] [A] W", "[branch#0"&amp;MID(K117,22,2)&amp;"] [A] W"))</f>
        <v/>
      </c>
      <c r="P117" s="2989" cm="1">
        <f t="array" ref="P117">INDEX('각층분기별_유효전력최대(전월)'!$F$4:$F$2020,MATCH(1, ('각층분기별_유효전력최대(전월)'!$D$4:$D$2020='7층~4층_매핑테이블'!L117) * ('각층분기별_유효전력최대(전월)'!$E$4:$E$2020='7층~4층_매핑테이블'!M117),0)) + INDEX('각층분기별_유효전력최대(전월)'!$F$4:$F$2020,MATCH(1, ('각층분기별_유효전력최대(전월)'!$D$4:$D$2020='7층~4층_매핑테이블'!N117) * ('각층분기별_유효전력최대(전월)'!$E$4:$E$2020='7층~4층_매핑테이블'!O117),0))</f>
        <v>0</v>
      </c>
      <c r="Q117" s="1" t="str">
        <f t="shared" si="149"/>
        <v>6-DaHall 1-PDU-05-30-436-DaHall 1-PDU-06-30-43</v>
      </c>
      <c r="R117" s="217" t="s">
        <v>10018</v>
      </c>
      <c r="S117" s="217" t="s">
        <v>10019</v>
      </c>
      <c r="T117" t="str">
        <f t="shared" si="88"/>
        <v>6-DaHall 1-PDU-05</v>
      </c>
      <c r="U117" t="str">
        <f t="shared" si="150"/>
        <v>[branch#043] [A] W</v>
      </c>
      <c r="V117" t="str">
        <f t="shared" si="151"/>
        <v>6-DaHall 1-PDU-06</v>
      </c>
      <c r="W117" t="str">
        <f t="shared" si="152"/>
        <v>[branch#043] [A] W</v>
      </c>
      <c r="X117" s="2989" cm="1">
        <f t="array" ref="X117">INDEX('각층분기별_유효전력최대(전월)'!$I$4:$I$2020,MATCH(1, ('각층분기별_유효전력최대(전월)'!$G$4:$G$2020='7층~4층_매핑테이블'!T117) * ('각층분기별_유효전력최대(전월)'!$H$4:$H$2020='7층~4층_매핑테이블'!U117),0)) + INDEX('각층분기별_유효전력최대(전월)'!$I$4:$I$2020,MATCH(1, ('각층분기별_유효전력최대(전월)'!$G$4:$G$2020='7층~4층_매핑테이블'!V117) * ('각층분기별_유효전력최대(전월)'!$H$4:$H$2020='7층~4층_매핑테이블'!W117),0))</f>
        <v>2.4569999999999999</v>
      </c>
      <c r="Y117" s="3274" t="str">
        <f>Z117&amp;AA117</f>
        <v>7-DaHall 1-A-3-35-187-DaHall 1-B-3-35-18</v>
      </c>
      <c r="Z117" s="217" t="s">
        <v>10020</v>
      </c>
      <c r="AA117" s="217" t="s">
        <v>10021</v>
      </c>
      <c r="AB117" s="3274" t="str">
        <f>IF(MID(Z117,16,2)="0","",MID(Z117,1,15)&amp;MID(Z117,16,2))</f>
        <v>7-DaHall 1-A-3-35</v>
      </c>
      <c r="AC117" t="s">
        <v>9473</v>
      </c>
      <c r="AD117" t="str">
        <f t="shared" si="85"/>
        <v>7-DaHall 1-B-3-35</v>
      </c>
      <c r="AE117" t="s">
        <v>9473</v>
      </c>
      <c r="AF117" s="2989" t="e" cm="1">
        <f t="array" ref="AF117">INDEX('각층분기별_유효전력최대(전월)'!$L$4:$L$2020,MATCH(1, ('각층분기별_유효전력최대(전월)'!$J$4:$J$2020='7층~4층_매핑테이블'!AB117) * ('각층분기별_유효전력최대(전월)'!$K$4:$K$2020='7층~4층_매핑테이블'!AC117),0)) + INDEX('각층분기별_유효전력최대(전월)'!$L$4:$L$2020,MATCH(1, ('각층분기별_유효전력최대(전월)'!$J$4:$J$2020='7층~4층_매핑테이블'!AD117) * ('각층분기별_유효전력최대(전월)'!$K$4:$K$2020='7층~4층_매핑테이블'!AE117),0))</f>
        <v>#N/A</v>
      </c>
    </row>
    <row r="118" spans="1:32" x14ac:dyDescent="0.25">
      <c r="A118" t="str">
        <f t="shared" ref="A118:A123" si="157">B118&amp;C118</f>
        <v/>
      </c>
      <c r="B118" s="217"/>
      <c r="C118" s="217"/>
      <c r="D118" s="2989" t="str">
        <f t="shared" si="140"/>
        <v/>
      </c>
      <c r="E118" s="2989" t="str">
        <f t="shared" si="86"/>
        <v/>
      </c>
      <c r="F118" s="2989" t="str">
        <f t="shared" si="141"/>
        <v/>
      </c>
      <c r="G118" s="2989" t="str">
        <f t="shared" si="142"/>
        <v/>
      </c>
      <c r="H118" s="2989" cm="1">
        <f t="array" ref="H118">INDEX('각층분기별_유효전력최대(전월)'!$C$4:$C$2020,MATCH(1, ('각층분기별_유효전력최대(전월)'!$A$4:$A$2020='7층~4층_매핑테이블'!D118) * ('각층분기별_유효전력최대(전월)'!$B$4:$B$2020='7층~4층_매핑테이블'!E118),0)) + INDEX('각층분기별_유효전력최대(전월)'!$C$4:$C$2020,MATCH(1, ('각층분기별_유효전력최대(전월)'!$A$4:$A$2020='7층~4층_매핑테이블'!F118) * ('각층분기별_유효전력최대(전월)'!$B$4:$B$2020='7층~4층_매핑테이블'!G118),0))</f>
        <v>0</v>
      </c>
      <c r="I118" t="str">
        <f t="shared" si="153"/>
        <v/>
      </c>
      <c r="J118" s="217"/>
      <c r="K118" s="217"/>
      <c r="L118" t="str">
        <f t="shared" si="82"/>
        <v/>
      </c>
      <c r="M118" t="str">
        <f t="shared" si="154"/>
        <v/>
      </c>
      <c r="N118" t="str">
        <f t="shared" si="155"/>
        <v/>
      </c>
      <c r="O118" t="str">
        <f t="shared" si="156"/>
        <v/>
      </c>
      <c r="P118" s="2989" cm="1">
        <f t="array" ref="P118">INDEX('각층분기별_유효전력최대(전월)'!$F$4:$F$2020,MATCH(1, ('각층분기별_유효전력최대(전월)'!$D$4:$D$2020='7층~4층_매핑테이블'!L118) * ('각층분기별_유효전력최대(전월)'!$E$4:$E$2020='7층~4층_매핑테이블'!M118),0)) + INDEX('각층분기별_유효전력최대(전월)'!$F$4:$F$2020,MATCH(1, ('각층분기별_유효전력최대(전월)'!$D$4:$D$2020='7층~4층_매핑테이블'!N118) * ('각층분기별_유효전력최대(전월)'!$E$4:$E$2020='7층~4층_매핑테이블'!O118),0))</f>
        <v>0</v>
      </c>
      <c r="Q118" s="1" t="str">
        <f t="shared" si="149"/>
        <v>6-DaHall 1-PDU-05-30-456-DaHall 1-PDU-06-30-45</v>
      </c>
      <c r="R118" s="217" t="s">
        <v>10022</v>
      </c>
      <c r="S118" s="217" t="s">
        <v>10023</v>
      </c>
      <c r="T118" t="str">
        <f t="shared" si="88"/>
        <v>6-DaHall 1-PDU-05</v>
      </c>
      <c r="U118" t="str">
        <f t="shared" si="150"/>
        <v>[branch#045] [A] W</v>
      </c>
      <c r="V118" t="str">
        <f t="shared" si="151"/>
        <v>6-DaHall 1-PDU-06</v>
      </c>
      <c r="W118" t="str">
        <f t="shared" si="152"/>
        <v>[branch#045] [A] W</v>
      </c>
      <c r="X118" s="2989" cm="1">
        <f t="array" ref="X118">INDEX('각층분기별_유효전력최대(전월)'!$I$4:$I$2020,MATCH(1, ('각층분기별_유효전력최대(전월)'!$G$4:$G$2020='7층~4층_매핑테이블'!T118) * ('각층분기별_유효전력최대(전월)'!$H$4:$H$2020='7층~4층_매핑테이블'!U118),0)) + INDEX('각층분기별_유효전력최대(전월)'!$I$4:$I$2020,MATCH(1, ('각층분기별_유효전력최대(전월)'!$G$4:$G$2020='7층~4층_매핑테이블'!V118) * ('각층분기별_유효전력최대(전월)'!$H$4:$H$2020='7층~4층_매핑테이블'!W118),0))</f>
        <v>2.145</v>
      </c>
      <c r="Y118" s="3274" t="str">
        <f t="shared" ref="Y118:Y120" si="158">Z118&amp;AA118</f>
        <v>7-DaHall 1-A-2-50-227-DaHall 1-B-2-50-22</v>
      </c>
      <c r="Z118" s="217" t="s">
        <v>10024</v>
      </c>
      <c r="AA118" s="217" t="s">
        <v>10025</v>
      </c>
      <c r="AB118" s="3274" t="str">
        <f>IF(MID(Z118,16,2)="0","",MID(Z118,1,15)&amp;MID(Z118,16,2))</f>
        <v>7-DaHall 1-A-2-50</v>
      </c>
      <c r="AC118" t="s">
        <v>9547</v>
      </c>
      <c r="AD118" t="str">
        <f t="shared" si="85"/>
        <v>7-DaHall 1-B-2-50</v>
      </c>
      <c r="AE118" t="s">
        <v>9547</v>
      </c>
      <c r="AF118" s="2989" t="e" cm="1">
        <f t="array" ref="AF118">INDEX('각층분기별_유효전력최대(전월)'!$L$4:$L$2020,MATCH(1, ('각층분기별_유효전력최대(전월)'!$J$4:$J$2020='7층~4층_매핑테이블'!AB118) * ('각층분기별_유효전력최대(전월)'!$K$4:$K$2020='7층~4층_매핑테이블'!AC118),0)) + INDEX('각층분기별_유효전력최대(전월)'!$L$4:$L$2020,MATCH(1, ('각층분기별_유효전력최대(전월)'!$J$4:$J$2020='7층~4층_매핑테이블'!AD118) * ('각층분기별_유효전력최대(전월)'!$K$4:$K$2020='7층~4층_매핑테이블'!AE118),0))</f>
        <v>#N/A</v>
      </c>
    </row>
    <row r="119" spans="1:32" x14ac:dyDescent="0.25">
      <c r="A119" t="str">
        <f t="shared" si="157"/>
        <v/>
      </c>
      <c r="B119" s="217"/>
      <c r="C119" s="217"/>
      <c r="D119" s="2989" t="str">
        <f t="shared" si="140"/>
        <v/>
      </c>
      <c r="E119" s="2989" t="str">
        <f t="shared" si="86"/>
        <v/>
      </c>
      <c r="F119" s="2989" t="str">
        <f t="shared" si="141"/>
        <v/>
      </c>
      <c r="G119" s="2989" t="str">
        <f t="shared" si="142"/>
        <v/>
      </c>
      <c r="H119" s="2989" cm="1">
        <f t="array" ref="H119">INDEX('각층분기별_유효전력최대(전월)'!$C$4:$C$2020,MATCH(1, ('각층분기별_유효전력최대(전월)'!$A$4:$A$2020='7층~4층_매핑테이블'!D119) * ('각층분기별_유효전력최대(전월)'!$B$4:$B$2020='7층~4층_매핑테이블'!E119),0)) + INDEX('각층분기별_유효전력최대(전월)'!$C$4:$C$2020,MATCH(1, ('각층분기별_유효전력최대(전월)'!$A$4:$A$2020='7층~4층_매핑테이블'!F119) * ('각층분기별_유효전력최대(전월)'!$B$4:$B$2020='7층~4층_매핑테이블'!G119),0))</f>
        <v>0</v>
      </c>
      <c r="I119" t="str">
        <f t="shared" si="153"/>
        <v/>
      </c>
      <c r="J119" s="217"/>
      <c r="K119" s="217"/>
      <c r="L119" t="str">
        <f t="shared" si="82"/>
        <v/>
      </c>
      <c r="M119" t="str">
        <f t="shared" si="154"/>
        <v/>
      </c>
      <c r="N119" t="str">
        <f t="shared" si="155"/>
        <v/>
      </c>
      <c r="O119" t="str">
        <f t="shared" si="156"/>
        <v/>
      </c>
      <c r="P119" s="2989" cm="1">
        <f t="array" ref="P119">INDEX('각층분기별_유효전력최대(전월)'!$F$4:$F$2020,MATCH(1, ('각층분기별_유효전력최대(전월)'!$D$4:$D$2020='7층~4층_매핑테이블'!L119) * ('각층분기별_유효전력최대(전월)'!$E$4:$E$2020='7층~4층_매핑테이블'!M119),0)) + INDEX('각층분기별_유효전력최대(전월)'!$F$4:$F$2020,MATCH(1, ('각층분기별_유효전력최대(전월)'!$D$4:$D$2020='7층~4층_매핑테이블'!N119) * ('각층분기별_유효전력최대(전월)'!$E$4:$E$2020='7층~4층_매핑테이블'!O119),0))</f>
        <v>0</v>
      </c>
      <c r="Q119" s="1" t="str">
        <f t="shared" si="149"/>
        <v>6-DaHall 1-PDU-05-30-476-DaHall 1-PDU-06-30-47</v>
      </c>
      <c r="R119" s="217" t="s">
        <v>10026</v>
      </c>
      <c r="S119" s="217" t="s">
        <v>10027</v>
      </c>
      <c r="T119" t="str">
        <f t="shared" si="88"/>
        <v>6-DaHall 1-PDU-05</v>
      </c>
      <c r="U119" t="str">
        <f t="shared" si="150"/>
        <v>[branch#047] [A] W</v>
      </c>
      <c r="V119" t="str">
        <f t="shared" si="151"/>
        <v>6-DaHall 1-PDU-06</v>
      </c>
      <c r="W119" t="str">
        <f t="shared" si="152"/>
        <v>[branch#047] [A] W</v>
      </c>
      <c r="X119" s="2989" cm="1">
        <f t="array" ref="X119">INDEX('각층분기별_유효전력최대(전월)'!$I$4:$I$2020,MATCH(1, ('각층분기별_유효전력최대(전월)'!$G$4:$G$2020='7층~4층_매핑테이블'!T119) * ('각층분기별_유효전력최대(전월)'!$H$4:$H$2020='7층~4층_매핑테이블'!U119),0)) + INDEX('각층분기별_유효전력최대(전월)'!$I$4:$I$2020,MATCH(1, ('각층분기별_유효전력최대(전월)'!$G$4:$G$2020='7층~4층_매핑테이블'!V119) * ('각층분기별_유효전력최대(전월)'!$H$4:$H$2020='7층~4층_매핑테이블'!W119),0))</f>
        <v>2.2450000000000001</v>
      </c>
      <c r="Y119" s="3274" t="str">
        <f t="shared" si="158"/>
        <v>7-DaHall 1-PDU-01-30-147-DaHall 1-PDU-02-30-14</v>
      </c>
      <c r="Z119" s="217" t="s">
        <v>10028</v>
      </c>
      <c r="AA119" s="217" t="s">
        <v>10029</v>
      </c>
      <c r="AB119" s="3274" t="str">
        <f t="shared" ref="AB119:AB120" si="159">IF(MID(Z119,16,2)="0","",MID(Z119,1,15)&amp;MID(Z119,16,2))</f>
        <v>7-DaHall 1-PDU-01</v>
      </c>
      <c r="AC119" t="s">
        <v>9478</v>
      </c>
      <c r="AD119" t="str">
        <f t="shared" si="85"/>
        <v>7-DaHall 1-PDU-02</v>
      </c>
      <c r="AE119" t="s">
        <v>9478</v>
      </c>
      <c r="AF119" s="2989" cm="1">
        <f t="array" ref="AF119">INDEX('각층분기별_유효전력최대(전월)'!$L$4:$L$2020,MATCH(1, ('각층분기별_유효전력최대(전월)'!$J$4:$J$2020='7층~4층_매핑테이블'!AB119) * ('각층분기별_유효전력최대(전월)'!$K$4:$K$2020='7층~4층_매핑테이블'!AC119),0)) + INDEX('각층분기별_유효전력최대(전월)'!$L$4:$L$2020,MATCH(1, ('각층분기별_유효전력최대(전월)'!$J$4:$J$2020='7층~4층_매핑테이블'!AD119) * ('각층분기별_유효전력최대(전월)'!$K$4:$K$2020='7층~4층_매핑테이블'!AE119),0))</f>
        <v>1.4830000000000001</v>
      </c>
    </row>
    <row r="120" spans="1:32" x14ac:dyDescent="0.25">
      <c r="A120" t="str">
        <f t="shared" si="157"/>
        <v/>
      </c>
      <c r="B120" s="217"/>
      <c r="C120" s="217"/>
      <c r="D120" s="2989" t="str">
        <f t="shared" si="140"/>
        <v/>
      </c>
      <c r="E120" s="2989" t="str">
        <f t="shared" si="86"/>
        <v/>
      </c>
      <c r="F120" s="2989" t="str">
        <f t="shared" si="141"/>
        <v/>
      </c>
      <c r="G120" s="2989" t="str">
        <f t="shared" si="142"/>
        <v/>
      </c>
      <c r="H120" s="2989" cm="1">
        <f t="array" ref="H120">INDEX('각층분기별_유효전력최대(전월)'!$C$4:$C$2020,MATCH(1, ('각층분기별_유효전력최대(전월)'!$A$4:$A$2020='7층~4층_매핑테이블'!D120) * ('각층분기별_유효전력최대(전월)'!$B$4:$B$2020='7층~4층_매핑테이블'!E120),0)) + INDEX('각층분기별_유효전력최대(전월)'!$C$4:$C$2020,MATCH(1, ('각층분기별_유효전력최대(전월)'!$A$4:$A$2020='7층~4층_매핑테이블'!F120) * ('각층분기별_유효전력최대(전월)'!$B$4:$B$2020='7층~4층_매핑테이블'!G120),0))</f>
        <v>0</v>
      </c>
      <c r="I120" t="str">
        <f t="shared" si="153"/>
        <v/>
      </c>
      <c r="J120" s="217"/>
      <c r="K120" s="217"/>
      <c r="L120" t="str">
        <f t="shared" si="82"/>
        <v/>
      </c>
      <c r="M120" t="str">
        <f t="shared" si="154"/>
        <v/>
      </c>
      <c r="N120" t="str">
        <f t="shared" si="155"/>
        <v/>
      </c>
      <c r="O120" t="str">
        <f t="shared" si="156"/>
        <v/>
      </c>
      <c r="P120" s="2989" cm="1">
        <f t="array" ref="P120">INDEX('각층분기별_유효전력최대(전월)'!$F$4:$F$2020,MATCH(1, ('각층분기별_유효전력최대(전월)'!$D$4:$D$2020='7층~4층_매핑테이블'!L120) * ('각층분기별_유효전력최대(전월)'!$E$4:$E$2020='7층~4층_매핑테이블'!M120),0)) + INDEX('각층분기별_유효전력최대(전월)'!$F$4:$F$2020,MATCH(1, ('각층분기별_유효전력최대(전월)'!$D$4:$D$2020='7층~4층_매핑테이블'!N120) * ('각층분기별_유효전력최대(전월)'!$E$4:$E$2020='7층~4층_매핑테이블'!O120),0))</f>
        <v>0</v>
      </c>
      <c r="Q120" s="1" t="str">
        <f>R120&amp;S120</f>
        <v>6-DaHall 1-PDU-05-30-516-DaHall 1-PDU-06-30-51</v>
      </c>
      <c r="R120" s="217" t="s">
        <v>10030</v>
      </c>
      <c r="S120" s="217" t="s">
        <v>10031</v>
      </c>
      <c r="T120" t="str">
        <f t="shared" si="88"/>
        <v>6-DaHall 1-PDU-05</v>
      </c>
      <c r="U120" t="str">
        <f t="shared" si="150"/>
        <v>[branch#051] [A] W</v>
      </c>
      <c r="V120" t="str">
        <f>IF(MID(S120,16,2)="0","",MID(S120,1,15)&amp;MID(S120,16,2))</f>
        <v>6-DaHall 1-PDU-06</v>
      </c>
      <c r="W120" t="str">
        <f>IF(IF(LEN((MID(S120,22,2)))=1, "[branch#0"&amp;0&amp;MID(S120,22,2)&amp;"] [A] W", "[branch#0"&amp;MID(S120,22,2)&amp;"] [A] W")="[branch#0] [A] W", "", IF(LEN((MID(S120,22,2)))=1, "[branch#0"&amp;0&amp;MID(S120,22,2)&amp;"] [A] W", "[branch#0"&amp;MID(S120,22,2)&amp;"] [A] W"))</f>
        <v>[branch#051] [A] W</v>
      </c>
      <c r="X120" s="2989" cm="1">
        <f t="array" ref="X120">INDEX('각층분기별_유효전력최대(전월)'!$I$4:$I$2020,MATCH(1, ('각층분기별_유효전력최대(전월)'!$G$4:$G$2020='7층~4층_매핑테이블'!T120) * ('각층분기별_유효전력최대(전월)'!$H$4:$H$2020='7층~4층_매핑테이블'!U120),0)) + INDEX('각층분기별_유효전력최대(전월)'!$I$4:$I$2020,MATCH(1, ('각층분기별_유효전력최대(전월)'!$G$4:$G$2020='7층~4층_매핑테이블'!V120) * ('각층분기별_유효전력최대(전월)'!$H$4:$H$2020='7층~4층_매핑테이블'!W120),0))</f>
        <v>2.3330000000000002</v>
      </c>
      <c r="Y120" s="3274" t="str">
        <f t="shared" si="158"/>
        <v>7-DaHall 1-PDU-01-30-167-DaHall 1-PDU-02-30-16</v>
      </c>
      <c r="Z120" s="217" t="s">
        <v>10032</v>
      </c>
      <c r="AA120" s="217" t="s">
        <v>10033</v>
      </c>
      <c r="AB120" s="3274" t="str">
        <f t="shared" si="159"/>
        <v>7-DaHall 1-PDU-01</v>
      </c>
      <c r="AC120" t="s">
        <v>9465</v>
      </c>
      <c r="AD120" t="str">
        <f t="shared" si="85"/>
        <v>7-DaHall 1-PDU-02</v>
      </c>
      <c r="AE120" t="s">
        <v>9465</v>
      </c>
      <c r="AF120" s="2989" cm="1">
        <f t="array" ref="AF120">INDEX('각층분기별_유효전력최대(전월)'!$L$4:$L$2020,MATCH(1, ('각층분기별_유효전력최대(전월)'!$J$4:$J$2020='7층~4층_매핑테이블'!AB120) * ('각층분기별_유효전력최대(전월)'!$K$4:$K$2020='7층~4층_매핑테이블'!AC120),0)) + INDEX('각층분기별_유효전력최대(전월)'!$L$4:$L$2020,MATCH(1, ('각층분기별_유효전력최대(전월)'!$J$4:$J$2020='7층~4층_매핑테이블'!AD120) * ('각층분기별_유효전력최대(전월)'!$K$4:$K$2020='7층~4층_매핑테이블'!AE120),0))</f>
        <v>1.079</v>
      </c>
    </row>
    <row r="121" spans="1:32" x14ac:dyDescent="0.25">
      <c r="A121" t="str">
        <f t="shared" si="157"/>
        <v/>
      </c>
      <c r="B121" s="217"/>
      <c r="C121" s="217"/>
      <c r="D121" s="2989" t="str">
        <f t="shared" si="140"/>
        <v/>
      </c>
      <c r="E121" s="2989" t="str">
        <f t="shared" si="86"/>
        <v/>
      </c>
      <c r="F121" s="2989" t="str">
        <f t="shared" si="141"/>
        <v/>
      </c>
      <c r="G121" s="2989" t="str">
        <f t="shared" si="142"/>
        <v/>
      </c>
      <c r="H121" s="2989" cm="1">
        <f t="array" ref="H121">INDEX('각층분기별_유효전력최대(전월)'!$C$4:$C$2020,MATCH(1, ('각층분기별_유효전력최대(전월)'!$A$4:$A$2020='7층~4층_매핑테이블'!D121) * ('각층분기별_유효전력최대(전월)'!$B$4:$B$2020='7층~4층_매핑테이블'!E121),0)) + INDEX('각층분기별_유효전력최대(전월)'!$C$4:$C$2020,MATCH(1, ('각층분기별_유효전력최대(전월)'!$A$4:$A$2020='7층~4층_매핑테이블'!F121) * ('각층분기별_유효전력최대(전월)'!$B$4:$B$2020='7층~4층_매핑테이블'!G121),0))</f>
        <v>0</v>
      </c>
      <c r="I121" t="str">
        <f t="shared" si="153"/>
        <v/>
      </c>
      <c r="J121" s="217"/>
      <c r="K121" s="217"/>
      <c r="L121" t="str">
        <f t="shared" si="82"/>
        <v/>
      </c>
      <c r="M121" t="str">
        <f t="shared" si="154"/>
        <v/>
      </c>
      <c r="N121" t="str">
        <f t="shared" si="155"/>
        <v/>
      </c>
      <c r="O121" t="str">
        <f t="shared" si="156"/>
        <v/>
      </c>
      <c r="P121" s="2989" cm="1">
        <f t="array" ref="P121">INDEX('각층분기별_유효전력최대(전월)'!$F$4:$F$2020,MATCH(1, ('각층분기별_유효전력최대(전월)'!$D$4:$D$2020='7층~4층_매핑테이블'!L121) * ('각층분기별_유효전력최대(전월)'!$E$4:$E$2020='7층~4층_매핑테이블'!M121),0)) + INDEX('각층분기별_유효전력최대(전월)'!$F$4:$F$2020,MATCH(1, ('각층분기별_유효전력최대(전월)'!$D$4:$D$2020='7층~4층_매핑테이블'!N121) * ('각층분기별_유효전력최대(전월)'!$E$4:$E$2020='7층~4층_매핑테이블'!O121),0))</f>
        <v>0</v>
      </c>
      <c r="Q121" s="1" t="str">
        <f t="shared" si="149"/>
        <v>6-DaHall 1-PDU-05-30-536-DaHall 1-PDU-06-30-53</v>
      </c>
      <c r="R121" s="217" t="s">
        <v>10034</v>
      </c>
      <c r="S121" s="217" t="s">
        <v>10035</v>
      </c>
      <c r="T121" t="str">
        <f t="shared" si="88"/>
        <v>6-DaHall 1-PDU-05</v>
      </c>
      <c r="U121" t="str">
        <f t="shared" si="150"/>
        <v>[branch#053] [A] W</v>
      </c>
      <c r="V121" t="str">
        <f t="shared" si="151"/>
        <v>6-DaHall 1-PDU-06</v>
      </c>
      <c r="W121" t="str">
        <f t="shared" si="152"/>
        <v>[branch#053] [A] W</v>
      </c>
      <c r="X121" s="2989" cm="1">
        <f t="array" ref="X121">INDEX('각층분기별_유효전력최대(전월)'!$I$4:$I$2020,MATCH(1, ('각층분기별_유효전력최대(전월)'!$G$4:$G$2020='7층~4층_매핑테이블'!T121) * ('각층분기별_유효전력최대(전월)'!$H$4:$H$2020='7층~4층_매핑테이블'!U121),0)) + INDEX('각층분기별_유효전력최대(전월)'!$I$4:$I$2020,MATCH(1, ('각층분기별_유효전력최대(전월)'!$G$4:$G$2020='7층~4층_매핑테이블'!V121) * ('각층분기별_유효전력최대(전월)'!$H$4:$H$2020='7층~4층_매핑테이블'!W121),0))</f>
        <v>1.6620000000000001</v>
      </c>
      <c r="Y121" s="3274" t="str">
        <f>Z121&amp;AA121</f>
        <v/>
      </c>
      <c r="Z121" s="217"/>
      <c r="AA121" s="217"/>
      <c r="AB121" s="3274" t="str">
        <f>IF(MID(Z121,16,2)="0","",MID(Z121,1,15)&amp;MID(Z121,16,2))</f>
        <v/>
      </c>
      <c r="AD121" t="str">
        <f t="shared" si="85"/>
        <v/>
      </c>
      <c r="AF121" s="2989" cm="1">
        <f t="array" ref="AF121">INDEX('각층분기별_유효전력최대(전월)'!$L$4:$L$2020,MATCH(1, ('각층분기별_유효전력최대(전월)'!$J$4:$J$2020='7층~4층_매핑테이블'!AB121) * ('각층분기별_유효전력최대(전월)'!$K$4:$K$2020='7층~4층_매핑테이블'!AC121),0)) + INDEX('각층분기별_유효전력최대(전월)'!$L$4:$L$2020,MATCH(1, ('각층분기별_유효전력최대(전월)'!$J$4:$J$2020='7층~4층_매핑테이블'!AD121) * ('각층분기별_유효전력최대(전월)'!$K$4:$K$2020='7층~4층_매핑테이블'!AE121),0))</f>
        <v>0</v>
      </c>
    </row>
    <row r="122" spans="1:32" x14ac:dyDescent="0.25">
      <c r="A122" t="str">
        <f t="shared" si="157"/>
        <v/>
      </c>
      <c r="B122" s="217"/>
      <c r="C122" s="217"/>
      <c r="D122" s="2989" t="str">
        <f t="shared" si="140"/>
        <v/>
      </c>
      <c r="E122" s="2989" t="str">
        <f t="shared" si="86"/>
        <v/>
      </c>
      <c r="F122" s="2989" t="str">
        <f t="shared" si="141"/>
        <v/>
      </c>
      <c r="G122" s="2989" t="str">
        <f t="shared" si="142"/>
        <v/>
      </c>
      <c r="H122" s="2989" cm="1">
        <f t="array" ref="H122">INDEX('각층분기별_유효전력최대(전월)'!$C$4:$C$2020,MATCH(1, ('각층분기별_유효전력최대(전월)'!$A$4:$A$2020='7층~4층_매핑테이블'!D122) * ('각층분기별_유효전력최대(전월)'!$B$4:$B$2020='7층~4층_매핑테이블'!E122),0)) + INDEX('각층분기별_유효전력최대(전월)'!$C$4:$C$2020,MATCH(1, ('각층분기별_유효전력최대(전월)'!$A$4:$A$2020='7층~4층_매핑테이블'!F122) * ('각층분기별_유효전력최대(전월)'!$B$4:$B$2020='7층~4층_매핑테이블'!G122),0))</f>
        <v>0</v>
      </c>
      <c r="I122" t="str">
        <f t="shared" si="153"/>
        <v/>
      </c>
      <c r="J122" s="217"/>
      <c r="K122" s="217"/>
      <c r="L122" t="str">
        <f t="shared" si="82"/>
        <v/>
      </c>
      <c r="M122" t="str">
        <f t="shared" si="154"/>
        <v/>
      </c>
      <c r="N122" t="str">
        <f t="shared" si="155"/>
        <v/>
      </c>
      <c r="O122" t="str">
        <f t="shared" si="156"/>
        <v/>
      </c>
      <c r="P122" s="2989" cm="1">
        <f t="array" ref="P122">INDEX('각층분기별_유효전력최대(전월)'!$F$4:$F$2020,MATCH(1, ('각층분기별_유효전력최대(전월)'!$D$4:$D$2020='7층~4층_매핑테이블'!L122) * ('각층분기별_유효전력최대(전월)'!$E$4:$E$2020='7층~4층_매핑테이블'!M122),0)) + INDEX('각층분기별_유효전력최대(전월)'!$F$4:$F$2020,MATCH(1, ('각층분기별_유효전력최대(전월)'!$D$4:$D$2020='7층~4층_매핑테이블'!N122) * ('각층분기별_유효전력최대(전월)'!$E$4:$E$2020='7층~4층_매핑테이블'!O122),0))</f>
        <v>0</v>
      </c>
      <c r="Q122" s="1" t="str">
        <f t="shared" si="149"/>
        <v>6-DaHall 1-PDU-05-30-496-DaHall 1-PDU-06-30-49</v>
      </c>
      <c r="R122" s="217" t="s">
        <v>10036</v>
      </c>
      <c r="S122" s="217" t="s">
        <v>10037</v>
      </c>
      <c r="T122" t="str">
        <f t="shared" si="88"/>
        <v>6-DaHall 1-PDU-05</v>
      </c>
      <c r="U122" t="str">
        <f t="shared" si="150"/>
        <v>[branch#049] [A] W</v>
      </c>
      <c r="V122" t="str">
        <f t="shared" si="151"/>
        <v>6-DaHall 1-PDU-06</v>
      </c>
      <c r="W122" t="str">
        <f t="shared" si="152"/>
        <v>[branch#049] [A] W</v>
      </c>
      <c r="X122" s="2989" cm="1">
        <f t="array" ref="X122">INDEX('각층분기별_유효전력최대(전월)'!$I$4:$I$2020,MATCH(1, ('각층분기별_유효전력최대(전월)'!$G$4:$G$2020='7층~4층_매핑테이블'!T122) * ('각층분기별_유효전력최대(전월)'!$H$4:$H$2020='7층~4층_매핑테이블'!U122),0)) + INDEX('각층분기별_유효전력최대(전월)'!$I$4:$I$2020,MATCH(1, ('각층분기별_유효전력최대(전월)'!$G$4:$G$2020='7층~4층_매핑테이블'!V122) * ('각층분기별_유효전력최대(전월)'!$H$4:$H$2020='7층~4층_매핑테이블'!W122),0))</f>
        <v>2.1669999999999998</v>
      </c>
      <c r="Y122" s="3274" t="str">
        <f t="shared" ref="Y122:Y124" si="160">Z122&amp;AA122</f>
        <v/>
      </c>
      <c r="Z122" s="217"/>
      <c r="AA122" s="217"/>
      <c r="AB122" s="3274" t="str">
        <f>IF(MID(Z122,16,2)="0","",MID(Z122,1,15)&amp;MID(Z122,16,2))</f>
        <v/>
      </c>
      <c r="AD122" t="str">
        <f t="shared" si="85"/>
        <v/>
      </c>
      <c r="AF122" s="2989" cm="1">
        <f t="array" ref="AF122">INDEX('각층분기별_유효전력최대(전월)'!$L$4:$L$2020,MATCH(1, ('각층분기별_유효전력최대(전월)'!$J$4:$J$2020='7층~4층_매핑테이블'!AB122) * ('각층분기별_유효전력최대(전월)'!$K$4:$K$2020='7층~4층_매핑테이블'!AC122),0)) + INDEX('각층분기별_유효전력최대(전월)'!$L$4:$L$2020,MATCH(1, ('각층분기별_유효전력최대(전월)'!$J$4:$J$2020='7층~4층_매핑테이블'!AD122) * ('각층분기별_유효전력최대(전월)'!$K$4:$K$2020='7층~4층_매핑테이블'!AE122),0))</f>
        <v>0</v>
      </c>
    </row>
    <row r="123" spans="1:32" x14ac:dyDescent="0.25">
      <c r="A123" t="str">
        <f t="shared" si="157"/>
        <v/>
      </c>
      <c r="B123" s="217"/>
      <c r="C123" s="217"/>
      <c r="D123" s="2989" t="str">
        <f t="shared" si="140"/>
        <v/>
      </c>
      <c r="E123" s="2989" t="str">
        <f t="shared" si="86"/>
        <v/>
      </c>
      <c r="F123" s="2989" t="str">
        <f t="shared" si="141"/>
        <v/>
      </c>
      <c r="G123" s="2989" t="str">
        <f t="shared" si="142"/>
        <v/>
      </c>
      <c r="H123" s="2989" cm="1">
        <f t="array" ref="H123">INDEX('각층분기별_유효전력최대(전월)'!$C$4:$C$2020,MATCH(1, ('각층분기별_유효전력최대(전월)'!$A$4:$A$2020='7층~4층_매핑테이블'!D123) * ('각층분기별_유효전력최대(전월)'!$B$4:$B$2020='7층~4층_매핑테이블'!E123),0)) + INDEX('각층분기별_유효전력최대(전월)'!$C$4:$C$2020,MATCH(1, ('각층분기별_유효전력최대(전월)'!$A$4:$A$2020='7층~4층_매핑테이블'!F123) * ('각층분기별_유효전력최대(전월)'!$B$4:$B$2020='7층~4층_매핑테이블'!G123),0))</f>
        <v>0</v>
      </c>
      <c r="I123" t="str">
        <f t="shared" si="153"/>
        <v/>
      </c>
      <c r="J123" s="217"/>
      <c r="K123" s="217"/>
      <c r="L123" t="str">
        <f t="shared" si="82"/>
        <v/>
      </c>
      <c r="M123" t="str">
        <f t="shared" si="154"/>
        <v/>
      </c>
      <c r="N123" t="str">
        <f t="shared" si="155"/>
        <v/>
      </c>
      <c r="O123" t="str">
        <f t="shared" si="156"/>
        <v/>
      </c>
      <c r="P123" s="2989" cm="1">
        <f t="array" ref="P123">INDEX('각층분기별_유효전력최대(전월)'!$F$4:$F$2020,MATCH(1, ('각층분기별_유효전력최대(전월)'!$D$4:$D$2020='7층~4층_매핑테이블'!L123) * ('각층분기별_유효전력최대(전월)'!$E$4:$E$2020='7층~4층_매핑테이블'!M123),0)) + INDEX('각층분기별_유효전력최대(전월)'!$F$4:$F$2020,MATCH(1, ('각층분기별_유효전력최대(전월)'!$D$4:$D$2020='7층~4층_매핑테이블'!N123) * ('각층분기별_유효전력최대(전월)'!$E$4:$E$2020='7층~4층_매핑테이블'!O123),0))</f>
        <v>0</v>
      </c>
      <c r="Q123" s="1" t="str">
        <f t="shared" si="149"/>
        <v>6-DaHall 1-PDU-03-30-16-DaHall 1-PDU-04-30-1</v>
      </c>
      <c r="R123" s="217" t="s">
        <v>10038</v>
      </c>
      <c r="S123" s="217" t="s">
        <v>10039</v>
      </c>
      <c r="T123" t="str">
        <f t="shared" si="88"/>
        <v>6-DaHall 1-PDU-03</v>
      </c>
      <c r="U123" t="str">
        <f t="shared" si="150"/>
        <v>[branch#001] [A] W</v>
      </c>
      <c r="V123" t="str">
        <f t="shared" si="151"/>
        <v>6-DaHall 1-PDU-04</v>
      </c>
      <c r="W123" t="str">
        <f t="shared" si="152"/>
        <v>[branch#001] [A] W</v>
      </c>
      <c r="X123" s="2989" cm="1">
        <f t="array" ref="X123">INDEX('각층분기별_유효전력최대(전월)'!$I$4:$I$2020,MATCH(1, ('각층분기별_유효전력최대(전월)'!$G$4:$G$2020='7층~4층_매핑테이블'!T123) * ('각층분기별_유효전력최대(전월)'!$H$4:$H$2020='7층~4층_매핑테이블'!U123),0)) + INDEX('각층분기별_유효전력최대(전월)'!$I$4:$I$2020,MATCH(1, ('각층분기별_유효전력최대(전월)'!$G$4:$G$2020='7층~4층_매핑테이블'!V123) * ('각층분기별_유효전력최대(전월)'!$H$4:$H$2020='7층~4층_매핑테이블'!W123),0))</f>
        <v>3.1470000000000002</v>
      </c>
      <c r="Y123" s="3274" t="str">
        <f t="shared" si="160"/>
        <v/>
      </c>
      <c r="Z123" s="217"/>
      <c r="AA123" s="217"/>
      <c r="AB123" s="3274" t="str">
        <f t="shared" ref="AB123:AB124" si="161">IF(MID(Z123,16,2)="0","",MID(Z123,1,15)&amp;MID(Z123,16,2))</f>
        <v/>
      </c>
      <c r="AD123" t="str">
        <f t="shared" si="85"/>
        <v/>
      </c>
      <c r="AF123" s="2989" cm="1">
        <f t="array" ref="AF123">INDEX('각층분기별_유효전력최대(전월)'!$L$4:$L$2020,MATCH(1, ('각층분기별_유효전력최대(전월)'!$J$4:$J$2020='7층~4층_매핑테이블'!AB123) * ('각층분기별_유효전력최대(전월)'!$K$4:$K$2020='7층~4층_매핑테이블'!AC123),0)) + INDEX('각층분기별_유효전력최대(전월)'!$L$4:$L$2020,MATCH(1, ('각층분기별_유효전력최대(전월)'!$J$4:$J$2020='7층~4층_매핑테이블'!AD123) * ('각층분기별_유효전력최대(전월)'!$K$4:$K$2020='7층~4층_매핑테이블'!AE123),0))</f>
        <v>0</v>
      </c>
    </row>
    <row r="124" spans="1:32" x14ac:dyDescent="0.25">
      <c r="A124" t="str">
        <f>B124&amp;C124</f>
        <v>4-DaHall 1-PDU-06-100-44-DaHall 1-PDU-05-100-4</v>
      </c>
      <c r="B124" s="217" t="s">
        <v>10040</v>
      </c>
      <c r="C124" s="217" t="s">
        <v>10041</v>
      </c>
      <c r="D124" s="2989" t="str">
        <f>IF(MID(B124,16,2)="0","",MID(B124,1,15)&amp;MID(B124,16,2))</f>
        <v>4-DaHall 1-PDU-06</v>
      </c>
      <c r="E124" s="2989" t="str">
        <f t="shared" si="86"/>
        <v>[branch#004] [A] W</v>
      </c>
      <c r="F124" s="2989" t="str">
        <f>IF(MID(C124,16,2)="0","",MID(C124,1,15)&amp;MID(C124,16,2))</f>
        <v>4-DaHall 1-PDU-05</v>
      </c>
      <c r="G124" s="2989" t="str">
        <f>IF(IF(LEN(MID(C124,23,2))=1, "[branch#0"&amp;0&amp;MID(C124,23,2)&amp;"] [A] W", "[branch#0"&amp;MID(C124,23,2)&amp;"] [A] W")="[branch#0] [A] W", "", IF(LEN(MID(C124,23,2))=1, "[branch#0"&amp;0&amp;MID(C124,23,2)&amp;"] [A] W", "[branch#0"&amp;MID(C124,23,2)&amp;"] [A] W"))</f>
        <v>[branch#004] [A] W</v>
      </c>
      <c r="H124" s="2989" cm="1">
        <f t="array" ref="H124">INDEX('각층분기별_유효전력최대(전월)'!$C$4:$C$2020,MATCH(1, ('각층분기별_유효전력최대(전월)'!$A$4:$A$2020='7층~4층_매핑테이블'!D124) * ('각층분기별_유효전력최대(전월)'!$B$4:$B$2020='7층~4층_매핑테이블'!E124),0)) + INDEX('각층분기별_유효전력최대(전월)'!$C$4:$C$2020,MATCH(1, ('각층분기별_유효전력최대(전월)'!$A$4:$A$2020='7층~4층_매핑테이블'!F124) * ('각층분기별_유효전력최대(전월)'!$B$4:$B$2020='7층~4층_매핑테이블'!G124),0))</f>
        <v>3.0380000000000003</v>
      </c>
      <c r="I124" t="str">
        <f t="shared" si="153"/>
        <v/>
      </c>
      <c r="J124" s="217"/>
      <c r="K124" s="217"/>
      <c r="L124" t="str">
        <f t="shared" si="82"/>
        <v/>
      </c>
      <c r="M124" t="str">
        <f t="shared" si="154"/>
        <v/>
      </c>
      <c r="N124" t="str">
        <f t="shared" si="155"/>
        <v/>
      </c>
      <c r="O124" t="str">
        <f t="shared" si="156"/>
        <v/>
      </c>
      <c r="P124" s="2989" cm="1">
        <f t="array" ref="P124">INDEX('각층분기별_유효전력최대(전월)'!$F$4:$F$2020,MATCH(1, ('각층분기별_유효전력최대(전월)'!$D$4:$D$2020='7층~4층_매핑테이블'!L124) * ('각층분기별_유효전력최대(전월)'!$E$4:$E$2020='7층~4층_매핑테이블'!M124),0)) + INDEX('각층분기별_유효전력최대(전월)'!$F$4:$F$2020,MATCH(1, ('각층분기별_유효전력최대(전월)'!$D$4:$D$2020='7층~4층_매핑테이블'!N124) * ('각층분기별_유효전력최대(전월)'!$E$4:$E$2020='7층~4층_매핑테이블'!O124),0))</f>
        <v>0</v>
      </c>
      <c r="Q124" s="1" t="str">
        <f>R124&amp;S124</f>
        <v>6-DaHall 1-PDU-03-30-36-DaHall 1-PDU-04-30-3</v>
      </c>
      <c r="R124" s="217" t="s">
        <v>10042</v>
      </c>
      <c r="S124" s="217" t="s">
        <v>10043</v>
      </c>
      <c r="T124" t="str">
        <f t="shared" si="88"/>
        <v>6-DaHall 1-PDU-03</v>
      </c>
      <c r="U124" t="str">
        <f t="shared" si="150"/>
        <v>[branch#003] [A] W</v>
      </c>
      <c r="V124" t="str">
        <f>IF(MID(S124,16,2)="0","",MID(S124,1,15)&amp;MID(S124,16,2))</f>
        <v>6-DaHall 1-PDU-04</v>
      </c>
      <c r="W124" t="str">
        <f>IF(IF(LEN((MID(S124,22,2)))=1, "[branch#0"&amp;0&amp;MID(S124,22,2)&amp;"] [A] W", "[branch#0"&amp;MID(S124,22,2)&amp;"] [A] W")="[branch#0] [A] W", "", IF(LEN((MID(S124,22,2)))=1, "[branch#0"&amp;0&amp;MID(S124,22,2)&amp;"] [A] W", "[branch#0"&amp;MID(S124,22,2)&amp;"] [A] W"))</f>
        <v>[branch#003] [A] W</v>
      </c>
      <c r="X124" s="2989" cm="1">
        <f t="array" ref="X124">INDEX('각층분기별_유효전력최대(전월)'!$I$4:$I$2020,MATCH(1, ('각층분기별_유효전력최대(전월)'!$G$4:$G$2020='7층~4층_매핑테이블'!T124) * ('각층분기별_유효전력최대(전월)'!$H$4:$H$2020='7층~4층_매핑테이블'!U124),0)) + INDEX('각층분기별_유효전력최대(전월)'!$I$4:$I$2020,MATCH(1, ('각층분기별_유효전력최대(전월)'!$G$4:$G$2020='7층~4층_매핑테이블'!V124) * ('각층분기별_유효전력최대(전월)'!$H$4:$H$2020='7층~4층_매핑테이블'!W124),0))</f>
        <v>3.1539999999999999</v>
      </c>
      <c r="Y124" s="3274" t="str">
        <f t="shared" si="160"/>
        <v/>
      </c>
      <c r="Z124" s="217"/>
      <c r="AA124" s="217"/>
      <c r="AB124" s="3274" t="str">
        <f t="shared" si="161"/>
        <v/>
      </c>
      <c r="AD124" t="str">
        <f t="shared" si="85"/>
        <v/>
      </c>
      <c r="AF124" s="2989" cm="1">
        <f t="array" ref="AF124">INDEX('각층분기별_유효전력최대(전월)'!$L$4:$L$2020,MATCH(1, ('각층분기별_유효전력최대(전월)'!$J$4:$J$2020='7층~4층_매핑테이블'!AB124) * ('각층분기별_유효전력최대(전월)'!$K$4:$K$2020='7층~4층_매핑테이블'!AC124),0)) + INDEX('각층분기별_유효전력최대(전월)'!$L$4:$L$2020,MATCH(1, ('각층분기별_유효전력최대(전월)'!$J$4:$J$2020='7층~4층_매핑테이블'!AD124) * ('각층분기별_유효전력최대(전월)'!$K$4:$K$2020='7층~4층_매핑테이블'!AE124),0))</f>
        <v>0</v>
      </c>
    </row>
    <row r="125" spans="1:32" x14ac:dyDescent="0.25">
      <c r="A125" t="str">
        <f>B125&amp;C125</f>
        <v/>
      </c>
      <c r="B125" s="217"/>
      <c r="C125" s="217"/>
      <c r="D125" s="2989" t="str">
        <f>IF(MID(B125,16,2)="0","",MID(B125,1,15)&amp;MID(B125,16,2))</f>
        <v/>
      </c>
      <c r="E125" s="2989" t="str">
        <f t="shared" si="86"/>
        <v/>
      </c>
      <c r="F125" s="2989" t="str">
        <f>IF(MID(C125,16,2)="0","",MID(C125,1,15)&amp;MID(C125,16,2))</f>
        <v/>
      </c>
      <c r="G125" s="2989" t="str">
        <f>IF(IF(LEN(MID(C125,23,2))=1, "[branch#0"&amp;0&amp;MID(C125,23,2)&amp;"] [A] W", "[branch#0"&amp;MID(C125,23,2)&amp;"] [A] W")="[branch#0] [A] W", "", IF(LEN(MID(C125,23,2))=1, "[branch#0"&amp;0&amp;MID(C125,23,2)&amp;"] [A] W", "[branch#0"&amp;MID(C125,23,2)&amp;"] [A] W"))</f>
        <v/>
      </c>
      <c r="H125" s="2989" cm="1">
        <f t="array" ref="H125">INDEX('각층분기별_유효전력최대(전월)'!$C$4:$C$2020,MATCH(1, ('각층분기별_유효전력최대(전월)'!$A$4:$A$2020='7층~4층_매핑테이블'!D125) * ('각층분기별_유효전력최대(전월)'!$B$4:$B$2020='7층~4층_매핑테이블'!E125),0)) + INDEX('각층분기별_유효전력최대(전월)'!$C$4:$C$2020,MATCH(1, ('각층분기별_유효전력최대(전월)'!$A$4:$A$2020='7층~4층_매핑테이블'!F125) * ('각층분기별_유효전력최대(전월)'!$B$4:$B$2020='7층~4층_매핑테이블'!G125),0))</f>
        <v>0</v>
      </c>
      <c r="I125" t="str">
        <f t="shared" si="153"/>
        <v/>
      </c>
      <c r="J125" s="217"/>
      <c r="K125" s="217"/>
      <c r="L125" t="str">
        <f t="shared" si="82"/>
        <v/>
      </c>
      <c r="M125" t="str">
        <f t="shared" si="154"/>
        <v/>
      </c>
      <c r="N125" t="str">
        <f t="shared" si="155"/>
        <v/>
      </c>
      <c r="O125" t="str">
        <f t="shared" si="156"/>
        <v/>
      </c>
      <c r="P125" s="2989" cm="1">
        <f t="array" ref="P125">INDEX('각층분기별_유효전력최대(전월)'!$F$4:$F$2020,MATCH(1, ('각층분기별_유효전력최대(전월)'!$D$4:$D$2020='7층~4층_매핑테이블'!L125) * ('각층분기별_유효전력최대(전월)'!$E$4:$E$2020='7층~4층_매핑테이블'!M125),0)) + INDEX('각층분기별_유효전력최대(전월)'!$F$4:$F$2020,MATCH(1, ('각층분기별_유효전력최대(전월)'!$D$4:$D$2020='7층~4층_매핑테이블'!N125) * ('각층분기별_유효전력최대(전월)'!$E$4:$E$2020='7층~4층_매핑테이블'!O125),0))</f>
        <v>0</v>
      </c>
      <c r="Q125" s="1" t="str">
        <f t="shared" si="149"/>
        <v>6-DaHall 1-PDU-03-30-56-DaHall 1-PDU-04-30-5</v>
      </c>
      <c r="R125" s="217" t="s">
        <v>10044</v>
      </c>
      <c r="S125" s="217" t="s">
        <v>10045</v>
      </c>
      <c r="T125" t="str">
        <f t="shared" si="88"/>
        <v>6-DaHall 1-PDU-03</v>
      </c>
      <c r="U125" t="str">
        <f t="shared" si="150"/>
        <v>[branch#005] [A] W</v>
      </c>
      <c r="V125" t="str">
        <f t="shared" si="151"/>
        <v>6-DaHall 1-PDU-04</v>
      </c>
      <c r="W125" t="str">
        <f t="shared" si="152"/>
        <v>[branch#005] [A] W</v>
      </c>
      <c r="X125" s="2989" cm="1">
        <f t="array" ref="X125">INDEX('각층분기별_유효전력최대(전월)'!$I$4:$I$2020,MATCH(1, ('각층분기별_유효전력최대(전월)'!$G$4:$G$2020='7층~4층_매핑테이블'!T125) * ('각층분기별_유효전력최대(전월)'!$H$4:$H$2020='7층~4층_매핑테이블'!U125),0)) + INDEX('각층분기별_유효전력최대(전월)'!$I$4:$I$2020,MATCH(1, ('각층분기별_유효전력최대(전월)'!$G$4:$G$2020='7층~4층_매핑테이블'!V125) * ('각층분기별_유효전력최대(전월)'!$H$4:$H$2020='7층~4층_매핑테이블'!W125),0))</f>
        <v>0.51800000000000002</v>
      </c>
      <c r="Y125" s="3274" t="str">
        <f>Z125&amp;AA125</f>
        <v>7-DaHall 1-A-2-50-127-DaHall 1-B-2-50-12</v>
      </c>
      <c r="Z125" s="217" t="s">
        <v>10046</v>
      </c>
      <c r="AA125" s="217" t="s">
        <v>10047</v>
      </c>
      <c r="AB125" s="3274" t="str">
        <f>IF(MID(Z125,16,2)="0","",MID(Z125,1,15)&amp;MID(Z125,16,2))</f>
        <v>7-DaHall 1-A-2-50</v>
      </c>
      <c r="AC125" t="s">
        <v>9509</v>
      </c>
      <c r="AD125" t="str">
        <f t="shared" si="85"/>
        <v>7-DaHall 1-B-2-50</v>
      </c>
      <c r="AE125" t="s">
        <v>9509</v>
      </c>
      <c r="AF125" s="2989" t="e" cm="1">
        <f t="array" ref="AF125">INDEX('각층분기별_유효전력최대(전월)'!$L$4:$L$2020,MATCH(1, ('각층분기별_유효전력최대(전월)'!$J$4:$J$2020='7층~4층_매핑테이블'!AB125) * ('각층분기별_유효전력최대(전월)'!$K$4:$K$2020='7층~4층_매핑테이블'!AC125),0)) + INDEX('각층분기별_유효전력최대(전월)'!$L$4:$L$2020,MATCH(1, ('각층분기별_유효전력최대(전월)'!$J$4:$J$2020='7층~4층_매핑테이블'!AD125) * ('각층분기별_유효전력최대(전월)'!$K$4:$K$2020='7층~4층_매핑테이블'!AE125),0))</f>
        <v>#N/A</v>
      </c>
    </row>
    <row r="126" spans="1:32" x14ac:dyDescent="0.25">
      <c r="A126" t="str">
        <f t="shared" ref="A126:A134" si="162">B126&amp;C126</f>
        <v/>
      </c>
      <c r="B126" s="217"/>
      <c r="C126" s="217"/>
      <c r="D126" s="2989" t="str">
        <f>IF(MID(B126,16,2)="0","",MID(B126,1,15)&amp;MID(B126,16,2))</f>
        <v/>
      </c>
      <c r="E126" s="2989" t="str">
        <f t="shared" si="86"/>
        <v/>
      </c>
      <c r="F126" s="2989" t="str">
        <f>IF(MID(C126,16,2)="0","",MID(C126,1,15)&amp;MID(C126,16,2))</f>
        <v/>
      </c>
      <c r="G126" s="2989" t="str">
        <f>IF(IF(LEN(MID(C126,23,2))=1, "[branch#0"&amp;0&amp;MID(C126,23,2)&amp;"] [A] W", "[branch#0"&amp;MID(C126,23,2)&amp;"] [A] W")="[branch#0] [A] W", "", IF(LEN(MID(C126,23,2))=1, "[branch#0"&amp;0&amp;MID(C126,23,2)&amp;"] [A] W", "[branch#0"&amp;MID(C126,23,2)&amp;"] [A] W"))</f>
        <v/>
      </c>
      <c r="H126" s="2989" cm="1">
        <f t="array" ref="H126">INDEX('각층분기별_유효전력최대(전월)'!$C$4:$C$2020,MATCH(1, ('각층분기별_유효전력최대(전월)'!$A$4:$A$2020='7층~4층_매핑테이블'!D126) * ('각층분기별_유효전력최대(전월)'!$B$4:$B$2020='7층~4층_매핑테이블'!E126),0)) + INDEX('각층분기별_유효전력최대(전월)'!$C$4:$C$2020,MATCH(1, ('각층분기별_유효전력최대(전월)'!$A$4:$A$2020='7층~4층_매핑테이블'!F126) * ('각층분기별_유효전력최대(전월)'!$B$4:$B$2020='7층~4층_매핑테이블'!G126),0))</f>
        <v>0</v>
      </c>
      <c r="I126" t="str">
        <f t="shared" si="153"/>
        <v/>
      </c>
      <c r="J126" s="217"/>
      <c r="K126" s="217"/>
      <c r="L126" t="str">
        <f t="shared" si="82"/>
        <v/>
      </c>
      <c r="M126" t="str">
        <f t="shared" si="154"/>
        <v/>
      </c>
      <c r="N126" t="str">
        <f t="shared" si="155"/>
        <v/>
      </c>
      <c r="O126" t="str">
        <f t="shared" si="156"/>
        <v/>
      </c>
      <c r="P126" s="2989" cm="1">
        <f t="array" ref="P126">INDEX('각층분기별_유효전력최대(전월)'!$F$4:$F$2020,MATCH(1, ('각층분기별_유효전력최대(전월)'!$D$4:$D$2020='7층~4층_매핑테이블'!L126) * ('각층분기별_유효전력최대(전월)'!$E$4:$E$2020='7층~4층_매핑테이블'!M126),0)) + INDEX('각층분기별_유효전력최대(전월)'!$F$4:$F$2020,MATCH(1, ('각층분기별_유효전력최대(전월)'!$D$4:$D$2020='7층~4층_매핑테이블'!N126) * ('각층분기별_유효전력최대(전월)'!$E$4:$E$2020='7층~4층_매핑테이블'!O126),0))</f>
        <v>0</v>
      </c>
      <c r="Q126" s="1" t="str">
        <f t="shared" si="149"/>
        <v>6-DaHall 1-PDU-03-30-76-DaHall 1-PDU-04-30-7</v>
      </c>
      <c r="R126" s="217" t="s">
        <v>10048</v>
      </c>
      <c r="S126" s="217" t="s">
        <v>10049</v>
      </c>
      <c r="T126" t="str">
        <f t="shared" si="88"/>
        <v>6-DaHall 1-PDU-03</v>
      </c>
      <c r="U126" t="str">
        <f t="shared" si="150"/>
        <v>[branch#007] [A] W</v>
      </c>
      <c r="V126" t="str">
        <f t="shared" si="151"/>
        <v>6-DaHall 1-PDU-04</v>
      </c>
      <c r="W126" t="str">
        <f t="shared" si="152"/>
        <v>[branch#007] [A] W</v>
      </c>
      <c r="X126" s="2989" cm="1">
        <f t="array" ref="X126">INDEX('각층분기별_유효전력최대(전월)'!$I$4:$I$2020,MATCH(1, ('각층분기별_유효전력최대(전월)'!$G$4:$G$2020='7층~4층_매핑테이블'!T126) * ('각층분기별_유효전력최대(전월)'!$H$4:$H$2020='7층~4층_매핑테이블'!U126),0)) + INDEX('각층분기별_유효전력최대(전월)'!$I$4:$I$2020,MATCH(1, ('각층분기별_유효전력최대(전월)'!$G$4:$G$2020='7층~4층_매핑테이블'!V126) * ('각층분기별_유효전력최대(전월)'!$H$4:$H$2020='7층~4층_매핑테이블'!W126),0))</f>
        <v>1.8280000000000001</v>
      </c>
      <c r="Y126" s="3274" t="str">
        <f t="shared" ref="Y126:Y135" si="163">Z126&amp;AA126</f>
        <v>7-DaHall 1-A-2-50-667-DaHall 1-B-2-50-66</v>
      </c>
      <c r="Z126" s="217" t="s">
        <v>10050</v>
      </c>
      <c r="AA126" s="217" t="s">
        <v>10051</v>
      </c>
      <c r="AB126" s="3274" t="str">
        <f>IF(MID(Z126,16,2)="0","",MID(Z126,1,15)&amp;MID(Z126,16,2))</f>
        <v>7-DaHall 1-A-2-50</v>
      </c>
      <c r="AC126" t="s">
        <v>10052</v>
      </c>
      <c r="AD126" t="str">
        <f t="shared" si="85"/>
        <v>7-DaHall 1-B-2-50</v>
      </c>
      <c r="AE126" t="s">
        <v>10052</v>
      </c>
      <c r="AF126" s="2989" t="e" cm="1">
        <f t="array" ref="AF126">INDEX('각층분기별_유효전력최대(전월)'!$L$4:$L$2020,MATCH(1, ('각층분기별_유효전력최대(전월)'!$J$4:$J$2020='7층~4층_매핑테이블'!AB126) * ('각층분기별_유효전력최대(전월)'!$K$4:$K$2020='7층~4층_매핑테이블'!AC126),0)) + INDEX('각층분기별_유효전력최대(전월)'!$L$4:$L$2020,MATCH(1, ('각층분기별_유효전력최대(전월)'!$J$4:$J$2020='7층~4층_매핑테이블'!AD126) * ('각층분기별_유효전력최대(전월)'!$K$4:$K$2020='7층~4층_매핑테이블'!AE126),0))</f>
        <v>#N/A</v>
      </c>
    </row>
    <row r="127" spans="1:32" x14ac:dyDescent="0.25">
      <c r="A127" t="str">
        <f t="shared" si="162"/>
        <v/>
      </c>
      <c r="B127" s="217"/>
      <c r="C127" s="217"/>
      <c r="D127" s="2989" t="str">
        <f t="shared" ref="D127:D153" si="164">IF(MID(B127,16,2)="0","",MID(B127,1,15)&amp;MID(B127,16,2))</f>
        <v/>
      </c>
      <c r="E127" s="2989" t="str">
        <f t="shared" si="86"/>
        <v/>
      </c>
      <c r="F127" s="2989" t="str">
        <f>IF(MID(C127,16,2)="0","",MID(C127,1,15)&amp;MID(C127,16,2))</f>
        <v/>
      </c>
      <c r="G127" s="2989" t="str">
        <f>IF(IF(LEN(MID(C127,23,2))=1, "[branch#0"&amp;0&amp;MID(C127,23,2)&amp;"] [A] W", "[branch#0"&amp;MID(C127,23,2)&amp;"] [A] W")="[branch#0] [A] W", "", IF(LEN(MID(C127,23,2))=1, "[branch#0"&amp;0&amp;MID(C127,23,2)&amp;"] [A] W", "[branch#0"&amp;MID(C127,23,2)&amp;"] [A] W"))</f>
        <v/>
      </c>
      <c r="H127" s="2989" cm="1">
        <f t="array" ref="H127">INDEX('각층분기별_유효전력최대(전월)'!$C$4:$C$2020,MATCH(1, ('각층분기별_유효전력최대(전월)'!$A$4:$A$2020='7층~4층_매핑테이블'!D127) * ('각층분기별_유효전력최대(전월)'!$B$4:$B$2020='7층~4층_매핑테이블'!E127),0)) + INDEX('각층분기별_유효전력최대(전월)'!$C$4:$C$2020,MATCH(1, ('각층분기별_유효전력최대(전월)'!$A$4:$A$2020='7층~4층_매핑테이블'!F127) * ('각층분기별_유효전력최대(전월)'!$B$4:$B$2020='7층~4층_매핑테이블'!G127),0))</f>
        <v>0</v>
      </c>
      <c r="I127" t="str">
        <f t="shared" si="153"/>
        <v/>
      </c>
      <c r="J127" s="217"/>
      <c r="K127" s="217"/>
      <c r="L127" t="str">
        <f t="shared" si="82"/>
        <v/>
      </c>
      <c r="M127" t="str">
        <f t="shared" si="154"/>
        <v/>
      </c>
      <c r="N127" t="str">
        <f t="shared" si="155"/>
        <v/>
      </c>
      <c r="O127" t="str">
        <f t="shared" si="156"/>
        <v/>
      </c>
      <c r="P127" s="2989" cm="1">
        <f t="array" ref="P127">INDEX('각층분기별_유효전력최대(전월)'!$F$4:$F$2020,MATCH(1, ('각층분기별_유효전력최대(전월)'!$D$4:$D$2020='7층~4층_매핑테이블'!L127) * ('각층분기별_유효전력최대(전월)'!$E$4:$E$2020='7층~4층_매핑테이블'!M127),0)) + INDEX('각층분기별_유효전력최대(전월)'!$F$4:$F$2020,MATCH(1, ('각층분기별_유효전력최대(전월)'!$D$4:$D$2020='7층~4층_매핑테이블'!N127) * ('각층분기별_유효전력최대(전월)'!$E$4:$E$2020='7층~4층_매핑테이블'!O127),0))</f>
        <v>0</v>
      </c>
      <c r="Q127" s="1" t="str">
        <f t="shared" si="149"/>
        <v>6-DaHall 1-PDU-03-30-96-DaHall 1-PDU-04-30-9</v>
      </c>
      <c r="R127" s="217" t="s">
        <v>10053</v>
      </c>
      <c r="S127" s="217" t="s">
        <v>10054</v>
      </c>
      <c r="T127" t="str">
        <f t="shared" si="88"/>
        <v>6-DaHall 1-PDU-03</v>
      </c>
      <c r="U127" t="str">
        <f t="shared" si="150"/>
        <v>[branch#009] [A] W</v>
      </c>
      <c r="V127" t="str">
        <f t="shared" si="151"/>
        <v>6-DaHall 1-PDU-04</v>
      </c>
      <c r="W127" t="str">
        <f t="shared" si="152"/>
        <v>[branch#009] [A] W</v>
      </c>
      <c r="X127" s="2989" cm="1">
        <f t="array" ref="X127">INDEX('각층분기별_유효전력최대(전월)'!$I$4:$I$2020,MATCH(1, ('각층분기별_유효전력최대(전월)'!$G$4:$G$2020='7층~4층_매핑테이블'!T127) * ('각층분기별_유효전력최대(전월)'!$H$4:$H$2020='7층~4층_매핑테이블'!U127),0)) + INDEX('각층분기별_유효전력최대(전월)'!$I$4:$I$2020,MATCH(1, ('각층분기별_유효전력최대(전월)'!$G$4:$G$2020='7층~4층_매핑테이블'!V127) * ('각층분기별_유효전력최대(전월)'!$H$4:$H$2020='7층~4층_매핑테이블'!W127),0))</f>
        <v>1.649</v>
      </c>
      <c r="Y127" s="3274" t="str">
        <f t="shared" si="163"/>
        <v>7-DaHall 1-A-2-50-677-DaHall 1-B-2-50-67</v>
      </c>
      <c r="Z127" s="217" t="s">
        <v>10055</v>
      </c>
      <c r="AA127" s="217" t="s">
        <v>10056</v>
      </c>
      <c r="AB127" s="3274" t="str">
        <f t="shared" ref="AB127:AB132" si="165">IF(MID(Z127,16,2)="0","",MID(Z127,1,15)&amp;MID(Z127,16,2))</f>
        <v>7-DaHall 1-A-2-50</v>
      </c>
      <c r="AC127" t="s">
        <v>10057</v>
      </c>
      <c r="AD127" t="str">
        <f t="shared" si="85"/>
        <v>7-DaHall 1-B-2-50</v>
      </c>
      <c r="AE127" t="s">
        <v>10057</v>
      </c>
      <c r="AF127" s="2989" t="e" cm="1">
        <f t="array" ref="AF127">INDEX('각층분기별_유효전력최대(전월)'!$L$4:$L$2020,MATCH(1, ('각층분기별_유효전력최대(전월)'!$J$4:$J$2020='7층~4층_매핑테이블'!AB127) * ('각층분기별_유효전력최대(전월)'!$K$4:$K$2020='7층~4층_매핑테이블'!AC127),0)) + INDEX('각층분기별_유효전력최대(전월)'!$L$4:$L$2020,MATCH(1, ('각층분기별_유효전력최대(전월)'!$J$4:$J$2020='7층~4층_매핑테이블'!AD127) * ('각층분기별_유효전력최대(전월)'!$K$4:$K$2020='7층~4층_매핑테이블'!AE127),0))</f>
        <v>#N/A</v>
      </c>
    </row>
    <row r="128" spans="1:32" x14ac:dyDescent="0.25">
      <c r="A128" t="str">
        <f t="shared" si="162"/>
        <v/>
      </c>
      <c r="B128" s="217"/>
      <c r="C128" s="217"/>
      <c r="D128" s="2989" t="str">
        <f t="shared" si="164"/>
        <v/>
      </c>
      <c r="E128" s="2989" t="str">
        <f t="shared" si="86"/>
        <v/>
      </c>
      <c r="F128" s="2989" t="str">
        <f>IF(MID(C128,16,2)="0","",MID(C128,1,15)&amp;MID(C128,16,2))</f>
        <v/>
      </c>
      <c r="G128" s="2989" t="str">
        <f>IF(IF(LEN(MID(C128,23,2))=1, "[branch#0"&amp;0&amp;MID(C128,23,2)&amp;"] [A] W", "[branch#0"&amp;MID(C128,23,2)&amp;"] [A] W")="[branch#0] [A] W", "", IF(LEN(MID(C128,23,2))=1, "[branch#0"&amp;0&amp;MID(C128,23,2)&amp;"] [A] W", "[branch#0"&amp;MID(C128,23,2)&amp;"] [A] W"))</f>
        <v/>
      </c>
      <c r="H128" s="2989" cm="1">
        <f t="array" ref="H128">INDEX('각층분기별_유효전력최대(전월)'!$C$4:$C$2020,MATCH(1, ('각층분기별_유효전력최대(전월)'!$A$4:$A$2020='7층~4층_매핑테이블'!D128) * ('각층분기별_유효전력최대(전월)'!$B$4:$B$2020='7층~4층_매핑테이블'!E128),0)) + INDEX('각층분기별_유효전력최대(전월)'!$C$4:$C$2020,MATCH(1, ('각층분기별_유효전력최대(전월)'!$A$4:$A$2020='7층~4층_매핑테이블'!F128) * ('각층분기별_유효전력최대(전월)'!$B$4:$B$2020='7층~4층_매핑테이블'!G128),0))</f>
        <v>0</v>
      </c>
      <c r="I128" t="str">
        <f t="shared" si="153"/>
        <v/>
      </c>
      <c r="J128" s="217"/>
      <c r="K128" s="217"/>
      <c r="L128" t="str">
        <f t="shared" si="82"/>
        <v/>
      </c>
      <c r="M128" t="str">
        <f t="shared" si="154"/>
        <v/>
      </c>
      <c r="N128" t="str">
        <f t="shared" si="155"/>
        <v/>
      </c>
      <c r="O128" t="str">
        <f t="shared" si="156"/>
        <v/>
      </c>
      <c r="P128" s="2989" cm="1">
        <f t="array" ref="P128">INDEX('각층분기별_유효전력최대(전월)'!$F$4:$F$2020,MATCH(1, ('각층분기별_유효전력최대(전월)'!$D$4:$D$2020='7층~4층_매핑테이블'!L128) * ('각층분기별_유효전력최대(전월)'!$E$4:$E$2020='7층~4층_매핑테이블'!M128),0)) + INDEX('각층분기별_유효전력최대(전월)'!$F$4:$F$2020,MATCH(1, ('각층분기별_유효전력최대(전월)'!$D$4:$D$2020='7층~4층_매핑테이블'!N128) * ('각층분기별_유효전력최대(전월)'!$E$4:$E$2020='7층~4층_매핑테이블'!O128),0))</f>
        <v>0</v>
      </c>
      <c r="Q128" s="1" t="str">
        <f t="shared" si="149"/>
        <v>6-DaHall 1-PDU-03-30-116-DaHall 1-PDU-04-30-11</v>
      </c>
      <c r="R128" s="217" t="s">
        <v>10058</v>
      </c>
      <c r="S128" s="217" t="s">
        <v>10059</v>
      </c>
      <c r="T128" t="str">
        <f t="shared" si="88"/>
        <v>6-DaHall 1-PDU-03</v>
      </c>
      <c r="U128" t="str">
        <f t="shared" si="150"/>
        <v>[branch#011] [A] W</v>
      </c>
      <c r="V128" t="str">
        <f t="shared" si="151"/>
        <v>6-DaHall 1-PDU-04</v>
      </c>
      <c r="W128" t="str">
        <f t="shared" si="152"/>
        <v>[branch#011] [A] W</v>
      </c>
      <c r="X128" s="2989" cm="1">
        <f t="array" ref="X128">INDEX('각층분기별_유효전력최대(전월)'!$I$4:$I$2020,MATCH(1, ('각층분기별_유효전력최대(전월)'!$G$4:$G$2020='7층~4층_매핑테이블'!T128) * ('각층분기별_유효전력최대(전월)'!$H$4:$H$2020='7층~4층_매핑테이블'!U128),0)) + INDEX('각층분기별_유효전력최대(전월)'!$I$4:$I$2020,MATCH(1, ('각층분기별_유효전력최대(전월)'!$G$4:$G$2020='7층~4층_매핑테이블'!V128) * ('각층분기별_유효전력최대(전월)'!$H$4:$H$2020='7층~4층_매핑테이블'!W128),0))</f>
        <v>2.0379999999999998</v>
      </c>
      <c r="Y128" s="3274" t="str">
        <f t="shared" si="163"/>
        <v>7-DaHall 1-A-2-35-657-DaHall 1-B-2-35-65</v>
      </c>
      <c r="Z128" s="217" t="s">
        <v>10060</v>
      </c>
      <c r="AA128" s="217" t="s">
        <v>10061</v>
      </c>
      <c r="AB128" s="3274" t="str">
        <f t="shared" si="165"/>
        <v>7-DaHall 1-A-2-35</v>
      </c>
      <c r="AC128" t="s">
        <v>10062</v>
      </c>
      <c r="AD128" t="str">
        <f t="shared" si="85"/>
        <v>7-DaHall 1-B-2-35</v>
      </c>
      <c r="AE128" t="s">
        <v>10062</v>
      </c>
      <c r="AF128" s="2989" t="e" cm="1">
        <f t="array" ref="AF128">INDEX('각층분기별_유효전력최대(전월)'!$L$4:$L$2020,MATCH(1, ('각층분기별_유효전력최대(전월)'!$J$4:$J$2020='7층~4층_매핑테이블'!AB128) * ('각층분기별_유효전력최대(전월)'!$K$4:$K$2020='7층~4층_매핑테이블'!AC128),0)) + INDEX('각층분기별_유효전력최대(전월)'!$L$4:$L$2020,MATCH(1, ('각층분기별_유효전력최대(전월)'!$J$4:$J$2020='7층~4층_매핑테이블'!AD128) * ('각층분기별_유효전력최대(전월)'!$K$4:$K$2020='7층~4층_매핑테이블'!AE128),0))</f>
        <v>#N/A</v>
      </c>
    </row>
    <row r="129" spans="1:32" x14ac:dyDescent="0.25">
      <c r="A129" t="str">
        <f t="shared" si="162"/>
        <v/>
      </c>
      <c r="B129" s="217"/>
      <c r="C129" s="217"/>
      <c r="D129" s="2989" t="str">
        <f t="shared" si="164"/>
        <v/>
      </c>
      <c r="E129" s="2989" t="str">
        <f t="shared" si="86"/>
        <v/>
      </c>
      <c r="F129" s="2989" t="str">
        <f t="shared" ref="F129:F134" si="166">IF(MID(C129,16,2)="0","",MID(C129,1,15)&amp;MID(C129,16,2))</f>
        <v/>
      </c>
      <c r="G129" s="2989" t="str">
        <f t="shared" ref="G129:G134" si="167">IF(IF(LEN(MID(C129,23,2))=1, "[branch#0"&amp;0&amp;MID(C129,23,2)&amp;"] [A] W", "[branch#0"&amp;MID(C129,23,2)&amp;"] [A] W")="[branch#0] [A] W", "", IF(LEN(MID(C129,23,2))=1, "[branch#0"&amp;0&amp;MID(C129,23,2)&amp;"] [A] W", "[branch#0"&amp;MID(C129,23,2)&amp;"] [A] W"))</f>
        <v/>
      </c>
      <c r="H129" s="2989" cm="1">
        <f t="array" ref="H129">INDEX('각층분기별_유효전력최대(전월)'!$C$4:$C$2020,MATCH(1, ('각층분기별_유효전력최대(전월)'!$A$4:$A$2020='7층~4층_매핑테이블'!D129) * ('각층분기별_유효전력최대(전월)'!$B$4:$B$2020='7층~4층_매핑테이블'!E129),0)) + INDEX('각층분기별_유효전력최대(전월)'!$C$4:$C$2020,MATCH(1, ('각층분기별_유효전력최대(전월)'!$A$4:$A$2020='7층~4층_매핑테이블'!F129) * ('각층분기별_유효전력최대(전월)'!$B$4:$B$2020='7층~4층_매핑테이블'!G129),0))</f>
        <v>0</v>
      </c>
      <c r="I129" t="str">
        <f t="shared" si="153"/>
        <v/>
      </c>
      <c r="J129" s="217"/>
      <c r="K129" s="217"/>
      <c r="L129" t="str">
        <f t="shared" si="82"/>
        <v/>
      </c>
      <c r="M129" t="str">
        <f t="shared" si="154"/>
        <v/>
      </c>
      <c r="N129" t="str">
        <f t="shared" si="155"/>
        <v/>
      </c>
      <c r="O129" t="str">
        <f t="shared" si="156"/>
        <v/>
      </c>
      <c r="P129" s="2989" cm="1">
        <f t="array" ref="P129">INDEX('각층분기별_유효전력최대(전월)'!$F$4:$F$2020,MATCH(1, ('각층분기별_유효전력최대(전월)'!$D$4:$D$2020='7층~4층_매핑테이블'!L129) * ('각층분기별_유효전력최대(전월)'!$E$4:$E$2020='7층~4층_매핑테이블'!M129),0)) + INDEX('각층분기별_유효전력최대(전월)'!$F$4:$F$2020,MATCH(1, ('각층분기별_유효전력최대(전월)'!$D$4:$D$2020='7층~4층_매핑테이블'!N129) * ('각층분기별_유효전력최대(전월)'!$E$4:$E$2020='7층~4층_매핑테이블'!O129),0))</f>
        <v>0</v>
      </c>
      <c r="Q129" s="1" t="str">
        <f t="shared" si="149"/>
        <v>6-DaHall 1-PDU-03-30-136-DaHall 1-PDU-04-30-13</v>
      </c>
      <c r="R129" s="217" t="s">
        <v>10063</v>
      </c>
      <c r="S129" s="217" t="s">
        <v>10064</v>
      </c>
      <c r="T129" t="str">
        <f t="shared" si="88"/>
        <v>6-DaHall 1-PDU-03</v>
      </c>
      <c r="U129" t="str">
        <f t="shared" si="150"/>
        <v>[branch#013] [A] W</v>
      </c>
      <c r="V129" t="str">
        <f t="shared" si="151"/>
        <v>6-DaHall 1-PDU-04</v>
      </c>
      <c r="W129" t="str">
        <f t="shared" si="152"/>
        <v>[branch#013] [A] W</v>
      </c>
      <c r="X129" s="2989" cm="1">
        <f t="array" ref="X129">INDEX('각층분기별_유효전력최대(전월)'!$I$4:$I$2020,MATCH(1, ('각층분기별_유효전력최대(전월)'!$G$4:$G$2020='7층~4층_매핑테이블'!T129) * ('각층분기별_유효전력최대(전월)'!$H$4:$H$2020='7층~4층_매핑테이블'!U129),0)) + INDEX('각층분기별_유효전력최대(전월)'!$I$4:$I$2020,MATCH(1, ('각층분기별_유효전력최대(전월)'!$G$4:$G$2020='7층~4층_매핑테이블'!V129) * ('각층분기별_유효전력최대(전월)'!$H$4:$H$2020='7층~4층_매핑테이블'!W129),0))</f>
        <v>2.6859999999999999</v>
      </c>
      <c r="Y129" s="3274" t="str">
        <f t="shared" si="163"/>
        <v>7-DaHall 1-A-2-50-647-DaHall 1-B-2-50-64</v>
      </c>
      <c r="Z129" s="217" t="s">
        <v>10065</v>
      </c>
      <c r="AA129" s="217" t="s">
        <v>10066</v>
      </c>
      <c r="AB129" s="3274" t="str">
        <f t="shared" si="165"/>
        <v>7-DaHall 1-A-2-50</v>
      </c>
      <c r="AC129" t="s">
        <v>10067</v>
      </c>
      <c r="AD129" t="str">
        <f t="shared" si="85"/>
        <v>7-DaHall 1-B-2-50</v>
      </c>
      <c r="AE129" t="s">
        <v>10067</v>
      </c>
      <c r="AF129" s="2989" t="e" cm="1">
        <f t="array" ref="AF129">INDEX('각층분기별_유효전력최대(전월)'!$L$4:$L$2020,MATCH(1, ('각층분기별_유효전력최대(전월)'!$J$4:$J$2020='7층~4층_매핑테이블'!AB129) * ('각층분기별_유효전력최대(전월)'!$K$4:$K$2020='7층~4층_매핑테이블'!AC129),0)) + INDEX('각층분기별_유효전력최대(전월)'!$L$4:$L$2020,MATCH(1, ('각층분기별_유효전력최대(전월)'!$J$4:$J$2020='7층~4층_매핑테이블'!AD129) * ('각층분기별_유효전력최대(전월)'!$K$4:$K$2020='7층~4층_매핑테이블'!AE129),0))</f>
        <v>#N/A</v>
      </c>
    </row>
    <row r="130" spans="1:32" x14ac:dyDescent="0.25">
      <c r="A130" t="str">
        <f t="shared" si="162"/>
        <v/>
      </c>
      <c r="B130" s="217"/>
      <c r="C130" s="217"/>
      <c r="D130" s="2989" t="str">
        <f t="shared" si="164"/>
        <v/>
      </c>
      <c r="E130" s="2989" t="str">
        <f t="shared" si="86"/>
        <v/>
      </c>
      <c r="F130" s="2989" t="str">
        <f t="shared" si="166"/>
        <v/>
      </c>
      <c r="G130" s="2989" t="str">
        <f t="shared" si="167"/>
        <v/>
      </c>
      <c r="H130" s="2989" cm="1">
        <f t="array" ref="H130">INDEX('각층분기별_유효전력최대(전월)'!$C$4:$C$2020,MATCH(1, ('각층분기별_유효전력최대(전월)'!$A$4:$A$2020='7층~4층_매핑테이블'!D130) * ('각층분기별_유효전력최대(전월)'!$B$4:$B$2020='7층~4층_매핑테이블'!E130),0)) + INDEX('각층분기별_유효전력최대(전월)'!$C$4:$C$2020,MATCH(1, ('각층분기별_유효전력최대(전월)'!$A$4:$A$2020='7층~4층_매핑테이블'!F130) * ('각층분기별_유효전력최대(전월)'!$B$4:$B$2020='7층~4층_매핑테이블'!G130),0))</f>
        <v>0</v>
      </c>
      <c r="I130" t="str">
        <f t="shared" si="153"/>
        <v/>
      </c>
      <c r="J130" s="217"/>
      <c r="K130" s="217"/>
      <c r="L130" t="str">
        <f t="shared" si="82"/>
        <v/>
      </c>
      <c r="M130" t="str">
        <f t="shared" si="154"/>
        <v/>
      </c>
      <c r="N130" t="str">
        <f t="shared" si="155"/>
        <v/>
      </c>
      <c r="O130" t="str">
        <f t="shared" si="156"/>
        <v/>
      </c>
      <c r="P130" s="2989" cm="1">
        <f t="array" ref="P130">INDEX('각층분기별_유효전력최대(전월)'!$F$4:$F$2020,MATCH(1, ('각층분기별_유효전력최대(전월)'!$D$4:$D$2020='7층~4층_매핑테이블'!L130) * ('각층분기별_유효전력최대(전월)'!$E$4:$E$2020='7층~4층_매핑테이블'!M130),0)) + INDEX('각층분기별_유효전력최대(전월)'!$F$4:$F$2020,MATCH(1, ('각층분기별_유효전력최대(전월)'!$D$4:$D$2020='7층~4층_매핑테이블'!N130) * ('각층분기별_유효전력최대(전월)'!$E$4:$E$2020='7층~4층_매핑테이블'!O130),0))</f>
        <v>0</v>
      </c>
      <c r="Q130" s="1" t="str">
        <f>R130&amp;S130</f>
        <v>6-DaHall 1-PDU-03-30-156-DaHall 1-PDU-04-30-15</v>
      </c>
      <c r="R130" s="217" t="s">
        <v>10068</v>
      </c>
      <c r="S130" s="217" t="s">
        <v>10069</v>
      </c>
      <c r="T130" t="str">
        <f t="shared" si="88"/>
        <v>6-DaHall 1-PDU-03</v>
      </c>
      <c r="U130" t="str">
        <f>IF(IF(LEN((MID(R130,22,2)))=1, "[branch#0"&amp;0&amp;MID(R130,22,2)&amp;"] [A] W", "[branch#0"&amp;MID(R130,22,2)&amp;"] [A] W")="[branch#0] [A] W", "", IF(LEN((MID(R130,22,2)))=1, "[branch#0"&amp;0&amp;MID(R130,22,2)&amp;"] [A] W", "[branch#0"&amp;MID(R130,22,2)&amp;"] [A] W"))</f>
        <v>[branch#015] [A] W</v>
      </c>
      <c r="V130" t="str">
        <f>IF(MID(S130,16,2)="0","",MID(S130,1,15)&amp;MID(S130,16,2))</f>
        <v>6-DaHall 1-PDU-04</v>
      </c>
      <c r="W130" t="str">
        <f>IF(IF(LEN((MID(S130,22,2)))=1, "[branch#0"&amp;0&amp;MID(S130,22,2)&amp;"] [A] W", "[branch#0"&amp;MID(S130,22,2)&amp;"] [A] W")="[branch#0] [A] W", "", IF(LEN((MID(S130,22,2)))=1, "[branch#0"&amp;0&amp;MID(S130,22,2)&amp;"] [A] W", "[branch#0"&amp;MID(S130,22,2)&amp;"] [A] W"))</f>
        <v>[branch#015] [A] W</v>
      </c>
      <c r="X130" s="2989" cm="1">
        <f t="array" ref="X130">INDEX('각층분기별_유효전력최대(전월)'!$I$4:$I$2020,MATCH(1, ('각층분기별_유효전력최대(전월)'!$G$4:$G$2020='7층~4층_매핑테이블'!T130) * ('각층분기별_유효전력최대(전월)'!$H$4:$H$2020='7층~4층_매핑테이블'!U130),0)) + INDEX('각층분기별_유효전력최대(전월)'!$I$4:$I$2020,MATCH(1, ('각층분기별_유효전력최대(전월)'!$G$4:$G$2020='7층~4층_매핑테이블'!V130) * ('각층분기별_유효전력최대(전월)'!$H$4:$H$2020='7층~4층_매핑테이블'!W130),0))</f>
        <v>1.6840000000000002</v>
      </c>
      <c r="Y130" s="3274" t="str">
        <f t="shared" si="163"/>
        <v>7-DaHall 1-A-2-35-607-DaHall 1-B-2-35-60</v>
      </c>
      <c r="Z130" s="217" t="s">
        <v>10070</v>
      </c>
      <c r="AA130" s="217" t="s">
        <v>10071</v>
      </c>
      <c r="AB130" s="3274" t="str">
        <f t="shared" si="165"/>
        <v>7-DaHall 1-A-2-35</v>
      </c>
      <c r="AC130" t="s">
        <v>9870</v>
      </c>
      <c r="AD130" t="str">
        <f t="shared" si="85"/>
        <v>7-DaHall 1-B-2-35</v>
      </c>
      <c r="AE130" t="s">
        <v>9870</v>
      </c>
      <c r="AF130" s="2989" t="e" cm="1">
        <f t="array" ref="AF130">INDEX('각층분기별_유효전력최대(전월)'!$L$4:$L$2020,MATCH(1, ('각층분기별_유효전력최대(전월)'!$J$4:$J$2020='7층~4층_매핑테이블'!AB130) * ('각층분기별_유효전력최대(전월)'!$K$4:$K$2020='7층~4층_매핑테이블'!AC130),0)) + INDEX('각층분기별_유효전력최대(전월)'!$L$4:$L$2020,MATCH(1, ('각층분기별_유효전력최대(전월)'!$J$4:$J$2020='7층~4층_매핑테이블'!AD130) * ('각층분기별_유효전력최대(전월)'!$K$4:$K$2020='7층~4층_매핑테이블'!AE130),0))</f>
        <v>#N/A</v>
      </c>
    </row>
    <row r="131" spans="1:32" x14ac:dyDescent="0.25">
      <c r="A131" t="str">
        <f t="shared" si="162"/>
        <v/>
      </c>
      <c r="B131" s="217"/>
      <c r="C131" s="217"/>
      <c r="D131" s="2989" t="str">
        <f t="shared" si="164"/>
        <v/>
      </c>
      <c r="E131" s="2989" t="str">
        <f t="shared" si="86"/>
        <v/>
      </c>
      <c r="F131" s="2989" t="str">
        <f t="shared" si="166"/>
        <v/>
      </c>
      <c r="G131" s="2989" t="str">
        <f t="shared" si="167"/>
        <v/>
      </c>
      <c r="H131" s="2989" cm="1">
        <f t="array" ref="H131">INDEX('각층분기별_유효전력최대(전월)'!$C$4:$C$2020,MATCH(1, ('각층분기별_유효전력최대(전월)'!$A$4:$A$2020='7층~4층_매핑테이블'!D131) * ('각층분기별_유효전력최대(전월)'!$B$4:$B$2020='7층~4층_매핑테이블'!E131),0)) + INDEX('각층분기별_유효전력최대(전월)'!$C$4:$C$2020,MATCH(1, ('각층분기별_유효전력최대(전월)'!$A$4:$A$2020='7층~4층_매핑테이블'!F131) * ('각층분기별_유효전력최대(전월)'!$B$4:$B$2020='7층~4층_매핑테이블'!G131),0))</f>
        <v>0</v>
      </c>
      <c r="I131" t="str">
        <f t="shared" si="153"/>
        <v/>
      </c>
      <c r="J131" s="217"/>
      <c r="K131" s="217"/>
      <c r="L131" t="str">
        <f t="shared" si="82"/>
        <v/>
      </c>
      <c r="M131" t="str">
        <f t="shared" si="154"/>
        <v/>
      </c>
      <c r="N131" t="str">
        <f t="shared" si="155"/>
        <v/>
      </c>
      <c r="O131" t="str">
        <f t="shared" si="156"/>
        <v/>
      </c>
      <c r="P131" s="2989" cm="1">
        <f t="array" ref="P131">INDEX('각층분기별_유효전력최대(전월)'!$F$4:$F$2020,MATCH(1, ('각층분기별_유효전력최대(전월)'!$D$4:$D$2020='7층~4층_매핑테이블'!L131) * ('각층분기별_유효전력최대(전월)'!$E$4:$E$2020='7층~4층_매핑테이블'!M131),0)) + INDEX('각층분기별_유효전력최대(전월)'!$F$4:$F$2020,MATCH(1, ('각층분기별_유효전력최대(전월)'!$D$4:$D$2020='7층~4층_매핑테이블'!N131) * ('각층분기별_유효전력최대(전월)'!$E$4:$E$2020='7층~4층_매핑테이블'!O131),0))</f>
        <v>0</v>
      </c>
      <c r="Q131" s="1" t="str">
        <f t="shared" si="149"/>
        <v>6-DaHall 1-PDU-03-30-176-DaHall 1-PDU-04-30-17</v>
      </c>
      <c r="R131" s="217" t="s">
        <v>10072</v>
      </c>
      <c r="S131" s="217" t="s">
        <v>10073</v>
      </c>
      <c r="T131" t="str">
        <f t="shared" si="88"/>
        <v>6-DaHall 1-PDU-03</v>
      </c>
      <c r="U131" t="str">
        <f t="shared" si="150"/>
        <v>[branch#017] [A] W</v>
      </c>
      <c r="V131" t="str">
        <f t="shared" si="151"/>
        <v>6-DaHall 1-PDU-04</v>
      </c>
      <c r="W131" t="str">
        <f t="shared" si="152"/>
        <v>[branch#017] [A] W</v>
      </c>
      <c r="X131" s="2989" cm="1">
        <f t="array" ref="X131">INDEX('각층분기별_유효전력최대(전월)'!$I$4:$I$2020,MATCH(1, ('각층분기별_유효전력최대(전월)'!$G$4:$G$2020='7층~4층_매핑테이블'!T131) * ('각층분기별_유효전력최대(전월)'!$H$4:$H$2020='7층~4층_매핑테이블'!U131),0)) + INDEX('각층분기별_유효전력최대(전월)'!$I$4:$I$2020,MATCH(1, ('각층분기별_유효전력최대(전월)'!$G$4:$G$2020='7층~4층_매핑테이블'!V131) * ('각층분기별_유효전력최대(전월)'!$H$4:$H$2020='7층~4층_매핑테이블'!W131),0))</f>
        <v>0.80600000000000005</v>
      </c>
      <c r="Y131" s="3274" t="str">
        <f t="shared" si="163"/>
        <v>7-DaHall 1-A-2-35-617-DaHall 1-B-2-35-61</v>
      </c>
      <c r="Z131" s="217" t="s">
        <v>10074</v>
      </c>
      <c r="AA131" s="217" t="s">
        <v>10075</v>
      </c>
      <c r="AB131" s="3274" t="str">
        <f t="shared" si="165"/>
        <v>7-DaHall 1-A-2-35</v>
      </c>
      <c r="AC131" t="s">
        <v>10076</v>
      </c>
      <c r="AD131" t="str">
        <f t="shared" si="85"/>
        <v>7-DaHall 1-B-2-35</v>
      </c>
      <c r="AE131" t="s">
        <v>10076</v>
      </c>
      <c r="AF131" s="2989" t="e" cm="1">
        <f t="array" ref="AF131">INDEX('각층분기별_유효전력최대(전월)'!$L$4:$L$2020,MATCH(1, ('각층분기별_유효전력최대(전월)'!$J$4:$J$2020='7층~4층_매핑테이블'!AB131) * ('각층분기별_유효전력최대(전월)'!$K$4:$K$2020='7층~4층_매핑테이블'!AC131),0)) + INDEX('각층분기별_유효전력최대(전월)'!$L$4:$L$2020,MATCH(1, ('각층분기별_유효전력최대(전월)'!$J$4:$J$2020='7층~4층_매핑테이블'!AD131) * ('각층분기별_유효전력최대(전월)'!$K$4:$K$2020='7층~4층_매핑테이블'!AE131),0))</f>
        <v>#N/A</v>
      </c>
    </row>
    <row r="132" spans="1:32" x14ac:dyDescent="0.25">
      <c r="A132" t="str">
        <f t="shared" si="162"/>
        <v/>
      </c>
      <c r="B132" s="217"/>
      <c r="C132" s="217"/>
      <c r="D132" s="2989" t="str">
        <f t="shared" si="164"/>
        <v/>
      </c>
      <c r="E132" s="2989" t="str">
        <f t="shared" si="86"/>
        <v/>
      </c>
      <c r="F132" s="2989" t="str">
        <f t="shared" si="166"/>
        <v/>
      </c>
      <c r="G132" s="2989" t="str">
        <f t="shared" si="167"/>
        <v/>
      </c>
      <c r="H132" s="2989" cm="1">
        <f t="array" ref="H132">INDEX('각층분기별_유효전력최대(전월)'!$C$4:$C$2020,MATCH(1, ('각층분기별_유효전력최대(전월)'!$A$4:$A$2020='7층~4층_매핑테이블'!D132) * ('각층분기별_유효전력최대(전월)'!$B$4:$B$2020='7층~4층_매핑테이블'!E132),0)) + INDEX('각층분기별_유효전력최대(전월)'!$C$4:$C$2020,MATCH(1, ('각층분기별_유효전력최대(전월)'!$A$4:$A$2020='7층~4층_매핑테이블'!F132) * ('각층분기별_유효전력최대(전월)'!$B$4:$B$2020='7층~4층_매핑테이블'!G132),0))</f>
        <v>0</v>
      </c>
      <c r="I132" t="str">
        <f t="shared" si="153"/>
        <v/>
      </c>
      <c r="J132" s="217"/>
      <c r="K132" s="217"/>
      <c r="L132" t="str">
        <f t="shared" si="82"/>
        <v/>
      </c>
      <c r="M132" t="str">
        <f t="shared" si="154"/>
        <v/>
      </c>
      <c r="N132" t="str">
        <f t="shared" si="155"/>
        <v/>
      </c>
      <c r="O132" t="str">
        <f t="shared" si="156"/>
        <v/>
      </c>
      <c r="P132" s="2989" cm="1">
        <f t="array" ref="P132">INDEX('각층분기별_유효전력최대(전월)'!$F$4:$F$2020,MATCH(1, ('각층분기별_유효전력최대(전월)'!$D$4:$D$2020='7층~4층_매핑테이블'!L132) * ('각층분기별_유효전력최대(전월)'!$E$4:$E$2020='7층~4층_매핑테이블'!M132),0)) + INDEX('각층분기별_유효전력최대(전월)'!$F$4:$F$2020,MATCH(1, ('각층분기별_유효전력최대(전월)'!$D$4:$D$2020='7층~4층_매핑테이블'!N132) * ('각층분기별_유효전력최대(전월)'!$E$4:$E$2020='7층~4층_매핑테이블'!O132),0))</f>
        <v>0</v>
      </c>
      <c r="Q132" s="1" t="str">
        <f>R132&amp;S132</f>
        <v/>
      </c>
      <c r="R132" s="217"/>
      <c r="S132" s="217"/>
      <c r="T132" t="str">
        <f t="shared" si="88"/>
        <v/>
      </c>
      <c r="U132" t="str">
        <f>IF(IF(LEN((MID(R132,22,2)))=1, "[branch#0"&amp;0&amp;MID(R132,22,2)&amp;"] [A] W", "[branch#0"&amp;MID(R132,22,2)&amp;"] [A] W")="[branch#0] [A] W", "", IF(LEN((MID(R132,22,2)))=1, "[branch#0"&amp;0&amp;MID(R132,22,2)&amp;"] [A] W", "[branch#0"&amp;MID(R132,22,2)&amp;"] [A] W"))</f>
        <v/>
      </c>
      <c r="V132" t="str">
        <f>IF(MID(S132,16,2)="0","",MID(S132,1,15)&amp;MID(S132,16,2))</f>
        <v/>
      </c>
      <c r="W132" t="str">
        <f>IF(IF(LEN((MID(S132,22,2)))=1, "[branch#0"&amp;0&amp;MID(S132,22,2)&amp;"] [A] W", "[branch#0"&amp;MID(S132,22,2)&amp;"] [A] W")="[branch#0] [A] W", "", IF(LEN((MID(S132,22,2)))=1, "[branch#0"&amp;0&amp;MID(S132,22,2)&amp;"] [A] W", "[branch#0"&amp;MID(S132,22,2)&amp;"] [A] W"))</f>
        <v/>
      </c>
      <c r="X132" s="2989" cm="1">
        <f t="array" ref="X132">INDEX('각층분기별_유효전력최대(전월)'!$I$4:$I$2020,MATCH(1, ('각층분기별_유효전력최대(전월)'!$G$4:$G$2020='7층~4층_매핑테이블'!T132) * ('각층분기별_유효전력최대(전월)'!$H$4:$H$2020='7층~4층_매핑테이블'!U132),0)) + INDEX('각층분기별_유효전력최대(전월)'!$I$4:$I$2020,MATCH(1, ('각층분기별_유효전력최대(전월)'!$G$4:$G$2020='7층~4층_매핑테이블'!V132) * ('각층분기별_유효전력최대(전월)'!$H$4:$H$2020='7층~4층_매핑테이블'!W132),0))</f>
        <v>0</v>
      </c>
      <c r="Y132" s="3274" t="str">
        <f t="shared" si="163"/>
        <v>7-DaHall 1-A-2-35-597-DaHall 1-B-2-35-59</v>
      </c>
      <c r="Z132" s="217" t="s">
        <v>10077</v>
      </c>
      <c r="AA132" s="217" t="s">
        <v>10078</v>
      </c>
      <c r="AB132" s="3274" t="str">
        <f t="shared" si="165"/>
        <v>7-DaHall 1-A-2-35</v>
      </c>
      <c r="AC132" t="s">
        <v>9412</v>
      </c>
      <c r="AD132" t="str">
        <f t="shared" si="85"/>
        <v>7-DaHall 1-B-2-35</v>
      </c>
      <c r="AE132" t="s">
        <v>9412</v>
      </c>
      <c r="AF132" s="2989" t="e" cm="1">
        <f t="array" ref="AF132">INDEX('각층분기별_유효전력최대(전월)'!$L$4:$L$2020,MATCH(1, ('각층분기별_유효전력최대(전월)'!$J$4:$J$2020='7층~4층_매핑테이블'!AB132) * ('각층분기별_유효전력최대(전월)'!$K$4:$K$2020='7층~4층_매핑테이블'!AC132),0)) + INDEX('각층분기별_유효전력최대(전월)'!$L$4:$L$2020,MATCH(1, ('각층분기별_유효전력최대(전월)'!$J$4:$J$2020='7층~4층_매핑테이블'!AD132) * ('각층분기별_유효전력최대(전월)'!$K$4:$K$2020='7층~4층_매핑테이블'!AE132),0))</f>
        <v>#N/A</v>
      </c>
    </row>
    <row r="133" spans="1:32" x14ac:dyDescent="0.25">
      <c r="A133" t="str">
        <f t="shared" si="162"/>
        <v/>
      </c>
      <c r="B133" s="217"/>
      <c r="C133" s="217"/>
      <c r="D133" s="2989" t="str">
        <f t="shared" si="164"/>
        <v/>
      </c>
      <c r="E133" s="2989" t="str">
        <f t="shared" si="86"/>
        <v/>
      </c>
      <c r="F133" s="2989" t="str">
        <f t="shared" si="166"/>
        <v/>
      </c>
      <c r="G133" s="2989" t="str">
        <f t="shared" si="167"/>
        <v/>
      </c>
      <c r="H133" s="2989" cm="1">
        <f t="array" ref="H133">INDEX('각층분기별_유효전력최대(전월)'!$C$4:$C$2020,MATCH(1, ('각층분기별_유효전력최대(전월)'!$A$4:$A$2020='7층~4층_매핑테이블'!D133) * ('각층분기별_유효전력최대(전월)'!$B$4:$B$2020='7층~4층_매핑테이블'!E133),0)) + INDEX('각층분기별_유효전력최대(전월)'!$C$4:$C$2020,MATCH(1, ('각층분기별_유효전력최대(전월)'!$A$4:$A$2020='7층~4층_매핑테이블'!F133) * ('각층분기별_유효전력최대(전월)'!$B$4:$B$2020='7층~4층_매핑테이블'!G133),0))</f>
        <v>0</v>
      </c>
      <c r="I133" t="str">
        <f t="shared" si="153"/>
        <v/>
      </c>
      <c r="J133" s="217"/>
      <c r="K133" s="217"/>
      <c r="L133" t="str">
        <f t="shared" si="82"/>
        <v/>
      </c>
      <c r="M133" t="str">
        <f t="shared" si="154"/>
        <v/>
      </c>
      <c r="N133" t="str">
        <f t="shared" si="155"/>
        <v/>
      </c>
      <c r="O133" t="str">
        <f t="shared" si="156"/>
        <v/>
      </c>
      <c r="P133" s="2989" cm="1">
        <f t="array" ref="P133">INDEX('각층분기별_유효전력최대(전월)'!$F$4:$F$2020,MATCH(1, ('각층분기별_유효전력최대(전월)'!$D$4:$D$2020='7층~4층_매핑테이블'!L133) * ('각층분기별_유효전력최대(전월)'!$E$4:$E$2020='7층~4층_매핑테이블'!M133),0)) + INDEX('각층분기별_유효전력최대(전월)'!$F$4:$F$2020,MATCH(1, ('각층분기별_유효전력최대(전월)'!$D$4:$D$2020='7층~4층_매핑테이블'!N133) * ('각층분기별_유효전력최대(전월)'!$E$4:$E$2020='7층~4층_매핑테이블'!O133),0))</f>
        <v>0</v>
      </c>
      <c r="Q133" s="1" t="str">
        <f>R133&amp;S133</f>
        <v>6-DaHall 1-PDU-05-30-206-DaHall 1-PDU-06-30-20</v>
      </c>
      <c r="R133" s="217" t="s">
        <v>10079</v>
      </c>
      <c r="S133" s="217" t="s">
        <v>10080</v>
      </c>
      <c r="T133" t="str">
        <f t="shared" si="88"/>
        <v>6-DaHall 1-PDU-05</v>
      </c>
      <c r="U133" t="str">
        <f>IF(IF(LEN((MID(R133,22,2)))=1, "[branch#0"&amp;0&amp;MID(R133,22,2)&amp;"] [A] W", "[branch#0"&amp;MID(R133,22,2)&amp;"] [A] W")="[branch#0] [A] W", "", IF(LEN((MID(R133,22,2)))=1, "[branch#0"&amp;0&amp;MID(R133,22,2)&amp;"] [A] W", "[branch#0"&amp;MID(R133,22,2)&amp;"] [A] W"))</f>
        <v>[branch#020] [A] W</v>
      </c>
      <c r="V133" t="str">
        <f>IF(MID(S133,16,2)="0","",MID(S133,1,15)&amp;MID(S133,16,2))</f>
        <v>6-DaHall 1-PDU-06</v>
      </c>
      <c r="W133" t="str">
        <f>IF(IF(LEN((MID(S133,22,2)))=1, "[branch#0"&amp;0&amp;MID(S133,22,2)&amp;"] [A] W", "[branch#0"&amp;MID(S133,22,2)&amp;"] [A] W")="[branch#0] [A] W", "", IF(LEN((MID(S133,22,2)))=1, "[branch#0"&amp;0&amp;MID(S133,22,2)&amp;"] [A] W", "[branch#0"&amp;MID(S133,22,2)&amp;"] [A] W"))</f>
        <v>[branch#020] [A] W</v>
      </c>
      <c r="X133" s="2989" cm="1">
        <f t="array" ref="X133">INDEX('각층분기별_유효전력최대(전월)'!$I$4:$I$2020,MATCH(1, ('각층분기별_유효전력최대(전월)'!$G$4:$G$2020='7층~4층_매핑테이블'!T133) * ('각층분기별_유효전력최대(전월)'!$H$4:$H$2020='7층~4층_매핑테이블'!U133),0)) + INDEX('각층분기별_유효전력최대(전월)'!$I$4:$I$2020,MATCH(1, ('각층분기별_유효전력최대(전월)'!$G$4:$G$2020='7층~4층_매핑테이블'!V133) * ('각층분기별_유효전력최대(전월)'!$H$4:$H$2020='7층~4층_매핑테이블'!W133),0))</f>
        <v>0</v>
      </c>
      <c r="Y133" s="3274" t="str">
        <f>Z133&amp;AA133</f>
        <v>7-DaHall 1-A-2-35-567-DaHall 1-B-2-35-56</v>
      </c>
      <c r="Z133" s="217" t="s">
        <v>10081</v>
      </c>
      <c r="AA133" s="217" t="s">
        <v>10082</v>
      </c>
      <c r="AB133" s="3274" t="str">
        <f>IF(MID(Z133,16,2)="0","",MID(Z133,1,15)&amp;MID(Z133,16,2))</f>
        <v>7-DaHall 1-A-2-35</v>
      </c>
      <c r="AC133" t="s">
        <v>9404</v>
      </c>
      <c r="AD133" t="str">
        <f t="shared" si="85"/>
        <v>7-DaHall 1-B-2-35</v>
      </c>
      <c r="AE133" t="s">
        <v>9404</v>
      </c>
      <c r="AF133" s="2989" t="e" cm="1">
        <f t="array" ref="AF133">INDEX('각층분기별_유효전력최대(전월)'!$L$4:$L$2020,MATCH(1, ('각층분기별_유효전력최대(전월)'!$J$4:$J$2020='7층~4층_매핑테이블'!AB133) * ('각층분기별_유효전력최대(전월)'!$K$4:$K$2020='7층~4층_매핑테이블'!AC133),0)) + INDEX('각층분기별_유효전력최대(전월)'!$L$4:$L$2020,MATCH(1, ('각층분기별_유효전력최대(전월)'!$J$4:$J$2020='7층~4층_매핑테이블'!AD133) * ('각층분기별_유효전력최대(전월)'!$K$4:$K$2020='7층~4층_매핑테이블'!AE133),0))</f>
        <v>#N/A</v>
      </c>
    </row>
    <row r="134" spans="1:32" x14ac:dyDescent="0.25">
      <c r="A134" t="str">
        <f t="shared" si="162"/>
        <v/>
      </c>
      <c r="B134" s="217"/>
      <c r="C134" s="217"/>
      <c r="D134" s="2989" t="str">
        <f t="shared" si="164"/>
        <v/>
      </c>
      <c r="E134" s="2989" t="str">
        <f t="shared" si="86"/>
        <v/>
      </c>
      <c r="F134" s="2989" t="str">
        <f t="shared" si="166"/>
        <v/>
      </c>
      <c r="G134" s="2989" t="str">
        <f t="shared" si="167"/>
        <v/>
      </c>
      <c r="H134" s="2989" cm="1">
        <f t="array" ref="H134">INDEX('각층분기별_유효전력최대(전월)'!$C$4:$C$2020,MATCH(1, ('각층분기별_유효전력최대(전월)'!$A$4:$A$2020='7층~4층_매핑테이블'!D134) * ('각층분기별_유효전력최대(전월)'!$B$4:$B$2020='7층~4층_매핑테이블'!E134),0)) + INDEX('각층분기별_유효전력최대(전월)'!$C$4:$C$2020,MATCH(1, ('각층분기별_유효전력최대(전월)'!$A$4:$A$2020='7층~4층_매핑테이블'!F134) * ('각층분기별_유효전력최대(전월)'!$B$4:$B$2020='7층~4층_매핑테이블'!G134),0))</f>
        <v>0</v>
      </c>
      <c r="I134" t="str">
        <f t="shared" si="153"/>
        <v/>
      </c>
      <c r="J134" s="217"/>
      <c r="K134" s="217"/>
      <c r="L134" t="str">
        <f t="shared" si="82"/>
        <v/>
      </c>
      <c r="M134" t="str">
        <f t="shared" si="154"/>
        <v/>
      </c>
      <c r="N134" t="str">
        <f t="shared" si="155"/>
        <v/>
      </c>
      <c r="O134" t="str">
        <f t="shared" si="156"/>
        <v/>
      </c>
      <c r="P134" s="2989" cm="1">
        <f t="array" ref="P134">INDEX('각층분기별_유효전력최대(전월)'!$F$4:$F$2020,MATCH(1, ('각층분기별_유효전력최대(전월)'!$D$4:$D$2020='7층~4층_매핑테이블'!L134) * ('각층분기별_유효전력최대(전월)'!$E$4:$E$2020='7층~4층_매핑테이블'!M134),0)) + INDEX('각층분기별_유효전력최대(전월)'!$F$4:$F$2020,MATCH(1, ('각층분기별_유효전력최대(전월)'!$D$4:$D$2020='7층~4층_매핑테이블'!N134) * ('각층분기별_유효전력최대(전월)'!$E$4:$E$2020='7층~4층_매핑테이블'!O134),0))</f>
        <v>0</v>
      </c>
      <c r="Q134" s="1" t="str">
        <f t="shared" ref="Q134:Q141" si="168">R134&amp;S134</f>
        <v>6-DaHall 1-PDU-05-30-226-DaHall 1-PDU-06-30-22</v>
      </c>
      <c r="R134" s="217" t="s">
        <v>10083</v>
      </c>
      <c r="S134" s="217" t="s">
        <v>10084</v>
      </c>
      <c r="T134" t="str">
        <f t="shared" si="88"/>
        <v>6-DaHall 1-PDU-05</v>
      </c>
      <c r="U134" t="str">
        <f t="shared" ref="U134:U141" si="169">IF(IF(LEN((MID(R134,22,2)))=1, "[branch#0"&amp;0&amp;MID(R134,22,2)&amp;"] [A] W", "[branch#0"&amp;MID(R134,22,2)&amp;"] [A] W")="[branch#0] [A] W", "", IF(LEN((MID(R134,22,2)))=1, "[branch#0"&amp;0&amp;MID(R134,22,2)&amp;"] [A] W", "[branch#0"&amp;MID(R134,22,2)&amp;"] [A] W"))</f>
        <v>[branch#022] [A] W</v>
      </c>
      <c r="V134" t="str">
        <f t="shared" ref="V134:V141" si="170">IF(MID(S134,16,2)="0","",MID(S134,1,15)&amp;MID(S134,16,2))</f>
        <v>6-DaHall 1-PDU-06</v>
      </c>
      <c r="W134" t="str">
        <f t="shared" ref="W134:W141" si="171">IF(IF(LEN((MID(S134,22,2)))=1, "[branch#0"&amp;0&amp;MID(S134,22,2)&amp;"] [A] W", "[branch#0"&amp;MID(S134,22,2)&amp;"] [A] W")="[branch#0] [A] W", "", IF(LEN((MID(S134,22,2)))=1, "[branch#0"&amp;0&amp;MID(S134,22,2)&amp;"] [A] W", "[branch#0"&amp;MID(S134,22,2)&amp;"] [A] W"))</f>
        <v>[branch#022] [A] W</v>
      </c>
      <c r="X134" s="2989" cm="1">
        <f t="array" ref="X134">INDEX('각층분기별_유효전력최대(전월)'!$I$4:$I$2020,MATCH(1, ('각층분기별_유효전력최대(전월)'!$G$4:$G$2020='7층~4층_매핑테이블'!T134) * ('각층분기별_유효전력최대(전월)'!$H$4:$H$2020='7층~4층_매핑테이블'!U134),0)) + INDEX('각층분기별_유효전력최대(전월)'!$I$4:$I$2020,MATCH(1, ('각층분기별_유효전력최대(전월)'!$G$4:$G$2020='7층~4층_매핑테이블'!V134) * ('각층분기별_유효전력최대(전월)'!$H$4:$H$2020='7층~4층_매핑테이블'!W134),0))</f>
        <v>0</v>
      </c>
      <c r="Y134" s="3274" t="str">
        <f t="shared" si="163"/>
        <v>7-DaHall 1-A-2-35-557-DaHall 1-B-2-35-55</v>
      </c>
      <c r="Z134" s="217" t="s">
        <v>10085</v>
      </c>
      <c r="AA134" s="217" t="s">
        <v>10086</v>
      </c>
      <c r="AB134" s="3274" t="str">
        <f>IF(MID(Z134,16,2)="0","",MID(Z134,1,15)&amp;MID(Z134,16,2))</f>
        <v>7-DaHall 1-A-2-35</v>
      </c>
      <c r="AC134" t="s">
        <v>10011</v>
      </c>
      <c r="AD134" t="str">
        <f t="shared" si="85"/>
        <v>7-DaHall 1-B-2-35</v>
      </c>
      <c r="AE134" t="s">
        <v>10011</v>
      </c>
      <c r="AF134" s="2989" t="e" cm="1">
        <f t="array" ref="AF134">INDEX('각층분기별_유효전력최대(전월)'!$L$4:$L$2020,MATCH(1, ('각층분기별_유효전력최대(전월)'!$J$4:$J$2020='7층~4층_매핑테이블'!AB134) * ('각층분기별_유효전력최대(전월)'!$K$4:$K$2020='7층~4층_매핑테이블'!AC134),0)) + INDEX('각층분기별_유효전력최대(전월)'!$L$4:$L$2020,MATCH(1, ('각층분기별_유효전력최대(전월)'!$J$4:$J$2020='7층~4층_매핑테이블'!AD134) * ('각층분기별_유효전력최대(전월)'!$K$4:$K$2020='7층~4층_매핑테이블'!AE134),0))</f>
        <v>#N/A</v>
      </c>
    </row>
    <row r="135" spans="1:32" x14ac:dyDescent="0.25">
      <c r="A135" t="str">
        <f>B135&amp;C135</f>
        <v>4-DaHall 1-PDU-06-100-34-DaHall 1-PDU-05-100-3</v>
      </c>
      <c r="B135" s="217" t="s">
        <v>10087</v>
      </c>
      <c r="C135" s="217" t="s">
        <v>10088</v>
      </c>
      <c r="D135" s="2989" t="str">
        <f t="shared" si="164"/>
        <v>4-DaHall 1-PDU-06</v>
      </c>
      <c r="E135" s="2989" t="str">
        <f t="shared" si="86"/>
        <v>[branch#003] [A] W</v>
      </c>
      <c r="F135" s="2989" t="str">
        <f>IF(MID(C135,16,2)="0","",MID(C135,1,15)&amp;MID(C135,16,2))</f>
        <v>4-DaHall 1-PDU-05</v>
      </c>
      <c r="G135" s="2989" t="str">
        <f>IF(IF(LEN(MID(C135,23,2))=1, "[branch#0"&amp;0&amp;MID(C135,23,2)&amp;"] [A] W", "[branch#0"&amp;MID(C135,23,2)&amp;"] [A] W")="[branch#0] [A] W", "", IF(LEN(MID(C135,23,2))=1, "[branch#0"&amp;0&amp;MID(C135,23,2)&amp;"] [A] W", "[branch#0"&amp;MID(C135,23,2)&amp;"] [A] W"))</f>
        <v>[branch#003] [A] W</v>
      </c>
      <c r="H135" s="2989" cm="1">
        <f t="array" ref="H135">INDEX('각층분기별_유효전력최대(전월)'!$C$4:$C$2020,MATCH(1, ('각층분기별_유효전력최대(전월)'!$A$4:$A$2020='7층~4층_매핑테이블'!D135) * ('각층분기별_유효전력최대(전월)'!$B$4:$B$2020='7층~4층_매핑테이블'!E135),0)) + INDEX('각층분기별_유효전력최대(전월)'!$C$4:$C$2020,MATCH(1, ('각층분기별_유효전력최대(전월)'!$A$4:$A$2020='7층~4층_매핑테이블'!F135) * ('각층분기별_유효전력최대(전월)'!$B$4:$B$2020='7층~4층_매핑테이블'!G135),0))</f>
        <v>3.484</v>
      </c>
      <c r="I135" t="str">
        <f>J135&amp;K135</f>
        <v>5-DaHall 1-PDU-05-30-15-DaHall 1-PDU-06-30-1</v>
      </c>
      <c r="J135" s="217" t="s">
        <v>10089</v>
      </c>
      <c r="K135" s="217" t="s">
        <v>10090</v>
      </c>
      <c r="L135" t="str">
        <f t="shared" si="82"/>
        <v>5-DaHall 1-PDU-05</v>
      </c>
      <c r="M135" t="str">
        <f>IF(IF(LEN((MID(J135,22,2)))=1, "[branch#0"&amp;0&amp;MID(J135,22,2)&amp;"] [A] W", "[branch#0"&amp;MID(J135,22,2)&amp;"] [A] W")="[branch#0] [A] W", "", IF(LEN((MID(J135,22,2)))=1, "[branch#0"&amp;0&amp;MID(J135,22,2)&amp;"] [A] W", "[branch#0"&amp;MID(J135,22,2)&amp;"] [A] W"))</f>
        <v>[branch#001] [A] W</v>
      </c>
      <c r="N135" t="str">
        <f>IF(MID(K135,16,2)="0","",MID(K135,1,15)&amp;MID(K135,16,2))</f>
        <v>5-DaHall 1-PDU-06</v>
      </c>
      <c r="O135" t="str">
        <f>IF(IF(LEN((MID(K135,22,2)))=1, "[branch#0"&amp;0&amp;MID(K135,22,2)&amp;"] [A] W", "[branch#0"&amp;MID(K135,22,2)&amp;"] [A] W")="[branch#0] [A] W", "", IF(LEN((MID(K135,22,2)))=1, "[branch#0"&amp;0&amp;MID(K135,22,2)&amp;"] [A] W", "[branch#0"&amp;MID(K135,22,2)&amp;"] [A] W"))</f>
        <v>[branch#001] [A] W</v>
      </c>
      <c r="P135" s="2989" cm="1">
        <f t="array" ref="P135">INDEX('각층분기별_유효전력최대(전월)'!$F$4:$F$2020,MATCH(1, ('각층분기별_유효전력최대(전월)'!$D$4:$D$2020='7층~4층_매핑테이블'!L135) * ('각층분기별_유효전력최대(전월)'!$E$4:$E$2020='7층~4층_매핑테이블'!M135),0)) + INDEX('각층분기별_유효전력최대(전월)'!$F$4:$F$2020,MATCH(1, ('각층분기별_유효전력최대(전월)'!$D$4:$D$2020='7층~4층_매핑테이블'!N135) * ('각층분기별_유효전력최대(전월)'!$E$4:$E$2020='7층~4층_매핑테이블'!O135),0))</f>
        <v>0</v>
      </c>
      <c r="Q135" s="1" t="str">
        <f t="shared" si="168"/>
        <v>6-DaHall 1-PDU-05-30-246-DaHall 1-PDU-06-30-24</v>
      </c>
      <c r="R135" s="217" t="s">
        <v>10091</v>
      </c>
      <c r="S135" s="217" t="s">
        <v>10092</v>
      </c>
      <c r="T135" t="str">
        <f t="shared" si="88"/>
        <v>6-DaHall 1-PDU-05</v>
      </c>
      <c r="U135" t="str">
        <f t="shared" si="169"/>
        <v>[branch#024] [A] W</v>
      </c>
      <c r="V135" t="str">
        <f t="shared" si="170"/>
        <v>6-DaHall 1-PDU-06</v>
      </c>
      <c r="W135" t="str">
        <f t="shared" si="171"/>
        <v>[branch#024] [A] W</v>
      </c>
      <c r="X135" s="2989" cm="1">
        <f t="array" ref="X135">INDEX('각층분기별_유효전력최대(전월)'!$I$4:$I$2020,MATCH(1, ('각층분기별_유효전력최대(전월)'!$G$4:$G$2020='7층~4층_매핑테이블'!T135) * ('각층분기별_유효전력최대(전월)'!$H$4:$H$2020='7층~4층_매핑테이블'!U135),0)) + INDEX('각층분기별_유효전력최대(전월)'!$I$4:$I$2020,MATCH(1, ('각층분기별_유효전력최대(전월)'!$G$4:$G$2020='7층~4층_매핑테이블'!V135) * ('각층분기별_유효전력최대(전월)'!$H$4:$H$2020='7층~4층_매핑테이블'!W135),0))</f>
        <v>0</v>
      </c>
      <c r="Y135" s="3274" t="str">
        <f t="shared" si="163"/>
        <v>7-DaHall 1-A-2-35-547-DaHall 1-B-2-35-54</v>
      </c>
      <c r="Z135" s="217" t="s">
        <v>10093</v>
      </c>
      <c r="AA135" s="217" t="s">
        <v>10094</v>
      </c>
      <c r="AB135" s="3274" t="str">
        <f t="shared" ref="AB135" si="172">IF(MID(Z135,16,2)="0","",MID(Z135,1,15)&amp;MID(Z135,16,2))</f>
        <v>7-DaHall 1-A-2-35</v>
      </c>
      <c r="AC135" t="s">
        <v>9433</v>
      </c>
      <c r="AD135" t="str">
        <f t="shared" ref="AD135:AD198" si="173">IF(MID(AA135,16,2)="0","",MID(AA135,1,15)&amp;MID(AA135,16,2))</f>
        <v>7-DaHall 1-B-2-35</v>
      </c>
      <c r="AE135" t="s">
        <v>9433</v>
      </c>
      <c r="AF135" s="2989" t="e" cm="1">
        <f t="array" ref="AF135">INDEX('각층분기별_유효전력최대(전월)'!$L$4:$L$2020,MATCH(1, ('각층분기별_유효전력최대(전월)'!$J$4:$J$2020='7층~4층_매핑테이블'!AB135) * ('각층분기별_유효전력최대(전월)'!$K$4:$K$2020='7층~4층_매핑테이블'!AC135),0)) + INDEX('각층분기별_유효전력최대(전월)'!$L$4:$L$2020,MATCH(1, ('각층분기별_유효전력최대(전월)'!$J$4:$J$2020='7층~4층_매핑테이블'!AD135) * ('각층분기별_유효전력최대(전월)'!$K$4:$K$2020='7층~4층_매핑테이블'!AE135),0))</f>
        <v>#N/A</v>
      </c>
    </row>
    <row r="136" spans="1:32" x14ac:dyDescent="0.25">
      <c r="A136" t="str">
        <f>B136&amp;C136</f>
        <v/>
      </c>
      <c r="B136" s="217"/>
      <c r="C136" s="217"/>
      <c r="D136" s="2989" t="str">
        <f t="shared" si="164"/>
        <v/>
      </c>
      <c r="E136" s="2989" t="str">
        <f t="shared" ref="E136:E199" si="174">IF(IF(LEN(MID(B136,23,2))=1, "[branch#0"&amp;0&amp;MID(B136,23,2)&amp;"] [A] W", "[branch#0"&amp;MID(B136,23,2)&amp;"] [A] W")="[branch#0] [A] W", "", IF(LEN(MID(B136,23,2))=1, "[branch#0"&amp;0&amp;MID(B136,23,2)&amp;"] [A] W", "[branch#0"&amp;MID(B136,23,2)&amp;"] [A] W"))</f>
        <v/>
      </c>
      <c r="F136" s="2989" t="str">
        <f>IF(MID(C136,16,2)="0","",MID(C136,1,15)&amp;MID(C136,16,2))</f>
        <v/>
      </c>
      <c r="G136" s="2989" t="str">
        <f>IF(IF(LEN(MID(C136,23,2))=1, "[branch#0"&amp;0&amp;MID(C136,23,2)&amp;"] [A] W", "[branch#0"&amp;MID(C136,23,2)&amp;"] [A] W")="[branch#0] [A] W", "", IF(LEN(MID(C136,23,2))=1, "[branch#0"&amp;0&amp;MID(C136,23,2)&amp;"] [A] W", "[branch#0"&amp;MID(C136,23,2)&amp;"] [A] W"))</f>
        <v/>
      </c>
      <c r="H136" s="2989" cm="1">
        <f t="array" ref="H136">INDEX('각층분기별_유효전력최대(전월)'!$C$4:$C$2020,MATCH(1, ('각층분기별_유효전력최대(전월)'!$A$4:$A$2020='7층~4층_매핑테이블'!D136) * ('각층분기별_유효전력최대(전월)'!$B$4:$B$2020='7층~4층_매핑테이블'!E136),0)) + INDEX('각층분기별_유효전력최대(전월)'!$C$4:$C$2020,MATCH(1, ('각층분기별_유효전력최대(전월)'!$A$4:$A$2020='7층~4층_매핑테이블'!F136) * ('각층분기별_유효전력최대(전월)'!$B$4:$B$2020='7층~4층_매핑테이블'!G136),0))</f>
        <v>0</v>
      </c>
      <c r="I136" t="str">
        <f t="shared" ref="I136:I142" si="175">J136&amp;K136</f>
        <v>5-DaHall 1-PDU-05-30-35-DaHall 1-PDU-06-30-3</v>
      </c>
      <c r="J136" s="217" t="s">
        <v>10095</v>
      </c>
      <c r="K136" s="217" t="s">
        <v>10096</v>
      </c>
      <c r="L136" t="str">
        <f t="shared" ref="L136:L199" si="176">IF(MID(J136,16,2)="0","",MID(J136,1,15)&amp;MID(J136,16,2))</f>
        <v>5-DaHall 1-PDU-05</v>
      </c>
      <c r="M136" t="str">
        <f t="shared" ref="M136:M142" si="177">IF(IF(LEN((MID(J136,22,2)))=1, "[branch#0"&amp;0&amp;MID(J136,22,2)&amp;"] [A] W", "[branch#0"&amp;MID(J136,22,2)&amp;"] [A] W")="[branch#0] [A] W", "", IF(LEN((MID(J136,22,2)))=1, "[branch#0"&amp;0&amp;MID(J136,22,2)&amp;"] [A] W", "[branch#0"&amp;MID(J136,22,2)&amp;"] [A] W"))</f>
        <v>[branch#003] [A] W</v>
      </c>
      <c r="N136" t="str">
        <f t="shared" ref="N136:N142" si="178">IF(MID(K136,16,2)="0","",MID(K136,1,15)&amp;MID(K136,16,2))</f>
        <v>5-DaHall 1-PDU-06</v>
      </c>
      <c r="O136" t="str">
        <f t="shared" ref="O136:O142" si="179">IF(IF(LEN((MID(K136,22,2)))=1, "[branch#0"&amp;0&amp;MID(K136,22,2)&amp;"] [A] W", "[branch#0"&amp;MID(K136,22,2)&amp;"] [A] W")="[branch#0] [A] W", "", IF(LEN((MID(K136,22,2)))=1, "[branch#0"&amp;0&amp;MID(K136,22,2)&amp;"] [A] W", "[branch#0"&amp;MID(K136,22,2)&amp;"] [A] W"))</f>
        <v>[branch#003] [A] W</v>
      </c>
      <c r="P136" s="2989" cm="1">
        <f t="array" ref="P136">INDEX('각층분기별_유효전력최대(전월)'!$F$4:$F$2020,MATCH(1, ('각층분기별_유효전력최대(전월)'!$D$4:$D$2020='7층~4층_매핑테이블'!L136) * ('각층분기별_유효전력최대(전월)'!$E$4:$E$2020='7층~4층_매핑테이블'!M136),0)) + INDEX('각층분기별_유효전력최대(전월)'!$F$4:$F$2020,MATCH(1, ('각층분기별_유효전력최대(전월)'!$D$4:$D$2020='7층~4층_매핑테이블'!N136) * ('각층분기별_유효전력최대(전월)'!$E$4:$E$2020='7층~4층_매핑테이블'!O136),0))</f>
        <v>0</v>
      </c>
      <c r="Q136" s="1" t="str">
        <f t="shared" si="168"/>
        <v>6-DaHall 1-PDU-05-30-266-DaHall 1-PDU-06-30-26</v>
      </c>
      <c r="R136" s="217" t="s">
        <v>10097</v>
      </c>
      <c r="S136" s="217" t="s">
        <v>10098</v>
      </c>
      <c r="T136" t="str">
        <f t="shared" si="88"/>
        <v>6-DaHall 1-PDU-05</v>
      </c>
      <c r="U136" t="str">
        <f t="shared" si="169"/>
        <v>[branch#026] [A] W</v>
      </c>
      <c r="V136" t="str">
        <f t="shared" si="170"/>
        <v>6-DaHall 1-PDU-06</v>
      </c>
      <c r="W136" t="str">
        <f t="shared" si="171"/>
        <v>[branch#026] [A] W</v>
      </c>
      <c r="X136" s="2989" cm="1">
        <f t="array" ref="X136">INDEX('각층분기별_유효전력최대(전월)'!$I$4:$I$2020,MATCH(1, ('각층분기별_유효전력최대(전월)'!$G$4:$G$2020='7층~4층_매핑테이블'!T136) * ('각층분기별_유효전력최대(전월)'!$H$4:$H$2020='7층~4층_매핑테이블'!U136),0)) + INDEX('각층분기별_유효전력최대(전월)'!$I$4:$I$2020,MATCH(1, ('각층분기별_유효전력최대(전월)'!$G$4:$G$2020='7층~4층_매핑테이블'!V136) * ('각층분기별_유효전력최대(전월)'!$H$4:$H$2020='7층~4층_매핑테이블'!W136),0))</f>
        <v>0</v>
      </c>
      <c r="Y136" s="3274" t="str">
        <f>Z136&amp;AA136</f>
        <v>7-DaHall 1-A-2-35-577-DaHall 1-B-2-35-57</v>
      </c>
      <c r="Z136" s="217" t="s">
        <v>10099</v>
      </c>
      <c r="AA136" s="217" t="s">
        <v>10100</v>
      </c>
      <c r="AB136" s="3274" t="str">
        <f t="shared" ref="AB136:AB144" si="180">IF(MID(Z136,16,2)="0","",MID(Z136,1,15)&amp;MID(Z136,16,2))</f>
        <v>7-DaHall 1-A-2-35</v>
      </c>
      <c r="AC136" t="s">
        <v>9593</v>
      </c>
      <c r="AD136" t="str">
        <f t="shared" si="173"/>
        <v>7-DaHall 1-B-2-35</v>
      </c>
      <c r="AE136" t="s">
        <v>9593</v>
      </c>
      <c r="AF136" s="2989" t="e" cm="1">
        <f t="array" ref="AF136">INDEX('각층분기별_유효전력최대(전월)'!$L$4:$L$2020,MATCH(1, ('각층분기별_유효전력최대(전월)'!$J$4:$J$2020='7층~4층_매핑테이블'!AB136) * ('각층분기별_유효전력최대(전월)'!$K$4:$K$2020='7층~4층_매핑테이블'!AC136),0)) + INDEX('각층분기별_유효전력최대(전월)'!$L$4:$L$2020,MATCH(1, ('각층분기별_유효전력최대(전월)'!$J$4:$J$2020='7층~4층_매핑테이블'!AD136) * ('각층분기별_유효전력최대(전월)'!$K$4:$K$2020='7층~4층_매핑테이블'!AE136),0))</f>
        <v>#N/A</v>
      </c>
    </row>
    <row r="137" spans="1:32" x14ac:dyDescent="0.25">
      <c r="A137" t="str">
        <f t="shared" ref="A137:A145" si="181">B137&amp;C137</f>
        <v/>
      </c>
      <c r="B137" s="217"/>
      <c r="C137" s="217"/>
      <c r="D137" s="2989" t="str">
        <f t="shared" si="164"/>
        <v/>
      </c>
      <c r="E137" s="2989" t="str">
        <f t="shared" si="174"/>
        <v/>
      </c>
      <c r="F137" s="2989" t="str">
        <f>IF(MID(C137,16,2)="0","",MID(C137,1,15)&amp;MID(C137,16,2))</f>
        <v/>
      </c>
      <c r="G137" s="2989" t="str">
        <f>IF(IF(LEN(MID(C137,23,2))=1, "[branch#0"&amp;0&amp;MID(C137,23,2)&amp;"] [A] W", "[branch#0"&amp;MID(C137,23,2)&amp;"] [A] W")="[branch#0] [A] W", "", IF(LEN(MID(C137,23,2))=1, "[branch#0"&amp;0&amp;MID(C137,23,2)&amp;"] [A] W", "[branch#0"&amp;MID(C137,23,2)&amp;"] [A] W"))</f>
        <v/>
      </c>
      <c r="H137" s="2989" cm="1">
        <f t="array" ref="H137">INDEX('각층분기별_유효전력최대(전월)'!$C$4:$C$2020,MATCH(1, ('각층분기별_유효전력최대(전월)'!$A$4:$A$2020='7층~4층_매핑테이블'!D137) * ('각층분기별_유효전력최대(전월)'!$B$4:$B$2020='7층~4층_매핑테이블'!E137),0)) + INDEX('각층분기별_유효전력최대(전월)'!$C$4:$C$2020,MATCH(1, ('각층분기별_유효전력최대(전월)'!$A$4:$A$2020='7층~4층_매핑테이블'!F137) * ('각층분기별_유효전력최대(전월)'!$B$4:$B$2020='7층~4층_매핑테이블'!G137),0))</f>
        <v>0</v>
      </c>
      <c r="I137" t="str">
        <f t="shared" si="175"/>
        <v>5-DaHall 1-PDU-05-30-55-DaHall 1-PDU-06-30-5</v>
      </c>
      <c r="J137" s="217" t="s">
        <v>10101</v>
      </c>
      <c r="K137" s="217" t="s">
        <v>10102</v>
      </c>
      <c r="L137" t="str">
        <f t="shared" si="176"/>
        <v>5-DaHall 1-PDU-05</v>
      </c>
      <c r="M137" t="str">
        <f t="shared" si="177"/>
        <v>[branch#005] [A] W</v>
      </c>
      <c r="N137" t="str">
        <f t="shared" si="178"/>
        <v>5-DaHall 1-PDU-06</v>
      </c>
      <c r="O137" t="str">
        <f t="shared" si="179"/>
        <v>[branch#005] [A] W</v>
      </c>
      <c r="P137" s="2989" cm="1">
        <f t="array" ref="P137">INDEX('각층분기별_유효전력최대(전월)'!$F$4:$F$2020,MATCH(1, ('각층분기별_유효전력최대(전월)'!$D$4:$D$2020='7층~4층_매핑테이블'!L137) * ('각층분기별_유효전력최대(전월)'!$E$4:$E$2020='7층~4층_매핑테이블'!M137),0)) + INDEX('각층분기별_유효전력최대(전월)'!$F$4:$F$2020,MATCH(1, ('각층분기별_유효전력최대(전월)'!$D$4:$D$2020='7층~4층_매핑테이블'!N137) * ('각층분기별_유효전력최대(전월)'!$E$4:$E$2020='7층~4층_매핑테이블'!O137),0))</f>
        <v>0</v>
      </c>
      <c r="Q137" s="1" t="str">
        <f t="shared" si="168"/>
        <v>6-DaHall 1-PDU-05-30-286-DaHall 1-PDU-06-30-28</v>
      </c>
      <c r="R137" s="217" t="s">
        <v>10103</v>
      </c>
      <c r="S137" s="217" t="s">
        <v>10104</v>
      </c>
      <c r="T137" t="str">
        <f t="shared" ref="T137:T200" si="182">IF(MID(R137,16,2)="0","",MID(R137,1,15)&amp;MID(R137,16,2))</f>
        <v>6-DaHall 1-PDU-05</v>
      </c>
      <c r="U137" t="str">
        <f t="shared" si="169"/>
        <v>[branch#028] [A] W</v>
      </c>
      <c r="V137" t="str">
        <f t="shared" si="170"/>
        <v>6-DaHall 1-PDU-06</v>
      </c>
      <c r="W137" t="str">
        <f t="shared" si="171"/>
        <v>[branch#028] [A] W</v>
      </c>
      <c r="X137" s="2989" cm="1">
        <f t="array" ref="X137">INDEX('각층분기별_유효전력최대(전월)'!$I$4:$I$2020,MATCH(1, ('각층분기별_유효전력최대(전월)'!$G$4:$G$2020='7층~4층_매핑테이블'!T137) * ('각층분기별_유효전력최대(전월)'!$H$4:$H$2020='7층~4층_매핑테이블'!U137),0)) + INDEX('각층분기별_유효전력최대(전월)'!$I$4:$I$2020,MATCH(1, ('각층분기별_유효전력최대(전월)'!$G$4:$G$2020='7층~4층_매핑테이블'!V137) * ('각층분기별_유효전력최대(전월)'!$H$4:$H$2020='7층~4층_매핑테이블'!W137),0))</f>
        <v>0</v>
      </c>
      <c r="Y137" s="3274" t="str">
        <f>Z137&amp;AA137</f>
        <v/>
      </c>
      <c r="Z137" s="217"/>
      <c r="AA137" s="217"/>
      <c r="AB137" s="3274" t="str">
        <f t="shared" si="180"/>
        <v/>
      </c>
      <c r="AD137" t="str">
        <f t="shared" si="173"/>
        <v/>
      </c>
      <c r="AF137" s="2989" cm="1">
        <f t="array" ref="AF137">INDEX('각층분기별_유효전력최대(전월)'!$L$4:$L$2020,MATCH(1, ('각층분기별_유효전력최대(전월)'!$J$4:$J$2020='7층~4층_매핑테이블'!AB137) * ('각층분기별_유효전력최대(전월)'!$K$4:$K$2020='7층~4층_매핑테이블'!AC137),0)) + INDEX('각층분기별_유효전력최대(전월)'!$L$4:$L$2020,MATCH(1, ('각층분기별_유효전력최대(전월)'!$J$4:$J$2020='7층~4층_매핑테이블'!AD137) * ('각층분기별_유효전력최대(전월)'!$K$4:$K$2020='7층~4층_매핑테이블'!AE137),0))</f>
        <v>0</v>
      </c>
    </row>
    <row r="138" spans="1:32" x14ac:dyDescent="0.25">
      <c r="A138" t="str">
        <f t="shared" si="181"/>
        <v/>
      </c>
      <c r="B138" s="217"/>
      <c r="C138" s="217"/>
      <c r="D138" s="2989" t="str">
        <f t="shared" si="164"/>
        <v/>
      </c>
      <c r="E138" s="2989" t="str">
        <f t="shared" si="174"/>
        <v/>
      </c>
      <c r="F138" s="2989" t="str">
        <f>IF(MID(C138,16,2)="0","",MID(C138,1,15)&amp;MID(C138,16,2))</f>
        <v/>
      </c>
      <c r="G138" s="2989" t="str">
        <f>IF(IF(LEN(MID(C138,23,2))=1, "[branch#0"&amp;0&amp;MID(C138,23,2)&amp;"] [A] W", "[branch#0"&amp;MID(C138,23,2)&amp;"] [A] W")="[branch#0] [A] W", "", IF(LEN(MID(C138,23,2))=1, "[branch#0"&amp;0&amp;MID(C138,23,2)&amp;"] [A] W", "[branch#0"&amp;MID(C138,23,2)&amp;"] [A] W"))</f>
        <v/>
      </c>
      <c r="H138" s="2989" cm="1">
        <f t="array" ref="H138">INDEX('각층분기별_유효전력최대(전월)'!$C$4:$C$2020,MATCH(1, ('각층분기별_유효전력최대(전월)'!$A$4:$A$2020='7층~4층_매핑테이블'!D138) * ('각층분기별_유효전력최대(전월)'!$B$4:$B$2020='7층~4층_매핑테이블'!E138),0)) + INDEX('각층분기별_유효전력최대(전월)'!$C$4:$C$2020,MATCH(1, ('각층분기별_유효전력최대(전월)'!$A$4:$A$2020='7층~4층_매핑테이블'!F138) * ('각층분기별_유효전력최대(전월)'!$B$4:$B$2020='7층~4층_매핑테이블'!G138),0))</f>
        <v>0</v>
      </c>
      <c r="I138" t="str">
        <f t="shared" si="175"/>
        <v>5-DaHall 1-PDU-05-30-95-DaHall 1-PDU-06-30-7</v>
      </c>
      <c r="J138" s="217" t="s">
        <v>10105</v>
      </c>
      <c r="K138" s="217" t="s">
        <v>10106</v>
      </c>
      <c r="L138" t="str">
        <f t="shared" si="176"/>
        <v>5-DaHall 1-PDU-05</v>
      </c>
      <c r="M138" t="str">
        <f t="shared" si="177"/>
        <v>[branch#009] [A] W</v>
      </c>
      <c r="N138" t="str">
        <f t="shared" si="178"/>
        <v>5-DaHall 1-PDU-06</v>
      </c>
      <c r="O138" t="str">
        <f t="shared" si="179"/>
        <v>[branch#007] [A] W</v>
      </c>
      <c r="P138" s="2989" cm="1">
        <f t="array" ref="P138">INDEX('각층분기별_유효전력최대(전월)'!$F$4:$F$2020,MATCH(1, ('각층분기별_유효전력최대(전월)'!$D$4:$D$2020='7층~4층_매핑테이블'!L138) * ('각층분기별_유효전력최대(전월)'!$E$4:$E$2020='7층~4층_매핑테이블'!M138),0)) + INDEX('각층분기별_유효전력최대(전월)'!$F$4:$F$2020,MATCH(1, ('각층분기별_유효전력최대(전월)'!$D$4:$D$2020='7층~4층_매핑테이블'!N138) * ('각층분기별_유효전력최대(전월)'!$E$4:$E$2020='7층~4층_매핑테이블'!O138),0))</f>
        <v>0</v>
      </c>
      <c r="Q138" s="1" t="str">
        <f t="shared" si="168"/>
        <v>6-DaHall 1-PDU-05-30-306-DaHall 1-PDU-06-30-30</v>
      </c>
      <c r="R138" s="217" t="s">
        <v>10107</v>
      </c>
      <c r="S138" s="217" t="s">
        <v>10108</v>
      </c>
      <c r="T138" t="str">
        <f t="shared" si="182"/>
        <v>6-DaHall 1-PDU-05</v>
      </c>
      <c r="U138" t="str">
        <f t="shared" si="169"/>
        <v>[branch#030] [A] W</v>
      </c>
      <c r="V138" t="str">
        <f t="shared" si="170"/>
        <v>6-DaHall 1-PDU-06</v>
      </c>
      <c r="W138" t="str">
        <f t="shared" si="171"/>
        <v>[branch#030] [A] W</v>
      </c>
      <c r="X138" s="2989" cm="1">
        <f t="array" ref="X138">INDEX('각층분기별_유효전력최대(전월)'!$I$4:$I$2020,MATCH(1, ('각층분기별_유효전력최대(전월)'!$G$4:$G$2020='7층~4층_매핑테이블'!T138) * ('각층분기별_유효전력최대(전월)'!$H$4:$H$2020='7층~4층_매핑테이블'!U138),0)) + INDEX('각층분기별_유효전력최대(전월)'!$I$4:$I$2020,MATCH(1, ('각층분기별_유효전력최대(전월)'!$G$4:$G$2020='7층~4층_매핑테이블'!V138) * ('각층분기별_유효전력최대(전월)'!$H$4:$H$2020='7층~4층_매핑테이블'!W138),0))</f>
        <v>0</v>
      </c>
      <c r="Y138" s="3274" t="str">
        <f>Z138&amp;AA138</f>
        <v>7-DaHall 1-A-1-50-207-DaHall 1-B-1-50-20</v>
      </c>
      <c r="Z138" s="217" t="s">
        <v>10109</v>
      </c>
      <c r="AA138" s="217" t="s">
        <v>10110</v>
      </c>
      <c r="AB138" s="3274" t="str">
        <f t="shared" si="180"/>
        <v>7-DaHall 1-A-1-50</v>
      </c>
      <c r="AC138" t="s">
        <v>9512</v>
      </c>
      <c r="AD138" t="str">
        <f t="shared" si="173"/>
        <v>7-DaHall 1-B-1-50</v>
      </c>
      <c r="AE138" t="s">
        <v>9512</v>
      </c>
      <c r="AF138" s="2989" t="e" cm="1">
        <f t="array" ref="AF138">INDEX('각층분기별_유효전력최대(전월)'!$L$4:$L$2020,MATCH(1, ('각층분기별_유효전력최대(전월)'!$J$4:$J$2020='7층~4층_매핑테이블'!AB138) * ('각층분기별_유효전력최대(전월)'!$K$4:$K$2020='7층~4층_매핑테이블'!AC138),0)) + INDEX('각층분기별_유효전력최대(전월)'!$L$4:$L$2020,MATCH(1, ('각층분기별_유효전력최대(전월)'!$J$4:$J$2020='7층~4층_매핑테이블'!AD138) * ('각층분기별_유효전력최대(전월)'!$K$4:$K$2020='7층~4층_매핑테이블'!AE138),0))</f>
        <v>#N/A</v>
      </c>
    </row>
    <row r="139" spans="1:32" x14ac:dyDescent="0.25">
      <c r="A139" t="str">
        <f t="shared" si="181"/>
        <v/>
      </c>
      <c r="B139" s="217"/>
      <c r="C139" s="217"/>
      <c r="D139" s="2989" t="str">
        <f t="shared" si="164"/>
        <v/>
      </c>
      <c r="E139" s="2989" t="str">
        <f t="shared" si="174"/>
        <v/>
      </c>
      <c r="F139" s="2989" t="str">
        <f>IF(MID(C139,16,2)="0","",MID(C139,1,15)&amp;MID(C139,16,2))</f>
        <v/>
      </c>
      <c r="G139" s="2989" t="str">
        <f>IF(IF(LEN(MID(C139,23,2))=1, "[branch#0"&amp;0&amp;MID(C139,23,2)&amp;"] [A] W", "[branch#0"&amp;MID(C139,23,2)&amp;"] [A] W")="[branch#0] [A] W", "", IF(LEN(MID(C139,23,2))=1, "[branch#0"&amp;0&amp;MID(C139,23,2)&amp;"] [A] W", "[branch#0"&amp;MID(C139,23,2)&amp;"] [A] W"))</f>
        <v/>
      </c>
      <c r="H139" s="2989" cm="1">
        <f t="array" ref="H139">INDEX('각층분기별_유효전력최대(전월)'!$C$4:$C$2020,MATCH(1, ('각층분기별_유효전력최대(전월)'!$A$4:$A$2020='7층~4층_매핑테이블'!D139) * ('각층분기별_유효전력최대(전월)'!$B$4:$B$2020='7층~4층_매핑테이블'!E139),0)) + INDEX('각층분기별_유효전력최대(전월)'!$C$4:$C$2020,MATCH(1, ('각층분기별_유효전력최대(전월)'!$A$4:$A$2020='7층~4층_매핑테이블'!F139) * ('각층분기별_유효전력최대(전월)'!$B$4:$B$2020='7층~4층_매핑테이블'!G139),0))</f>
        <v>0</v>
      </c>
      <c r="I139" t="str">
        <f t="shared" si="175"/>
        <v>5-DaHall 1-PDU-05-30-115-DaHall 1-PDU-06-30-9</v>
      </c>
      <c r="J139" s="217" t="s">
        <v>10111</v>
      </c>
      <c r="K139" s="217" t="s">
        <v>10112</v>
      </c>
      <c r="L139" t="str">
        <f t="shared" si="176"/>
        <v>5-DaHall 1-PDU-05</v>
      </c>
      <c r="M139" t="str">
        <f t="shared" si="177"/>
        <v>[branch#011] [A] W</v>
      </c>
      <c r="N139" t="str">
        <f t="shared" si="178"/>
        <v>5-DaHall 1-PDU-06</v>
      </c>
      <c r="O139" t="str">
        <f t="shared" si="179"/>
        <v>[branch#009] [A] W</v>
      </c>
      <c r="P139" s="2989" cm="1">
        <f t="array" ref="P139">INDEX('각층분기별_유효전력최대(전월)'!$F$4:$F$2020,MATCH(1, ('각층분기별_유효전력최대(전월)'!$D$4:$D$2020='7층~4층_매핑테이블'!L139) * ('각층분기별_유효전력최대(전월)'!$E$4:$E$2020='7층~4층_매핑테이블'!M139),0)) + INDEX('각층분기별_유효전력최대(전월)'!$F$4:$F$2020,MATCH(1, ('각층분기별_유효전력최대(전월)'!$D$4:$D$2020='7층~4층_매핑테이블'!N139) * ('각층분기별_유효전력최대(전월)'!$E$4:$E$2020='7층~4층_매핑테이블'!O139),0))</f>
        <v>0</v>
      </c>
      <c r="Q139" s="1" t="str">
        <f>R139&amp;S139</f>
        <v>6-DaHall 1-PDU-05-30-326-DaHall 1-PDU-06-30-32</v>
      </c>
      <c r="R139" s="217" t="s">
        <v>10113</v>
      </c>
      <c r="S139" s="217" t="s">
        <v>10114</v>
      </c>
      <c r="T139" t="str">
        <f t="shared" si="182"/>
        <v>6-DaHall 1-PDU-05</v>
      </c>
      <c r="U139" t="str">
        <f t="shared" si="169"/>
        <v>[branch#032] [A] W</v>
      </c>
      <c r="V139" t="str">
        <f>IF(MID(S139,16,2)="0","",MID(S139,1,15)&amp;MID(S139,16,2))</f>
        <v>6-DaHall 1-PDU-06</v>
      </c>
      <c r="W139" t="str">
        <f>IF(IF(LEN((MID(S139,22,2)))=1, "[branch#0"&amp;0&amp;MID(S139,22,2)&amp;"] [A] W", "[branch#0"&amp;MID(S139,22,2)&amp;"] [A] W")="[branch#0] [A] W", "", IF(LEN((MID(S139,22,2)))=1, "[branch#0"&amp;0&amp;MID(S139,22,2)&amp;"] [A] W", "[branch#0"&amp;MID(S139,22,2)&amp;"] [A] W"))</f>
        <v>[branch#032] [A] W</v>
      </c>
      <c r="X139" s="2989" cm="1">
        <f t="array" ref="X139">INDEX('각층분기별_유효전력최대(전월)'!$I$4:$I$2020,MATCH(1, ('각층분기별_유효전력최대(전월)'!$G$4:$G$2020='7층~4층_매핑테이블'!T139) * ('각층분기별_유효전력최대(전월)'!$H$4:$H$2020='7층~4층_매핑테이블'!U139),0)) + INDEX('각층분기별_유효전력최대(전월)'!$I$4:$I$2020,MATCH(1, ('각층분기별_유효전력최대(전월)'!$G$4:$G$2020='7층~4층_매핑테이블'!V139) * ('각층분기별_유효전력최대(전월)'!$H$4:$H$2020='7층~4층_매핑테이블'!W139),0))</f>
        <v>0</v>
      </c>
      <c r="Y139" s="3274" t="str">
        <f>Z139&amp;AA139</f>
        <v/>
      </c>
      <c r="Z139" s="217"/>
      <c r="AA139" s="217"/>
      <c r="AB139" s="3274" t="str">
        <f t="shared" si="180"/>
        <v/>
      </c>
      <c r="AD139" t="str">
        <f t="shared" si="173"/>
        <v/>
      </c>
      <c r="AF139" s="2989" cm="1">
        <f t="array" ref="AF139">INDEX('각층분기별_유효전력최대(전월)'!$L$4:$L$2020,MATCH(1, ('각층분기별_유효전력최대(전월)'!$J$4:$J$2020='7층~4층_매핑테이블'!AB139) * ('각층분기별_유효전력최대(전월)'!$K$4:$K$2020='7층~4층_매핑테이블'!AC139),0)) + INDEX('각층분기별_유효전력최대(전월)'!$L$4:$L$2020,MATCH(1, ('각층분기별_유효전력최대(전월)'!$J$4:$J$2020='7층~4층_매핑테이블'!AD139) * ('각층분기별_유효전력최대(전월)'!$K$4:$K$2020='7층~4층_매핑테이블'!AE139),0))</f>
        <v>0</v>
      </c>
    </row>
    <row r="140" spans="1:32" x14ac:dyDescent="0.25">
      <c r="A140" t="str">
        <f t="shared" si="181"/>
        <v/>
      </c>
      <c r="B140" s="217"/>
      <c r="C140" s="217"/>
      <c r="D140" s="2989" t="str">
        <f t="shared" si="164"/>
        <v/>
      </c>
      <c r="E140" s="2989" t="str">
        <f t="shared" si="174"/>
        <v/>
      </c>
      <c r="F140" s="2989" t="str">
        <f t="shared" ref="F140:F145" si="183">IF(MID(C140,16,2)="0","",MID(C140,1,15)&amp;MID(C140,16,2))</f>
        <v/>
      </c>
      <c r="G140" s="2989" t="str">
        <f t="shared" ref="G140:G145" si="184">IF(IF(LEN(MID(C140,23,2))=1, "[branch#0"&amp;0&amp;MID(C140,23,2)&amp;"] [A] W", "[branch#0"&amp;MID(C140,23,2)&amp;"] [A] W")="[branch#0] [A] W", "", IF(LEN(MID(C140,23,2))=1, "[branch#0"&amp;0&amp;MID(C140,23,2)&amp;"] [A] W", "[branch#0"&amp;MID(C140,23,2)&amp;"] [A] W"))</f>
        <v/>
      </c>
      <c r="H140" s="2989" cm="1">
        <f t="array" ref="H140">INDEX('각층분기별_유효전력최대(전월)'!$C$4:$C$2020,MATCH(1, ('각층분기별_유효전력최대(전월)'!$A$4:$A$2020='7층~4층_매핑테이블'!D140) * ('각층분기별_유효전력최대(전월)'!$B$4:$B$2020='7층~4층_매핑테이블'!E140),0)) + INDEX('각층분기별_유효전력최대(전월)'!$C$4:$C$2020,MATCH(1, ('각층분기별_유효전력최대(전월)'!$A$4:$A$2020='7층~4층_매핑테이블'!F140) * ('각층분기별_유효전력최대(전월)'!$B$4:$B$2020='7층~4층_매핑테이블'!G140),0))</f>
        <v>0</v>
      </c>
      <c r="I140" t="str">
        <f t="shared" si="175"/>
        <v>5-DaHall 1-PDU-05-30-135-DaHall 1-PDU-06-30-11</v>
      </c>
      <c r="J140" s="217" t="s">
        <v>10115</v>
      </c>
      <c r="K140" s="217" t="s">
        <v>10116</v>
      </c>
      <c r="L140" t="str">
        <f t="shared" si="176"/>
        <v>5-DaHall 1-PDU-05</v>
      </c>
      <c r="M140" t="str">
        <f t="shared" si="177"/>
        <v>[branch#013] [A] W</v>
      </c>
      <c r="N140" t="str">
        <f t="shared" si="178"/>
        <v>5-DaHall 1-PDU-06</v>
      </c>
      <c r="O140" t="str">
        <f t="shared" si="179"/>
        <v>[branch#011] [A] W</v>
      </c>
      <c r="P140" s="2989" cm="1">
        <f t="array" ref="P140">INDEX('각층분기별_유효전력최대(전월)'!$F$4:$F$2020,MATCH(1, ('각층분기별_유효전력최대(전월)'!$D$4:$D$2020='7층~4층_매핑테이블'!L140) * ('각층분기별_유효전력최대(전월)'!$E$4:$E$2020='7층~4층_매핑테이블'!M140),0)) + INDEX('각층분기별_유효전력최대(전월)'!$F$4:$F$2020,MATCH(1, ('각층분기별_유효전력최대(전월)'!$D$4:$D$2020='7층~4층_매핑테이블'!N140) * ('각층분기별_유효전력최대(전월)'!$E$4:$E$2020='7층~4층_매핑테이블'!O140),0))</f>
        <v>0</v>
      </c>
      <c r="Q140" s="1" t="str">
        <f t="shared" si="168"/>
        <v>6-DaHall 1-PDU-05-30-346-DaHall 1-PDU-06-30-34</v>
      </c>
      <c r="R140" s="217" t="s">
        <v>10117</v>
      </c>
      <c r="S140" s="217" t="s">
        <v>10118</v>
      </c>
      <c r="T140" t="str">
        <f t="shared" si="182"/>
        <v>6-DaHall 1-PDU-05</v>
      </c>
      <c r="U140" t="str">
        <f t="shared" si="169"/>
        <v>[branch#034] [A] W</v>
      </c>
      <c r="V140" t="str">
        <f t="shared" si="170"/>
        <v>6-DaHall 1-PDU-06</v>
      </c>
      <c r="W140" t="str">
        <f t="shared" si="171"/>
        <v>[branch#034] [A] W</v>
      </c>
      <c r="X140" s="2989" cm="1">
        <f t="array" ref="X140">INDEX('각층분기별_유효전력최대(전월)'!$I$4:$I$2020,MATCH(1, ('각층분기별_유효전력최대(전월)'!$G$4:$G$2020='7층~4층_매핑테이블'!T140) * ('각층분기별_유효전력최대(전월)'!$H$4:$H$2020='7층~4층_매핑테이블'!U140),0)) + INDEX('각층분기별_유효전력최대(전월)'!$I$4:$I$2020,MATCH(1, ('각층분기별_유효전력최대(전월)'!$G$4:$G$2020='7층~4층_매핑테이블'!V140) * ('각층분기별_유효전력최대(전월)'!$H$4:$H$2020='7층~4층_매핑테이블'!W140),0))</f>
        <v>0</v>
      </c>
      <c r="Y140" s="3274" t="str">
        <f>Z140&amp;AA140</f>
        <v>7-DaHall 1-A-1-35-11(1)7-DaHall 1-B-1-35-14(1)</v>
      </c>
      <c r="Z140" s="217" t="s">
        <v>10119</v>
      </c>
      <c r="AA140" s="217" t="s">
        <v>10120</v>
      </c>
      <c r="AB140" s="3274" t="str">
        <f t="shared" si="180"/>
        <v>7-DaHall 1-A-1-35</v>
      </c>
      <c r="AC140" t="s">
        <v>10121</v>
      </c>
      <c r="AD140" t="str">
        <f t="shared" si="173"/>
        <v>7-DaHall 1-B-1-35</v>
      </c>
      <c r="AE140" t="s">
        <v>10122</v>
      </c>
      <c r="AF140" s="2989" t="e" cm="1">
        <f t="array" ref="AF140">INDEX('각층분기별_유효전력최대(전월)'!$L$4:$L$2020,MATCH(1, ('각층분기별_유효전력최대(전월)'!$J$4:$J$2020='7층~4층_매핑테이블'!AB140) * ('각층분기별_유효전력최대(전월)'!$K$4:$K$2020='7층~4층_매핑테이블'!AC140),0)) + INDEX('각층분기별_유효전력최대(전월)'!$L$4:$L$2020,MATCH(1, ('각층분기별_유효전력최대(전월)'!$J$4:$J$2020='7층~4층_매핑테이블'!AD140) * ('각층분기별_유효전력최대(전월)'!$K$4:$K$2020='7층~4층_매핑테이블'!AE140),0))</f>
        <v>#N/A</v>
      </c>
    </row>
    <row r="141" spans="1:32" x14ac:dyDescent="0.25">
      <c r="A141" t="str">
        <f t="shared" si="181"/>
        <v/>
      </c>
      <c r="B141" s="217"/>
      <c r="C141" s="217"/>
      <c r="D141" s="2989" t="str">
        <f t="shared" si="164"/>
        <v/>
      </c>
      <c r="E141" s="2989" t="str">
        <f t="shared" si="174"/>
        <v/>
      </c>
      <c r="F141" s="2989" t="str">
        <f t="shared" si="183"/>
        <v/>
      </c>
      <c r="G141" s="2989" t="str">
        <f t="shared" si="184"/>
        <v/>
      </c>
      <c r="H141" s="2989" cm="1">
        <f t="array" ref="H141">INDEX('각층분기별_유효전력최대(전월)'!$C$4:$C$2020,MATCH(1, ('각층분기별_유효전력최대(전월)'!$A$4:$A$2020='7층~4층_매핑테이블'!D141) * ('각층분기별_유효전력최대(전월)'!$B$4:$B$2020='7층~4층_매핑테이블'!E141),0)) + INDEX('각층분기별_유효전력최대(전월)'!$C$4:$C$2020,MATCH(1, ('각층분기별_유효전력최대(전월)'!$A$4:$A$2020='7층~4층_매핑테이블'!F141) * ('각층분기별_유효전력최대(전월)'!$B$4:$B$2020='7층~4층_매핑테이블'!G141),0))</f>
        <v>0</v>
      </c>
      <c r="I141" t="str">
        <f t="shared" si="175"/>
        <v>5-DaHall 1-PDU-05-30-155-DaHall 1-PDU-06-30-15</v>
      </c>
      <c r="J141" s="217" t="s">
        <v>10123</v>
      </c>
      <c r="K141" s="217" t="s">
        <v>10124</v>
      </c>
      <c r="L141" t="str">
        <f t="shared" si="176"/>
        <v>5-DaHall 1-PDU-05</v>
      </c>
      <c r="M141" t="str">
        <f t="shared" si="177"/>
        <v>[branch#015] [A] W</v>
      </c>
      <c r="N141" t="str">
        <f t="shared" si="178"/>
        <v>5-DaHall 1-PDU-06</v>
      </c>
      <c r="O141" t="str">
        <f t="shared" si="179"/>
        <v>[branch#015] [A] W</v>
      </c>
      <c r="P141" s="2989" cm="1">
        <f t="array" ref="P141">INDEX('각층분기별_유효전력최대(전월)'!$F$4:$F$2020,MATCH(1, ('각층분기별_유효전력최대(전월)'!$D$4:$D$2020='7층~4층_매핑테이블'!L141) * ('각층분기별_유효전력최대(전월)'!$E$4:$E$2020='7층~4층_매핑테이블'!M141),0)) + INDEX('각층분기별_유효전력최대(전월)'!$F$4:$F$2020,MATCH(1, ('각층분기별_유효전력최대(전월)'!$D$4:$D$2020='7층~4층_매핑테이블'!N141) * ('각층분기별_유효전력최대(전월)'!$E$4:$E$2020='7층~4층_매핑테이블'!O141),0))</f>
        <v>0</v>
      </c>
      <c r="Q141" s="1" t="str">
        <f t="shared" si="168"/>
        <v>6-DaHall 1-PDU-05-30-366-DaHall 1-PDU-06-30-36</v>
      </c>
      <c r="R141" s="217" t="s">
        <v>10125</v>
      </c>
      <c r="S141" s="217" t="s">
        <v>10126</v>
      </c>
      <c r="T141" t="str">
        <f t="shared" si="182"/>
        <v>6-DaHall 1-PDU-05</v>
      </c>
      <c r="U141" t="str">
        <f t="shared" si="169"/>
        <v>[branch#036] [A] W</v>
      </c>
      <c r="V141" t="str">
        <f t="shared" si="170"/>
        <v>6-DaHall 1-PDU-06</v>
      </c>
      <c r="W141" t="str">
        <f t="shared" si="171"/>
        <v>[branch#036] [A] W</v>
      </c>
      <c r="X141" s="2989" cm="1">
        <f t="array" ref="X141">INDEX('각층분기별_유효전력최대(전월)'!$I$4:$I$2020,MATCH(1, ('각층분기별_유효전력최대(전월)'!$G$4:$G$2020='7층~4층_매핑테이블'!T141) * ('각층분기별_유효전력최대(전월)'!$H$4:$H$2020='7층~4층_매핑테이블'!U141),0)) + INDEX('각층분기별_유효전력최대(전월)'!$I$4:$I$2020,MATCH(1, ('각층분기별_유효전력최대(전월)'!$G$4:$G$2020='7층~4층_매핑테이블'!V141) * ('각층분기별_유효전력최대(전월)'!$H$4:$H$2020='7층~4층_매핑테이블'!W141),0))</f>
        <v>0</v>
      </c>
      <c r="Y141" s="3274" t="str">
        <f t="shared" ref="Y141" si="185">Z141&amp;AA141</f>
        <v>7-DaHall 1-A-1-35-15(2)7-DaHall 1-B-1-35-15(2)</v>
      </c>
      <c r="Z141" s="217" t="s">
        <v>10127</v>
      </c>
      <c r="AA141" s="217" t="s">
        <v>10128</v>
      </c>
      <c r="AB141" s="3274" t="str">
        <f t="shared" si="180"/>
        <v>7-DaHall 1-A-1-35</v>
      </c>
      <c r="AC141" t="s">
        <v>10129</v>
      </c>
      <c r="AD141" t="str">
        <f t="shared" si="173"/>
        <v>7-DaHall 1-B-1-35</v>
      </c>
      <c r="AE141" t="s">
        <v>10129</v>
      </c>
      <c r="AF141" s="2989" t="e" cm="1">
        <f t="array" ref="AF141">INDEX('각층분기별_유효전력최대(전월)'!$L$4:$L$2020,MATCH(1, ('각층분기별_유효전력최대(전월)'!$J$4:$J$2020='7층~4층_매핑테이블'!AB141) * ('각층분기별_유효전력최대(전월)'!$K$4:$K$2020='7층~4층_매핑테이블'!AC141),0)) + INDEX('각층분기별_유효전력최대(전월)'!$L$4:$L$2020,MATCH(1, ('각층분기별_유효전력최대(전월)'!$J$4:$J$2020='7층~4층_매핑테이블'!AD141) * ('각층분기별_유효전력최대(전월)'!$K$4:$K$2020='7층~4층_매핑테이블'!AE141),0))</f>
        <v>#N/A</v>
      </c>
    </row>
    <row r="142" spans="1:32" x14ac:dyDescent="0.25">
      <c r="A142" t="str">
        <f t="shared" si="181"/>
        <v/>
      </c>
      <c r="B142" s="217"/>
      <c r="C142" s="217"/>
      <c r="D142" s="2989" t="str">
        <f t="shared" si="164"/>
        <v/>
      </c>
      <c r="E142" s="2989" t="str">
        <f t="shared" si="174"/>
        <v/>
      </c>
      <c r="F142" s="2989" t="str">
        <f t="shared" si="183"/>
        <v/>
      </c>
      <c r="G142" s="2989" t="str">
        <f t="shared" si="184"/>
        <v/>
      </c>
      <c r="H142" s="2989" cm="1">
        <f t="array" ref="H142">INDEX('각층분기별_유효전력최대(전월)'!$C$4:$C$2020,MATCH(1, ('각층분기별_유효전력최대(전월)'!$A$4:$A$2020='7층~4층_매핑테이블'!D142) * ('각층분기별_유효전력최대(전월)'!$B$4:$B$2020='7층~4층_매핑테이블'!E142),0)) + INDEX('각층분기별_유효전력최대(전월)'!$C$4:$C$2020,MATCH(1, ('각층분기별_유효전력최대(전월)'!$A$4:$A$2020='7층~4층_매핑테이블'!F142) * ('각층분기별_유효전력최대(전월)'!$B$4:$B$2020='7층~4층_매핑테이블'!G142),0))</f>
        <v>0</v>
      </c>
      <c r="I142" t="str">
        <f t="shared" si="175"/>
        <v>5-DaHall 1-PDU-05-30-175-DaHall 1-PDU-06-30-17</v>
      </c>
      <c r="J142" s="217" t="s">
        <v>10130</v>
      </c>
      <c r="K142" s="217" t="s">
        <v>10131</v>
      </c>
      <c r="L142" t="str">
        <f t="shared" si="176"/>
        <v>5-DaHall 1-PDU-05</v>
      </c>
      <c r="M142" t="str">
        <f t="shared" si="177"/>
        <v>[branch#017] [A] W</v>
      </c>
      <c r="N142" t="str">
        <f t="shared" si="178"/>
        <v>5-DaHall 1-PDU-06</v>
      </c>
      <c r="O142" t="str">
        <f t="shared" si="179"/>
        <v>[branch#017] [A] W</v>
      </c>
      <c r="P142" s="2989" cm="1">
        <f t="array" ref="P142">INDEX('각층분기별_유효전력최대(전월)'!$F$4:$F$2020,MATCH(1, ('각층분기별_유효전력최대(전월)'!$D$4:$D$2020='7층~4층_매핑테이블'!L142) * ('각층분기별_유효전력최대(전월)'!$E$4:$E$2020='7층~4층_매핑테이블'!M142),0)) + INDEX('각층분기별_유효전력최대(전월)'!$F$4:$F$2020,MATCH(1, ('각층분기별_유효전력최대(전월)'!$D$4:$D$2020='7층~4층_매핑테이블'!N142) * ('각층분기별_유효전력최대(전월)'!$E$4:$E$2020='7층~4층_매핑테이블'!O142),0))</f>
        <v>0</v>
      </c>
      <c r="Q142" s="1" t="str">
        <f>R142&amp;S142</f>
        <v/>
      </c>
      <c r="R142" s="217"/>
      <c r="S142" s="217"/>
      <c r="T142" t="str">
        <f t="shared" si="182"/>
        <v/>
      </c>
      <c r="U142" t="str">
        <f>IF(IF(LEN((MID(R142,22,2)))=1, "[branch#0"&amp;0&amp;MID(R142,22,2)&amp;"] [A] W", "[branch#0"&amp;MID(R142,22,2)&amp;"] [A] W")="[branch#0] [A] W", "", IF(LEN((MID(R142,22,2)))=1, "[branch#0"&amp;0&amp;MID(R142,22,2)&amp;"] [A] W", "[branch#0"&amp;MID(R142,22,2)&amp;"] [A] W"))</f>
        <v/>
      </c>
      <c r="V142" t="str">
        <f>IF(MID(S142,16,2)="0","",MID(S142,1,15)&amp;MID(S142,16,2))</f>
        <v/>
      </c>
      <c r="W142" t="str">
        <f>IF(IF(LEN((MID(S142,22,2)))=1, "[branch#0"&amp;0&amp;MID(S142,22,2)&amp;"] [A] W", "[branch#0"&amp;MID(S142,22,2)&amp;"] [A] W")="[branch#0] [A] W", "", IF(LEN((MID(S142,22,2)))=1, "[branch#0"&amp;0&amp;MID(S142,22,2)&amp;"] [A] W", "[branch#0"&amp;MID(S142,22,2)&amp;"] [A] W"))</f>
        <v/>
      </c>
      <c r="X142" s="2989" cm="1">
        <f t="array" ref="X142">INDEX('각층분기별_유효전력최대(전월)'!$I$4:$I$2020,MATCH(1, ('각층분기별_유효전력최대(전월)'!$G$4:$G$2020='7층~4층_매핑테이블'!T142) * ('각층분기별_유효전력최대(전월)'!$H$4:$H$2020='7층~4층_매핑테이블'!U142),0)) + INDEX('각층분기별_유효전력최대(전월)'!$I$4:$I$2020,MATCH(1, ('각층분기별_유효전력최대(전월)'!$G$4:$G$2020='7층~4층_매핑테이블'!V142) * ('각층분기별_유효전력최대(전월)'!$H$4:$H$2020='7층~4층_매핑테이블'!W142),0))</f>
        <v>0</v>
      </c>
      <c r="Y142" s="3274" t="str">
        <f>Z142&amp;AA142</f>
        <v/>
      </c>
      <c r="Z142" s="217"/>
      <c r="AA142" s="217"/>
      <c r="AB142" s="3274" t="str">
        <f t="shared" si="180"/>
        <v/>
      </c>
      <c r="AD142" t="str">
        <f t="shared" si="173"/>
        <v/>
      </c>
      <c r="AF142" s="2989" cm="1">
        <f t="array" ref="AF142">INDEX('각층분기별_유효전력최대(전월)'!$L$4:$L$2020,MATCH(1, ('각층분기별_유효전력최대(전월)'!$J$4:$J$2020='7층~4층_매핑테이블'!AB142) * ('각층분기별_유효전력최대(전월)'!$K$4:$K$2020='7층~4층_매핑테이블'!AC142),0)) + INDEX('각층분기별_유효전력최대(전월)'!$L$4:$L$2020,MATCH(1, ('각층분기별_유효전력최대(전월)'!$J$4:$J$2020='7층~4층_매핑테이블'!AD142) * ('각층분기별_유효전력최대(전월)'!$K$4:$K$2020='7층~4층_매핑테이블'!AE142),0))</f>
        <v>0</v>
      </c>
    </row>
    <row r="143" spans="1:32" x14ac:dyDescent="0.25">
      <c r="A143" t="str">
        <f t="shared" si="181"/>
        <v/>
      </c>
      <c r="B143" s="217"/>
      <c r="C143" s="217"/>
      <c r="D143" s="2989" t="str">
        <f t="shared" si="164"/>
        <v/>
      </c>
      <c r="E143" s="2989" t="str">
        <f t="shared" si="174"/>
        <v/>
      </c>
      <c r="F143" s="2989" t="str">
        <f t="shared" si="183"/>
        <v/>
      </c>
      <c r="G143" s="2989" t="str">
        <f t="shared" si="184"/>
        <v/>
      </c>
      <c r="H143" s="2989" cm="1">
        <f t="array" ref="H143">INDEX('각층분기별_유효전력최대(전월)'!$C$4:$C$2020,MATCH(1, ('각층분기별_유효전력최대(전월)'!$A$4:$A$2020='7층~4층_매핑테이블'!D143) * ('각층분기별_유효전력최대(전월)'!$B$4:$B$2020='7층~4층_매핑테이블'!E143),0)) + INDEX('각층분기별_유효전력최대(전월)'!$C$4:$C$2020,MATCH(1, ('각층분기별_유효전력최대(전월)'!$A$4:$A$2020='7층~4층_매핑테이블'!F143) * ('각층분기별_유효전력최대(전월)'!$B$4:$B$2020='7층~4층_매핑테이블'!G143),0))</f>
        <v>0</v>
      </c>
      <c r="I143" t="str">
        <f>J143&amp;K143</f>
        <v/>
      </c>
      <c r="J143" s="217"/>
      <c r="K143" s="217"/>
      <c r="L143" t="str">
        <f t="shared" si="176"/>
        <v/>
      </c>
      <c r="M143" t="str">
        <f>IF(IF(LEN((MID(J143,22,2)))=1, "[branch#0"&amp;0&amp;MID(J143,22,2)&amp;"] [A] W", "[branch#0"&amp;MID(J143,22,2)&amp;"] [A] W")="[branch#0] [A] W", "", IF(LEN((MID(J143,22,2)))=1, "[branch#0"&amp;0&amp;MID(J143,22,2)&amp;"] [A] W", "[branch#0"&amp;MID(J143,22,2)&amp;"] [A] W"))</f>
        <v/>
      </c>
      <c r="N143" t="str">
        <f>IF(MID(K143,16,2)="0","",MID(K143,1,15)&amp;MID(K143,16,2))</f>
        <v/>
      </c>
      <c r="O143" t="str">
        <f>IF(IF(LEN((MID(K143,22,2)))=1, "[branch#0"&amp;0&amp;MID(K143,22,2)&amp;"] [A] W", "[branch#0"&amp;MID(K143,22,2)&amp;"] [A] W")="[branch#0] [A] W", "", IF(LEN((MID(K143,22,2)))=1, "[branch#0"&amp;0&amp;MID(K143,22,2)&amp;"] [A] W", "[branch#0"&amp;MID(K143,22,2)&amp;"] [A] W"))</f>
        <v/>
      </c>
      <c r="P143" s="2989" cm="1">
        <f t="array" ref="P143">INDEX('각층분기별_유효전력최대(전월)'!$F$4:$F$2020,MATCH(1, ('각층분기별_유효전력최대(전월)'!$D$4:$D$2020='7층~4층_매핑테이블'!L143) * ('각층분기별_유효전력최대(전월)'!$E$4:$E$2020='7층~4층_매핑테이블'!M143),0)) + INDEX('각층분기별_유효전력최대(전월)'!$F$4:$F$2020,MATCH(1, ('각층분기별_유효전력최대(전월)'!$D$4:$D$2020='7층~4층_매핑테이블'!N143) * ('각층분기별_유효전력최대(전월)'!$E$4:$E$2020='7층~4층_매핑테이블'!O143),0))</f>
        <v>0</v>
      </c>
      <c r="Q143" s="1" t="str">
        <f>R143&amp;S143</f>
        <v>6-DaHall 1-PDU-05-30-546-DaHall 1-PDU-06-30-54</v>
      </c>
      <c r="R143" s="217" t="s">
        <v>10132</v>
      </c>
      <c r="S143" s="217" t="s">
        <v>10133</v>
      </c>
      <c r="T143" t="str">
        <f t="shared" si="182"/>
        <v>6-DaHall 1-PDU-05</v>
      </c>
      <c r="U143" t="str">
        <f>IF(IF(LEN((MID(R143,22,2)))=1, "[branch#0"&amp;0&amp;MID(R143,22,2)&amp;"] [A] W", "[branch#0"&amp;MID(R143,22,2)&amp;"] [A] W")="[branch#0] [A] W", "", IF(LEN((MID(R143,22,2)))=1, "[branch#0"&amp;0&amp;MID(R143,22,2)&amp;"] [A] W", "[branch#0"&amp;MID(R143,22,2)&amp;"] [A] W"))</f>
        <v>[branch#054] [A] W</v>
      </c>
      <c r="V143" t="str">
        <f>IF(MID(S143,16,2)="0","",MID(S143,1,15)&amp;MID(S143,16,2))</f>
        <v>6-DaHall 1-PDU-06</v>
      </c>
      <c r="W143" t="str">
        <f>IF(IF(LEN((MID(S143,22,2)))=1, "[branch#0"&amp;0&amp;MID(S143,22,2)&amp;"] [A] W", "[branch#0"&amp;MID(S143,22,2)&amp;"] [A] W")="[branch#0] [A] W", "", IF(LEN((MID(S143,22,2)))=1, "[branch#0"&amp;0&amp;MID(S143,22,2)&amp;"] [A] W", "[branch#0"&amp;MID(S143,22,2)&amp;"] [A] W"))</f>
        <v>[branch#054] [A] W</v>
      </c>
      <c r="X143" s="2989" cm="1">
        <f t="array" ref="X143">INDEX('각층분기별_유효전력최대(전월)'!$I$4:$I$2020,MATCH(1, ('각층분기별_유효전력최대(전월)'!$G$4:$G$2020='7층~4층_매핑테이블'!T143) * ('각층분기별_유효전력최대(전월)'!$H$4:$H$2020='7층~4층_매핑테이블'!U143),0)) + INDEX('각층분기별_유효전력최대(전월)'!$I$4:$I$2020,MATCH(1, ('각층분기별_유효전력최대(전월)'!$G$4:$G$2020='7층~4층_매핑테이블'!V143) * ('각층분기별_유효전력최대(전월)'!$H$4:$H$2020='7층~4층_매핑테이블'!W143),0))</f>
        <v>1.4260000000000002</v>
      </c>
      <c r="Y143" s="3274" t="str">
        <f>Z143&amp;AA143</f>
        <v>7-DaHall 1-B-1-35-167-DaHall 1-A-1-35-16</v>
      </c>
      <c r="Z143" s="217" t="s">
        <v>10134</v>
      </c>
      <c r="AA143" s="217" t="s">
        <v>10135</v>
      </c>
      <c r="AB143" s="3274" t="str">
        <f t="shared" si="180"/>
        <v>7-DaHall 1-B-1-35</v>
      </c>
      <c r="AC143" t="s">
        <v>9465</v>
      </c>
      <c r="AD143" t="str">
        <f t="shared" si="173"/>
        <v>7-DaHall 1-A-1-35</v>
      </c>
      <c r="AE143" t="s">
        <v>9465</v>
      </c>
      <c r="AF143" s="2989" t="e" cm="1">
        <f t="array" ref="AF143">INDEX('각층분기별_유효전력최대(전월)'!$L$4:$L$2020,MATCH(1, ('각층분기별_유효전력최대(전월)'!$J$4:$J$2020='7층~4층_매핑테이블'!AB143) * ('각층분기별_유효전력최대(전월)'!$K$4:$K$2020='7층~4층_매핑테이블'!AC143),0)) + INDEX('각층분기별_유효전력최대(전월)'!$L$4:$L$2020,MATCH(1, ('각층분기별_유효전력최대(전월)'!$J$4:$J$2020='7층~4층_매핑테이블'!AD143) * ('각층분기별_유효전력최대(전월)'!$K$4:$K$2020='7층~4층_매핑테이블'!AE143),0))</f>
        <v>#N/A</v>
      </c>
    </row>
    <row r="144" spans="1:32" x14ac:dyDescent="0.25">
      <c r="A144" t="str">
        <f t="shared" si="181"/>
        <v/>
      </c>
      <c r="B144" s="217"/>
      <c r="C144" s="217"/>
      <c r="D144" s="2989" t="str">
        <f t="shared" si="164"/>
        <v/>
      </c>
      <c r="E144" s="2989" t="str">
        <f t="shared" si="174"/>
        <v/>
      </c>
      <c r="F144" s="2989" t="str">
        <f t="shared" si="183"/>
        <v/>
      </c>
      <c r="G144" s="2989" t="str">
        <f t="shared" si="184"/>
        <v/>
      </c>
      <c r="H144" s="2989" cm="1">
        <f t="array" ref="H144">INDEX('각층분기별_유효전력최대(전월)'!$C$4:$C$2020,MATCH(1, ('각층분기별_유효전력최대(전월)'!$A$4:$A$2020='7층~4층_매핑테이블'!D144) * ('각층분기별_유효전력최대(전월)'!$B$4:$B$2020='7층~4층_매핑테이블'!E144),0)) + INDEX('각층분기별_유효전력최대(전월)'!$C$4:$C$2020,MATCH(1, ('각층분기별_유효전력최대(전월)'!$A$4:$A$2020='7층~4층_매핑테이블'!F144) * ('각층분기별_유효전력최대(전월)'!$B$4:$B$2020='7층~4층_매핑테이블'!G144),0))</f>
        <v>0</v>
      </c>
      <c r="I144" t="str">
        <f t="shared" ref="I144" si="186">J144&amp;K144</f>
        <v/>
      </c>
      <c r="J144" s="217"/>
      <c r="K144" s="217"/>
      <c r="L144" t="str">
        <f t="shared" si="176"/>
        <v/>
      </c>
      <c r="M144" t="str">
        <f t="shared" ref="M144" si="187">IF(IF(LEN((MID(J144,22,2)))=1, "[branch#0"&amp;0&amp;MID(J144,22,2)&amp;"] [A] W", "[branch#0"&amp;MID(J144,22,2)&amp;"] [A] W")="[branch#0] [A] W", "", IF(LEN((MID(J144,22,2)))=1, "[branch#0"&amp;0&amp;MID(J144,22,2)&amp;"] [A] W", "[branch#0"&amp;MID(J144,22,2)&amp;"] [A] W"))</f>
        <v/>
      </c>
      <c r="N144" t="str">
        <f t="shared" ref="N144" si="188">IF(MID(K144,16,2)="0","",MID(K144,1,15)&amp;MID(K144,16,2))</f>
        <v/>
      </c>
      <c r="O144" t="str">
        <f t="shared" ref="O144" si="189">IF(IF(LEN((MID(K144,22,2)))=1, "[branch#0"&amp;0&amp;MID(K144,22,2)&amp;"] [A] W", "[branch#0"&amp;MID(K144,22,2)&amp;"] [A] W")="[branch#0] [A] W", "", IF(LEN((MID(K144,22,2)))=1, "[branch#0"&amp;0&amp;MID(K144,22,2)&amp;"] [A] W", "[branch#0"&amp;MID(K144,22,2)&amp;"] [A] W"))</f>
        <v/>
      </c>
      <c r="P144" s="2989" cm="1">
        <f t="array" ref="P144">INDEX('각층분기별_유효전력최대(전월)'!$F$4:$F$2020,MATCH(1, ('각층분기별_유효전력최대(전월)'!$D$4:$D$2020='7층~4층_매핑테이블'!L144) * ('각층분기별_유효전력최대(전월)'!$E$4:$E$2020='7층~4층_매핑테이블'!M144),0)) + INDEX('각층분기별_유효전력최대(전월)'!$F$4:$F$2020,MATCH(1, ('각층분기별_유효전력최대(전월)'!$D$4:$D$2020='7층~4층_매핑테이블'!N144) * ('각층분기별_유효전력최대(전월)'!$E$4:$E$2020='7층~4층_매핑테이블'!O144),0))</f>
        <v>0</v>
      </c>
      <c r="Q144" s="1" t="str">
        <f t="shared" ref="Q144:Q152" si="190">R144&amp;S144</f>
        <v>6-DaHall 1-PDU-05-30-26-DaHall 1-PDU-06-30-2</v>
      </c>
      <c r="R144" s="217" t="s">
        <v>10136</v>
      </c>
      <c r="S144" s="217" t="s">
        <v>10137</v>
      </c>
      <c r="T144" t="str">
        <f t="shared" si="182"/>
        <v>6-DaHall 1-PDU-05</v>
      </c>
      <c r="U144" t="str">
        <f t="shared" ref="U144:U153" si="191">IF(IF(LEN((MID(R144,22,2)))=1, "[branch#0"&amp;0&amp;MID(R144,22,2)&amp;"] [A] W", "[branch#0"&amp;MID(R144,22,2)&amp;"] [A] W")="[branch#0] [A] W", "", IF(LEN((MID(R144,22,2)))=1, "[branch#0"&amp;0&amp;MID(R144,22,2)&amp;"] [A] W", "[branch#0"&amp;MID(R144,22,2)&amp;"] [A] W"))</f>
        <v>[branch#002] [A] W</v>
      </c>
      <c r="V144" t="str">
        <f t="shared" ref="V144:V152" si="192">IF(MID(S144,16,2)="0","",MID(S144,1,15)&amp;MID(S144,16,2))</f>
        <v>6-DaHall 1-PDU-06</v>
      </c>
      <c r="W144" t="str">
        <f t="shared" ref="W144:W152" si="193">IF(IF(LEN((MID(S144,22,2)))=1, "[branch#0"&amp;0&amp;MID(S144,22,2)&amp;"] [A] W", "[branch#0"&amp;MID(S144,22,2)&amp;"] [A] W")="[branch#0] [A] W", "", IF(LEN((MID(S144,22,2)))=1, "[branch#0"&amp;0&amp;MID(S144,22,2)&amp;"] [A] W", "[branch#0"&amp;MID(S144,22,2)&amp;"] [A] W"))</f>
        <v>[branch#002] [A] W</v>
      </c>
      <c r="X144" s="2989" cm="1">
        <f t="array" ref="X144">INDEX('각층분기별_유효전력최대(전월)'!$I$4:$I$2020,MATCH(1, ('각층분기별_유효전력최대(전월)'!$G$4:$G$2020='7층~4층_매핑테이블'!T144) * ('각층분기별_유효전력최대(전월)'!$H$4:$H$2020='7층~4층_매핑테이블'!U144),0)) + INDEX('각층분기별_유효전력최대(전월)'!$I$4:$I$2020,MATCH(1, ('각층분기별_유효전력최대(전월)'!$G$4:$G$2020='7층~4층_매핑테이블'!V144) * ('각층분기별_유효전력최대(전월)'!$H$4:$H$2020='7층~4층_매핑테이블'!W144),0))</f>
        <v>5.4209999999999994</v>
      </c>
      <c r="Y144" s="3274" t="str">
        <f t="shared" ref="Y144:Y147" si="194">Z144&amp;AA144</f>
        <v>7-DaHall 1-A-1-50-177-DaHall 1-B-1-50-17</v>
      </c>
      <c r="Z144" s="217" t="s">
        <v>10138</v>
      </c>
      <c r="AA144" s="217" t="s">
        <v>10139</v>
      </c>
      <c r="AB144" s="3274" t="str">
        <f t="shared" si="180"/>
        <v>7-DaHall 1-A-1-50</v>
      </c>
      <c r="AC144" t="s">
        <v>9462</v>
      </c>
      <c r="AD144" t="str">
        <f t="shared" si="173"/>
        <v>7-DaHall 1-B-1-50</v>
      </c>
      <c r="AE144" t="s">
        <v>9462</v>
      </c>
      <c r="AF144" s="2989" t="e" cm="1">
        <f t="array" ref="AF144">INDEX('각층분기별_유효전력최대(전월)'!$L$4:$L$2020,MATCH(1, ('각층분기별_유효전력최대(전월)'!$J$4:$J$2020='7층~4층_매핑테이블'!AB144) * ('각층분기별_유효전력최대(전월)'!$K$4:$K$2020='7층~4층_매핑테이블'!AC144),0)) + INDEX('각층분기별_유효전력최대(전월)'!$L$4:$L$2020,MATCH(1, ('각층분기별_유효전력최대(전월)'!$J$4:$J$2020='7층~4층_매핑테이블'!AD144) * ('각층분기별_유효전력최대(전월)'!$K$4:$K$2020='7층~4층_매핑테이블'!AE144),0))</f>
        <v>#N/A</v>
      </c>
    </row>
    <row r="145" spans="1:32" x14ac:dyDescent="0.25">
      <c r="A145" t="str">
        <f t="shared" si="181"/>
        <v/>
      </c>
      <c r="B145" s="217"/>
      <c r="C145" s="217"/>
      <c r="D145" s="2989" t="str">
        <f t="shared" si="164"/>
        <v/>
      </c>
      <c r="E145" s="2989" t="str">
        <f t="shared" si="174"/>
        <v/>
      </c>
      <c r="F145" s="2989" t="str">
        <f t="shared" si="183"/>
        <v/>
      </c>
      <c r="G145" s="2989" t="str">
        <f t="shared" si="184"/>
        <v/>
      </c>
      <c r="H145" s="2989" cm="1">
        <f t="array" ref="H145">INDEX('각층분기별_유효전력최대(전월)'!$C$4:$C$2020,MATCH(1, ('각층분기별_유효전력최대(전월)'!$A$4:$A$2020='7층~4층_매핑테이블'!D145) * ('각층분기별_유효전력최대(전월)'!$B$4:$B$2020='7층~4층_매핑테이블'!E145),0)) + INDEX('각층분기별_유효전력최대(전월)'!$C$4:$C$2020,MATCH(1, ('각층분기별_유효전력최대(전월)'!$A$4:$A$2020='7층~4층_매핑테이블'!F145) * ('각층분기별_유효전력최대(전월)'!$B$4:$B$2020='7층~4층_매핑테이블'!G145),0))</f>
        <v>0</v>
      </c>
      <c r="I145" t="str">
        <f>J145&amp;K145</f>
        <v>5-DaHall 1-PDU-05-30-195-DaHall 1-PDU-06-30-19</v>
      </c>
      <c r="J145" s="217" t="s">
        <v>10140</v>
      </c>
      <c r="K145" s="217" t="s">
        <v>10141</v>
      </c>
      <c r="L145" t="str">
        <f t="shared" si="176"/>
        <v>5-DaHall 1-PDU-05</v>
      </c>
      <c r="M145" t="str">
        <f>IF(IF(LEN((MID(J145,22,2)))=1, "[branch#0"&amp;0&amp;MID(J145,22,2)&amp;"] [A] W", "[branch#0"&amp;MID(J145,22,2)&amp;"] [A] W")="[branch#0] [A] W", "", IF(LEN((MID(J145,22,2)))=1, "[branch#0"&amp;0&amp;MID(J145,22,2)&amp;"] [A] W", "[branch#0"&amp;MID(J145,22,2)&amp;"] [A] W"))</f>
        <v>[branch#019] [A] W</v>
      </c>
      <c r="N145" t="str">
        <f>IF(MID(K145,16,2)="0","",MID(K145,1,15)&amp;MID(K145,16,2))</f>
        <v>5-DaHall 1-PDU-06</v>
      </c>
      <c r="O145" t="str">
        <f>IF(IF(LEN((MID(K145,22,2)))=1, "[branch#0"&amp;0&amp;MID(K145,22,2)&amp;"] [A] W", "[branch#0"&amp;MID(K145,22,2)&amp;"] [A] W")="[branch#0] [A] W", "", IF(LEN((MID(K145,22,2)))=1, "[branch#0"&amp;0&amp;MID(K145,22,2)&amp;"] [A] W", "[branch#0"&amp;MID(K145,22,2)&amp;"] [A] W"))</f>
        <v>[branch#019] [A] W</v>
      </c>
      <c r="P145" s="2989" cm="1">
        <f t="array" ref="P145">INDEX('각층분기별_유효전력최대(전월)'!$F$4:$F$2020,MATCH(1, ('각층분기별_유효전력최대(전월)'!$D$4:$D$2020='7층~4층_매핑테이블'!L145) * ('각층분기별_유효전력최대(전월)'!$E$4:$E$2020='7층~4층_매핑테이블'!M145),0)) + INDEX('각층분기별_유효전력최대(전월)'!$F$4:$F$2020,MATCH(1, ('각층분기별_유효전력최대(전월)'!$D$4:$D$2020='7층~4층_매핑테이블'!N145) * ('각층분기별_유효전력최대(전월)'!$E$4:$E$2020='7층~4층_매핑테이블'!O145),0))</f>
        <v>0</v>
      </c>
      <c r="Q145" s="1" t="str">
        <f t="shared" si="190"/>
        <v>6-DaHall 1-PDU-05-30-46-DaHall 1-PDU-06-30-4</v>
      </c>
      <c r="R145" s="217" t="s">
        <v>10142</v>
      </c>
      <c r="S145" s="217" t="s">
        <v>10143</v>
      </c>
      <c r="T145" t="str">
        <f t="shared" si="182"/>
        <v>6-DaHall 1-PDU-05</v>
      </c>
      <c r="U145" t="str">
        <f t="shared" si="191"/>
        <v>[branch#004] [A] W</v>
      </c>
      <c r="V145" t="str">
        <f t="shared" si="192"/>
        <v>6-DaHall 1-PDU-06</v>
      </c>
      <c r="W145" t="str">
        <f t="shared" si="193"/>
        <v>[branch#004] [A] W</v>
      </c>
      <c r="X145" s="2989" cm="1">
        <f t="array" ref="X145">INDEX('각층분기별_유효전력최대(전월)'!$I$4:$I$2020,MATCH(1, ('각층분기별_유효전력최대(전월)'!$G$4:$G$2020='7층~4층_매핑테이블'!T145) * ('각층분기별_유효전력최대(전월)'!$H$4:$H$2020='7층~4층_매핑테이블'!U145),0)) + INDEX('각층분기별_유효전력최대(전월)'!$I$4:$I$2020,MATCH(1, ('각층분기별_유효전력최대(전월)'!$G$4:$G$2020='7층~4층_매핑테이블'!V145) * ('각층분기별_유효전력최대(전월)'!$H$4:$H$2020='7층~4층_매핑테이블'!W145),0))</f>
        <v>2.0939999999999999</v>
      </c>
      <c r="Y145" s="3274" t="str">
        <f t="shared" si="194"/>
        <v>7-DaHall 1-A-1-50-567-DaHall 1-B-1-50-56</v>
      </c>
      <c r="Z145" s="217" t="s">
        <v>10144</v>
      </c>
      <c r="AA145" s="217" t="s">
        <v>10145</v>
      </c>
      <c r="AB145" s="3274" t="str">
        <f t="shared" ref="AB145:AB147" si="195">IF(MID(Z145,16,2)="0","",MID(Z145,1,15)&amp;MID(Z145,16,2))</f>
        <v>7-DaHall 1-A-1-50</v>
      </c>
      <c r="AC145" t="s">
        <v>9404</v>
      </c>
      <c r="AD145" t="str">
        <f t="shared" si="173"/>
        <v>7-DaHall 1-B-1-50</v>
      </c>
      <c r="AE145" t="s">
        <v>9404</v>
      </c>
      <c r="AF145" s="2989" t="e" cm="1">
        <f t="array" ref="AF145">INDEX('각층분기별_유효전력최대(전월)'!$L$4:$L$2020,MATCH(1, ('각층분기별_유효전력최대(전월)'!$J$4:$J$2020='7층~4층_매핑테이블'!AB145) * ('각층분기별_유효전력최대(전월)'!$K$4:$K$2020='7층~4층_매핑테이블'!AC145),0)) + INDEX('각층분기별_유효전력최대(전월)'!$L$4:$L$2020,MATCH(1, ('각층분기별_유효전력최대(전월)'!$J$4:$J$2020='7층~4층_매핑테이블'!AD145) * ('각층분기별_유효전력최대(전월)'!$K$4:$K$2020='7층~4층_매핑테이블'!AE145),0))</f>
        <v>#N/A</v>
      </c>
    </row>
    <row r="146" spans="1:32" x14ac:dyDescent="0.25">
      <c r="A146" t="str">
        <f>B146&amp;C146</f>
        <v>4-DaHall 1-PDU-06-100-24-DaHall 1-PDU-05-100-2</v>
      </c>
      <c r="B146" s="217" t="s">
        <v>10146</v>
      </c>
      <c r="C146" s="217" t="s">
        <v>10147</v>
      </c>
      <c r="D146" s="2989" t="str">
        <f t="shared" si="164"/>
        <v>4-DaHall 1-PDU-06</v>
      </c>
      <c r="E146" s="2989" t="str">
        <f t="shared" si="174"/>
        <v>[branch#002] [A] W</v>
      </c>
      <c r="F146" s="2989" t="str">
        <f>IF(MID(C146,16,2)="0","",MID(C146,1,15)&amp;MID(C146,16,2))</f>
        <v>4-DaHall 1-PDU-05</v>
      </c>
      <c r="G146" s="2989" t="str">
        <f>IF(IF(LEN(MID(C146,23,2))=1, "[branch#0"&amp;0&amp;MID(C146,23,2)&amp;"] [A] W", "[branch#0"&amp;MID(C146,23,2)&amp;"] [A] W")="[branch#0] [A] W", "", IF(LEN(MID(C146,23,2))=1, "[branch#0"&amp;0&amp;MID(C146,23,2)&amp;"] [A] W", "[branch#0"&amp;MID(C146,23,2)&amp;"] [A] W"))</f>
        <v>[branch#002] [A] W</v>
      </c>
      <c r="H146" s="2989" cm="1">
        <f t="array" ref="H146">INDEX('각층분기별_유효전력최대(전월)'!$C$4:$C$2020,MATCH(1, ('각층분기별_유효전력최대(전월)'!$A$4:$A$2020='7층~4층_매핑테이블'!D146) * ('각층분기별_유효전력최대(전월)'!$B$4:$B$2020='7층~4층_매핑테이블'!E146),0)) + INDEX('각층분기별_유효전력최대(전월)'!$C$4:$C$2020,MATCH(1, ('각층분기별_유효전력최대(전월)'!$A$4:$A$2020='7층~4층_매핑테이블'!F146) * ('각층분기별_유효전력최대(전월)'!$B$4:$B$2020='7층~4층_매핑테이블'!G146),0))</f>
        <v>0</v>
      </c>
      <c r="I146" t="str">
        <f t="shared" ref="I146:I209" si="196">J146&amp;K146</f>
        <v>5-DaHall 1-PDU-05-30-215-DaHall 1-PDU-06-30-21</v>
      </c>
      <c r="J146" s="217" t="s">
        <v>10148</v>
      </c>
      <c r="K146" s="217" t="s">
        <v>10149</v>
      </c>
      <c r="L146" t="str">
        <f t="shared" si="176"/>
        <v>5-DaHall 1-PDU-05</v>
      </c>
      <c r="M146" t="str">
        <f t="shared" ref="M146:M152" si="197">IF(IF(LEN((MID(J146,22,2)))=1, "[branch#0"&amp;0&amp;MID(J146,22,2)&amp;"] [A] W", "[branch#0"&amp;MID(J146,22,2)&amp;"] [A] W")="[branch#0] [A] W", "", IF(LEN((MID(J146,22,2)))=1, "[branch#0"&amp;0&amp;MID(J146,22,2)&amp;"] [A] W", "[branch#0"&amp;MID(J146,22,2)&amp;"] [A] W"))</f>
        <v>[branch#021] [A] W</v>
      </c>
      <c r="N146" t="str">
        <f t="shared" ref="N146:N209" si="198">IF(MID(K146,16,2)="0","",MID(K146,1,15)&amp;MID(K146,16,2))</f>
        <v>5-DaHall 1-PDU-06</v>
      </c>
      <c r="O146" t="str">
        <f t="shared" ref="O146:O152" si="199">IF(IF(LEN((MID(K146,22,2)))=1, "[branch#0"&amp;0&amp;MID(K146,22,2)&amp;"] [A] W", "[branch#0"&amp;MID(K146,22,2)&amp;"] [A] W")="[branch#0] [A] W", "", IF(LEN((MID(K146,22,2)))=1, "[branch#0"&amp;0&amp;MID(K146,22,2)&amp;"] [A] W", "[branch#0"&amp;MID(K146,22,2)&amp;"] [A] W"))</f>
        <v>[branch#021] [A] W</v>
      </c>
      <c r="P146" s="2989" cm="1">
        <f t="array" ref="P146">INDEX('각층분기별_유효전력최대(전월)'!$F$4:$F$2020,MATCH(1, ('각층분기별_유효전력최대(전월)'!$D$4:$D$2020='7층~4층_매핑테이블'!L146) * ('각층분기별_유효전력최대(전월)'!$E$4:$E$2020='7층~4층_매핑테이블'!M146),0)) + INDEX('각층분기별_유효전력최대(전월)'!$F$4:$F$2020,MATCH(1, ('각층분기별_유효전력최대(전월)'!$D$4:$D$2020='7층~4층_매핑테이블'!N146) * ('각층분기별_유효전력최대(전월)'!$E$4:$E$2020='7층~4층_매핑테이블'!O146),0))</f>
        <v>0</v>
      </c>
      <c r="Q146" s="1" t="str">
        <f t="shared" si="190"/>
        <v>6-DaHall 1-PDU-05-30-66-DaHall 1-PDU-06-30-6</v>
      </c>
      <c r="R146" s="217" t="s">
        <v>10150</v>
      </c>
      <c r="S146" s="217" t="s">
        <v>10151</v>
      </c>
      <c r="T146" t="str">
        <f t="shared" si="182"/>
        <v>6-DaHall 1-PDU-05</v>
      </c>
      <c r="U146" t="str">
        <f t="shared" si="191"/>
        <v>[branch#006] [A] W</v>
      </c>
      <c r="V146" t="str">
        <f t="shared" si="192"/>
        <v>6-DaHall 1-PDU-06</v>
      </c>
      <c r="W146" t="str">
        <f t="shared" si="193"/>
        <v>[branch#006] [A] W</v>
      </c>
      <c r="X146" s="2989" cm="1">
        <f t="array" ref="X146">INDEX('각층분기별_유효전력최대(전월)'!$I$4:$I$2020,MATCH(1, ('각층분기별_유효전력최대(전월)'!$G$4:$G$2020='7층~4층_매핑테이블'!T146) * ('각층분기별_유효전력최대(전월)'!$H$4:$H$2020='7층~4층_매핑테이블'!U146),0)) + INDEX('각층분기별_유효전력최대(전월)'!$I$4:$I$2020,MATCH(1, ('각층분기별_유효전력최대(전월)'!$G$4:$G$2020='7층~4층_매핑테이블'!V146) * ('각층분기별_유효전력최대(전월)'!$H$4:$H$2020='7층~4층_매핑테이블'!W146),0))</f>
        <v>0.28000000000000003</v>
      </c>
      <c r="Y146" s="3274" t="str">
        <f t="shared" si="194"/>
        <v>7-DaHall 1-A-1-100-197-DaHall 1-B-1-100-19</v>
      </c>
      <c r="Z146" s="217" t="s">
        <v>10152</v>
      </c>
      <c r="AA146" s="217" t="s">
        <v>10153</v>
      </c>
      <c r="AB146" s="3274" t="str">
        <f t="shared" si="195"/>
        <v>7-DaHall 1-A-1-10</v>
      </c>
      <c r="AC146" t="s">
        <v>9486</v>
      </c>
      <c r="AD146" t="str">
        <f t="shared" si="173"/>
        <v>7-DaHall 1-B-1-10</v>
      </c>
      <c r="AE146" t="s">
        <v>9486</v>
      </c>
      <c r="AF146" s="2989" t="e" cm="1">
        <f t="array" ref="AF146">INDEX('각층분기별_유효전력최대(전월)'!$L$4:$L$2020,MATCH(1, ('각층분기별_유효전력최대(전월)'!$J$4:$J$2020='7층~4층_매핑테이블'!AB146) * ('각층분기별_유효전력최대(전월)'!$K$4:$K$2020='7층~4층_매핑테이블'!AC146),0)) + INDEX('각층분기별_유효전력최대(전월)'!$L$4:$L$2020,MATCH(1, ('각층분기별_유효전력최대(전월)'!$J$4:$J$2020='7층~4층_매핑테이블'!AD146) * ('각층분기별_유효전력최대(전월)'!$K$4:$K$2020='7층~4층_매핑테이블'!AE146),0))</f>
        <v>#N/A</v>
      </c>
    </row>
    <row r="147" spans="1:32" x14ac:dyDescent="0.25">
      <c r="A147" t="str">
        <f>B147&amp;C147</f>
        <v/>
      </c>
      <c r="B147" s="217"/>
      <c r="C147" s="217"/>
      <c r="D147" s="2989" t="str">
        <f t="shared" si="164"/>
        <v/>
      </c>
      <c r="E147" s="2989" t="str">
        <f t="shared" si="174"/>
        <v/>
      </c>
      <c r="F147" s="2989" t="str">
        <f>IF(MID(C147,16,2)="0","",MID(C147,1,15)&amp;MID(C147,16,2))</f>
        <v/>
      </c>
      <c r="G147" s="2989" t="str">
        <f>IF(IF(LEN(MID(C147,23,2))=1, "[branch#0"&amp;0&amp;MID(C147,23,2)&amp;"] [A] W", "[branch#0"&amp;MID(C147,23,2)&amp;"] [A] W")="[branch#0] [A] W", "", IF(LEN(MID(C147,23,2))=1, "[branch#0"&amp;0&amp;MID(C147,23,2)&amp;"] [A] W", "[branch#0"&amp;MID(C147,23,2)&amp;"] [A] W"))</f>
        <v/>
      </c>
      <c r="H147" s="2989" cm="1">
        <f t="array" ref="H147">INDEX('각층분기별_유효전력최대(전월)'!$C$4:$C$2020,MATCH(1, ('각층분기별_유효전력최대(전월)'!$A$4:$A$2020='7층~4층_매핑테이블'!D147) * ('각층분기별_유효전력최대(전월)'!$B$4:$B$2020='7층~4층_매핑테이블'!E147),0)) + INDEX('각층분기별_유효전력최대(전월)'!$C$4:$C$2020,MATCH(1, ('각층분기별_유효전력최대(전월)'!$A$4:$A$2020='7층~4층_매핑테이블'!F147) * ('각층분기별_유효전력최대(전월)'!$B$4:$B$2020='7층~4층_매핑테이블'!G147),0))</f>
        <v>0</v>
      </c>
      <c r="I147" t="str">
        <f t="shared" si="196"/>
        <v>5-DaHall 1-PDU-05-30-235-DaHall 1-PDU-06-30-23</v>
      </c>
      <c r="J147" s="217" t="s">
        <v>10154</v>
      </c>
      <c r="K147" s="217" t="s">
        <v>10155</v>
      </c>
      <c r="L147" t="str">
        <f t="shared" si="176"/>
        <v>5-DaHall 1-PDU-05</v>
      </c>
      <c r="M147" t="str">
        <f t="shared" si="197"/>
        <v>[branch#023] [A] W</v>
      </c>
      <c r="N147" t="str">
        <f t="shared" si="198"/>
        <v>5-DaHall 1-PDU-06</v>
      </c>
      <c r="O147" t="str">
        <f t="shared" si="199"/>
        <v>[branch#023] [A] W</v>
      </c>
      <c r="P147" s="2989" cm="1">
        <f t="array" ref="P147">INDEX('각층분기별_유효전력최대(전월)'!$F$4:$F$2020,MATCH(1, ('각층분기별_유효전력최대(전월)'!$D$4:$D$2020='7층~4층_매핑테이블'!L147) * ('각층분기별_유효전력최대(전월)'!$E$4:$E$2020='7층~4층_매핑테이블'!M147),0)) + INDEX('각층분기별_유효전력최대(전월)'!$F$4:$F$2020,MATCH(1, ('각층분기별_유효전력최대(전월)'!$D$4:$D$2020='7층~4층_매핑테이블'!N147) * ('각층분기별_유효전력최대(전월)'!$E$4:$E$2020='7층~4층_매핑테이블'!O147),0))</f>
        <v>0</v>
      </c>
      <c r="Q147" s="1" t="str">
        <f t="shared" si="190"/>
        <v>6-DaHall 1-PDU-05-30-86-DaHall 1-PDU-06-30-8</v>
      </c>
      <c r="R147" s="217" t="s">
        <v>10156</v>
      </c>
      <c r="S147" s="217" t="s">
        <v>10157</v>
      </c>
      <c r="T147" t="str">
        <f t="shared" si="182"/>
        <v>6-DaHall 1-PDU-05</v>
      </c>
      <c r="U147" t="str">
        <f t="shared" si="191"/>
        <v>[branch#008] [A] W</v>
      </c>
      <c r="V147" t="str">
        <f t="shared" si="192"/>
        <v>6-DaHall 1-PDU-06</v>
      </c>
      <c r="W147" t="str">
        <f t="shared" si="193"/>
        <v>[branch#008] [A] W</v>
      </c>
      <c r="X147" s="2989" cm="1">
        <f t="array" ref="X147">INDEX('각층분기별_유효전력최대(전월)'!$I$4:$I$2020,MATCH(1, ('각층분기별_유효전력최대(전월)'!$G$4:$G$2020='7층~4층_매핑테이블'!T147) * ('각층분기별_유효전력최대(전월)'!$H$4:$H$2020='7층~4층_매핑테이블'!U147),0)) + INDEX('각층분기별_유효전력최대(전월)'!$I$4:$I$2020,MATCH(1, ('각층분기별_유효전력최대(전월)'!$G$4:$G$2020='7층~4층_매핑테이블'!V147) * ('각층분기별_유효전력최대(전월)'!$H$4:$H$2020='7층~4층_매핑테이블'!W147),0))</f>
        <v>1.6989999999999998</v>
      </c>
      <c r="Y147" s="3274" t="str">
        <f t="shared" si="194"/>
        <v>7-DaHall 1-RPP-01-30-327-DaHall 1-RPP-02-30-26</v>
      </c>
      <c r="Z147" s="217" t="s">
        <v>10158</v>
      </c>
      <c r="AA147" s="217" t="s">
        <v>10159</v>
      </c>
      <c r="AB147" s="3274" t="str">
        <f t="shared" si="195"/>
        <v>7-DaHall 1-RPP-01</v>
      </c>
      <c r="AC147" t="s">
        <v>9371</v>
      </c>
      <c r="AD147" t="str">
        <f t="shared" si="173"/>
        <v>7-DaHall 1-RPP-02</v>
      </c>
      <c r="AE147" t="s">
        <v>9365</v>
      </c>
      <c r="AF147" s="2989" cm="1">
        <f t="array" ref="AF147">INDEX('각층분기별_유효전력최대(전월)'!$L$4:$L$2020,MATCH(1, ('각층분기별_유효전력최대(전월)'!$J$4:$J$2020='7층~4층_매핑테이블'!AB147) * ('각층분기별_유효전력최대(전월)'!$K$4:$K$2020='7층~4층_매핑테이블'!AC147),0)) + INDEX('각층분기별_유효전력최대(전월)'!$L$4:$L$2020,MATCH(1, ('각층분기별_유효전력최대(전월)'!$J$4:$J$2020='7층~4층_매핑테이블'!AD147) * ('각층분기별_유효전력최대(전월)'!$K$4:$K$2020='7층~4층_매핑테이블'!AE147),0))</f>
        <v>0.05</v>
      </c>
    </row>
    <row r="148" spans="1:32" x14ac:dyDescent="0.25">
      <c r="A148" t="str">
        <f t="shared" ref="A148:A155" si="200">B148&amp;C148</f>
        <v/>
      </c>
      <c r="B148" s="217"/>
      <c r="C148" s="217"/>
      <c r="D148" s="2989" t="str">
        <f t="shared" si="164"/>
        <v/>
      </c>
      <c r="E148" s="2989" t="str">
        <f t="shared" si="174"/>
        <v/>
      </c>
      <c r="F148" s="2989" t="str">
        <f>IF(MID(C148,16,2)="0","",MID(C148,1,15)&amp;MID(C148,16,2))</f>
        <v/>
      </c>
      <c r="G148" s="2989" t="str">
        <f>IF(IF(LEN(MID(C148,23,2))=1, "[branch#0"&amp;0&amp;MID(C148,23,2)&amp;"] [A] W", "[branch#0"&amp;MID(C148,23,2)&amp;"] [A] W")="[branch#0] [A] W", "", IF(LEN(MID(C148,23,2))=1, "[branch#0"&amp;0&amp;MID(C148,23,2)&amp;"] [A] W", "[branch#0"&amp;MID(C148,23,2)&amp;"] [A] W"))</f>
        <v/>
      </c>
      <c r="H148" s="2989" cm="1">
        <f t="array" ref="H148">INDEX('각층분기별_유효전력최대(전월)'!$C$4:$C$2020,MATCH(1, ('각층분기별_유효전력최대(전월)'!$A$4:$A$2020='7층~4층_매핑테이블'!D148) * ('각층분기별_유효전력최대(전월)'!$B$4:$B$2020='7층~4층_매핑테이블'!E148),0)) + INDEX('각층분기별_유효전력최대(전월)'!$C$4:$C$2020,MATCH(1, ('각층분기별_유효전력최대(전월)'!$A$4:$A$2020='7층~4층_매핑테이블'!F148) * ('각층분기별_유효전력최대(전월)'!$B$4:$B$2020='7층~4층_매핑테이블'!G148),0))</f>
        <v>0</v>
      </c>
      <c r="I148" t="str">
        <f t="shared" si="196"/>
        <v>5-DaHall 1-PDU-05-30-275-DaHall 1-PDU-06-30-25</v>
      </c>
      <c r="J148" s="217" t="s">
        <v>10160</v>
      </c>
      <c r="K148" s="217" t="s">
        <v>10161</v>
      </c>
      <c r="L148" t="str">
        <f t="shared" si="176"/>
        <v>5-DaHall 1-PDU-05</v>
      </c>
      <c r="M148" t="str">
        <f t="shared" si="197"/>
        <v>[branch#027] [A] W</v>
      </c>
      <c r="N148" t="str">
        <f t="shared" si="198"/>
        <v>5-DaHall 1-PDU-06</v>
      </c>
      <c r="O148" t="str">
        <f t="shared" si="199"/>
        <v>[branch#025] [A] W</v>
      </c>
      <c r="P148" s="2989" cm="1">
        <f t="array" ref="P148">INDEX('각층분기별_유효전력최대(전월)'!$F$4:$F$2020,MATCH(1, ('각층분기별_유효전력최대(전월)'!$D$4:$D$2020='7층~4층_매핑테이블'!L148) * ('각층분기별_유효전력최대(전월)'!$E$4:$E$2020='7층~4층_매핑테이블'!M148),0)) + INDEX('각층분기별_유효전력최대(전월)'!$F$4:$F$2020,MATCH(1, ('각층분기별_유효전력최대(전월)'!$D$4:$D$2020='7층~4층_매핑테이블'!N148) * ('각층분기별_유효전력최대(전월)'!$E$4:$E$2020='7층~4층_매핑테이블'!O148),0))</f>
        <v>0</v>
      </c>
      <c r="Q148" s="1" t="str">
        <f t="shared" si="190"/>
        <v>6-DaHall 1-PDU-05-30-106-DaHall 1-PDU-06-30-10</v>
      </c>
      <c r="R148" s="217" t="s">
        <v>10162</v>
      </c>
      <c r="S148" s="217" t="s">
        <v>10163</v>
      </c>
      <c r="T148" t="str">
        <f t="shared" si="182"/>
        <v>6-DaHall 1-PDU-05</v>
      </c>
      <c r="U148" t="str">
        <f t="shared" si="191"/>
        <v>[branch#010] [A] W</v>
      </c>
      <c r="V148" t="str">
        <f t="shared" si="192"/>
        <v>6-DaHall 1-PDU-06</v>
      </c>
      <c r="W148" t="str">
        <f t="shared" si="193"/>
        <v>[branch#010] [A] W</v>
      </c>
      <c r="X148" s="2989" cm="1">
        <f t="array" ref="X148">INDEX('각층분기별_유효전력최대(전월)'!$I$4:$I$2020,MATCH(1, ('각층분기별_유효전력최대(전월)'!$G$4:$G$2020='7층~4층_매핑테이블'!T148) * ('각층분기별_유효전력최대(전월)'!$H$4:$H$2020='7층~4층_매핑테이블'!U148),0)) + INDEX('각층분기별_유효전력최대(전월)'!$I$4:$I$2020,MATCH(1, ('각층분기별_유효전력최대(전월)'!$G$4:$G$2020='7층~4층_매핑테이블'!V148) * ('각층분기별_유효전력최대(전월)'!$H$4:$H$2020='7층~4층_매핑테이블'!W148),0))</f>
        <v>0.30199999999999999</v>
      </c>
      <c r="Y148" s="3274" t="str">
        <f>Z148&amp;AA148</f>
        <v/>
      </c>
      <c r="Z148" s="217"/>
      <c r="AA148" s="217"/>
      <c r="AB148" s="3274" t="str">
        <f>IF(MID(Z148,16,2)="0","",MID(Z148,1,15)&amp;MID(Z148,16,2))</f>
        <v/>
      </c>
      <c r="AD148" t="str">
        <f t="shared" si="173"/>
        <v/>
      </c>
      <c r="AF148" s="2989" cm="1">
        <f t="array" ref="AF148">INDEX('각층분기별_유효전력최대(전월)'!$L$4:$L$2020,MATCH(1, ('각층분기별_유효전력최대(전월)'!$J$4:$J$2020='7층~4층_매핑테이블'!AB148) * ('각층분기별_유효전력최대(전월)'!$K$4:$K$2020='7층~4층_매핑테이블'!AC148),0)) + INDEX('각층분기별_유효전력최대(전월)'!$L$4:$L$2020,MATCH(1, ('각층분기별_유효전력최대(전월)'!$J$4:$J$2020='7층~4층_매핑테이블'!AD148) * ('각층분기별_유효전력최대(전월)'!$K$4:$K$2020='7층~4층_매핑테이블'!AE148),0))</f>
        <v>0</v>
      </c>
    </row>
    <row r="149" spans="1:32" x14ac:dyDescent="0.25">
      <c r="A149" t="str">
        <f t="shared" si="200"/>
        <v/>
      </c>
      <c r="B149" s="217"/>
      <c r="C149" s="217"/>
      <c r="D149" s="2989" t="str">
        <f t="shared" si="164"/>
        <v/>
      </c>
      <c r="E149" s="2989" t="str">
        <f t="shared" si="174"/>
        <v/>
      </c>
      <c r="F149" s="2989" t="str">
        <f>IF(MID(C149,16,2)="0","",MID(C149,1,15)&amp;MID(C149,16,2))</f>
        <v/>
      </c>
      <c r="G149" s="2989" t="str">
        <f>IF(IF(LEN(MID(C149,23,2))=1, "[branch#0"&amp;0&amp;MID(C149,23,2)&amp;"] [A] W", "[branch#0"&amp;MID(C149,23,2)&amp;"] [A] W")="[branch#0] [A] W", "", IF(LEN(MID(C149,23,2))=1, "[branch#0"&amp;0&amp;MID(C149,23,2)&amp;"] [A] W", "[branch#0"&amp;MID(C149,23,2)&amp;"] [A] W"))</f>
        <v/>
      </c>
      <c r="H149" s="2989" cm="1">
        <f t="array" ref="H149">INDEX('각층분기별_유효전력최대(전월)'!$C$4:$C$2020,MATCH(1, ('각층분기별_유효전력최대(전월)'!$A$4:$A$2020='7층~4층_매핑테이블'!D149) * ('각층분기별_유효전력최대(전월)'!$B$4:$B$2020='7층~4층_매핑테이블'!E149),0)) + INDEX('각층분기별_유효전력최대(전월)'!$C$4:$C$2020,MATCH(1, ('각층분기별_유효전력최대(전월)'!$A$4:$A$2020='7층~4층_매핑테이블'!F149) * ('각층분기별_유효전력최대(전월)'!$B$4:$B$2020='7층~4층_매핑테이블'!G149),0))</f>
        <v>0</v>
      </c>
      <c r="I149" t="str">
        <f t="shared" si="196"/>
        <v>5-DaHall 1-PDU-05-30-295-DaHall 1-PDU-06-30-27</v>
      </c>
      <c r="J149" s="217" t="s">
        <v>10164</v>
      </c>
      <c r="K149" s="217" t="s">
        <v>10165</v>
      </c>
      <c r="L149" t="str">
        <f t="shared" si="176"/>
        <v>5-DaHall 1-PDU-05</v>
      </c>
      <c r="M149" t="str">
        <f t="shared" si="197"/>
        <v>[branch#029] [A] W</v>
      </c>
      <c r="N149" t="str">
        <f t="shared" si="198"/>
        <v>5-DaHall 1-PDU-06</v>
      </c>
      <c r="O149" t="str">
        <f t="shared" si="199"/>
        <v>[branch#027] [A] W</v>
      </c>
      <c r="P149" s="2989" cm="1">
        <f t="array" ref="P149">INDEX('각층분기별_유효전력최대(전월)'!$F$4:$F$2020,MATCH(1, ('각층분기별_유효전력최대(전월)'!$D$4:$D$2020='7층~4층_매핑테이블'!L149) * ('각층분기별_유효전력최대(전월)'!$E$4:$E$2020='7층~4층_매핑테이블'!M149),0)) + INDEX('각층분기별_유효전력최대(전월)'!$F$4:$F$2020,MATCH(1, ('각층분기별_유효전력최대(전월)'!$D$4:$D$2020='7층~4층_매핑테이블'!N149) * ('각층분기별_유효전력최대(전월)'!$E$4:$E$2020='7층~4층_매핑테이블'!O149),0))</f>
        <v>0</v>
      </c>
      <c r="Q149" s="1" t="str">
        <f>R149&amp;S149</f>
        <v>6-DaHall 1-PDU-05-30-126-DaHall 1-PDU-06-30-12</v>
      </c>
      <c r="R149" s="217" t="s">
        <v>10166</v>
      </c>
      <c r="S149" s="217" t="s">
        <v>10167</v>
      </c>
      <c r="T149" t="str">
        <f t="shared" si="182"/>
        <v>6-DaHall 1-PDU-05</v>
      </c>
      <c r="U149" t="str">
        <f t="shared" si="191"/>
        <v>[branch#012] [A] W</v>
      </c>
      <c r="V149" t="str">
        <f>IF(MID(S149,16,2)="0","",MID(S149,1,15)&amp;MID(S149,16,2))</f>
        <v>6-DaHall 1-PDU-06</v>
      </c>
      <c r="W149" t="str">
        <f>IF(IF(LEN((MID(S149,22,2)))=1, "[branch#0"&amp;0&amp;MID(S149,22,2)&amp;"] [A] W", "[branch#0"&amp;MID(S149,22,2)&amp;"] [A] W")="[branch#0] [A] W", "", IF(LEN((MID(S149,22,2)))=1, "[branch#0"&amp;0&amp;MID(S149,22,2)&amp;"] [A] W", "[branch#0"&amp;MID(S149,22,2)&amp;"] [A] W"))</f>
        <v>[branch#012] [A] W</v>
      </c>
      <c r="X149" s="2989" cm="1">
        <f t="array" ref="X149">INDEX('각층분기별_유효전력최대(전월)'!$I$4:$I$2020,MATCH(1, ('각층분기별_유효전력최대(전월)'!$G$4:$G$2020='7층~4층_매핑테이블'!T149) * ('각층분기별_유효전력최대(전월)'!$H$4:$H$2020='7층~4층_매핑테이블'!U149),0)) + INDEX('각층분기별_유효전력최대(전월)'!$I$4:$I$2020,MATCH(1, ('각층분기별_유효전력최대(전월)'!$G$4:$G$2020='7층~4층_매핑테이블'!V149) * ('각층분기별_유효전력최대(전월)'!$H$4:$H$2020='7층~4층_매핑테이블'!W149),0))</f>
        <v>0.30199999999999999</v>
      </c>
      <c r="Y149" s="3274" t="str">
        <f>Z149&amp;AA149</f>
        <v>7-DaHall 1-RPP-01-30-127-DaHall 1-RPP-02-20-17</v>
      </c>
      <c r="Z149" s="217" t="s">
        <v>10168</v>
      </c>
      <c r="AA149" s="217" t="s">
        <v>10169</v>
      </c>
      <c r="AB149" s="3274" t="str">
        <f>IF(MID(Z149,16,2)="0","",MID(Z149,1,15)&amp;MID(Z149,16,2))</f>
        <v>7-DaHall 1-RPP-01</v>
      </c>
      <c r="AC149" t="s">
        <v>9509</v>
      </c>
      <c r="AD149" t="str">
        <f t="shared" si="173"/>
        <v>7-DaHall 1-RPP-02</v>
      </c>
      <c r="AE149" t="s">
        <v>9462</v>
      </c>
      <c r="AF149" s="2989" cm="1">
        <f t="array" ref="AF149">INDEX('각층분기별_유효전력최대(전월)'!$L$4:$L$2020,MATCH(1, ('각층분기별_유효전력최대(전월)'!$J$4:$J$2020='7층~4층_매핑테이블'!AB149) * ('각층분기별_유효전력최대(전월)'!$K$4:$K$2020='7층~4층_매핑테이블'!AC149),0)) + INDEX('각층분기별_유효전력최대(전월)'!$L$4:$L$2020,MATCH(1, ('각층분기별_유효전력최대(전월)'!$J$4:$J$2020='7층~4층_매핑테이블'!AD149) * ('각층분기별_유효전력최대(전월)'!$K$4:$K$2020='7층~4층_매핑테이블'!AE149),0))</f>
        <v>1.9810000000000001</v>
      </c>
    </row>
    <row r="150" spans="1:32" x14ac:dyDescent="0.25">
      <c r="A150" t="str">
        <f t="shared" si="200"/>
        <v/>
      </c>
      <c r="B150" s="217"/>
      <c r="C150" s="217"/>
      <c r="D150" s="2989" t="str">
        <f t="shared" si="164"/>
        <v/>
      </c>
      <c r="E150" s="2989" t="str">
        <f t="shared" si="174"/>
        <v/>
      </c>
      <c r="F150" s="2989" t="str">
        <f>IF(MID(C150,16,2)="0","",MID(C150,1,15)&amp;MID(C150,16,2))</f>
        <v/>
      </c>
      <c r="G150" s="2989" t="str">
        <f>IF(IF(LEN(MID(C150,23,2))=1, "[branch#0"&amp;0&amp;MID(C150,23,2)&amp;"] [A] W", "[branch#0"&amp;MID(C150,23,2)&amp;"] [A] W")="[branch#0] [A] W", "", IF(LEN(MID(C150,23,2))=1, "[branch#0"&amp;0&amp;MID(C150,23,2)&amp;"] [A] W", "[branch#0"&amp;MID(C150,23,2)&amp;"] [A] W"))</f>
        <v/>
      </c>
      <c r="H150" s="2989" cm="1">
        <f t="array" ref="H150">INDEX('각층분기별_유효전력최대(전월)'!$C$4:$C$2020,MATCH(1, ('각층분기별_유효전력최대(전월)'!$A$4:$A$2020='7층~4층_매핑테이블'!D150) * ('각층분기별_유효전력최대(전월)'!$B$4:$B$2020='7층~4층_매핑테이블'!E150),0)) + INDEX('각층분기별_유효전력최대(전월)'!$C$4:$C$2020,MATCH(1, ('각층분기별_유효전력최대(전월)'!$A$4:$A$2020='7층~4층_매핑테이블'!F150) * ('각층분기별_유효전력최대(전월)'!$B$4:$B$2020='7층~4층_매핑테이블'!G150),0))</f>
        <v>0</v>
      </c>
      <c r="I150" t="str">
        <f t="shared" si="196"/>
        <v>5-DaHall 1-PDU-05-30-315-DaHall 1-PDU-06-30-29</v>
      </c>
      <c r="J150" s="217" t="s">
        <v>10170</v>
      </c>
      <c r="K150" s="217" t="s">
        <v>10171</v>
      </c>
      <c r="L150" t="str">
        <f t="shared" si="176"/>
        <v>5-DaHall 1-PDU-05</v>
      </c>
      <c r="M150" t="str">
        <f t="shared" si="197"/>
        <v>[branch#031] [A] W</v>
      </c>
      <c r="N150" t="str">
        <f t="shared" si="198"/>
        <v>5-DaHall 1-PDU-06</v>
      </c>
      <c r="O150" t="str">
        <f t="shared" si="199"/>
        <v>[branch#029] [A] W</v>
      </c>
      <c r="P150" s="2989" cm="1">
        <f t="array" ref="P150">INDEX('각층분기별_유효전력최대(전월)'!$F$4:$F$2020,MATCH(1, ('각층분기별_유효전력최대(전월)'!$D$4:$D$2020='7층~4층_매핑테이블'!L150) * ('각층분기별_유효전력최대(전월)'!$E$4:$E$2020='7층~4층_매핑테이블'!M150),0)) + INDEX('각층분기별_유효전력최대(전월)'!$F$4:$F$2020,MATCH(1, ('각층분기별_유효전력최대(전월)'!$D$4:$D$2020='7층~4층_매핑테이블'!N150) * ('각층분기별_유효전력최대(전월)'!$E$4:$E$2020='7층~4층_매핑테이블'!O150),0))</f>
        <v>0</v>
      </c>
      <c r="Q150" s="1" t="str">
        <f t="shared" si="190"/>
        <v>6-DaHall 1-PDU-05-30-146-DaHall 1-PDU-06-30-14</v>
      </c>
      <c r="R150" s="217" t="s">
        <v>10172</v>
      </c>
      <c r="S150" s="217" t="s">
        <v>10173</v>
      </c>
      <c r="T150" t="str">
        <f t="shared" si="182"/>
        <v>6-DaHall 1-PDU-05</v>
      </c>
      <c r="U150" t="str">
        <f t="shared" si="191"/>
        <v>[branch#014] [A] W</v>
      </c>
      <c r="V150" t="str">
        <f t="shared" si="192"/>
        <v>6-DaHall 1-PDU-06</v>
      </c>
      <c r="W150" t="str">
        <f t="shared" si="193"/>
        <v>[branch#014] [A] W</v>
      </c>
      <c r="X150" s="2989" cm="1">
        <f t="array" ref="X150">INDEX('각층분기별_유효전력최대(전월)'!$I$4:$I$2020,MATCH(1, ('각층분기별_유효전력최대(전월)'!$G$4:$G$2020='7층~4층_매핑테이블'!T150) * ('각층분기별_유효전력최대(전월)'!$H$4:$H$2020='7층~4층_매핑테이블'!U150),0)) + INDEX('각층분기별_유효전력최대(전월)'!$I$4:$I$2020,MATCH(1, ('각층분기별_유효전력최대(전월)'!$G$4:$G$2020='7층~4층_매핑테이블'!V150) * ('각층분기별_유효전력최대(전월)'!$H$4:$H$2020='7층~4층_매핑테이블'!W150),0))</f>
        <v>1.857</v>
      </c>
      <c r="Y150" s="3274" t="str">
        <f t="shared" ref="Y150:Y154" si="201">Z150&amp;AA150</f>
        <v>7-DaHall 1-A-1-35-447-DaHall 1-B-1-35-6</v>
      </c>
      <c r="Z150" s="217" t="s">
        <v>10174</v>
      </c>
      <c r="AA150" s="217" t="s">
        <v>10175</v>
      </c>
      <c r="AB150" s="3274" t="str">
        <f>IF(MID(Z150,16,2)="0","",MID(Z150,1,15)&amp;MID(Z150,16,2))</f>
        <v>7-DaHall 1-A-1-35</v>
      </c>
      <c r="AC150" t="s">
        <v>9389</v>
      </c>
      <c r="AD150" t="str">
        <f t="shared" si="173"/>
        <v>7-DaHall 1-B-1-35</v>
      </c>
      <c r="AE150" t="s">
        <v>9351</v>
      </c>
      <c r="AF150" s="2989" t="e" cm="1">
        <f t="array" ref="AF150">INDEX('각층분기별_유효전력최대(전월)'!$L$4:$L$2020,MATCH(1, ('각층분기별_유효전력최대(전월)'!$J$4:$J$2020='7층~4층_매핑테이블'!AB150) * ('각층분기별_유효전력최대(전월)'!$K$4:$K$2020='7층~4층_매핑테이블'!AC150),0)) + INDEX('각층분기별_유효전력최대(전월)'!$L$4:$L$2020,MATCH(1, ('각층분기별_유효전력최대(전월)'!$J$4:$J$2020='7층~4층_매핑테이블'!AD150) * ('각층분기별_유효전력최대(전월)'!$K$4:$K$2020='7층~4층_매핑테이블'!AE150),0))</f>
        <v>#N/A</v>
      </c>
    </row>
    <row r="151" spans="1:32" x14ac:dyDescent="0.25">
      <c r="A151" t="str">
        <f t="shared" si="200"/>
        <v/>
      </c>
      <c r="B151" s="217"/>
      <c r="C151" s="217"/>
      <c r="D151" s="2989" t="str">
        <f t="shared" si="164"/>
        <v/>
      </c>
      <c r="E151" s="2989" t="str">
        <f t="shared" si="174"/>
        <v/>
      </c>
      <c r="F151" s="2989" t="str">
        <f t="shared" ref="F151:F155" si="202">IF(MID(C151,16,2)="0","",MID(C151,1,15)&amp;MID(C151,16,2))</f>
        <v/>
      </c>
      <c r="G151" s="2989" t="str">
        <f t="shared" ref="G151:G155" si="203">IF(IF(LEN(MID(C151,23,2))=1, "[branch#0"&amp;0&amp;MID(C151,23,2)&amp;"] [A] W", "[branch#0"&amp;MID(C151,23,2)&amp;"] [A] W")="[branch#0] [A] W", "", IF(LEN(MID(C151,23,2))=1, "[branch#0"&amp;0&amp;MID(C151,23,2)&amp;"] [A] W", "[branch#0"&amp;MID(C151,23,2)&amp;"] [A] W"))</f>
        <v/>
      </c>
      <c r="H151" s="2989" cm="1">
        <f t="array" ref="H151">INDEX('각층분기별_유효전력최대(전월)'!$C$4:$C$2020,MATCH(1, ('각층분기별_유효전력최대(전월)'!$A$4:$A$2020='7층~4층_매핑테이블'!D151) * ('각층분기별_유효전력최대(전월)'!$B$4:$B$2020='7층~4층_매핑테이블'!E151),0)) + INDEX('각층분기별_유효전력최대(전월)'!$C$4:$C$2020,MATCH(1, ('각층분기별_유효전력최대(전월)'!$A$4:$A$2020='7층~4층_매핑테이블'!F151) * ('각층분기별_유효전력최대(전월)'!$B$4:$B$2020='7층~4층_매핑테이블'!G151),0))</f>
        <v>0</v>
      </c>
      <c r="I151" t="str">
        <f t="shared" si="196"/>
        <v>5-DaHall 1-PDU-05-30-335-DaHall 1-PDU-06-30-33</v>
      </c>
      <c r="J151" s="217" t="s">
        <v>10176</v>
      </c>
      <c r="K151" s="217" t="s">
        <v>10177</v>
      </c>
      <c r="L151" t="str">
        <f t="shared" si="176"/>
        <v>5-DaHall 1-PDU-05</v>
      </c>
      <c r="M151" t="str">
        <f t="shared" si="197"/>
        <v>[branch#033] [A] W</v>
      </c>
      <c r="N151" t="str">
        <f t="shared" si="198"/>
        <v>5-DaHall 1-PDU-06</v>
      </c>
      <c r="O151" t="str">
        <f t="shared" si="199"/>
        <v>[branch#033] [A] W</v>
      </c>
      <c r="P151" s="2989" cm="1">
        <f t="array" ref="P151">INDEX('각층분기별_유효전력최대(전월)'!$F$4:$F$2020,MATCH(1, ('각층분기별_유효전력최대(전월)'!$D$4:$D$2020='7층~4층_매핑테이블'!L151) * ('각층분기별_유효전력최대(전월)'!$E$4:$E$2020='7층~4층_매핑테이블'!M151),0)) + INDEX('각층분기별_유효전력최대(전월)'!$F$4:$F$2020,MATCH(1, ('각층분기별_유효전력최대(전월)'!$D$4:$D$2020='7층~4층_매핑테이블'!N151) * ('각층분기별_유효전력최대(전월)'!$E$4:$E$2020='7층~4층_매핑테이블'!O151),0))</f>
        <v>0</v>
      </c>
      <c r="Q151" s="1" t="str">
        <f t="shared" si="190"/>
        <v>6-DaHall 1-PDU-05-30-166-DaHall 1-PDU-06-30-16</v>
      </c>
      <c r="R151" s="217" t="s">
        <v>10178</v>
      </c>
      <c r="S151" s="217" t="s">
        <v>10179</v>
      </c>
      <c r="T151" t="str">
        <f t="shared" si="182"/>
        <v>6-DaHall 1-PDU-05</v>
      </c>
      <c r="U151" t="str">
        <f t="shared" si="191"/>
        <v>[branch#016] [A] W</v>
      </c>
      <c r="V151" t="str">
        <f t="shared" si="192"/>
        <v>6-DaHall 1-PDU-06</v>
      </c>
      <c r="W151" t="str">
        <f t="shared" si="193"/>
        <v>[branch#016] [A] W</v>
      </c>
      <c r="X151" s="2989" cm="1">
        <f t="array" ref="X151">INDEX('각층분기별_유효전력최대(전월)'!$I$4:$I$2020,MATCH(1, ('각층분기별_유효전력최대(전월)'!$G$4:$G$2020='7층~4층_매핑테이블'!T151) * ('각층분기별_유효전력최대(전월)'!$H$4:$H$2020='7층~4층_매핑테이블'!U151),0)) + INDEX('각층분기별_유효전력최대(전월)'!$I$4:$I$2020,MATCH(1, ('각층분기별_유효전력최대(전월)'!$G$4:$G$2020='7층~4층_매핑테이블'!V151) * ('각층분기별_유효전력최대(전월)'!$H$4:$H$2020='7층~4층_매핑테이블'!W151),0))</f>
        <v>1.671</v>
      </c>
      <c r="Y151" s="3274" t="str">
        <f t="shared" si="201"/>
        <v>7-DaHall 1-RPP-01-30-107-DaHall 1-RPP-02-20-15</v>
      </c>
      <c r="Z151" s="217" t="s">
        <v>10180</v>
      </c>
      <c r="AA151" s="217" t="s">
        <v>10181</v>
      </c>
      <c r="AB151" s="3274" t="str">
        <f t="shared" ref="AB151:AB154" si="204">IF(MID(Z151,16,2)="0","",MID(Z151,1,15)&amp;MID(Z151,16,2))</f>
        <v>7-DaHall 1-RPP-01</v>
      </c>
      <c r="AC151" t="s">
        <v>9500</v>
      </c>
      <c r="AD151" t="str">
        <f t="shared" si="173"/>
        <v>7-DaHall 1-RPP-02</v>
      </c>
      <c r="AE151" t="s">
        <v>9453</v>
      </c>
      <c r="AF151" s="2989" cm="1">
        <f t="array" ref="AF151">INDEX('각층분기별_유효전력최대(전월)'!$L$4:$L$2020,MATCH(1, ('각층분기별_유효전력최대(전월)'!$J$4:$J$2020='7층~4층_매핑테이블'!AB151) * ('각층분기별_유효전력최대(전월)'!$K$4:$K$2020='7층~4층_매핑테이블'!AC151),0)) + INDEX('각층분기별_유효전력최대(전월)'!$L$4:$L$2020,MATCH(1, ('각층분기별_유효전력최대(전월)'!$J$4:$J$2020='7층~4층_매핑테이블'!AD151) * ('각층분기별_유효전력최대(전월)'!$K$4:$K$2020='7층~4층_매핑테이블'!AE151),0))</f>
        <v>0.71199999999999997</v>
      </c>
    </row>
    <row r="152" spans="1:32" x14ac:dyDescent="0.25">
      <c r="A152" t="str">
        <f t="shared" si="200"/>
        <v/>
      </c>
      <c r="B152" s="217"/>
      <c r="C152" s="217"/>
      <c r="D152" s="2989" t="str">
        <f t="shared" si="164"/>
        <v/>
      </c>
      <c r="E152" s="2989" t="str">
        <f t="shared" si="174"/>
        <v/>
      </c>
      <c r="F152" s="2989" t="str">
        <f t="shared" si="202"/>
        <v/>
      </c>
      <c r="G152" s="2989" t="str">
        <f t="shared" si="203"/>
        <v/>
      </c>
      <c r="H152" s="2989" cm="1">
        <f t="array" ref="H152">INDEX('각층분기별_유효전력최대(전월)'!$C$4:$C$2020,MATCH(1, ('각층분기별_유효전력최대(전월)'!$A$4:$A$2020='7층~4층_매핑테이블'!D152) * ('각층분기별_유효전력최대(전월)'!$B$4:$B$2020='7층~4층_매핑테이블'!E152),0)) + INDEX('각층분기별_유효전력최대(전월)'!$C$4:$C$2020,MATCH(1, ('각층분기별_유효전력최대(전월)'!$A$4:$A$2020='7층~4층_매핑테이블'!F152) * ('각층분기별_유효전력최대(전월)'!$B$4:$B$2020='7층~4층_매핑테이블'!G152),0))</f>
        <v>0</v>
      </c>
      <c r="I152" t="str">
        <f t="shared" si="196"/>
        <v>5-DaHall 1-PDU-05-30-355-DaHall 1-PDU-06-30-35</v>
      </c>
      <c r="J152" s="217" t="s">
        <v>10182</v>
      </c>
      <c r="K152" s="217" t="s">
        <v>10183</v>
      </c>
      <c r="L152" t="str">
        <f t="shared" si="176"/>
        <v>5-DaHall 1-PDU-05</v>
      </c>
      <c r="M152" t="str">
        <f t="shared" si="197"/>
        <v>[branch#035] [A] W</v>
      </c>
      <c r="N152" t="str">
        <f t="shared" si="198"/>
        <v>5-DaHall 1-PDU-06</v>
      </c>
      <c r="O152" t="str">
        <f t="shared" si="199"/>
        <v>[branch#035] [A] W</v>
      </c>
      <c r="P152" s="2989" cm="1">
        <f t="array" ref="P152">INDEX('각층분기별_유효전력최대(전월)'!$F$4:$F$2020,MATCH(1, ('각층분기별_유효전력최대(전월)'!$D$4:$D$2020='7층~4층_매핑테이블'!L152) * ('각층분기별_유효전력최대(전월)'!$E$4:$E$2020='7층~4층_매핑테이블'!M152),0)) + INDEX('각층분기별_유효전력최대(전월)'!$F$4:$F$2020,MATCH(1, ('각층분기별_유효전력최대(전월)'!$D$4:$D$2020='7층~4층_매핑테이블'!N152) * ('각층분기별_유효전력최대(전월)'!$E$4:$E$2020='7층~4층_매핑테이블'!O152),0))</f>
        <v>0</v>
      </c>
      <c r="Q152" s="1" t="str">
        <f t="shared" si="190"/>
        <v>6-DaHall 1-PDU-01-30-436-DaHall 1-PDU-02-30-43</v>
      </c>
      <c r="R152" s="217" t="s">
        <v>10184</v>
      </c>
      <c r="S152" s="217" t="s">
        <v>10185</v>
      </c>
      <c r="T152" t="str">
        <f t="shared" si="182"/>
        <v>6-DaHall 1-PDU-01</v>
      </c>
      <c r="U152" t="str">
        <f t="shared" si="191"/>
        <v>[branch#043] [A] W</v>
      </c>
      <c r="V152" t="str">
        <f t="shared" si="192"/>
        <v>6-DaHall 1-PDU-02</v>
      </c>
      <c r="W152" t="str">
        <f t="shared" si="193"/>
        <v>[branch#043] [A] W</v>
      </c>
      <c r="X152" s="2989" cm="1">
        <f t="array" ref="X152">INDEX('각층분기별_유효전력최대(전월)'!$I$4:$I$2020,MATCH(1, ('각층분기별_유효전력최대(전월)'!$G$4:$G$2020='7층~4층_매핑테이블'!T152) * ('각층분기별_유효전력최대(전월)'!$H$4:$H$2020='7층~4층_매핑테이블'!U152),0)) + INDEX('각층분기별_유효전력최대(전월)'!$I$4:$I$2020,MATCH(1, ('각층분기별_유효전력최대(전월)'!$G$4:$G$2020='7층~4층_매핑테이블'!V152) * ('각층분기별_유효전력최대(전월)'!$H$4:$H$2020='7층~4층_매핑테이블'!W152),0))</f>
        <v>2.5270000000000001</v>
      </c>
      <c r="Y152" s="3274" t="str">
        <f t="shared" si="201"/>
        <v>7-DaHall 1-A-1-35-437-DaHall 1-B-1-35-5</v>
      </c>
      <c r="Z152" s="217" t="s">
        <v>10186</v>
      </c>
      <c r="AA152" s="217" t="s">
        <v>10187</v>
      </c>
      <c r="AB152" s="3274" t="str">
        <f t="shared" si="204"/>
        <v>7-DaHall 1-A-1-35</v>
      </c>
      <c r="AC152" t="s">
        <v>9527</v>
      </c>
      <c r="AD152" t="str">
        <f t="shared" si="173"/>
        <v>7-DaHall 1-B-1-35</v>
      </c>
      <c r="AE152" t="s">
        <v>9355</v>
      </c>
      <c r="AF152" s="2989" t="e" cm="1">
        <f t="array" ref="AF152">INDEX('각층분기별_유효전력최대(전월)'!$L$4:$L$2020,MATCH(1, ('각층분기별_유효전력최대(전월)'!$J$4:$J$2020='7층~4층_매핑테이블'!AB152) * ('각층분기별_유효전력최대(전월)'!$K$4:$K$2020='7층~4층_매핑테이블'!AC152),0)) + INDEX('각층분기별_유효전력최대(전월)'!$L$4:$L$2020,MATCH(1, ('각층분기별_유효전력최대(전월)'!$J$4:$J$2020='7층~4층_매핑테이블'!AD152) * ('각층분기별_유효전력최대(전월)'!$K$4:$K$2020='7층~4층_매핑테이블'!AE152),0))</f>
        <v>#N/A</v>
      </c>
    </row>
    <row r="153" spans="1:32" x14ac:dyDescent="0.25">
      <c r="A153" t="str">
        <f t="shared" si="200"/>
        <v/>
      </c>
      <c r="B153" s="217"/>
      <c r="C153" s="217"/>
      <c r="D153" s="2989" t="str">
        <f t="shared" si="164"/>
        <v/>
      </c>
      <c r="E153" s="2989" t="str">
        <f t="shared" si="174"/>
        <v/>
      </c>
      <c r="F153" s="2989" t="str">
        <f t="shared" si="202"/>
        <v/>
      </c>
      <c r="G153" s="2989" t="str">
        <f t="shared" si="203"/>
        <v/>
      </c>
      <c r="H153" s="2989" cm="1">
        <f t="array" ref="H153">INDEX('각층분기별_유효전력최대(전월)'!$C$4:$C$2020,MATCH(1, ('각층분기별_유효전력최대(전월)'!$A$4:$A$2020='7층~4층_매핑테이블'!D153) * ('각층분기별_유효전력최대(전월)'!$B$4:$B$2020='7층~4층_매핑테이블'!E153),0)) + INDEX('각층분기별_유효전력최대(전월)'!$C$4:$C$2020,MATCH(1, ('각층분기별_유효전력최대(전월)'!$A$4:$A$2020='7층~4층_매핑테이블'!F153) * ('각층분기별_유효전력최대(전월)'!$B$4:$B$2020='7층~4층_매핑테이블'!G153),0))</f>
        <v>0</v>
      </c>
      <c r="I153" t="str">
        <f t="shared" si="196"/>
        <v/>
      </c>
      <c r="J153" s="217"/>
      <c r="K153" s="217"/>
      <c r="L153" t="str">
        <f t="shared" si="176"/>
        <v/>
      </c>
      <c r="M153" t="str">
        <f>IF(IF(LEN((MID(J153,22,2)))=1, "[branch#0"&amp;0&amp;MID(J153,22,2)&amp;"] [A] W", "[branch#0"&amp;MID(J153,22,2)&amp;"] [A] W")="[branch#0] [A] W", "", IF(LEN((MID(J153,22,2)))=1, "[branch#0"&amp;0&amp;MID(J153,22,2)&amp;"] [A] W", "[branch#0"&amp;MID(J153,22,2)&amp;"] [A] W"))</f>
        <v/>
      </c>
      <c r="N153" t="str">
        <f t="shared" si="198"/>
        <v/>
      </c>
      <c r="O153" t="str">
        <f>IF(IF(LEN((MID(K153,22,2)))=1, "[branch#0"&amp;0&amp;MID(K153,22,2)&amp;"] [A] W", "[branch#0"&amp;MID(K153,22,2)&amp;"] [A] W")="[branch#0] [A] W", "", IF(LEN((MID(K153,22,2)))=1, "[branch#0"&amp;0&amp;MID(K153,22,2)&amp;"] [A] W", "[branch#0"&amp;MID(K153,22,2)&amp;"] [A] W"))</f>
        <v/>
      </c>
      <c r="P153" s="2989" cm="1">
        <f t="array" ref="P153">INDEX('각층분기별_유효전력최대(전월)'!$F$4:$F$2020,MATCH(1, ('각층분기별_유효전력최대(전월)'!$D$4:$D$2020='7층~4층_매핑테이블'!L153) * ('각층분기별_유효전력최대(전월)'!$E$4:$E$2020='7층~4층_매핑테이블'!M153),0)) + INDEX('각층분기별_유효전력최대(전월)'!$F$4:$F$2020,MATCH(1, ('각층분기별_유효전력최대(전월)'!$D$4:$D$2020='7층~4층_매핑테이블'!N153) * ('각층분기별_유효전력최대(전월)'!$E$4:$E$2020='7층~4층_매핑테이블'!O153),0))</f>
        <v>0</v>
      </c>
      <c r="Q153" s="1" t="str">
        <f>R153&amp;S153</f>
        <v>6-DaHall 1-PDU-01-30-426-DaHall 1-PDU-02-30-42</v>
      </c>
      <c r="R153" s="217" t="s">
        <v>10188</v>
      </c>
      <c r="S153" s="217" t="s">
        <v>10189</v>
      </c>
      <c r="T153" t="str">
        <f t="shared" si="182"/>
        <v>6-DaHall 1-PDU-01</v>
      </c>
      <c r="U153" t="str">
        <f t="shared" si="191"/>
        <v>[branch#042] [A] W</v>
      </c>
      <c r="V153" t="str">
        <f>IF(MID(S153,16,2)="0","",MID(S153,1,15)&amp;MID(S153,16,2))</f>
        <v>6-DaHall 1-PDU-02</v>
      </c>
      <c r="W153" t="str">
        <f>IF(IF(LEN((MID(S153,22,2)))=1, "[branch#0"&amp;0&amp;MID(S153,22,2)&amp;"] [A] W", "[branch#0"&amp;MID(S153,22,2)&amp;"] [A] W")="[branch#0] [A] W", "", IF(LEN((MID(S153,22,2)))=1, "[branch#0"&amp;0&amp;MID(S153,22,2)&amp;"] [A] W", "[branch#0"&amp;MID(S153,22,2)&amp;"] [A] W"))</f>
        <v>[branch#042] [A] W</v>
      </c>
      <c r="X153" s="2989" cm="1">
        <f t="array" ref="X153">INDEX('각층분기별_유효전력최대(전월)'!$I$4:$I$2020,MATCH(1, ('각층분기별_유효전력최대(전월)'!$G$4:$G$2020='7층~4층_매핑테이블'!T153) * ('각층분기별_유효전력최대(전월)'!$H$4:$H$2020='7층~4층_매핑테이블'!U153),0)) + INDEX('각층분기별_유효전력최대(전월)'!$I$4:$I$2020,MATCH(1, ('각층분기별_유효전력최대(전월)'!$G$4:$G$2020='7층~4층_매핑테이블'!V153) * ('각층분기별_유효전력최대(전월)'!$H$4:$H$2020='7층~4층_매핑테이블'!W153),0))</f>
        <v>1.9219999999999999</v>
      </c>
      <c r="Y153" s="3274" t="str">
        <f t="shared" si="201"/>
        <v>7-DaHall 1-RPP-01-30-87-DaHall 1-RPP-02-20-13</v>
      </c>
      <c r="Z153" s="217" t="s">
        <v>10190</v>
      </c>
      <c r="AA153" s="217" t="s">
        <v>10191</v>
      </c>
      <c r="AB153" s="3274" t="str">
        <f t="shared" si="204"/>
        <v>7-DaHall 1-RPP-01</v>
      </c>
      <c r="AC153" t="s">
        <v>9492</v>
      </c>
      <c r="AD153" t="str">
        <f t="shared" si="173"/>
        <v>7-DaHall 1-RPP-02</v>
      </c>
      <c r="AE153" t="s">
        <v>9398</v>
      </c>
      <c r="AF153" s="2989" cm="1">
        <f t="array" ref="AF153">INDEX('각층분기별_유효전력최대(전월)'!$L$4:$L$2020,MATCH(1, ('각층분기별_유효전력최대(전월)'!$J$4:$J$2020='7층~4층_매핑테이블'!AB153) * ('각층분기별_유효전력최대(전월)'!$K$4:$K$2020='7층~4층_매핑테이블'!AC153),0)) + INDEX('각층분기별_유효전력최대(전월)'!$L$4:$L$2020,MATCH(1, ('각층분기별_유효전력최대(전월)'!$J$4:$J$2020='7층~4층_매핑테이블'!AD153) * ('각층분기별_유효전력최대(전월)'!$K$4:$K$2020='7층~4층_매핑테이블'!AE153),0))</f>
        <v>1.022</v>
      </c>
    </row>
    <row r="154" spans="1:32" x14ac:dyDescent="0.25">
      <c r="A154" t="str">
        <f t="shared" si="200"/>
        <v/>
      </c>
      <c r="B154" s="217"/>
      <c r="C154" s="217"/>
      <c r="D154" s="2989" t="str">
        <f>IF(MID(B154,16,2)="0","",MID(B154,1,15)&amp;MID(B154,16,2))</f>
        <v/>
      </c>
      <c r="E154" s="2989" t="str">
        <f t="shared" si="174"/>
        <v/>
      </c>
      <c r="F154" s="2989" t="str">
        <f t="shared" si="202"/>
        <v/>
      </c>
      <c r="G154" s="2989" t="str">
        <f t="shared" si="203"/>
        <v/>
      </c>
      <c r="H154" s="2989" cm="1">
        <f t="array" ref="H154">INDEX('각층분기별_유효전력최대(전월)'!$C$4:$C$2020,MATCH(1, ('각층분기별_유효전력최대(전월)'!$A$4:$A$2020='7층~4층_매핑테이블'!D154) * ('각층분기별_유효전력최대(전월)'!$B$4:$B$2020='7층~4층_매핑테이블'!E154),0)) + INDEX('각층분기별_유효전력최대(전월)'!$C$4:$C$2020,MATCH(1, ('각층분기별_유효전력최대(전월)'!$A$4:$A$2020='7층~4층_매핑테이블'!F154) * ('각층분기별_유효전력최대(전월)'!$B$4:$B$2020='7층~4층_매핑테이블'!G154),0))</f>
        <v>0</v>
      </c>
      <c r="I154" t="str">
        <f t="shared" si="196"/>
        <v/>
      </c>
      <c r="J154" s="217"/>
      <c r="K154" s="217"/>
      <c r="L154" t="str">
        <f t="shared" si="176"/>
        <v/>
      </c>
      <c r="M154" t="str">
        <f t="shared" ref="M154" si="205">IF(IF(LEN((MID(J154,22,2)))=1, "[branch#0"&amp;0&amp;MID(J154,22,2)&amp;"] [A] W", "[branch#0"&amp;MID(J154,22,2)&amp;"] [A] W")="[branch#0] [A] W", "", IF(LEN((MID(J154,22,2)))=1, "[branch#0"&amp;0&amp;MID(J154,22,2)&amp;"] [A] W", "[branch#0"&amp;MID(J154,22,2)&amp;"] [A] W"))</f>
        <v/>
      </c>
      <c r="N154" t="str">
        <f t="shared" si="198"/>
        <v/>
      </c>
      <c r="O154" t="str">
        <f t="shared" ref="O154" si="206">IF(IF(LEN((MID(K154,22,2)))=1, "[branch#0"&amp;0&amp;MID(K154,22,2)&amp;"] [A] W", "[branch#0"&amp;MID(K154,22,2)&amp;"] [A] W")="[branch#0] [A] W", "", IF(LEN((MID(K154,22,2)))=1, "[branch#0"&amp;0&amp;MID(K154,22,2)&amp;"] [A] W", "[branch#0"&amp;MID(K154,22,2)&amp;"] [A] W"))</f>
        <v/>
      </c>
      <c r="P154" s="2989" cm="1">
        <f t="array" ref="P154">INDEX('각층분기별_유효전력최대(전월)'!$F$4:$F$2020,MATCH(1, ('각층분기별_유효전력최대(전월)'!$D$4:$D$2020='7층~4층_매핑테이블'!L154) * ('각층분기별_유효전력최대(전월)'!$E$4:$E$2020='7층~4층_매핑테이블'!M154),0)) + INDEX('각층분기별_유효전력최대(전월)'!$F$4:$F$2020,MATCH(1, ('각층분기별_유효전력최대(전월)'!$D$4:$D$2020='7층~4층_매핑테이블'!N154) * ('각층분기별_유효전력최대(전월)'!$E$4:$E$2020='7층~4층_매핑테이블'!O154),0))</f>
        <v>0</v>
      </c>
      <c r="Q154" s="1" t="str">
        <f>R154&amp;S154</f>
        <v/>
      </c>
      <c r="R154" s="217"/>
      <c r="S154" s="217"/>
      <c r="T154" t="str">
        <f t="shared" si="182"/>
        <v/>
      </c>
      <c r="U154" t="str">
        <f>IF(IF(LEN((MID(R154,22,2)))=1, "[branch#0"&amp;0&amp;MID(R154,22,2)&amp;"] [A] W", "[branch#0"&amp;MID(R154,22,2)&amp;"] [A] W")="[branch#0] [A] W", "", IF(LEN((MID(R154,22,2)))=1, "[branch#0"&amp;0&amp;MID(R154,22,2)&amp;"] [A] W", "[branch#0"&amp;MID(R154,22,2)&amp;"] [A] W"))</f>
        <v/>
      </c>
      <c r="V154" t="str">
        <f>IF(MID(S154,16,2)="0","",MID(S154,1,15)&amp;MID(S154,16,2))</f>
        <v/>
      </c>
      <c r="W154" t="str">
        <f>IF(IF(LEN((MID(S154,22,2)))=1, "[branch#0"&amp;0&amp;MID(S154,22,2)&amp;"] [A] W", "[branch#0"&amp;MID(S154,22,2)&amp;"] [A] W")="[branch#0] [A] W", "", IF(LEN((MID(S154,22,2)))=1, "[branch#0"&amp;0&amp;MID(S154,22,2)&amp;"] [A] W", "[branch#0"&amp;MID(S154,22,2)&amp;"] [A] W"))</f>
        <v/>
      </c>
      <c r="X154" s="2989" cm="1">
        <f t="array" ref="X154">INDEX('각층분기별_유효전력최대(전월)'!$I$4:$I$2020,MATCH(1, ('각층분기별_유효전력최대(전월)'!$G$4:$G$2020='7층~4층_매핑테이블'!T154) * ('각층분기별_유효전력최대(전월)'!$H$4:$H$2020='7층~4층_매핑테이블'!U154),0)) + INDEX('각층분기별_유효전력최대(전월)'!$I$4:$I$2020,MATCH(1, ('각층분기별_유효전력최대(전월)'!$G$4:$G$2020='7층~4층_매핑테이블'!V154) * ('각층분기별_유효전력최대(전월)'!$H$4:$H$2020='7층~4층_매핑테이블'!W154),0))</f>
        <v>0</v>
      </c>
      <c r="Y154" s="3274" t="str">
        <f t="shared" si="201"/>
        <v>7-DaHall 1-PDU-01-30-87-DaHall 1-RPP-02-20-9</v>
      </c>
      <c r="Z154" s="217" t="s">
        <v>10192</v>
      </c>
      <c r="AA154" s="217" t="s">
        <v>10193</v>
      </c>
      <c r="AB154" s="3274" t="str">
        <f t="shared" si="204"/>
        <v>7-DaHall 1-PDU-01</v>
      </c>
      <c r="AC154" t="s">
        <v>9492</v>
      </c>
      <c r="AD154" t="str">
        <f t="shared" si="173"/>
        <v>7-DaHall 1-RPP-02</v>
      </c>
      <c r="AE154" t="s">
        <v>9364</v>
      </c>
      <c r="AF154" s="2989" cm="1">
        <f t="array" ref="AF154">INDEX('각층분기별_유효전력최대(전월)'!$L$4:$L$2020,MATCH(1, ('각층분기별_유효전력최대(전월)'!$J$4:$J$2020='7층~4층_매핑테이블'!AB154) * ('각층분기별_유효전력최대(전월)'!$K$4:$K$2020='7층~4층_매핑테이블'!AC154),0)) + INDEX('각층분기별_유효전력최대(전월)'!$L$4:$L$2020,MATCH(1, ('각층분기별_유효전력최대(전월)'!$J$4:$J$2020='7층~4층_매핑테이블'!AD154) * ('각층분기별_유효전력최대(전월)'!$K$4:$K$2020='7층~4층_매핑테이블'!AE154),0))</f>
        <v>0.82</v>
      </c>
    </row>
    <row r="155" spans="1:32" x14ac:dyDescent="0.25">
      <c r="A155" t="str">
        <f t="shared" si="200"/>
        <v/>
      </c>
      <c r="B155" s="217"/>
      <c r="C155" s="217"/>
      <c r="D155" s="2989" t="str">
        <f>IF(MID(B155,16,2)="0","",MID(B155,1,15)&amp;MID(B155,16,2))</f>
        <v/>
      </c>
      <c r="E155" s="2989" t="str">
        <f t="shared" si="174"/>
        <v/>
      </c>
      <c r="F155" s="2989" t="str">
        <f t="shared" si="202"/>
        <v/>
      </c>
      <c r="G155" s="2989" t="str">
        <f t="shared" si="203"/>
        <v/>
      </c>
      <c r="H155" s="2989" cm="1">
        <f t="array" ref="H155">INDEX('각층분기별_유효전력최대(전월)'!$C$4:$C$2020,MATCH(1, ('각층분기별_유효전력최대(전월)'!$A$4:$A$2020='7층~4층_매핑테이블'!D155) * ('각층분기별_유효전력최대(전월)'!$B$4:$B$2020='7층~4층_매핑테이블'!E155),0)) + INDEX('각층분기별_유효전력최대(전월)'!$C$4:$C$2020,MATCH(1, ('각층분기별_유효전력최대(전월)'!$A$4:$A$2020='7층~4층_매핑테이블'!F155) * ('각층분기별_유효전력최대(전월)'!$B$4:$B$2020='7층~4층_매핑테이블'!G155),0))</f>
        <v>0</v>
      </c>
      <c r="I155" t="str">
        <f t="shared" si="196"/>
        <v>5-DaHall 1-PDU-05-30-375-DaHall 1-PDU-06-30-37</v>
      </c>
      <c r="J155" s="217" t="s">
        <v>10194</v>
      </c>
      <c r="K155" s="217" t="s">
        <v>10195</v>
      </c>
      <c r="L155" t="str">
        <f t="shared" si="176"/>
        <v>5-DaHall 1-PDU-05</v>
      </c>
      <c r="M155" t="str">
        <f>IF(IF(LEN((MID(J155,22,2)))=1, "[branch#0"&amp;0&amp;MID(J155,22,2)&amp;"] [A] W", "[branch#0"&amp;MID(J155,22,2)&amp;"] [A] W")="[branch#0] [A] W", "", IF(LEN((MID(J155,22,2)))=1, "[branch#0"&amp;0&amp;MID(J155,22,2)&amp;"] [A] W", "[branch#0"&amp;MID(J155,22,2)&amp;"] [A] W"))</f>
        <v>[branch#037] [A] W</v>
      </c>
      <c r="N155" t="str">
        <f t="shared" si="198"/>
        <v>5-DaHall 1-PDU-06</v>
      </c>
      <c r="O155" t="str">
        <f>IF(IF(LEN((MID(K155,22,2)))=1, "[branch#0"&amp;0&amp;MID(K155,22,2)&amp;"] [A] W", "[branch#0"&amp;MID(K155,22,2)&amp;"] [A] W")="[branch#0] [A] W", "", IF(LEN((MID(K155,22,2)))=1, "[branch#0"&amp;0&amp;MID(K155,22,2)&amp;"] [A] W", "[branch#0"&amp;MID(K155,22,2)&amp;"] [A] W"))</f>
        <v>[branch#037] [A] W</v>
      </c>
      <c r="P155" s="2989" cm="1">
        <f t="array" ref="P155">INDEX('각층분기별_유효전력최대(전월)'!$F$4:$F$2020,MATCH(1, ('각층분기별_유효전력최대(전월)'!$D$4:$D$2020='7층~4층_매핑테이블'!L155) * ('각층분기별_유효전력최대(전월)'!$E$4:$E$2020='7층~4층_매핑테이블'!M155),0)) + INDEX('각층분기별_유효전력최대(전월)'!$F$4:$F$2020,MATCH(1, ('각층분기별_유효전력최대(전월)'!$D$4:$D$2020='7층~4층_매핑테이블'!N155) * ('각층분기별_유효전력최대(전월)'!$E$4:$E$2020='7층~4층_매핑테이블'!O155),0))</f>
        <v>0</v>
      </c>
      <c r="Q155" s="1" t="str">
        <f>R155&amp;S155</f>
        <v>6-DaHall 1-PDU-05-30-386-DaHall 1-PDU-06-30-38</v>
      </c>
      <c r="R155" s="217" t="s">
        <v>10196</v>
      </c>
      <c r="S155" s="217" t="s">
        <v>10197</v>
      </c>
      <c r="T155" t="str">
        <f t="shared" si="182"/>
        <v>6-DaHall 1-PDU-05</v>
      </c>
      <c r="U155" t="str">
        <f>IF(IF(LEN((MID(R155,22,2)))=1, "[branch#0"&amp;0&amp;MID(R155,22,2)&amp;"] [A] W", "[branch#0"&amp;MID(R155,22,2)&amp;"] [A] W")="[branch#0] [A] W", "", IF(LEN((MID(R155,22,2)))=1, "[branch#0"&amp;0&amp;MID(R155,22,2)&amp;"] [A] W", "[branch#0"&amp;MID(R155,22,2)&amp;"] [A] W"))</f>
        <v>[branch#038] [A] W</v>
      </c>
      <c r="V155" t="str">
        <f>IF(MID(S155,16,2)="0","",MID(S155,1,15)&amp;MID(S155,16,2))</f>
        <v>6-DaHall 1-PDU-06</v>
      </c>
      <c r="W155" t="str">
        <f>IF(IF(LEN((MID(S155,22,2)))=1, "[branch#0"&amp;0&amp;MID(S155,22,2)&amp;"] [A] W", "[branch#0"&amp;MID(S155,22,2)&amp;"] [A] W")="[branch#0] [A] W", "", IF(LEN((MID(S155,22,2)))=1, "[branch#0"&amp;0&amp;MID(S155,22,2)&amp;"] [A] W", "[branch#0"&amp;MID(S155,22,2)&amp;"] [A] W"))</f>
        <v>[branch#038] [A] W</v>
      </c>
      <c r="X155" s="2989" cm="1">
        <f t="array" ref="X155">INDEX('각층분기별_유효전력최대(전월)'!$I$4:$I$2020,MATCH(1, ('각층분기별_유효전력최대(전월)'!$G$4:$G$2020='7층~4층_매핑테이블'!T155) * ('각층분기별_유효전력최대(전월)'!$H$4:$H$2020='7층~4층_매핑테이블'!U155),0)) + INDEX('각층분기별_유효전력최대(전월)'!$I$4:$I$2020,MATCH(1, ('각층분기별_유효전력최대(전월)'!$G$4:$G$2020='7층~4층_매핑테이블'!V155) * ('각층분기별_유효전력최대(전월)'!$H$4:$H$2020='7층~4층_매핑테이블'!W155),0))</f>
        <v>0</v>
      </c>
      <c r="Y155" s="3274" t="str">
        <f>Z155&amp;AA155</f>
        <v/>
      </c>
      <c r="Z155" s="217"/>
      <c r="AA155" s="217"/>
      <c r="AB155" s="3274" t="str">
        <f>IF(MID(Z155,16,2)="0","",MID(Z155,1,15)&amp;MID(Z155,16,2))</f>
        <v/>
      </c>
      <c r="AD155" t="str">
        <f t="shared" si="173"/>
        <v/>
      </c>
      <c r="AF155" s="2989" cm="1">
        <f t="array" ref="AF155">INDEX('각층분기별_유효전력최대(전월)'!$L$4:$L$2020,MATCH(1, ('각층분기별_유효전력최대(전월)'!$J$4:$J$2020='7층~4층_매핑테이블'!AB155) * ('각층분기별_유효전력최대(전월)'!$K$4:$K$2020='7층~4층_매핑테이블'!AC155),0)) + INDEX('각층분기별_유효전력최대(전월)'!$L$4:$L$2020,MATCH(1, ('각층분기별_유효전력최대(전월)'!$J$4:$J$2020='7층~4층_매핑테이블'!AD155) * ('각층분기별_유효전력최대(전월)'!$K$4:$K$2020='7층~4층_매핑테이블'!AE155),0))</f>
        <v>0</v>
      </c>
    </row>
    <row r="156" spans="1:32" x14ac:dyDescent="0.25">
      <c r="A156" t="str">
        <f>B156&amp;C156</f>
        <v>4-DaHall 1-PDU-06-100-14-DaHall 1-PDU-05-100-1</v>
      </c>
      <c r="B156" s="217" t="s">
        <v>10198</v>
      </c>
      <c r="C156" s="217" t="s">
        <v>10199</v>
      </c>
      <c r="D156" s="2989" t="str">
        <f>IF(MID(B156,16,2)="0","",MID(B156,1,15)&amp;MID(B156,16,2))</f>
        <v>4-DaHall 1-PDU-06</v>
      </c>
      <c r="E156" s="2989" t="str">
        <f t="shared" si="174"/>
        <v>[branch#001] [A] W</v>
      </c>
      <c r="F156" s="2989" t="str">
        <f>IF(MID(C156,16,2)="0","",MID(C156,1,15)&amp;MID(C156,16,2))</f>
        <v>4-DaHall 1-PDU-05</v>
      </c>
      <c r="G156" s="2989" t="str">
        <f>IF(IF(LEN(MID(C156,23,2))=1, "[branch#0"&amp;0&amp;MID(C156,23,2)&amp;"] [A] W", "[branch#0"&amp;MID(C156,23,2)&amp;"] [A] W")="[branch#0] [A] W", "", IF(LEN(MID(C156,23,2))=1, "[branch#0"&amp;0&amp;MID(C156,23,2)&amp;"] [A] W", "[branch#0"&amp;MID(C156,23,2)&amp;"] [A] W"))</f>
        <v>[branch#001] [A] W</v>
      </c>
      <c r="H156" s="2989" cm="1">
        <f t="array" ref="H156">INDEX('각층분기별_유효전력최대(전월)'!$C$4:$C$2020,MATCH(1, ('각층분기별_유효전력최대(전월)'!$A$4:$A$2020='7층~4층_매핑테이블'!D156) * ('각층분기별_유효전력최대(전월)'!$B$4:$B$2020='7층~4층_매핑테이블'!E156),0)) + INDEX('각층분기별_유효전력최대(전월)'!$C$4:$C$2020,MATCH(1, ('각층분기별_유효전력최대(전월)'!$A$4:$A$2020='7층~4층_매핑테이블'!F156) * ('각층분기별_유효전력최대(전월)'!$B$4:$B$2020='7층~4층_매핑테이블'!G156),0))</f>
        <v>4.5369999999999999</v>
      </c>
      <c r="I156" t="str">
        <f t="shared" si="196"/>
        <v>5-DaHall 1-PDU-05-30-395-DaHall 1-PDU-06-30-39</v>
      </c>
      <c r="J156" s="217" t="s">
        <v>10200</v>
      </c>
      <c r="K156" s="217" t="s">
        <v>10201</v>
      </c>
      <c r="L156" t="str">
        <f t="shared" si="176"/>
        <v>5-DaHall 1-PDU-05</v>
      </c>
      <c r="M156" t="str">
        <f t="shared" ref="M156:M162" si="207">IF(IF(LEN((MID(J156,22,2)))=1, "[branch#0"&amp;0&amp;MID(J156,22,2)&amp;"] [A] W", "[branch#0"&amp;MID(J156,22,2)&amp;"] [A] W")="[branch#0] [A] W", "", IF(LEN((MID(J156,22,2)))=1, "[branch#0"&amp;0&amp;MID(J156,22,2)&amp;"] [A] W", "[branch#0"&amp;MID(J156,22,2)&amp;"] [A] W"))</f>
        <v>[branch#039] [A] W</v>
      </c>
      <c r="N156" t="str">
        <f t="shared" si="198"/>
        <v>5-DaHall 1-PDU-06</v>
      </c>
      <c r="O156" t="str">
        <f t="shared" ref="O156:O162" si="208">IF(IF(LEN((MID(K156,22,2)))=1, "[branch#0"&amp;0&amp;MID(K156,22,2)&amp;"] [A] W", "[branch#0"&amp;MID(K156,22,2)&amp;"] [A] W")="[branch#0] [A] W", "", IF(LEN((MID(K156,22,2)))=1, "[branch#0"&amp;0&amp;MID(K156,22,2)&amp;"] [A] W", "[branch#0"&amp;MID(K156,22,2)&amp;"] [A] W"))</f>
        <v>[branch#039] [A] W</v>
      </c>
      <c r="P156" s="2989" cm="1">
        <f t="array" ref="P156">INDEX('각층분기별_유효전력최대(전월)'!$F$4:$F$2020,MATCH(1, ('각층분기별_유효전력최대(전월)'!$D$4:$D$2020='7층~4층_매핑테이블'!L156) * ('각층분기별_유효전력최대(전월)'!$E$4:$E$2020='7층~4층_매핑테이블'!M156),0)) + INDEX('각층분기별_유효전력최대(전월)'!$F$4:$F$2020,MATCH(1, ('각층분기별_유효전력최대(전월)'!$D$4:$D$2020='7층~4층_매핑테이블'!N156) * ('각층분기별_유효전력최대(전월)'!$E$4:$E$2020='7층~4층_매핑테이블'!O156),0))</f>
        <v>0</v>
      </c>
      <c r="Q156" s="1" t="str">
        <f t="shared" ref="Q156:Q163" si="209">R156&amp;S156</f>
        <v>6-DaHall 1-PDU-05-30-406-DaHall 1-PDU-06-30-40</v>
      </c>
      <c r="R156" s="217" t="s">
        <v>10202</v>
      </c>
      <c r="S156" s="217" t="s">
        <v>10203</v>
      </c>
      <c r="T156" t="str">
        <f t="shared" si="182"/>
        <v>6-DaHall 1-PDU-05</v>
      </c>
      <c r="U156" t="str">
        <f t="shared" ref="U156:U163" si="210">IF(IF(LEN((MID(R156,22,2)))=1, "[branch#0"&amp;0&amp;MID(R156,22,2)&amp;"] [A] W", "[branch#0"&amp;MID(R156,22,2)&amp;"] [A] W")="[branch#0] [A] W", "", IF(LEN((MID(R156,22,2)))=1, "[branch#0"&amp;0&amp;MID(R156,22,2)&amp;"] [A] W", "[branch#0"&amp;MID(R156,22,2)&amp;"] [A] W"))</f>
        <v>[branch#040] [A] W</v>
      </c>
      <c r="V156" t="str">
        <f t="shared" ref="V156:V163" si="211">IF(MID(S156,16,2)="0","",MID(S156,1,15)&amp;MID(S156,16,2))</f>
        <v>6-DaHall 1-PDU-06</v>
      </c>
      <c r="W156" t="str">
        <f t="shared" ref="W156:W163" si="212">IF(IF(LEN((MID(S156,22,2)))=1, "[branch#0"&amp;0&amp;MID(S156,22,2)&amp;"] [A] W", "[branch#0"&amp;MID(S156,22,2)&amp;"] [A] W")="[branch#0] [A] W", "", IF(LEN((MID(S156,22,2)))=1, "[branch#0"&amp;0&amp;MID(S156,22,2)&amp;"] [A] W", "[branch#0"&amp;MID(S156,22,2)&amp;"] [A] W"))</f>
        <v>[branch#040] [A] W</v>
      </c>
      <c r="X156" s="2989" cm="1">
        <f t="array" ref="X156">INDEX('각층분기별_유효전력최대(전월)'!$I$4:$I$2020,MATCH(1, ('각층분기별_유효전력최대(전월)'!$G$4:$G$2020='7층~4층_매핑테이블'!T156) * ('각층분기별_유효전력최대(전월)'!$H$4:$H$2020='7층~4층_매핑테이블'!U156),0)) + INDEX('각층분기별_유효전력최대(전월)'!$I$4:$I$2020,MATCH(1, ('각층분기별_유효전력최대(전월)'!$G$4:$G$2020='7층~4층_매핑테이블'!V156) * ('각층분기별_유효전력최대(전월)'!$H$4:$H$2020='7층~4층_매핑테이블'!W156),0))</f>
        <v>0</v>
      </c>
      <c r="Y156" s="3274" t="str">
        <f t="shared" ref="Y156" si="213">Z156&amp;AA156</f>
        <v/>
      </c>
      <c r="Z156" s="217"/>
      <c r="AA156" s="217"/>
      <c r="AB156" s="3274" t="str">
        <f>IF(MID(Z156,16,2)="0","",MID(Z156,1,15)&amp;MID(Z156,16,2))</f>
        <v/>
      </c>
      <c r="AD156" t="str">
        <f t="shared" si="173"/>
        <v/>
      </c>
      <c r="AF156" s="2989" cm="1">
        <f t="array" ref="AF156">INDEX('각층분기별_유효전력최대(전월)'!$L$4:$L$2020,MATCH(1, ('각층분기별_유효전력최대(전월)'!$J$4:$J$2020='7층~4층_매핑테이블'!AB156) * ('각층분기별_유효전력최대(전월)'!$K$4:$K$2020='7층~4층_매핑테이블'!AC156),0)) + INDEX('각층분기별_유효전력최대(전월)'!$L$4:$L$2020,MATCH(1, ('각층분기별_유효전력최대(전월)'!$J$4:$J$2020='7층~4층_매핑테이블'!AD156) * ('각층분기별_유효전력최대(전월)'!$K$4:$K$2020='7층~4층_매핑테이블'!AE156),0))</f>
        <v>0</v>
      </c>
    </row>
    <row r="157" spans="1:32" x14ac:dyDescent="0.25">
      <c r="A157" t="str">
        <f>B157&amp;C157</f>
        <v/>
      </c>
      <c r="B157" s="217"/>
      <c r="C157" s="217"/>
      <c r="D157" s="2989" t="str">
        <f>IF(MID(B157,16,2)="0","",MID(B157,1,15)&amp;MID(B157,16,2))</f>
        <v/>
      </c>
      <c r="E157" s="2989" t="str">
        <f t="shared" si="174"/>
        <v/>
      </c>
      <c r="F157" s="2989" t="str">
        <f>IF(MID(C157,16,2)="0","",MID(C157,1,15)&amp;MID(C157,16,2))</f>
        <v/>
      </c>
      <c r="G157" s="2989" t="str">
        <f>IF(IF(LEN(MID(C157,23,2))=1, "[branch#0"&amp;0&amp;MID(C157,23,2)&amp;"] [A] W", "[branch#0"&amp;MID(C157,23,2)&amp;"] [A] W")="[branch#0] [A] W", "", IF(LEN(MID(C157,23,2))=1, "[branch#0"&amp;0&amp;MID(C157,23,2)&amp;"] [A] W", "[branch#0"&amp;MID(C157,23,2)&amp;"] [A] W"))</f>
        <v/>
      </c>
      <c r="H157" s="2989" cm="1">
        <f t="array" ref="H157">INDEX('각층분기별_유효전력최대(전월)'!$C$4:$C$2020,MATCH(1, ('각층분기별_유효전력최대(전월)'!$A$4:$A$2020='7층~4층_매핑테이블'!D157) * ('각층분기별_유효전력최대(전월)'!$B$4:$B$2020='7층~4층_매핑테이블'!E157),0)) + INDEX('각층분기별_유효전력최대(전월)'!$C$4:$C$2020,MATCH(1, ('각층분기별_유효전력최대(전월)'!$A$4:$A$2020='7층~4층_매핑테이블'!F157) * ('각층분기별_유효전력최대(전월)'!$B$4:$B$2020='7층~4층_매핑테이블'!G157),0))</f>
        <v>0</v>
      </c>
      <c r="I157" t="str">
        <f t="shared" si="196"/>
        <v>5-DaHall 1-PDU-05-30-415-DaHall 1-PDU-06-30-41</v>
      </c>
      <c r="J157" s="217" t="s">
        <v>10204</v>
      </c>
      <c r="K157" s="217" t="s">
        <v>10205</v>
      </c>
      <c r="L157" t="str">
        <f t="shared" si="176"/>
        <v>5-DaHall 1-PDU-05</v>
      </c>
      <c r="M157" t="str">
        <f t="shared" si="207"/>
        <v>[branch#041] [A] W</v>
      </c>
      <c r="N157" t="str">
        <f t="shared" si="198"/>
        <v>5-DaHall 1-PDU-06</v>
      </c>
      <c r="O157" t="str">
        <f t="shared" si="208"/>
        <v>[branch#041] [A] W</v>
      </c>
      <c r="P157" s="2989" cm="1">
        <f t="array" ref="P157">INDEX('각층분기별_유효전력최대(전월)'!$F$4:$F$2020,MATCH(1, ('각층분기별_유효전력최대(전월)'!$D$4:$D$2020='7층~4층_매핑테이블'!L157) * ('각층분기별_유효전력최대(전월)'!$E$4:$E$2020='7층~4층_매핑테이블'!M157),0)) + INDEX('각층분기별_유효전력최대(전월)'!$F$4:$F$2020,MATCH(1, ('각층분기별_유효전력최대(전월)'!$D$4:$D$2020='7층~4층_매핑테이블'!N157) * ('각층분기별_유효전력최대(전월)'!$E$4:$E$2020='7층~4층_매핑테이블'!O157),0))</f>
        <v>0</v>
      </c>
      <c r="Q157" s="1" t="str">
        <f t="shared" si="209"/>
        <v>6-DaHall 1-PDU-05-30-426-DaHall 1-PDU-06-30-42</v>
      </c>
      <c r="R157" s="217" t="s">
        <v>10206</v>
      </c>
      <c r="S157" s="217" t="s">
        <v>10207</v>
      </c>
      <c r="T157" t="str">
        <f t="shared" si="182"/>
        <v>6-DaHall 1-PDU-05</v>
      </c>
      <c r="U157" t="str">
        <f t="shared" si="210"/>
        <v>[branch#042] [A] W</v>
      </c>
      <c r="V157" t="str">
        <f t="shared" si="211"/>
        <v>6-DaHall 1-PDU-06</v>
      </c>
      <c r="W157" t="str">
        <f t="shared" si="212"/>
        <v>[branch#042] [A] W</v>
      </c>
      <c r="X157" s="2989" cm="1">
        <f t="array" ref="X157">INDEX('각층분기별_유효전력최대(전월)'!$I$4:$I$2020,MATCH(1, ('각층분기별_유효전력최대(전월)'!$G$4:$G$2020='7층~4층_매핑테이블'!T157) * ('각층분기별_유효전력최대(전월)'!$H$4:$H$2020='7층~4층_매핑테이블'!U157),0)) + INDEX('각층분기별_유효전력최대(전월)'!$I$4:$I$2020,MATCH(1, ('각층분기별_유효전력최대(전월)'!$G$4:$G$2020='7층~4층_매핑테이블'!V157) * ('각층분기별_유효전력최대(전월)'!$H$4:$H$2020='7층~4층_매핑테이블'!W157),0))</f>
        <v>0</v>
      </c>
      <c r="Y157" s="3274" t="str">
        <f>Z157&amp;AA157</f>
        <v>7-DaHall 1-A-1-100-247-DaHall 1-B-1-100-24</v>
      </c>
      <c r="Z157" s="217" t="s">
        <v>10208</v>
      </c>
      <c r="AA157" s="217" t="s">
        <v>10209</v>
      </c>
      <c r="AB157" s="3274" t="str">
        <f>IF(MID(Z157,16,2)="0","",MID(Z157,1,15)&amp;MID(Z157,16,2))</f>
        <v>7-DaHall 1-A-1-10</v>
      </c>
      <c r="AC157" t="s">
        <v>9554</v>
      </c>
      <c r="AD157" t="str">
        <f t="shared" si="173"/>
        <v>7-DaHall 1-B-1-10</v>
      </c>
      <c r="AE157" t="s">
        <v>9554</v>
      </c>
      <c r="AF157" s="2989" t="e" cm="1">
        <f t="array" ref="AF157">INDEX('각층분기별_유효전력최대(전월)'!$L$4:$L$2020,MATCH(1, ('각층분기별_유효전력최대(전월)'!$J$4:$J$2020='7층~4층_매핑테이블'!AB157) * ('각층분기별_유효전력최대(전월)'!$K$4:$K$2020='7층~4층_매핑테이블'!AC157),0)) + INDEX('각층분기별_유효전력최대(전월)'!$L$4:$L$2020,MATCH(1, ('각층분기별_유효전력최대(전월)'!$J$4:$J$2020='7층~4층_매핑테이블'!AD157) * ('각층분기별_유효전력최대(전월)'!$K$4:$K$2020='7층~4층_매핑테이블'!AE157),0))</f>
        <v>#N/A</v>
      </c>
    </row>
    <row r="158" spans="1:32" x14ac:dyDescent="0.25">
      <c r="A158" t="str">
        <f t="shared" ref="A158:A165" si="214">B158&amp;C158</f>
        <v/>
      </c>
      <c r="B158" s="217"/>
      <c r="C158" s="217"/>
      <c r="D158" s="2989" t="str">
        <f>IF(MID(B158,16,2)="0","",MID(B158,1,15)&amp;MID(B158,16,2))</f>
        <v/>
      </c>
      <c r="E158" s="2989" t="str">
        <f t="shared" si="174"/>
        <v/>
      </c>
      <c r="F158" s="2989" t="str">
        <f>IF(MID(C158,16,2)="0","",MID(C158,1,15)&amp;MID(C158,16,2))</f>
        <v/>
      </c>
      <c r="G158" s="2989" t="str">
        <f>IF(IF(LEN(MID(C158,23,2))=1, "[branch#0"&amp;0&amp;MID(C158,23,2)&amp;"] [A] W", "[branch#0"&amp;MID(C158,23,2)&amp;"] [A] W")="[branch#0] [A] W", "", IF(LEN(MID(C158,23,2))=1, "[branch#0"&amp;0&amp;MID(C158,23,2)&amp;"] [A] W", "[branch#0"&amp;MID(C158,23,2)&amp;"] [A] W"))</f>
        <v/>
      </c>
      <c r="H158" s="2989" cm="1">
        <f t="array" ref="H158">INDEX('각층분기별_유효전력최대(전월)'!$C$4:$C$2020,MATCH(1, ('각층분기별_유효전력최대(전월)'!$A$4:$A$2020='7층~4층_매핑테이블'!D158) * ('각층분기별_유효전력최대(전월)'!$B$4:$B$2020='7층~4층_매핑테이블'!E158),0)) + INDEX('각층분기별_유효전력최대(전월)'!$C$4:$C$2020,MATCH(1, ('각층분기별_유효전력최대(전월)'!$A$4:$A$2020='7층~4층_매핑테이블'!F158) * ('각층분기별_유효전력최대(전월)'!$B$4:$B$2020='7층~4층_매핑테이블'!G158),0))</f>
        <v>0</v>
      </c>
      <c r="I158" t="str">
        <f t="shared" si="196"/>
        <v>5-DaHall 1-PDU-05-30-455-DaHall 1-PDU-06-30-43</v>
      </c>
      <c r="J158" s="217" t="s">
        <v>10210</v>
      </c>
      <c r="K158" s="217" t="s">
        <v>10211</v>
      </c>
      <c r="L158" t="str">
        <f t="shared" si="176"/>
        <v>5-DaHall 1-PDU-05</v>
      </c>
      <c r="M158" t="str">
        <f t="shared" si="207"/>
        <v>[branch#045] [A] W</v>
      </c>
      <c r="N158" t="str">
        <f t="shared" si="198"/>
        <v>5-DaHall 1-PDU-06</v>
      </c>
      <c r="O158" t="str">
        <f t="shared" si="208"/>
        <v>[branch#043] [A] W</v>
      </c>
      <c r="P158" s="2989" cm="1">
        <f t="array" ref="P158">INDEX('각층분기별_유효전력최대(전월)'!$F$4:$F$2020,MATCH(1, ('각층분기별_유효전력최대(전월)'!$D$4:$D$2020='7층~4층_매핑테이블'!L158) * ('각층분기별_유효전력최대(전월)'!$E$4:$E$2020='7층~4층_매핑테이블'!M158),0)) + INDEX('각층분기별_유효전력최대(전월)'!$F$4:$F$2020,MATCH(1, ('각층분기별_유효전력최대(전월)'!$D$4:$D$2020='7층~4층_매핑테이블'!N158) * ('각층분기별_유효전력최대(전월)'!$E$4:$E$2020='7층~4층_매핑테이블'!O158),0))</f>
        <v>0</v>
      </c>
      <c r="Q158" s="1" t="str">
        <f t="shared" si="209"/>
        <v>6-DaHall 1-PDU-05-30-446-DaHall 1-PDU-06-30-44</v>
      </c>
      <c r="R158" s="217" t="s">
        <v>10212</v>
      </c>
      <c r="S158" s="217" t="s">
        <v>10213</v>
      </c>
      <c r="T158" t="str">
        <f t="shared" si="182"/>
        <v>6-DaHall 1-PDU-05</v>
      </c>
      <c r="U158" t="str">
        <f t="shared" si="210"/>
        <v>[branch#044] [A] W</v>
      </c>
      <c r="V158" t="str">
        <f t="shared" si="211"/>
        <v>6-DaHall 1-PDU-06</v>
      </c>
      <c r="W158" t="str">
        <f t="shared" si="212"/>
        <v>[branch#044] [A] W</v>
      </c>
      <c r="X158" s="2989" cm="1">
        <f t="array" ref="X158">INDEX('각층분기별_유효전력최대(전월)'!$I$4:$I$2020,MATCH(1, ('각층분기별_유효전력최대(전월)'!$G$4:$G$2020='7층~4층_매핑테이블'!T158) * ('각층분기별_유효전력최대(전월)'!$H$4:$H$2020='7층~4층_매핑테이블'!U158),0)) + INDEX('각층분기별_유효전력최대(전월)'!$I$4:$I$2020,MATCH(1, ('각층분기별_유효전력최대(전월)'!$G$4:$G$2020='7층~4층_매핑테이블'!V158) * ('각층분기별_유효전력최대(전월)'!$H$4:$H$2020='7층~4층_매핑테이블'!W158),0))</f>
        <v>0</v>
      </c>
      <c r="Y158" s="3274" t="str">
        <f t="shared" ref="Y158:Y173" si="215">Z158&amp;AA158</f>
        <v>7-DaHall 1-A-1-100-77-DaHall 1-B-1-100-7</v>
      </c>
      <c r="Z158" s="217" t="s">
        <v>10214</v>
      </c>
      <c r="AA158" s="217" t="s">
        <v>10215</v>
      </c>
      <c r="AB158" s="3274" t="str">
        <f>IF(MID(Z158,16,2)="0","",MID(Z158,1,15)&amp;MID(Z158,16,2))</f>
        <v>7-DaHall 1-A-1-10</v>
      </c>
      <c r="AC158" t="s">
        <v>9409</v>
      </c>
      <c r="AD158" t="str">
        <f t="shared" si="173"/>
        <v>7-DaHall 1-B-1-10</v>
      </c>
      <c r="AE158" t="s">
        <v>9409</v>
      </c>
      <c r="AF158" s="2989" t="e" cm="1">
        <f t="array" ref="AF158">INDEX('각층분기별_유효전력최대(전월)'!$L$4:$L$2020,MATCH(1, ('각층분기별_유효전력최대(전월)'!$J$4:$J$2020='7층~4층_매핑테이블'!AB158) * ('각층분기별_유효전력최대(전월)'!$K$4:$K$2020='7층~4층_매핑테이블'!AC158),0)) + INDEX('각층분기별_유효전력최대(전월)'!$L$4:$L$2020,MATCH(1, ('각층분기별_유효전력최대(전월)'!$J$4:$J$2020='7층~4층_매핑테이블'!AD158) * ('각층분기별_유효전력최대(전월)'!$K$4:$K$2020='7층~4층_매핑테이블'!AE158),0))</f>
        <v>#N/A</v>
      </c>
    </row>
    <row r="159" spans="1:32" x14ac:dyDescent="0.25">
      <c r="A159" t="str">
        <f t="shared" si="214"/>
        <v/>
      </c>
      <c r="B159" s="217"/>
      <c r="C159" s="217"/>
      <c r="D159" s="2989" t="str">
        <f t="shared" ref="D159:D163" si="216">IF(MID(B159,16,2)="0","",MID(B159,1,15)&amp;MID(B159,16,2))</f>
        <v/>
      </c>
      <c r="E159" s="2989" t="str">
        <f t="shared" si="174"/>
        <v/>
      </c>
      <c r="F159" s="2989" t="str">
        <f>IF(MID(C159,16,2)="0","",MID(C159,1,15)&amp;MID(C159,16,2))</f>
        <v/>
      </c>
      <c r="G159" s="2989" t="str">
        <f>IF(IF(LEN(MID(C159,23,2))=1, "[branch#0"&amp;0&amp;MID(C159,23,2)&amp;"] [A] W", "[branch#0"&amp;MID(C159,23,2)&amp;"] [A] W")="[branch#0] [A] W", "", IF(LEN(MID(C159,23,2))=1, "[branch#0"&amp;0&amp;MID(C159,23,2)&amp;"] [A] W", "[branch#0"&amp;MID(C159,23,2)&amp;"] [A] W"))</f>
        <v/>
      </c>
      <c r="H159" s="2989" cm="1">
        <f t="array" ref="H159">INDEX('각층분기별_유효전력최대(전월)'!$C$4:$C$2020,MATCH(1, ('각층분기별_유효전력최대(전월)'!$A$4:$A$2020='7층~4층_매핑테이블'!D159) * ('각층분기별_유효전력최대(전월)'!$B$4:$B$2020='7층~4층_매핑테이블'!E159),0)) + INDEX('각층분기별_유효전력최대(전월)'!$C$4:$C$2020,MATCH(1, ('각층분기별_유효전력최대(전월)'!$A$4:$A$2020='7층~4층_매핑테이블'!F159) * ('각층분기별_유효전력최대(전월)'!$B$4:$B$2020='7층~4층_매핑테이블'!G159),0))</f>
        <v>0</v>
      </c>
      <c r="I159" t="str">
        <f t="shared" si="196"/>
        <v>5-DaHall 1-PDU-05-30-475-DaHall 1-PDU-06-30-45</v>
      </c>
      <c r="J159" s="217" t="s">
        <v>10216</v>
      </c>
      <c r="K159" s="217" t="s">
        <v>10217</v>
      </c>
      <c r="L159" t="str">
        <f t="shared" si="176"/>
        <v>5-DaHall 1-PDU-05</v>
      </c>
      <c r="M159" t="str">
        <f t="shared" si="207"/>
        <v>[branch#047] [A] W</v>
      </c>
      <c r="N159" t="str">
        <f t="shared" si="198"/>
        <v>5-DaHall 1-PDU-06</v>
      </c>
      <c r="O159" t="str">
        <f t="shared" si="208"/>
        <v>[branch#045] [A] W</v>
      </c>
      <c r="P159" s="2989" cm="1">
        <f t="array" ref="P159">INDEX('각층분기별_유효전력최대(전월)'!$F$4:$F$2020,MATCH(1, ('각층분기별_유효전력최대(전월)'!$D$4:$D$2020='7층~4층_매핑테이블'!L159) * ('각층분기별_유효전력최대(전월)'!$E$4:$E$2020='7층~4층_매핑테이블'!M159),0)) + INDEX('각층분기별_유효전력최대(전월)'!$F$4:$F$2020,MATCH(1, ('각층분기별_유효전력최대(전월)'!$D$4:$D$2020='7층~4층_매핑테이블'!N159) * ('각층분기별_유효전력최대(전월)'!$E$4:$E$2020='7층~4층_매핑테이블'!O159),0))</f>
        <v>0</v>
      </c>
      <c r="Q159" s="1" t="str">
        <f t="shared" si="209"/>
        <v>6-DaHall 1-PDU-05-30-466-DaHall 1-PDU-06-30-46</v>
      </c>
      <c r="R159" s="217" t="s">
        <v>10218</v>
      </c>
      <c r="S159" s="217" t="s">
        <v>10219</v>
      </c>
      <c r="T159" t="str">
        <f t="shared" si="182"/>
        <v>6-DaHall 1-PDU-05</v>
      </c>
      <c r="U159" t="str">
        <f t="shared" si="210"/>
        <v>[branch#046] [A] W</v>
      </c>
      <c r="V159" t="str">
        <f t="shared" si="211"/>
        <v>6-DaHall 1-PDU-06</v>
      </c>
      <c r="W159" t="str">
        <f t="shared" si="212"/>
        <v>[branch#046] [A] W</v>
      </c>
      <c r="X159" s="2989" cm="1">
        <f t="array" ref="X159">INDEX('각층분기별_유효전력최대(전월)'!$I$4:$I$2020,MATCH(1, ('각층분기별_유효전력최대(전월)'!$G$4:$G$2020='7층~4층_매핑테이블'!T159) * ('각층분기별_유효전력최대(전월)'!$H$4:$H$2020='7층~4층_매핑테이블'!U159),0)) + INDEX('각층분기별_유효전력최대(전월)'!$I$4:$I$2020,MATCH(1, ('각층분기별_유효전력최대(전월)'!$G$4:$G$2020='7층~4층_매핑테이블'!V159) * ('각층분기별_유효전력최대(전월)'!$H$4:$H$2020='7층~4층_매핑테이블'!W159),0))</f>
        <v>0</v>
      </c>
      <c r="Y159" s="3274" t="str">
        <f t="shared" si="215"/>
        <v>7-DaHall 1-A-1-50-577-DaHall 1-B-1-50-57</v>
      </c>
      <c r="Z159" s="217" t="s">
        <v>10220</v>
      </c>
      <c r="AA159" s="217" t="s">
        <v>10221</v>
      </c>
      <c r="AB159" s="3274" t="str">
        <f t="shared" ref="AB159:AB164" si="217">IF(MID(Z159,16,2)="0","",MID(Z159,1,15)&amp;MID(Z159,16,2))</f>
        <v>7-DaHall 1-A-1-50</v>
      </c>
      <c r="AC159" t="s">
        <v>9593</v>
      </c>
      <c r="AD159" t="str">
        <f t="shared" si="173"/>
        <v>7-DaHall 1-B-1-50</v>
      </c>
      <c r="AE159" t="s">
        <v>9593</v>
      </c>
      <c r="AF159" s="2989" t="e" cm="1">
        <f t="array" ref="AF159">INDEX('각층분기별_유효전력최대(전월)'!$L$4:$L$2020,MATCH(1, ('각층분기별_유효전력최대(전월)'!$J$4:$J$2020='7층~4층_매핑테이블'!AB159) * ('각층분기별_유효전력최대(전월)'!$K$4:$K$2020='7층~4층_매핑테이블'!AC159),0)) + INDEX('각층분기별_유효전력최대(전월)'!$L$4:$L$2020,MATCH(1, ('각층분기별_유효전력최대(전월)'!$J$4:$J$2020='7층~4층_매핑테이블'!AD159) * ('각층분기별_유효전력최대(전월)'!$K$4:$K$2020='7층~4층_매핑테이블'!AE159),0))</f>
        <v>#N/A</v>
      </c>
    </row>
    <row r="160" spans="1:32" x14ac:dyDescent="0.25">
      <c r="A160" t="str">
        <f t="shared" si="214"/>
        <v/>
      </c>
      <c r="B160" s="217"/>
      <c r="C160" s="217"/>
      <c r="D160" s="2989" t="str">
        <f t="shared" si="216"/>
        <v/>
      </c>
      <c r="E160" s="2989" t="str">
        <f t="shared" si="174"/>
        <v/>
      </c>
      <c r="F160" s="2989" t="str">
        <f>IF(MID(C160,16,2)="0","",MID(C160,1,15)&amp;MID(C160,16,2))</f>
        <v/>
      </c>
      <c r="G160" s="2989" t="str">
        <f>IF(IF(LEN(MID(C160,23,2))=1, "[branch#0"&amp;0&amp;MID(C160,23,2)&amp;"] [A] W", "[branch#0"&amp;MID(C160,23,2)&amp;"] [A] W")="[branch#0] [A] W", "", IF(LEN(MID(C160,23,2))=1, "[branch#0"&amp;0&amp;MID(C160,23,2)&amp;"] [A] W", "[branch#0"&amp;MID(C160,23,2)&amp;"] [A] W"))</f>
        <v/>
      </c>
      <c r="H160" s="2989" cm="1">
        <f t="array" ref="H160">INDEX('각층분기별_유효전력최대(전월)'!$C$4:$C$2020,MATCH(1, ('각층분기별_유효전력최대(전월)'!$A$4:$A$2020='7층~4층_매핑테이블'!D160) * ('각층분기별_유효전력최대(전월)'!$B$4:$B$2020='7층~4층_매핑테이블'!E160),0)) + INDEX('각층분기별_유효전력최대(전월)'!$C$4:$C$2020,MATCH(1, ('각층분기별_유효전력최대(전월)'!$A$4:$A$2020='7층~4층_매핑테이블'!F160) * ('각층분기별_유효전력최대(전월)'!$B$4:$B$2020='7층~4층_매핑테이블'!G160),0))</f>
        <v>0</v>
      </c>
      <c r="I160" t="str">
        <f t="shared" si="196"/>
        <v>5-DaHall 1-PDU-05-30-495-DaHall 1-PDU-06-30-47</v>
      </c>
      <c r="J160" s="217" t="s">
        <v>10222</v>
      </c>
      <c r="K160" s="217" t="s">
        <v>10223</v>
      </c>
      <c r="L160" t="str">
        <f t="shared" si="176"/>
        <v>5-DaHall 1-PDU-05</v>
      </c>
      <c r="M160" t="str">
        <f t="shared" si="207"/>
        <v>[branch#049] [A] W</v>
      </c>
      <c r="N160" t="str">
        <f t="shared" si="198"/>
        <v>5-DaHall 1-PDU-06</v>
      </c>
      <c r="O160" t="str">
        <f t="shared" si="208"/>
        <v>[branch#047] [A] W</v>
      </c>
      <c r="P160" s="2989" cm="1">
        <f t="array" ref="P160">INDEX('각층분기별_유효전력최대(전월)'!$F$4:$F$2020,MATCH(1, ('각층분기별_유효전력최대(전월)'!$D$4:$D$2020='7층~4층_매핑테이블'!L160) * ('각층분기별_유효전력최대(전월)'!$E$4:$E$2020='7층~4층_매핑테이블'!M160),0)) + INDEX('각층분기별_유효전력최대(전월)'!$F$4:$F$2020,MATCH(1, ('각층분기별_유효전력최대(전월)'!$D$4:$D$2020='7층~4층_매핑테이블'!N160) * ('각층분기별_유효전력최대(전월)'!$E$4:$E$2020='7층~4층_매핑테이블'!O160),0))</f>
        <v>0</v>
      </c>
      <c r="Q160" s="1" t="str">
        <f t="shared" si="209"/>
        <v>6-DaHall 1-PDU-13-30-16-DaHall 1-PDU-14-30-1</v>
      </c>
      <c r="R160" s="217" t="s">
        <v>10224</v>
      </c>
      <c r="S160" s="217" t="s">
        <v>10225</v>
      </c>
      <c r="T160" t="str">
        <f t="shared" si="182"/>
        <v>6-DaHall 1-PDU-13</v>
      </c>
      <c r="U160" t="str">
        <f t="shared" si="210"/>
        <v>[branch#001] [A] W</v>
      </c>
      <c r="V160" t="str">
        <f t="shared" si="211"/>
        <v>6-DaHall 1-PDU-14</v>
      </c>
      <c r="W160" t="str">
        <f t="shared" si="212"/>
        <v>[branch#001] [A] W</v>
      </c>
      <c r="X160" s="2989" cm="1">
        <f t="array" ref="X160">INDEX('각층분기별_유효전력최대(전월)'!$I$4:$I$2020,MATCH(1, ('각층분기별_유효전력최대(전월)'!$G$4:$G$2020='7층~4층_매핑테이블'!T160) * ('각층분기별_유효전력최대(전월)'!$H$4:$H$2020='7층~4층_매핑테이블'!U160),0)) + INDEX('각층분기별_유효전력최대(전월)'!$I$4:$I$2020,MATCH(1, ('각층분기별_유효전력최대(전월)'!$G$4:$G$2020='7층~4층_매핑테이블'!V160) * ('각층분기별_유효전력최대(전월)'!$H$4:$H$2020='7층~4층_매핑테이블'!W160),0))</f>
        <v>0</v>
      </c>
      <c r="Y160" s="3274" t="str">
        <f t="shared" si="215"/>
        <v>7-DaHall 1-A-1-50-217-DaHall 1-B-1-50-21</v>
      </c>
      <c r="Z160" s="217" t="s">
        <v>10226</v>
      </c>
      <c r="AA160" s="217" t="s">
        <v>10227</v>
      </c>
      <c r="AB160" s="3274" t="str">
        <f t="shared" si="217"/>
        <v>7-DaHall 1-A-1-50</v>
      </c>
      <c r="AC160" t="s">
        <v>9489</v>
      </c>
      <c r="AD160" t="str">
        <f t="shared" si="173"/>
        <v>7-DaHall 1-B-1-50</v>
      </c>
      <c r="AE160" t="s">
        <v>9489</v>
      </c>
      <c r="AF160" s="2989" t="e" cm="1">
        <f t="array" ref="AF160">INDEX('각층분기별_유효전력최대(전월)'!$L$4:$L$2020,MATCH(1, ('각층분기별_유효전력최대(전월)'!$J$4:$J$2020='7층~4층_매핑테이블'!AB160) * ('각층분기별_유효전력최대(전월)'!$K$4:$K$2020='7층~4층_매핑테이블'!AC160),0)) + INDEX('각층분기별_유효전력최대(전월)'!$L$4:$L$2020,MATCH(1, ('각층분기별_유효전력최대(전월)'!$J$4:$J$2020='7층~4층_매핑테이블'!AD160) * ('각층분기별_유효전력최대(전월)'!$K$4:$K$2020='7층~4층_매핑테이블'!AE160),0))</f>
        <v>#N/A</v>
      </c>
    </row>
    <row r="161" spans="1:32" x14ac:dyDescent="0.25">
      <c r="A161" t="str">
        <f t="shared" si="214"/>
        <v/>
      </c>
      <c r="B161" s="217"/>
      <c r="C161" s="217"/>
      <c r="D161" s="2989" t="str">
        <f t="shared" si="216"/>
        <v/>
      </c>
      <c r="E161" s="2989" t="str">
        <f t="shared" si="174"/>
        <v/>
      </c>
      <c r="F161" s="2989" t="str">
        <f t="shared" ref="F161:F165" si="218">IF(MID(C161,16,2)="0","",MID(C161,1,15)&amp;MID(C161,16,2))</f>
        <v/>
      </c>
      <c r="G161" s="2989" t="str">
        <f t="shared" ref="G161:G165" si="219">IF(IF(LEN(MID(C161,23,2))=1, "[branch#0"&amp;0&amp;MID(C161,23,2)&amp;"] [A] W", "[branch#0"&amp;MID(C161,23,2)&amp;"] [A] W")="[branch#0] [A] W", "", IF(LEN(MID(C161,23,2))=1, "[branch#0"&amp;0&amp;MID(C161,23,2)&amp;"] [A] W", "[branch#0"&amp;MID(C161,23,2)&amp;"] [A] W"))</f>
        <v/>
      </c>
      <c r="H161" s="2989" cm="1">
        <f t="array" ref="H161">INDEX('각층분기별_유효전력최대(전월)'!$C$4:$C$2020,MATCH(1, ('각층분기별_유효전력최대(전월)'!$A$4:$A$2020='7층~4층_매핑테이블'!D161) * ('각층분기별_유효전력최대(전월)'!$B$4:$B$2020='7층~4층_매핑테이블'!E161),0)) + INDEX('각층분기별_유효전력최대(전월)'!$C$4:$C$2020,MATCH(1, ('각층분기별_유효전력최대(전월)'!$A$4:$A$2020='7층~4층_매핑테이블'!F161) * ('각층분기별_유효전력최대(전월)'!$B$4:$B$2020='7층~4층_매핑테이블'!G161),0))</f>
        <v>0</v>
      </c>
      <c r="I161" t="str">
        <f t="shared" si="196"/>
        <v>5-DaHall 1-PDU-05-30-515-DaHall 1-PDU-06-30-51</v>
      </c>
      <c r="J161" s="217" t="s">
        <v>10228</v>
      </c>
      <c r="K161" s="217" t="s">
        <v>10229</v>
      </c>
      <c r="L161" t="str">
        <f t="shared" si="176"/>
        <v>5-DaHall 1-PDU-05</v>
      </c>
      <c r="M161" t="str">
        <f t="shared" si="207"/>
        <v>[branch#051] [A] W</v>
      </c>
      <c r="N161" t="str">
        <f t="shared" si="198"/>
        <v>5-DaHall 1-PDU-06</v>
      </c>
      <c r="O161" t="str">
        <f t="shared" si="208"/>
        <v>[branch#051] [A] W</v>
      </c>
      <c r="P161" s="2989" cm="1">
        <f t="array" ref="P161">INDEX('각층분기별_유효전력최대(전월)'!$F$4:$F$2020,MATCH(1, ('각층분기별_유효전력최대(전월)'!$D$4:$D$2020='7층~4층_매핑테이블'!L161) * ('각층분기별_유효전력최대(전월)'!$E$4:$E$2020='7층~4층_매핑테이블'!M161),0)) + INDEX('각층분기별_유효전력최대(전월)'!$F$4:$F$2020,MATCH(1, ('각층분기별_유효전력최대(전월)'!$D$4:$D$2020='7층~4층_매핑테이블'!N161) * ('각층분기별_유효전력최대(전월)'!$E$4:$E$2020='7층~4층_매핑테이블'!O161),0))</f>
        <v>0</v>
      </c>
      <c r="Q161" s="1" t="str">
        <f>R161&amp;S161</f>
        <v>6-DaHall 1-PDU-13-30-36-DaHall 1-PDU-14-30-3</v>
      </c>
      <c r="R161" s="217" t="s">
        <v>10230</v>
      </c>
      <c r="S161" s="217" t="s">
        <v>10231</v>
      </c>
      <c r="T161" t="str">
        <f t="shared" si="182"/>
        <v>6-DaHall 1-PDU-13</v>
      </c>
      <c r="U161" t="str">
        <f t="shared" si="210"/>
        <v>[branch#003] [A] W</v>
      </c>
      <c r="V161" t="str">
        <f>IF(MID(S161,16,2)="0","",MID(S161,1,15)&amp;MID(S161,16,2))</f>
        <v>6-DaHall 1-PDU-14</v>
      </c>
      <c r="W161" t="str">
        <f>IF(IF(LEN((MID(S161,22,2)))=1, "[branch#0"&amp;0&amp;MID(S161,22,2)&amp;"] [A] W", "[branch#0"&amp;MID(S161,22,2)&amp;"] [A] W")="[branch#0] [A] W", "", IF(LEN((MID(S161,22,2)))=1, "[branch#0"&amp;0&amp;MID(S161,22,2)&amp;"] [A] W", "[branch#0"&amp;MID(S161,22,2)&amp;"] [A] W"))</f>
        <v>[branch#003] [A] W</v>
      </c>
      <c r="X161" s="2989" cm="1">
        <f t="array" ref="X161">INDEX('각층분기별_유효전력최대(전월)'!$I$4:$I$2020,MATCH(1, ('각층분기별_유효전력최대(전월)'!$G$4:$G$2020='7층~4층_매핑테이블'!T161) * ('각층분기별_유효전력최대(전월)'!$H$4:$H$2020='7층~4층_매핑테이블'!U161),0)) + INDEX('각층분기별_유효전력최대(전월)'!$I$4:$I$2020,MATCH(1, ('각층분기별_유효전력최대(전월)'!$G$4:$G$2020='7층~4층_매핑테이블'!V161) * ('각층분기별_유효전력최대(전월)'!$H$4:$H$2020='7층~4층_매핑테이블'!W161),0))</f>
        <v>0</v>
      </c>
      <c r="Y161" s="3274" t="str">
        <f t="shared" si="215"/>
        <v>7-DaHall 1-A-1-100-187-DaHall 1-B-1-100-18</v>
      </c>
      <c r="Z161" s="217" t="s">
        <v>10232</v>
      </c>
      <c r="AA161" s="217" t="s">
        <v>10233</v>
      </c>
      <c r="AB161" s="3274" t="str">
        <f t="shared" si="217"/>
        <v>7-DaHall 1-A-1-10</v>
      </c>
      <c r="AC161" t="s">
        <v>9473</v>
      </c>
      <c r="AD161" t="str">
        <f t="shared" si="173"/>
        <v>7-DaHall 1-B-1-10</v>
      </c>
      <c r="AE161" t="s">
        <v>9473</v>
      </c>
      <c r="AF161" s="2989" t="e" cm="1">
        <f t="array" ref="AF161">INDEX('각층분기별_유효전력최대(전월)'!$L$4:$L$2020,MATCH(1, ('각층분기별_유효전력최대(전월)'!$J$4:$J$2020='7층~4층_매핑테이블'!AB161) * ('각층분기별_유효전력최대(전월)'!$K$4:$K$2020='7층~4층_매핑테이블'!AC161),0)) + INDEX('각층분기별_유효전력최대(전월)'!$L$4:$L$2020,MATCH(1, ('각층분기별_유효전력최대(전월)'!$J$4:$J$2020='7층~4층_매핑테이블'!AD161) * ('각층분기별_유효전력최대(전월)'!$K$4:$K$2020='7층~4층_매핑테이블'!AE161),0))</f>
        <v>#N/A</v>
      </c>
    </row>
    <row r="162" spans="1:32" x14ac:dyDescent="0.25">
      <c r="A162" t="str">
        <f t="shared" si="214"/>
        <v/>
      </c>
      <c r="B162" s="217"/>
      <c r="C162" s="217"/>
      <c r="D162" s="2989" t="str">
        <f t="shared" si="216"/>
        <v/>
      </c>
      <c r="E162" s="2989" t="str">
        <f t="shared" si="174"/>
        <v/>
      </c>
      <c r="F162" s="2989" t="str">
        <f t="shared" si="218"/>
        <v/>
      </c>
      <c r="G162" s="2989" t="str">
        <f t="shared" si="219"/>
        <v/>
      </c>
      <c r="H162" s="2989" cm="1">
        <f t="array" ref="H162">INDEX('각층분기별_유효전력최대(전월)'!$C$4:$C$2020,MATCH(1, ('각층분기별_유효전력최대(전월)'!$A$4:$A$2020='7층~4층_매핑테이블'!D162) * ('각층분기별_유효전력최대(전월)'!$B$4:$B$2020='7층~4층_매핑테이블'!E162),0)) + INDEX('각층분기별_유효전력최대(전월)'!$C$4:$C$2020,MATCH(1, ('각층분기별_유효전력최대(전월)'!$A$4:$A$2020='7층~4층_매핑테이블'!F162) * ('각층분기별_유효전력최대(전월)'!$B$4:$B$2020='7층~4층_매핑테이블'!G162),0))</f>
        <v>0</v>
      </c>
      <c r="I162" t="str">
        <f t="shared" si="196"/>
        <v>5-DaHall 1-PDU-05-30-535-DaHall 1-PDU-06-30-53</v>
      </c>
      <c r="J162" s="217" t="s">
        <v>10234</v>
      </c>
      <c r="K162" s="217" t="s">
        <v>10235</v>
      </c>
      <c r="L162" t="str">
        <f t="shared" si="176"/>
        <v>5-DaHall 1-PDU-05</v>
      </c>
      <c r="M162" t="str">
        <f t="shared" si="207"/>
        <v>[branch#053] [A] W</v>
      </c>
      <c r="N162" t="str">
        <f t="shared" si="198"/>
        <v>5-DaHall 1-PDU-06</v>
      </c>
      <c r="O162" t="str">
        <f t="shared" si="208"/>
        <v>[branch#053] [A] W</v>
      </c>
      <c r="P162" s="2989" cm="1">
        <f t="array" ref="P162">INDEX('각층분기별_유효전력최대(전월)'!$F$4:$F$2020,MATCH(1, ('각층분기별_유효전력최대(전월)'!$D$4:$D$2020='7층~4층_매핑테이블'!L162) * ('각층분기별_유효전력최대(전월)'!$E$4:$E$2020='7층~4층_매핑테이블'!M162),0)) + INDEX('각층분기별_유효전력최대(전월)'!$F$4:$F$2020,MATCH(1, ('각층분기별_유효전력최대(전월)'!$D$4:$D$2020='7층~4층_매핑테이블'!N162) * ('각층분기별_유효전력최대(전월)'!$E$4:$E$2020='7층~4층_매핑테이블'!O162),0))</f>
        <v>0</v>
      </c>
      <c r="Q162" s="1" t="str">
        <f t="shared" si="209"/>
        <v>6-DaHall 1-PDU-13-30-56-DaHall 1-PDU-14-30-5</v>
      </c>
      <c r="R162" s="217" t="s">
        <v>10236</v>
      </c>
      <c r="S162" s="217" t="s">
        <v>10237</v>
      </c>
      <c r="T162" t="str">
        <f t="shared" si="182"/>
        <v>6-DaHall 1-PDU-13</v>
      </c>
      <c r="U162" t="str">
        <f t="shared" si="210"/>
        <v>[branch#005] [A] W</v>
      </c>
      <c r="V162" t="str">
        <f t="shared" si="211"/>
        <v>6-DaHall 1-PDU-14</v>
      </c>
      <c r="W162" t="str">
        <f t="shared" si="212"/>
        <v>[branch#005] [A] W</v>
      </c>
      <c r="X162" s="2989" cm="1">
        <f t="array" ref="X162">INDEX('각층분기별_유효전력최대(전월)'!$I$4:$I$2020,MATCH(1, ('각층분기별_유효전력최대(전월)'!$G$4:$G$2020='7층~4층_매핑테이블'!T162) * ('각층분기별_유효전력최대(전월)'!$H$4:$H$2020='7층~4층_매핑테이블'!U162),0)) + INDEX('각층분기별_유효전력최대(전월)'!$I$4:$I$2020,MATCH(1, ('각층분기별_유효전력최대(전월)'!$G$4:$G$2020='7층~4층_매핑테이블'!V162) * ('각층분기별_유효전력최대(전월)'!$H$4:$H$2020='7층~4층_매핑테이블'!W162),0))</f>
        <v>0</v>
      </c>
      <c r="Y162" s="3274" t="str">
        <f t="shared" si="215"/>
        <v>7-DaHall 1-A-1-100-237-DaHall 1-B-1-100-23</v>
      </c>
      <c r="Z162" s="217" t="s">
        <v>10238</v>
      </c>
      <c r="AA162" s="217" t="s">
        <v>10239</v>
      </c>
      <c r="AB162" s="3274" t="str">
        <f t="shared" si="217"/>
        <v>7-DaHall 1-A-1-10</v>
      </c>
      <c r="AC162" t="s">
        <v>9497</v>
      </c>
      <c r="AD162" t="str">
        <f t="shared" si="173"/>
        <v>7-DaHall 1-B-1-10</v>
      </c>
      <c r="AE162" t="s">
        <v>9497</v>
      </c>
      <c r="AF162" s="2989" t="e" cm="1">
        <f t="array" ref="AF162">INDEX('각층분기별_유효전력최대(전월)'!$L$4:$L$2020,MATCH(1, ('각층분기별_유효전력최대(전월)'!$J$4:$J$2020='7층~4층_매핑테이블'!AB162) * ('각층분기별_유효전력최대(전월)'!$K$4:$K$2020='7층~4층_매핑테이블'!AC162),0)) + INDEX('각층분기별_유효전력최대(전월)'!$L$4:$L$2020,MATCH(1, ('각층분기별_유효전력최대(전월)'!$J$4:$J$2020='7층~4층_매핑테이블'!AD162) * ('각층분기별_유효전력최대(전월)'!$K$4:$K$2020='7층~4층_매핑테이블'!AE162),0))</f>
        <v>#N/A</v>
      </c>
    </row>
    <row r="163" spans="1:32" x14ac:dyDescent="0.25">
      <c r="A163" t="str">
        <f t="shared" si="214"/>
        <v/>
      </c>
      <c r="B163" s="217"/>
      <c r="C163" s="217"/>
      <c r="D163" s="2989" t="str">
        <f t="shared" si="216"/>
        <v/>
      </c>
      <c r="E163" s="2989" t="str">
        <f t="shared" si="174"/>
        <v/>
      </c>
      <c r="F163" s="2989" t="str">
        <f t="shared" si="218"/>
        <v/>
      </c>
      <c r="G163" s="2989" t="str">
        <f t="shared" si="219"/>
        <v/>
      </c>
      <c r="H163" s="2989" cm="1">
        <f t="array" ref="H163">INDEX('각층분기별_유효전력최대(전월)'!$C$4:$C$2020,MATCH(1, ('각층분기별_유효전력최대(전월)'!$A$4:$A$2020='7층~4층_매핑테이블'!D163) * ('각층분기별_유효전력최대(전월)'!$B$4:$B$2020='7층~4층_매핑테이블'!E163),0)) + INDEX('각층분기별_유효전력최대(전월)'!$C$4:$C$2020,MATCH(1, ('각층분기별_유효전력최대(전월)'!$A$4:$A$2020='7층~4층_매핑테이블'!F163) * ('각층분기별_유효전력최대(전월)'!$B$4:$B$2020='7층~4층_매핑테이블'!G163),0))</f>
        <v>0</v>
      </c>
      <c r="I163" t="str">
        <f t="shared" si="196"/>
        <v/>
      </c>
      <c r="J163" s="217"/>
      <c r="K163" s="217"/>
      <c r="L163" t="str">
        <f t="shared" si="176"/>
        <v/>
      </c>
      <c r="M163" t="str">
        <f>IF(IF(LEN((MID(J163,22,2)))=1, "[branch#0"&amp;0&amp;MID(J163,22,2)&amp;"] [A] W", "[branch#0"&amp;MID(J163,22,2)&amp;"] [A] W")="[branch#0] [A] W", "", IF(LEN((MID(J163,22,2)))=1, "[branch#0"&amp;0&amp;MID(J163,22,2)&amp;"] [A] W", "[branch#0"&amp;MID(J163,22,2)&amp;"] [A] W"))</f>
        <v/>
      </c>
      <c r="N163" t="str">
        <f t="shared" si="198"/>
        <v/>
      </c>
      <c r="O163" t="str">
        <f>IF(IF(LEN((MID(K163,22,2)))=1, "[branch#0"&amp;0&amp;MID(K163,22,2)&amp;"] [A] W", "[branch#0"&amp;MID(K163,22,2)&amp;"] [A] W")="[branch#0] [A] W", "", IF(LEN((MID(K163,22,2)))=1, "[branch#0"&amp;0&amp;MID(K163,22,2)&amp;"] [A] W", "[branch#0"&amp;MID(K163,22,2)&amp;"] [A] W"))</f>
        <v/>
      </c>
      <c r="P163" s="2989" cm="1">
        <f t="array" ref="P163">INDEX('각층분기별_유효전력최대(전월)'!$F$4:$F$2020,MATCH(1, ('각층분기별_유효전력최대(전월)'!$D$4:$D$2020='7층~4층_매핑테이블'!L163) * ('각층분기별_유효전력최대(전월)'!$E$4:$E$2020='7층~4층_매핑테이블'!M163),0)) + INDEX('각층분기별_유효전력최대(전월)'!$F$4:$F$2020,MATCH(1, ('각층분기별_유효전력최대(전월)'!$D$4:$D$2020='7층~4층_매핑테이블'!N163) * ('각층분기별_유효전력최대(전월)'!$E$4:$E$2020='7층~4층_매핑테이블'!O163),0))</f>
        <v>0</v>
      </c>
      <c r="Q163" s="1" t="str">
        <f t="shared" si="209"/>
        <v>6-DaHall 1-PDU-13-30-76-DaHall 1-PDU-14-30-7</v>
      </c>
      <c r="R163" s="217" t="s">
        <v>10240</v>
      </c>
      <c r="S163" s="217" t="s">
        <v>10241</v>
      </c>
      <c r="T163" t="str">
        <f t="shared" si="182"/>
        <v>6-DaHall 1-PDU-13</v>
      </c>
      <c r="U163" t="str">
        <f t="shared" si="210"/>
        <v>[branch#007] [A] W</v>
      </c>
      <c r="V163" t="str">
        <f t="shared" si="211"/>
        <v>6-DaHall 1-PDU-14</v>
      </c>
      <c r="W163" t="str">
        <f t="shared" si="212"/>
        <v>[branch#007] [A] W</v>
      </c>
      <c r="X163" s="2989" cm="1">
        <f t="array" ref="X163">INDEX('각층분기별_유효전력최대(전월)'!$I$4:$I$2020,MATCH(1, ('각층분기별_유효전력최대(전월)'!$G$4:$G$2020='7층~4층_매핑테이블'!T163) * ('각층분기별_유효전력최대(전월)'!$H$4:$H$2020='7층~4층_매핑테이블'!U163),0)) + INDEX('각층분기별_유효전력최대(전월)'!$I$4:$I$2020,MATCH(1, ('각층분기별_유효전력최대(전월)'!$G$4:$G$2020='7층~4층_매핑테이블'!V163) * ('각층분기별_유효전력최대(전월)'!$H$4:$H$2020='7층~4층_매핑테이블'!W163),0))</f>
        <v>0</v>
      </c>
      <c r="Y163" s="3274" t="str">
        <f t="shared" si="215"/>
        <v>7-DaHall 1-PDU-01-30-307-DaHall 1-PDU-02-30-30</v>
      </c>
      <c r="Z163" s="217" t="s">
        <v>10242</v>
      </c>
      <c r="AA163" s="217" t="s">
        <v>10243</v>
      </c>
      <c r="AB163" s="3274" t="str">
        <f t="shared" si="217"/>
        <v>7-DaHall 1-PDU-01</v>
      </c>
      <c r="AC163" t="s">
        <v>9375</v>
      </c>
      <c r="AD163" t="str">
        <f t="shared" si="173"/>
        <v>7-DaHall 1-PDU-02</v>
      </c>
      <c r="AE163" t="s">
        <v>9375</v>
      </c>
      <c r="AF163" s="2989" cm="1">
        <f t="array" ref="AF163">INDEX('각층분기별_유효전력최대(전월)'!$L$4:$L$2020,MATCH(1, ('각층분기별_유효전력최대(전월)'!$J$4:$J$2020='7층~4층_매핑테이블'!AB163) * ('각층분기별_유효전력최대(전월)'!$K$4:$K$2020='7층~4층_매핑테이블'!AC163),0)) + INDEX('각층분기별_유효전력최대(전월)'!$L$4:$L$2020,MATCH(1, ('각층분기별_유효전력최대(전월)'!$J$4:$J$2020='7층~4층_매핑테이블'!AD163) * ('각층분기별_유효전력최대(전월)'!$K$4:$K$2020='7층~4층_매핑테이블'!AE163),0))</f>
        <v>0.157</v>
      </c>
    </row>
    <row r="164" spans="1:32" x14ac:dyDescent="0.25">
      <c r="A164" t="str">
        <f t="shared" si="214"/>
        <v/>
      </c>
      <c r="B164" s="217"/>
      <c r="C164" s="217"/>
      <c r="D164" s="2989" t="str">
        <f>IF(MID(B164,16,2)="0","",MID(B164,1,15)&amp;MID(B164,16,2))</f>
        <v/>
      </c>
      <c r="E164" s="2989" t="str">
        <f t="shared" si="174"/>
        <v/>
      </c>
      <c r="F164" s="2989" t="str">
        <f t="shared" si="218"/>
        <v/>
      </c>
      <c r="G164" s="2989" t="str">
        <f t="shared" si="219"/>
        <v/>
      </c>
      <c r="H164" s="2989" cm="1">
        <f t="array" ref="H164">INDEX('각층분기별_유효전력최대(전월)'!$C$4:$C$2020,MATCH(1, ('각층분기별_유효전력최대(전월)'!$A$4:$A$2020='7층~4층_매핑테이블'!D164) * ('각층분기별_유효전력최대(전월)'!$B$4:$B$2020='7층~4층_매핑테이블'!E164),0)) + INDEX('각층분기별_유효전력최대(전월)'!$C$4:$C$2020,MATCH(1, ('각층분기별_유효전력최대(전월)'!$A$4:$A$2020='7층~4층_매핑테이블'!F164) * ('각층분기별_유효전력최대(전월)'!$B$4:$B$2020='7층~4층_매핑테이블'!G164),0))</f>
        <v>0</v>
      </c>
      <c r="I164" t="str">
        <f t="shared" si="196"/>
        <v/>
      </c>
      <c r="J164" s="217"/>
      <c r="K164" s="217"/>
      <c r="L164" t="str">
        <f t="shared" si="176"/>
        <v/>
      </c>
      <c r="M164" t="str">
        <f t="shared" ref="M164" si="220">IF(IF(LEN((MID(J164,22,2)))=1, "[branch#0"&amp;0&amp;MID(J164,22,2)&amp;"] [A] W", "[branch#0"&amp;MID(J164,22,2)&amp;"] [A] W")="[branch#0] [A] W", "", IF(LEN((MID(J164,22,2)))=1, "[branch#0"&amp;0&amp;MID(J164,22,2)&amp;"] [A] W", "[branch#0"&amp;MID(J164,22,2)&amp;"] [A] W"))</f>
        <v/>
      </c>
      <c r="N164" t="str">
        <f t="shared" si="198"/>
        <v/>
      </c>
      <c r="O164" t="str">
        <f t="shared" ref="O164" si="221">IF(IF(LEN((MID(K164,22,2)))=1, "[branch#0"&amp;0&amp;MID(K164,22,2)&amp;"] [A] W", "[branch#0"&amp;MID(K164,22,2)&amp;"] [A] W")="[branch#0] [A] W", "", IF(LEN((MID(K164,22,2)))=1, "[branch#0"&amp;0&amp;MID(K164,22,2)&amp;"] [A] W", "[branch#0"&amp;MID(K164,22,2)&amp;"] [A] W"))</f>
        <v/>
      </c>
      <c r="P164" s="2989" cm="1">
        <f t="array" ref="P164">INDEX('각층분기별_유효전력최대(전월)'!$F$4:$F$2020,MATCH(1, ('각층분기별_유효전력최대(전월)'!$D$4:$D$2020='7층~4층_매핑테이블'!L164) * ('각층분기별_유효전력최대(전월)'!$E$4:$E$2020='7층~4층_매핑테이블'!M164),0)) + INDEX('각층분기별_유효전력최대(전월)'!$F$4:$F$2020,MATCH(1, ('각층분기별_유효전력최대(전월)'!$D$4:$D$2020='7층~4층_매핑테이블'!N164) * ('각층분기별_유효전력최대(전월)'!$E$4:$E$2020='7층~4층_매핑테이블'!O164),0))</f>
        <v>0</v>
      </c>
      <c r="Q164" s="1" t="str">
        <f>R164&amp;S164</f>
        <v/>
      </c>
      <c r="R164" s="217"/>
      <c r="S164" s="217"/>
      <c r="T164" t="str">
        <f t="shared" si="182"/>
        <v/>
      </c>
      <c r="U164" t="str">
        <f>IF(IF(LEN((MID(R164,22,2)))=1, "[branch#0"&amp;0&amp;MID(R164,22,2)&amp;"] [A] W", "[branch#0"&amp;MID(R164,22,2)&amp;"] [A] W")="[branch#0] [A] W", "", IF(LEN((MID(R164,22,2)))=1, "[branch#0"&amp;0&amp;MID(R164,22,2)&amp;"] [A] W", "[branch#0"&amp;MID(R164,22,2)&amp;"] [A] W"))</f>
        <v/>
      </c>
      <c r="V164" t="str">
        <f>IF(MID(S164,16,2)="0","",MID(S164,1,15)&amp;MID(S164,16,2))</f>
        <v/>
      </c>
      <c r="W164" t="str">
        <f>IF(IF(LEN((MID(S164,22,2)))=1, "[branch#0"&amp;0&amp;MID(S164,22,2)&amp;"] [A] W", "[branch#0"&amp;MID(S164,22,2)&amp;"] [A] W")="[branch#0] [A] W", "", IF(LEN((MID(S164,22,2)))=1, "[branch#0"&amp;0&amp;MID(S164,22,2)&amp;"] [A] W", "[branch#0"&amp;MID(S164,22,2)&amp;"] [A] W"))</f>
        <v/>
      </c>
      <c r="X164" s="2989" cm="1">
        <f t="array" ref="X164">INDEX('각층분기별_유효전력최대(전월)'!$I$4:$I$2020,MATCH(1, ('각층분기별_유효전력최대(전월)'!$G$4:$G$2020='7층~4층_매핑테이블'!T164) * ('각층분기별_유효전력최대(전월)'!$H$4:$H$2020='7층~4층_매핑테이블'!U164),0)) + INDEX('각층분기별_유효전력최대(전월)'!$I$4:$I$2020,MATCH(1, ('각층분기별_유효전력최대(전월)'!$G$4:$G$2020='7층~4층_매핑테이블'!V164) * ('각층분기별_유효전력최대(전월)'!$H$4:$H$2020='7층~4층_매핑테이블'!W164),0))</f>
        <v>0</v>
      </c>
      <c r="Y164" s="3274" t="str">
        <f t="shared" si="215"/>
        <v>7-DaHall 1-PDU-01-30-137-DaHall 1-PDU-02-30-13</v>
      </c>
      <c r="Z164" s="217" t="s">
        <v>10244</v>
      </c>
      <c r="AA164" s="217" t="s">
        <v>10245</v>
      </c>
      <c r="AB164" s="3274" t="str">
        <f t="shared" si="217"/>
        <v>7-DaHall 1-PDU-01</v>
      </c>
      <c r="AC164" t="s">
        <v>9398</v>
      </c>
      <c r="AD164" t="str">
        <f t="shared" si="173"/>
        <v>7-DaHall 1-PDU-02</v>
      </c>
      <c r="AE164" t="s">
        <v>9398</v>
      </c>
      <c r="AF164" s="2989" cm="1">
        <f t="array" ref="AF164">INDEX('각층분기별_유효전력최대(전월)'!$L$4:$L$2020,MATCH(1, ('각층분기별_유효전력최대(전월)'!$J$4:$J$2020='7층~4층_매핑테이블'!AB164) * ('각층분기별_유효전력최대(전월)'!$K$4:$K$2020='7층~4층_매핑테이블'!AC164),0)) + INDEX('각층분기별_유효전력최대(전월)'!$L$4:$L$2020,MATCH(1, ('각층분기별_유효전력최대(전월)'!$J$4:$J$2020='7층~4층_매핑테이블'!AD164) * ('각층분기별_유효전력최대(전월)'!$K$4:$K$2020='7층~4층_매핑테이블'!AE164),0))</f>
        <v>2.536</v>
      </c>
    </row>
    <row r="165" spans="1:32" x14ac:dyDescent="0.25">
      <c r="A165" t="str">
        <f t="shared" si="214"/>
        <v/>
      </c>
      <c r="B165" s="217"/>
      <c r="C165" s="217"/>
      <c r="D165" s="2989" t="str">
        <f>IF(MID(B165,16,2)="0","",MID(B165,1,15)&amp;MID(B165,16,2))</f>
        <v/>
      </c>
      <c r="E165" s="2989" t="str">
        <f t="shared" si="174"/>
        <v/>
      </c>
      <c r="F165" s="2989" t="str">
        <f t="shared" si="218"/>
        <v/>
      </c>
      <c r="G165" s="2989" t="str">
        <f t="shared" si="219"/>
        <v/>
      </c>
      <c r="H165" s="2989" cm="1">
        <f t="array" ref="H165">INDEX('각층분기별_유효전력최대(전월)'!$C$4:$C$2020,MATCH(1, ('각층분기별_유효전력최대(전월)'!$A$4:$A$2020='7층~4층_매핑테이블'!D165) * ('각층분기별_유효전력최대(전월)'!$B$4:$B$2020='7층~4층_매핑테이블'!E165),0)) + INDEX('각층분기별_유효전력최대(전월)'!$C$4:$C$2020,MATCH(1, ('각층분기별_유효전력최대(전월)'!$A$4:$A$2020='7층~4층_매핑테이블'!F165) * ('각층분기별_유효전력최대(전월)'!$B$4:$B$2020='7층~4층_매핑테이블'!G165),0))</f>
        <v>0</v>
      </c>
      <c r="I165" t="str">
        <f t="shared" si="196"/>
        <v>5-DaHall 1-PDU-19-50-225-DaHall 1-PDU-20-50-22</v>
      </c>
      <c r="J165" s="3107" t="s">
        <v>10246</v>
      </c>
      <c r="K165" s="3107" t="s">
        <v>10247</v>
      </c>
      <c r="L165" t="str">
        <f t="shared" si="176"/>
        <v>5-DaHall 1-PDU-19</v>
      </c>
      <c r="M165" t="str">
        <f>IF(IF(LEN((MID(J165,22,2)))=1, "[branch#0"&amp;0&amp;MID(J165,22,2)&amp;"] [A] W", "[branch#0"&amp;MID(J165,22,2)&amp;"] [A] W")="[branch#0] [A] W", "", IF(LEN((MID(J165,22,2)))=1, "[branch#0"&amp;0&amp;MID(J165,22,2)&amp;"] [A] W", "[branch#0"&amp;MID(J165,22,2)&amp;"] [A] W"))</f>
        <v>[branch#022] [A] W</v>
      </c>
      <c r="N165" t="str">
        <f t="shared" si="198"/>
        <v>5-DaHall 1-PDU-20</v>
      </c>
      <c r="O165" t="str">
        <f>IF(IF(LEN((MID(K165,22,2)))=1, "[branch#"&amp;0&amp;MID(K165,22,2)&amp;"] [A] W", "[branch#"&amp;MID(K165,22,2)&amp;"] [A] W")="[branch#] [A] W", "", IF(LEN((MID(K165,22,2)))=1, "3095 [branch#"&amp;0&amp;MID(K165,22,2)&amp;"] [A] W", "3095 [branch#"&amp;MID(K165,22,2)&amp;"] [A] W"))</f>
        <v>3095 [branch#22] [A] W</v>
      </c>
      <c r="P165" s="2989" t="e" cm="1">
        <f t="array" ref="P165">INDEX('각층분기별_유효전력최대(전월)'!$F$4:$F$2020,MATCH(1, ('각층분기별_유효전력최대(전월)'!$D$4:$D$2020='7층~4층_매핑테이블'!L165) * ('각층분기별_유효전력최대(전월)'!$E$4:$E$2020='7층~4층_매핑테이블'!M165),0)) + INDEX('각층분기별_유효전력최대(전월)'!$F$4:$F$2020,MATCH(1, ('각층분기별_유효전력최대(전월)'!$D$4:$D$2020='7층~4층_매핑테이블'!N165) * ('각층분기별_유효전력최대(전월)'!$E$4:$E$2020='7층~4층_매핑테이블'!O165),0))</f>
        <v>#N/A</v>
      </c>
      <c r="Q165" s="1" t="str">
        <f t="shared" ref="Q165" si="222">R165&amp;S165</f>
        <v/>
      </c>
      <c r="R165" s="217"/>
      <c r="S165" s="217"/>
      <c r="T165" t="str">
        <f t="shared" si="182"/>
        <v/>
      </c>
      <c r="U165" t="str">
        <f t="shared" ref="U165" si="223">IF(IF(LEN((MID(R165,22,2)))=1, "[branch#0"&amp;0&amp;MID(R165,22,2)&amp;"] [A] W", "[branch#0"&amp;MID(R165,22,2)&amp;"] [A] W")="[branch#0] [A] W", "", IF(LEN((MID(R165,22,2)))=1, "[branch#0"&amp;0&amp;MID(R165,22,2)&amp;"] [A] W", "[branch#0"&amp;MID(R165,22,2)&amp;"] [A] W"))</f>
        <v/>
      </c>
      <c r="V165" t="str">
        <f t="shared" ref="V165" si="224">IF(MID(S165,16,2)="0","",MID(S165,1,15)&amp;MID(S165,16,2))</f>
        <v/>
      </c>
      <c r="W165" t="str">
        <f t="shared" ref="W165" si="225">IF(IF(LEN((MID(S165,22,2)))=1, "[branch#0"&amp;0&amp;MID(S165,22,2)&amp;"] [A] W", "[branch#0"&amp;MID(S165,22,2)&amp;"] [A] W")="[branch#0] [A] W", "", IF(LEN((MID(S165,22,2)))=1, "[branch#0"&amp;0&amp;MID(S165,22,2)&amp;"] [A] W", "[branch#0"&amp;MID(S165,22,2)&amp;"] [A] W"))</f>
        <v/>
      </c>
      <c r="X165" s="2989" cm="1">
        <f t="array" ref="X165">INDEX('각층분기별_유효전력최대(전월)'!$I$4:$I$2020,MATCH(1, ('각층분기별_유효전력최대(전월)'!$G$4:$G$2020='7층~4층_매핑테이블'!T165) * ('각층분기별_유효전력최대(전월)'!$H$4:$H$2020='7층~4층_매핑테이블'!U165),0)) + INDEX('각층분기별_유효전력최대(전월)'!$I$4:$I$2020,MATCH(1, ('각층분기별_유효전력최대(전월)'!$G$4:$G$2020='7층~4층_매핑테이블'!V165) * ('각층분기별_유효전력최대(전월)'!$H$4:$H$2020='7층~4층_매핑테이블'!W165),0))</f>
        <v>0</v>
      </c>
      <c r="Y165" s="3274" t="str">
        <f>Z165&amp;AA165</f>
        <v>7-DaHall 1-PDU-01-30-117-DaHall 1-PDU-02-30-11</v>
      </c>
      <c r="Z165" s="217" t="s">
        <v>10248</v>
      </c>
      <c r="AA165" s="217" t="s">
        <v>10249</v>
      </c>
      <c r="AB165" s="3274" t="str">
        <f>IF(MID(Z165,16,2)="0","",MID(Z165,1,15)&amp;MID(Z165,16,2))</f>
        <v>7-DaHall 1-PDU-01</v>
      </c>
      <c r="AC165" t="s">
        <v>9386</v>
      </c>
      <c r="AD165" t="str">
        <f t="shared" si="173"/>
        <v>7-DaHall 1-PDU-02</v>
      </c>
      <c r="AE165" t="s">
        <v>9386</v>
      </c>
      <c r="AF165" s="2989" cm="1">
        <f t="array" ref="AF165">INDEX('각층분기별_유효전력최대(전월)'!$L$4:$L$2020,MATCH(1, ('각층분기별_유효전력최대(전월)'!$J$4:$J$2020='7층~4층_매핑테이블'!AB165) * ('각층분기별_유효전력최대(전월)'!$K$4:$K$2020='7층~4층_매핑테이블'!AC165),0)) + INDEX('각층분기별_유효전력최대(전월)'!$L$4:$L$2020,MATCH(1, ('각층분기별_유효전력최대(전월)'!$J$4:$J$2020='7층~4층_매핑테이블'!AD165) * ('각층분기별_유효전력최대(전월)'!$K$4:$K$2020='7층~4층_매핑테이블'!AE165),0))</f>
        <v>2.4990000000000001</v>
      </c>
    </row>
    <row r="166" spans="1:32" x14ac:dyDescent="0.25">
      <c r="A166" t="str">
        <f>B166&amp;C166</f>
        <v>4-DaHall 1-PDU-02-100-64-DaHall 1-PDU-01-100-6</v>
      </c>
      <c r="B166" s="217" t="s">
        <v>10250</v>
      </c>
      <c r="C166" s="217" t="s">
        <v>10251</v>
      </c>
      <c r="D166" s="2989" t="str">
        <f>IF(MID(B166,16,2)="0","",MID(B166,1,15)&amp;MID(B166,16,2))</f>
        <v>4-DaHall 1-PDU-02</v>
      </c>
      <c r="E166" s="2989" t="str">
        <f t="shared" si="174"/>
        <v>[branch#006] [A] W</v>
      </c>
      <c r="F166" s="2989" t="str">
        <f>IF(MID(C166,16,2)="0","",MID(C166,1,15)&amp;MID(C166,16,2))</f>
        <v>4-DaHall 1-PDU-01</v>
      </c>
      <c r="G166" s="2989" t="str">
        <f>IF(IF(LEN(MID(C166,23,2))=1, "[branch#0"&amp;0&amp;MID(C166,23,2)&amp;"] [A] W", "[branch#0"&amp;MID(C166,23,2)&amp;"] [A] W")="[branch#0] [A] W", "", IF(LEN(MID(C166,23,2))=1, "[branch#0"&amp;0&amp;MID(C166,23,2)&amp;"] [A] W", "[branch#0"&amp;MID(C166,23,2)&amp;"] [A] W"))</f>
        <v>[branch#006] [A] W</v>
      </c>
      <c r="H166" s="2989" cm="1">
        <f t="array" ref="H166">INDEX('각층분기별_유효전력최대(전월)'!$C$4:$C$2020,MATCH(1, ('각층분기별_유효전력최대(전월)'!$A$4:$A$2020='7층~4층_매핑테이블'!D166) * ('각층분기별_유효전력최대(전월)'!$B$4:$B$2020='7층~4층_매핑테이블'!E166),0)) + INDEX('각층분기별_유효전력최대(전월)'!$C$4:$C$2020,MATCH(1, ('각층분기별_유효전력최대(전월)'!$A$4:$A$2020='7층~4층_매핑테이블'!F166) * ('각층분기별_유효전력최대(전월)'!$B$4:$B$2020='7층~4층_매핑테이블'!G166),0))</f>
        <v>7.6850000000000005</v>
      </c>
      <c r="I166" t="str">
        <f t="shared" si="196"/>
        <v>5-DaHall 1-PDU-21-50-225-DaHall 1-PDU-22-50-22</v>
      </c>
      <c r="J166" s="3107" t="s">
        <v>10252</v>
      </c>
      <c r="K166" s="3107" t="s">
        <v>10253</v>
      </c>
      <c r="L166" t="str">
        <f t="shared" si="176"/>
        <v>5-DaHall 1-PDU-21</v>
      </c>
      <c r="M166" t="str">
        <f t="shared" ref="M166:M192" si="226">IF(IF(LEN((MID(J166,22,2)))=1, "[branch#0"&amp;0&amp;MID(J166,22,2)&amp;"] [A] W", "[branch#0"&amp;MID(J166,22,2)&amp;"] [A] W")="[branch#0] [A] W", "", IF(LEN((MID(J166,22,2)))=1, "[branch#0"&amp;0&amp;MID(J166,22,2)&amp;"] [A] W", "[branch#0"&amp;MID(J166,22,2)&amp;"] [A] W"))</f>
        <v>[branch#022] [A] W</v>
      </c>
      <c r="N166" t="str">
        <f t="shared" si="198"/>
        <v>5-DaHall 1-PDU-22</v>
      </c>
      <c r="O166" t="str">
        <f>IF(IF(LEN((MID(K166,22,2)))=1, "[branch#"&amp;0&amp;MID(K166,22,2)&amp;"] [A] W", "[branch#"&amp;MID(K166,22,2)&amp;"] [A] W")="[branch#] [A] W", "", IF(LEN((MID(K166,22,2)))=1, "3095 [branch#"&amp;0&amp;MID(K166,22,2)&amp;"] [A] W", "3095 [branch#"&amp;MID(K166,22,2)&amp;"] [A] W"))</f>
        <v>3095 [branch#22] [A] W</v>
      </c>
      <c r="P166" s="2989" t="e" cm="1">
        <f t="array" ref="P166">INDEX('각층분기별_유효전력최대(전월)'!$F$4:$F$2020,MATCH(1, ('각층분기별_유효전력최대(전월)'!$D$4:$D$2020='7층~4층_매핑테이블'!L166) * ('각층분기별_유효전력최대(전월)'!$E$4:$E$2020='7층~4층_매핑테이블'!M166),0)) + INDEX('각층분기별_유효전력최대(전월)'!$F$4:$F$2020,MATCH(1, ('각층분기별_유효전력최대(전월)'!$D$4:$D$2020='7층~4층_매핑테이블'!N166) * ('각층분기별_유효전력최대(전월)'!$E$4:$E$2020='7층~4층_매핑테이블'!O166),0))</f>
        <v>#N/A</v>
      </c>
      <c r="Q166" s="1" t="str">
        <f>R166&amp;S166</f>
        <v>6-DaHall 1-PDU-13-30-526-DaHall 1-PDU-14-30-52</v>
      </c>
      <c r="R166" s="217" t="s">
        <v>10254</v>
      </c>
      <c r="S166" s="217" t="s">
        <v>10255</v>
      </c>
      <c r="T166" t="str">
        <f t="shared" si="182"/>
        <v>6-DaHall 1-PDU-13</v>
      </c>
      <c r="U166" t="str">
        <f>IF(IF(LEN((MID(R166,22,2)))=1, "[branch#0"&amp;0&amp;MID(R166,22,2)&amp;"] [A] W", "[branch#0"&amp;MID(R166,22,2)&amp;"] [A] W")="[branch#0] [A] W", "", IF(LEN((MID(R166,22,2)))=1, "[branch#0"&amp;0&amp;MID(R166,22,2)&amp;"] [A] W", "[branch#0"&amp;MID(R166,22,2)&amp;"] [A] W"))</f>
        <v>[branch#052] [A] W</v>
      </c>
      <c r="V166" t="str">
        <f>IF(MID(S166,16,2)="0","",MID(S166,1,15)&amp;MID(S166,16,2))</f>
        <v>6-DaHall 1-PDU-14</v>
      </c>
      <c r="W166" t="str">
        <f>IF(IF(LEN((MID(S166,22,2)))=1, "[branch#0"&amp;0&amp;MID(S166,22,2)&amp;"] [A] W", "[branch#0"&amp;MID(S166,22,2)&amp;"] [A] W")="[branch#0] [A] W", "", IF(LEN((MID(S166,22,2)))=1, "[branch#0"&amp;0&amp;MID(S166,22,2)&amp;"] [A] W", "[branch#0"&amp;MID(S166,22,2)&amp;"] [A] W"))</f>
        <v>[branch#052] [A] W</v>
      </c>
      <c r="X166" s="2989" cm="1">
        <f t="array" ref="X166">INDEX('각층분기별_유효전력최대(전월)'!$I$4:$I$2020,MATCH(1, ('각층분기별_유효전력최대(전월)'!$G$4:$G$2020='7층~4층_매핑테이블'!T166) * ('각층분기별_유효전력최대(전월)'!$H$4:$H$2020='7층~4층_매핑테이블'!U166),0)) + INDEX('각층분기별_유효전력최대(전월)'!$I$4:$I$2020,MATCH(1, ('각층분기별_유효전력최대(전월)'!$G$4:$G$2020='7층~4층_매핑테이블'!V166) * ('각층분기별_유효전력최대(전월)'!$H$4:$H$2020='7층~4층_매핑테이블'!W166),0))</f>
        <v>0</v>
      </c>
      <c r="Y166" s="3274" t="str">
        <f t="shared" si="215"/>
        <v>7-DaHall 1-PDU-01-30-177-DaHall 1-PDU-02-30-17</v>
      </c>
      <c r="Z166" s="217" t="s">
        <v>10256</v>
      </c>
      <c r="AA166" s="217" t="s">
        <v>10257</v>
      </c>
      <c r="AB166" s="3274" t="str">
        <f>IF(MID(Z166,16,2)="0","",MID(Z166,1,15)&amp;MID(Z166,16,2))</f>
        <v>7-DaHall 1-PDU-01</v>
      </c>
      <c r="AC166" t="s">
        <v>9462</v>
      </c>
      <c r="AD166" t="str">
        <f t="shared" si="173"/>
        <v>7-DaHall 1-PDU-02</v>
      </c>
      <c r="AE166" t="s">
        <v>9462</v>
      </c>
      <c r="AF166" s="2989" cm="1">
        <f t="array" ref="AF166">INDEX('각층분기별_유효전력최대(전월)'!$L$4:$L$2020,MATCH(1, ('각층분기별_유효전력최대(전월)'!$J$4:$J$2020='7층~4층_매핑테이블'!AB166) * ('각층분기별_유효전력최대(전월)'!$K$4:$K$2020='7층~4층_매핑테이블'!AC166),0)) + INDEX('각층분기별_유효전력최대(전월)'!$L$4:$L$2020,MATCH(1, ('각층분기별_유효전력최대(전월)'!$J$4:$J$2020='7층~4층_매핑테이블'!AD166) * ('각층분기별_유효전력최대(전월)'!$K$4:$K$2020='7층~4층_매핑테이블'!AE166),0))</f>
        <v>1.484</v>
      </c>
    </row>
    <row r="167" spans="1:32" x14ac:dyDescent="0.25">
      <c r="A167" t="str">
        <f>B167&amp;C167</f>
        <v/>
      </c>
      <c r="B167" s="217"/>
      <c r="C167" s="217"/>
      <c r="D167" s="2989" t="str">
        <f>IF(MID(B167,16,2)="0","",MID(B167,1,15)&amp;MID(B167,16,2))</f>
        <v/>
      </c>
      <c r="E167" s="2989" t="str">
        <f t="shared" si="174"/>
        <v/>
      </c>
      <c r="F167" s="2989" t="str">
        <f>IF(MID(C167,16,2)="0","",MID(C167,1,15)&amp;MID(C167,16,2))</f>
        <v/>
      </c>
      <c r="G167" s="2989" t="str">
        <f>IF(IF(LEN(MID(C167,23,2))=1, "[branch#0"&amp;0&amp;MID(C167,23,2)&amp;"] [A] W", "[branch#0"&amp;MID(C167,23,2)&amp;"] [A] W")="[branch#0] [A] W", "", IF(LEN(MID(C167,23,2))=1, "[branch#0"&amp;0&amp;MID(C167,23,2)&amp;"] [A] W", "[branch#0"&amp;MID(C167,23,2)&amp;"] [A] W"))</f>
        <v/>
      </c>
      <c r="H167" s="2989" cm="1">
        <f t="array" ref="H167">INDEX('각층분기별_유효전력최대(전월)'!$C$4:$C$2020,MATCH(1, ('각층분기별_유효전력최대(전월)'!$A$4:$A$2020='7층~4층_매핑테이블'!D167) * ('각층분기별_유효전력최대(전월)'!$B$4:$B$2020='7층~4층_매핑테이블'!E167),0)) + INDEX('각층분기별_유효전력최대(전월)'!$C$4:$C$2020,MATCH(1, ('각층분기별_유효전력최대(전월)'!$A$4:$A$2020='7층~4층_매핑테이블'!F167) * ('각층분기별_유효전력최대(전월)'!$B$4:$B$2020='7층~4층_매핑테이블'!G167),0))</f>
        <v>0</v>
      </c>
      <c r="I167" t="str">
        <f t="shared" si="196"/>
        <v>5-DaHall 1-PDU-19-50-205-DaHall 1-PDU-20-50-20</v>
      </c>
      <c r="J167" s="217" t="s">
        <v>10258</v>
      </c>
      <c r="K167" s="217" t="s">
        <v>10259</v>
      </c>
      <c r="L167" t="str">
        <f t="shared" si="176"/>
        <v>5-DaHall 1-PDU-19</v>
      </c>
      <c r="M167" t="str">
        <f t="shared" si="226"/>
        <v>[branch#020] [A] W</v>
      </c>
      <c r="N167" t="str">
        <f t="shared" si="198"/>
        <v>5-DaHall 1-PDU-20</v>
      </c>
      <c r="O167" t="str">
        <f>IF(IF(LEN((MID(K167,22,2)))=1, "[branch#"&amp;0&amp;MID(K167,22,2)&amp;"] [A] W", "[branch#"&amp;MID(K167,22,2)&amp;"] [A] W")="[branch#] [A] W", "", IF(LEN((MID(K167,22,2)))=1, "2815 [branch#"&amp;0&amp;MID(K167,22,2)&amp;"] [A] W", "2815 [branch#"&amp;MID(K167,22,2)&amp;"] [A] W"))</f>
        <v>2815 [branch#20] [A] W</v>
      </c>
      <c r="P167" s="2989" t="e" cm="1">
        <f t="array" ref="P167">INDEX('각층분기별_유효전력최대(전월)'!$F$4:$F$2020,MATCH(1, ('각층분기별_유효전력최대(전월)'!$D$4:$D$2020='7층~4층_매핑테이블'!L167) * ('각층분기별_유효전력최대(전월)'!$E$4:$E$2020='7층~4층_매핑테이블'!M167),0)) + INDEX('각층분기별_유효전력최대(전월)'!$F$4:$F$2020,MATCH(1, ('각층분기별_유효전력최대(전월)'!$D$4:$D$2020='7층~4층_매핑테이블'!N167) * ('각층분기별_유효전력최대(전월)'!$E$4:$E$2020='7층~4층_매핑테이블'!O167),0))</f>
        <v>#N/A</v>
      </c>
      <c r="Q167" s="1" t="str">
        <f t="shared" ref="Q167:Q174" si="227">R167&amp;S167</f>
        <v>6-DaHall 1-PDU-11-30-36-DaHall 1-PDU-12-30-3</v>
      </c>
      <c r="R167" s="217" t="s">
        <v>10260</v>
      </c>
      <c r="S167" s="217" t="s">
        <v>10261</v>
      </c>
      <c r="T167" t="str">
        <f t="shared" si="182"/>
        <v>6-DaHall 1-PDU-11</v>
      </c>
      <c r="U167" t="str">
        <f t="shared" ref="U167:U174" si="228">IF(IF(LEN((MID(R167,22,2)))=1, "[branch#0"&amp;0&amp;MID(R167,22,2)&amp;"] [A] W", "[branch#0"&amp;MID(R167,22,2)&amp;"] [A] W")="[branch#0] [A] W", "", IF(LEN((MID(R167,22,2)))=1, "[branch#0"&amp;0&amp;MID(R167,22,2)&amp;"] [A] W", "[branch#0"&amp;MID(R167,22,2)&amp;"] [A] W"))</f>
        <v>[branch#003] [A] W</v>
      </c>
      <c r="V167" t="str">
        <f t="shared" ref="V167:V174" si="229">IF(MID(S167,16,2)="0","",MID(S167,1,15)&amp;MID(S167,16,2))</f>
        <v>6-DaHall 1-PDU-12</v>
      </c>
      <c r="W167" t="str">
        <f t="shared" ref="W167:W174" si="230">IF(IF(LEN((MID(S167,22,2)))=1, "[branch#0"&amp;0&amp;MID(S167,22,2)&amp;"] [A] W", "[branch#0"&amp;MID(S167,22,2)&amp;"] [A] W")="[branch#0] [A] W", "", IF(LEN((MID(S167,22,2)))=1, "[branch#0"&amp;0&amp;MID(S167,22,2)&amp;"] [A] W", "[branch#0"&amp;MID(S167,22,2)&amp;"] [A] W"))</f>
        <v>[branch#003] [A] W</v>
      </c>
      <c r="X167" s="2989" cm="1">
        <f t="array" ref="X167">INDEX('각층분기별_유효전력최대(전월)'!$I$4:$I$2020,MATCH(1, ('각층분기별_유효전력최대(전월)'!$G$4:$G$2020='7층~4층_매핑테이블'!T167) * ('각층분기별_유효전력최대(전월)'!$H$4:$H$2020='7층~4층_매핑테이블'!U167),0)) + INDEX('각층분기별_유효전력최대(전월)'!$I$4:$I$2020,MATCH(1, ('각층분기별_유효전력최대(전월)'!$G$4:$G$2020='7층~4층_매핑테이블'!V167) * ('각층분기별_유효전력최대(전월)'!$H$4:$H$2020='7층~4층_매핑테이블'!W167),0))</f>
        <v>0</v>
      </c>
      <c r="Y167" s="3274" t="str">
        <f t="shared" si="215"/>
        <v>7-DaHall 1-PDU-01-30-277-DaHall 1-PDU-02-30-27</v>
      </c>
      <c r="Z167" s="217" t="s">
        <v>10262</v>
      </c>
      <c r="AA167" s="217" t="s">
        <v>10263</v>
      </c>
      <c r="AB167" s="3274" t="str">
        <f t="shared" ref="AB167" si="231">IF(MID(Z167,16,2)="0","",MID(Z167,1,15)&amp;MID(Z167,16,2))</f>
        <v>7-DaHall 1-PDU-01</v>
      </c>
      <c r="AC167" t="s">
        <v>9521</v>
      </c>
      <c r="AD167" t="str">
        <f t="shared" si="173"/>
        <v>7-DaHall 1-PDU-02</v>
      </c>
      <c r="AE167" t="s">
        <v>9521</v>
      </c>
      <c r="AF167" s="2989" cm="1">
        <f t="array" ref="AF167">INDEX('각층분기별_유효전력최대(전월)'!$L$4:$L$2020,MATCH(1, ('각층분기별_유효전력최대(전월)'!$J$4:$J$2020='7층~4층_매핑테이블'!AB167) * ('각층분기별_유효전력최대(전월)'!$K$4:$K$2020='7층~4층_매핑테이블'!AC167),0)) + INDEX('각층분기별_유효전력최대(전월)'!$L$4:$L$2020,MATCH(1, ('각층분기별_유효전력최대(전월)'!$J$4:$J$2020='7층~4층_매핑테이블'!AD167) * ('각층분기별_유효전력최대(전월)'!$K$4:$K$2020='7층~4층_매핑테이블'!AE167),0))</f>
        <v>1.67</v>
      </c>
    </row>
    <row r="168" spans="1:32" x14ac:dyDescent="0.25">
      <c r="A168" t="str">
        <f t="shared" ref="A168:A175" si="232">B168&amp;C168</f>
        <v/>
      </c>
      <c r="B168" s="217"/>
      <c r="C168" s="217"/>
      <c r="D168" s="2989" t="str">
        <f>IF(MID(B168,16,2)="0","",MID(B168,1,15)&amp;MID(B168,16,2))</f>
        <v/>
      </c>
      <c r="E168" s="2989" t="str">
        <f t="shared" si="174"/>
        <v/>
      </c>
      <c r="F168" s="2989" t="str">
        <f>IF(MID(C168,16,2)="0","",MID(C168,1,15)&amp;MID(C168,16,2))</f>
        <v/>
      </c>
      <c r="G168" s="2989" t="str">
        <f>IF(IF(LEN(MID(C168,23,2))=1, "[branch#0"&amp;0&amp;MID(C168,23,2)&amp;"] [A] W", "[branch#0"&amp;MID(C168,23,2)&amp;"] [A] W")="[branch#0] [A] W", "", IF(LEN(MID(C168,23,2))=1, "[branch#0"&amp;0&amp;MID(C168,23,2)&amp;"] [A] W", "[branch#0"&amp;MID(C168,23,2)&amp;"] [A] W"))</f>
        <v/>
      </c>
      <c r="H168" s="2989" cm="1">
        <f t="array" ref="H168">INDEX('각층분기별_유효전력최대(전월)'!$C$4:$C$2020,MATCH(1, ('각층분기별_유효전력최대(전월)'!$A$4:$A$2020='7층~4층_매핑테이블'!D168) * ('각층분기별_유효전력최대(전월)'!$B$4:$B$2020='7층~4층_매핑테이블'!E168),0)) + INDEX('각층분기별_유효전력최대(전월)'!$C$4:$C$2020,MATCH(1, ('각층분기별_유효전력최대(전월)'!$A$4:$A$2020='7층~4층_매핑테이블'!F168) * ('각층분기별_유효전력최대(전월)'!$B$4:$B$2020='7층~4층_매핑테이블'!G168),0))</f>
        <v>0</v>
      </c>
      <c r="I168" t="str">
        <f t="shared" si="196"/>
        <v>5-DaHall 1-PDU-21-50-205-DaHall 1-PDU-22-50-20</v>
      </c>
      <c r="J168" s="217" t="s">
        <v>10264</v>
      </c>
      <c r="K168" s="217" t="s">
        <v>10265</v>
      </c>
      <c r="L168" t="str">
        <f t="shared" si="176"/>
        <v>5-DaHall 1-PDU-21</v>
      </c>
      <c r="M168" t="str">
        <f t="shared" si="226"/>
        <v>[branch#020] [A] W</v>
      </c>
      <c r="N168" t="str">
        <f t="shared" si="198"/>
        <v>5-DaHall 1-PDU-22</v>
      </c>
      <c r="O168" t="str">
        <f>IF(IF(LEN((MID(K168,22,2)))=1, "[branch#"&amp;0&amp;MID(K168,22,2)&amp;"] [A] W", "[branch#"&amp;MID(K168,22,2)&amp;"] [A] W")="[branch#] [A] W", "", IF(LEN((MID(K168,22,2)))=1, "2815 [branch#"&amp;0&amp;MID(K168,22,2)&amp;"] [A] W", "2815 [branch#"&amp;MID(K168,22,2)&amp;"] [A] W"))</f>
        <v>2815 [branch#20] [A] W</v>
      </c>
      <c r="P168" s="2989" t="e" cm="1">
        <f t="array" ref="P168">INDEX('각층분기별_유효전력최대(전월)'!$F$4:$F$2020,MATCH(1, ('각층분기별_유효전력최대(전월)'!$D$4:$D$2020='7층~4층_매핑테이블'!L168) * ('각층분기별_유효전력최대(전월)'!$E$4:$E$2020='7층~4층_매핑테이블'!M168),0)) + INDEX('각층분기별_유효전력최대(전월)'!$F$4:$F$2020,MATCH(1, ('각층분기별_유효전력최대(전월)'!$D$4:$D$2020='7층~4층_매핑테이블'!N168) * ('각층분기별_유효전력최대(전월)'!$E$4:$E$2020='7층~4층_매핑테이블'!O168),0))</f>
        <v>#N/A</v>
      </c>
      <c r="Q168" s="1" t="str">
        <f t="shared" si="227"/>
        <v>6-DaHall 1-PDU-11-30-56-DaHall 1-PDU-12-30-5</v>
      </c>
      <c r="R168" s="217" t="s">
        <v>10266</v>
      </c>
      <c r="S168" s="217" t="s">
        <v>10267</v>
      </c>
      <c r="T168" t="str">
        <f t="shared" si="182"/>
        <v>6-DaHall 1-PDU-11</v>
      </c>
      <c r="U168" t="str">
        <f t="shared" si="228"/>
        <v>[branch#005] [A] W</v>
      </c>
      <c r="V168" t="str">
        <f t="shared" si="229"/>
        <v>6-DaHall 1-PDU-12</v>
      </c>
      <c r="W168" t="str">
        <f t="shared" si="230"/>
        <v>[branch#005] [A] W</v>
      </c>
      <c r="X168" s="2989" cm="1">
        <f t="array" ref="X168">INDEX('각층분기별_유효전력최대(전월)'!$I$4:$I$2020,MATCH(1, ('각층분기별_유효전력최대(전월)'!$G$4:$G$2020='7층~4층_매핑테이블'!T168) * ('각층분기별_유효전력최대(전월)'!$H$4:$H$2020='7층~4층_매핑테이블'!U168),0)) + INDEX('각층분기별_유효전력최대(전월)'!$I$4:$I$2020,MATCH(1, ('각층분기별_유효전력최대(전월)'!$G$4:$G$2020='7층~4층_매핑테이블'!V168) * ('각층분기별_유효전력최대(전월)'!$H$4:$H$2020='7층~4층_매핑테이블'!W168),0))</f>
        <v>0</v>
      </c>
      <c r="Y168" s="3274" t="str">
        <f>Z168&amp;AA168</f>
        <v>7-DaHall 1-PDU-01-30-197-DaHall 1-PDU-02-30-19</v>
      </c>
      <c r="Z168" s="217" t="s">
        <v>10268</v>
      </c>
      <c r="AA168" s="217" t="s">
        <v>10269</v>
      </c>
      <c r="AB168" s="3274" t="str">
        <f>IF(MID(Z168,16,2)="0","",MID(Z168,1,15)&amp;MID(Z168,16,2))</f>
        <v>7-DaHall 1-PDU-01</v>
      </c>
      <c r="AC168" t="s">
        <v>9486</v>
      </c>
      <c r="AD168" t="str">
        <f t="shared" si="173"/>
        <v>7-DaHall 1-PDU-02</v>
      </c>
      <c r="AE168" t="s">
        <v>9486</v>
      </c>
      <c r="AF168" s="2989" cm="1">
        <f t="array" ref="AF168">INDEX('각층분기별_유효전력최대(전월)'!$L$4:$L$2020,MATCH(1, ('각층분기별_유효전력최대(전월)'!$J$4:$J$2020='7층~4층_매핑테이블'!AB168) * ('각층분기별_유효전력최대(전월)'!$K$4:$K$2020='7층~4층_매핑테이블'!AC168),0)) + INDEX('각층분기별_유효전력최대(전월)'!$L$4:$L$2020,MATCH(1, ('각층분기별_유효전력최대(전월)'!$J$4:$J$2020='7층~4층_매핑테이블'!AD168) * ('각층분기별_유효전력최대(전월)'!$K$4:$K$2020='7층~4층_매핑테이블'!AE168),0))</f>
        <v>2.786</v>
      </c>
    </row>
    <row r="169" spans="1:32" x14ac:dyDescent="0.25">
      <c r="A169" t="str">
        <f t="shared" si="232"/>
        <v/>
      </c>
      <c r="B169" s="217"/>
      <c r="C169" s="217"/>
      <c r="D169" s="2989" t="str">
        <f t="shared" ref="D169:D173" si="233">IF(MID(B169,16,2)="0","",MID(B169,1,15)&amp;MID(B169,16,2))</f>
        <v/>
      </c>
      <c r="E169" s="2989" t="str">
        <f t="shared" si="174"/>
        <v/>
      </c>
      <c r="F169" s="2989" t="str">
        <f>IF(MID(C169,16,2)="0","",MID(C169,1,15)&amp;MID(C169,16,2))</f>
        <v/>
      </c>
      <c r="G169" s="2989" t="str">
        <f>IF(IF(LEN(MID(C169,23,2))=1, "[branch#0"&amp;0&amp;MID(C169,23,2)&amp;"] [A] W", "[branch#0"&amp;MID(C169,23,2)&amp;"] [A] W")="[branch#0] [A] W", "", IF(LEN(MID(C169,23,2))=1, "[branch#0"&amp;0&amp;MID(C169,23,2)&amp;"] [A] W", "[branch#0"&amp;MID(C169,23,2)&amp;"] [A] W"))</f>
        <v/>
      </c>
      <c r="H169" s="2989" cm="1">
        <f t="array" ref="H169">INDEX('각층분기별_유효전력최대(전월)'!$C$4:$C$2020,MATCH(1, ('각층분기별_유효전력최대(전월)'!$A$4:$A$2020='7층~4층_매핑테이블'!D169) * ('각층분기별_유효전력최대(전월)'!$B$4:$B$2020='7층~4층_매핑테이블'!E169),0)) + INDEX('각층분기별_유효전력최대(전월)'!$C$4:$C$2020,MATCH(1, ('각층분기별_유효전력최대(전월)'!$A$4:$A$2020='7층~4층_매핑테이블'!F169) * ('각층분기별_유효전력최대(전월)'!$B$4:$B$2020='7층~4층_매핑테이블'!G169),0))</f>
        <v>0</v>
      </c>
      <c r="I169" t="str">
        <f t="shared" si="196"/>
        <v>5-DaHall 1-PDU-19-50-185-DaHall 1-PDU-20-50-18</v>
      </c>
      <c r="J169" s="217" t="s">
        <v>10270</v>
      </c>
      <c r="K169" s="217" t="s">
        <v>10271</v>
      </c>
      <c r="L169" t="str">
        <f t="shared" si="176"/>
        <v>5-DaHall 1-PDU-19</v>
      </c>
      <c r="M169" t="str">
        <f t="shared" si="226"/>
        <v>[branch#018] [A] W</v>
      </c>
      <c r="N169" t="str">
        <f t="shared" si="198"/>
        <v>5-DaHall 1-PDU-20</v>
      </c>
      <c r="O169" t="str">
        <f>IF(IF(LEN((MID(K169,22,2)))=1, "[branch#"&amp;0&amp;MID(K169,22,2)&amp;"] [A] W", "[branch#"&amp;MID(K169,22,2)&amp;"] [A] W")="[branch#] [A] W", "", IF(LEN((MID(K169,22,2)))=1, "2535 [branch#"&amp;0&amp;MID(K169,22,2)&amp;"] [A] W", "2535 [branch#"&amp;MID(K169,22,2)&amp;"] [A] W"))</f>
        <v>2535 [branch#18] [A] W</v>
      </c>
      <c r="P169" s="2989" t="e" cm="1">
        <f t="array" ref="P169">INDEX('각층분기별_유효전력최대(전월)'!$F$4:$F$2020,MATCH(1, ('각층분기별_유효전력최대(전월)'!$D$4:$D$2020='7층~4층_매핑테이블'!L169) * ('각층분기별_유효전력최대(전월)'!$E$4:$E$2020='7층~4층_매핑테이블'!M169),0)) + INDEX('각층분기별_유효전력최대(전월)'!$F$4:$F$2020,MATCH(1, ('각층분기별_유효전력최대(전월)'!$D$4:$D$2020='7층~4층_매핑테이블'!N169) * ('각층분기별_유효전력최대(전월)'!$E$4:$E$2020='7층~4층_매핑테이블'!O169),0))</f>
        <v>#N/A</v>
      </c>
      <c r="Q169" s="1" t="str">
        <f t="shared" si="227"/>
        <v>6-DaHall 1-PDU-11-30-76-DaHall 1-PDU-12-30-7</v>
      </c>
      <c r="R169" s="217" t="s">
        <v>10272</v>
      </c>
      <c r="S169" s="217" t="s">
        <v>10273</v>
      </c>
      <c r="T169" t="str">
        <f t="shared" si="182"/>
        <v>6-DaHall 1-PDU-11</v>
      </c>
      <c r="U169" t="str">
        <f t="shared" si="228"/>
        <v>[branch#007] [A] W</v>
      </c>
      <c r="V169" t="str">
        <f t="shared" si="229"/>
        <v>6-DaHall 1-PDU-12</v>
      </c>
      <c r="W169" t="str">
        <f t="shared" si="230"/>
        <v>[branch#007] [A] W</v>
      </c>
      <c r="X169" s="2989" cm="1">
        <f t="array" ref="X169">INDEX('각층분기별_유효전력최대(전월)'!$I$4:$I$2020,MATCH(1, ('각층분기별_유효전력최대(전월)'!$G$4:$G$2020='7층~4층_매핑테이블'!T169) * ('각층분기별_유효전력최대(전월)'!$H$4:$H$2020='7층~4층_매핑테이블'!U169),0)) + INDEX('각층분기별_유효전력최대(전월)'!$I$4:$I$2020,MATCH(1, ('각층분기별_유효전력최대(전월)'!$G$4:$G$2020='7층~4층_매핑테이블'!V169) * ('각층분기별_유효전력최대(전월)'!$H$4:$H$2020='7층~4층_매핑테이블'!W169),0))</f>
        <v>0</v>
      </c>
      <c r="Y169" s="3274" t="str">
        <f t="shared" si="215"/>
        <v>7-DaHall 1-PDU-01-30-217-DaHall 1-PDU-02-30-21</v>
      </c>
      <c r="Z169" s="217" t="s">
        <v>10274</v>
      </c>
      <c r="AA169" s="217" t="s">
        <v>10275</v>
      </c>
      <c r="AB169" s="3274" t="str">
        <f>IF(MID(Z169,16,2)="0","",MID(Z169,1,15)&amp;MID(Z169,16,2))</f>
        <v>7-DaHall 1-PDU-01</v>
      </c>
      <c r="AC169" t="s">
        <v>9489</v>
      </c>
      <c r="AD169" t="str">
        <f t="shared" si="173"/>
        <v>7-DaHall 1-PDU-02</v>
      </c>
      <c r="AE169" t="s">
        <v>9489</v>
      </c>
      <c r="AF169" s="2989" cm="1">
        <f t="array" ref="AF169">INDEX('각층분기별_유효전력최대(전월)'!$L$4:$L$2020,MATCH(1, ('각층분기별_유효전력최대(전월)'!$J$4:$J$2020='7층~4층_매핑테이블'!AB169) * ('각층분기별_유효전력최대(전월)'!$K$4:$K$2020='7층~4층_매핑테이블'!AC169),0)) + INDEX('각층분기별_유효전력최대(전월)'!$L$4:$L$2020,MATCH(1, ('각층분기별_유효전력최대(전월)'!$J$4:$J$2020='7층~4층_매핑테이블'!AD169) * ('각층분기별_유효전력최대(전월)'!$K$4:$K$2020='7층~4층_매핑테이블'!AE169),0))</f>
        <v>1.7909999999999999</v>
      </c>
    </row>
    <row r="170" spans="1:32" x14ac:dyDescent="0.25">
      <c r="A170" t="str">
        <f t="shared" si="232"/>
        <v/>
      </c>
      <c r="B170" s="217"/>
      <c r="C170" s="217"/>
      <c r="D170" s="2989" t="str">
        <f t="shared" si="233"/>
        <v/>
      </c>
      <c r="E170" s="2989" t="str">
        <f t="shared" si="174"/>
        <v/>
      </c>
      <c r="F170" s="2989" t="str">
        <f>IF(MID(C170,16,2)="0","",MID(C170,1,15)&amp;MID(C170,16,2))</f>
        <v/>
      </c>
      <c r="G170" s="2989" t="str">
        <f>IF(IF(LEN(MID(C170,23,2))=1, "[branch#0"&amp;0&amp;MID(C170,23,2)&amp;"] [A] W", "[branch#0"&amp;MID(C170,23,2)&amp;"] [A] W")="[branch#0] [A] W", "", IF(LEN(MID(C170,23,2))=1, "[branch#0"&amp;0&amp;MID(C170,23,2)&amp;"] [A] W", "[branch#0"&amp;MID(C170,23,2)&amp;"] [A] W"))</f>
        <v/>
      </c>
      <c r="H170" s="2989" cm="1">
        <f t="array" ref="H170">INDEX('각층분기별_유효전력최대(전월)'!$C$4:$C$2020,MATCH(1, ('각층분기별_유효전력최대(전월)'!$A$4:$A$2020='7층~4층_매핑테이블'!D170) * ('각층분기별_유효전력최대(전월)'!$B$4:$B$2020='7층~4층_매핑테이블'!E170),0)) + INDEX('각층분기별_유효전력최대(전월)'!$C$4:$C$2020,MATCH(1, ('각층분기별_유효전력최대(전월)'!$A$4:$A$2020='7층~4층_매핑테이블'!F170) * ('각층분기별_유효전력최대(전월)'!$B$4:$B$2020='7층~4층_매핑테이블'!G170),0))</f>
        <v>0</v>
      </c>
      <c r="I170" t="str">
        <f t="shared" si="196"/>
        <v>5-DaHall 1-PDU-21-50-185-DaHall 1-PDU-22-50-18</v>
      </c>
      <c r="J170" s="217" t="s">
        <v>10276</v>
      </c>
      <c r="K170" s="217" t="s">
        <v>10277</v>
      </c>
      <c r="L170" t="str">
        <f t="shared" si="176"/>
        <v>5-DaHall 1-PDU-21</v>
      </c>
      <c r="M170" t="str">
        <f t="shared" si="226"/>
        <v>[branch#018] [A] W</v>
      </c>
      <c r="N170" t="str">
        <f t="shared" si="198"/>
        <v>5-DaHall 1-PDU-22</v>
      </c>
      <c r="O170" t="str">
        <f>IF(IF(LEN((MID(K170,22,2)))=1, "[branch#"&amp;0&amp;MID(K170,22,2)&amp;"] [A] W", "[branch#"&amp;MID(K170,22,2)&amp;"] [A] W")="[branch#] [A] W", "", IF(LEN((MID(K170,22,2)))=1, "2535 [branch#"&amp;0&amp;MID(K170,22,2)&amp;"] [A] W", "2535 [branch#"&amp;MID(K170,22,2)&amp;"] [A] W"))</f>
        <v>2535 [branch#18] [A] W</v>
      </c>
      <c r="P170" s="2989" t="e" cm="1">
        <f t="array" ref="P170">INDEX('각층분기별_유효전력최대(전월)'!$F$4:$F$2020,MATCH(1, ('각층분기별_유효전력최대(전월)'!$D$4:$D$2020='7층~4층_매핑테이블'!L170) * ('각층분기별_유효전력최대(전월)'!$E$4:$E$2020='7층~4층_매핑테이블'!M170),0)) + INDEX('각층분기별_유효전력최대(전월)'!$F$4:$F$2020,MATCH(1, ('각층분기별_유효전력최대(전월)'!$D$4:$D$2020='7층~4층_매핑테이블'!N170) * ('각층분기별_유효전력최대(전월)'!$E$4:$E$2020='7층~4층_매핑테이블'!O170),0))</f>
        <v>#N/A</v>
      </c>
      <c r="Q170" s="1" t="str">
        <f t="shared" si="227"/>
        <v>6-DaHall 1-PDU-11-30-96-DaHall 1-PDU-12-30-9</v>
      </c>
      <c r="R170" s="217" t="s">
        <v>10278</v>
      </c>
      <c r="S170" s="217" t="s">
        <v>10279</v>
      </c>
      <c r="T170" t="str">
        <f t="shared" si="182"/>
        <v>6-DaHall 1-PDU-11</v>
      </c>
      <c r="U170" t="str">
        <f t="shared" si="228"/>
        <v>[branch#009] [A] W</v>
      </c>
      <c r="V170" t="str">
        <f t="shared" si="229"/>
        <v>6-DaHall 1-PDU-12</v>
      </c>
      <c r="W170" t="str">
        <f t="shared" si="230"/>
        <v>[branch#009] [A] W</v>
      </c>
      <c r="X170" s="2989" cm="1">
        <f t="array" ref="X170">INDEX('각층분기별_유효전력최대(전월)'!$I$4:$I$2020,MATCH(1, ('각층분기별_유효전력최대(전월)'!$G$4:$G$2020='7층~4층_매핑테이블'!T170) * ('각층분기별_유효전력최대(전월)'!$H$4:$H$2020='7층~4층_매핑테이블'!U170),0)) + INDEX('각층분기별_유효전력최대(전월)'!$I$4:$I$2020,MATCH(1, ('각층분기별_유효전력최대(전월)'!$G$4:$G$2020='7층~4층_매핑테이블'!V170) * ('각층분기별_유효전력최대(전월)'!$H$4:$H$2020='7층~4층_매핑테이블'!W170),0))</f>
        <v>0</v>
      </c>
      <c r="Y170" s="3274" t="str">
        <f t="shared" si="215"/>
        <v>7-DaHall 1-PDU-01-30-237-DaHall 1-PDU-02-30-23</v>
      </c>
      <c r="Z170" s="217" t="s">
        <v>10280</v>
      </c>
      <c r="AA170" s="217" t="s">
        <v>10281</v>
      </c>
      <c r="AB170" s="3274" t="str">
        <f t="shared" ref="AB170:AB173" si="234">IF(MID(Z170,16,2)="0","",MID(Z170,1,15)&amp;MID(Z170,16,2))</f>
        <v>7-DaHall 1-PDU-01</v>
      </c>
      <c r="AC170" t="s">
        <v>9497</v>
      </c>
      <c r="AD170" t="str">
        <f t="shared" si="173"/>
        <v>7-DaHall 1-PDU-02</v>
      </c>
      <c r="AE170" t="s">
        <v>9497</v>
      </c>
      <c r="AF170" s="2989" cm="1">
        <f t="array" ref="AF170">INDEX('각층분기별_유효전력최대(전월)'!$L$4:$L$2020,MATCH(1, ('각층분기별_유효전력최대(전월)'!$J$4:$J$2020='7층~4층_매핑테이블'!AB170) * ('각층분기별_유효전력최대(전월)'!$K$4:$K$2020='7층~4층_매핑테이블'!AC170),0)) + INDEX('각층분기별_유효전력최대(전월)'!$L$4:$L$2020,MATCH(1, ('각층분기별_유효전력최대(전월)'!$J$4:$J$2020='7층~4층_매핑테이블'!AD170) * ('각층분기별_유효전력최대(전월)'!$K$4:$K$2020='7층~4층_매핑테이블'!AE170),0))</f>
        <v>1.0209999999999999</v>
      </c>
    </row>
    <row r="171" spans="1:32" x14ac:dyDescent="0.25">
      <c r="A171" t="str">
        <f t="shared" si="232"/>
        <v/>
      </c>
      <c r="B171" s="217"/>
      <c r="C171" s="217"/>
      <c r="D171" s="2989" t="str">
        <f t="shared" si="233"/>
        <v/>
      </c>
      <c r="E171" s="2989" t="str">
        <f t="shared" si="174"/>
        <v/>
      </c>
      <c r="F171" s="2989" t="str">
        <f t="shared" ref="F171:F175" si="235">IF(MID(C171,16,2)="0","",MID(C171,1,15)&amp;MID(C171,16,2))</f>
        <v/>
      </c>
      <c r="G171" s="2989" t="str">
        <f t="shared" ref="G171:G175" si="236">IF(IF(LEN(MID(C171,23,2))=1, "[branch#0"&amp;0&amp;MID(C171,23,2)&amp;"] [A] W", "[branch#0"&amp;MID(C171,23,2)&amp;"] [A] W")="[branch#0] [A] W", "", IF(LEN(MID(C171,23,2))=1, "[branch#0"&amp;0&amp;MID(C171,23,2)&amp;"] [A] W", "[branch#0"&amp;MID(C171,23,2)&amp;"] [A] W"))</f>
        <v/>
      </c>
      <c r="H171" s="2989" cm="1">
        <f t="array" ref="H171">INDEX('각층분기별_유효전력최대(전월)'!$C$4:$C$2020,MATCH(1, ('각층분기별_유효전력최대(전월)'!$A$4:$A$2020='7층~4층_매핑테이블'!D171) * ('각층분기별_유효전력최대(전월)'!$B$4:$B$2020='7층~4층_매핑테이블'!E171),0)) + INDEX('각층분기별_유효전력최대(전월)'!$C$4:$C$2020,MATCH(1, ('각층분기별_유효전력최대(전월)'!$A$4:$A$2020='7층~4층_매핑테이블'!F171) * ('각층분기별_유효전력최대(전월)'!$B$4:$B$2020='7층~4층_매핑테이블'!G171),0))</f>
        <v>0</v>
      </c>
      <c r="I171" t="str">
        <f t="shared" si="196"/>
        <v>5-DaHall 1-PDU-19-50-165-DaHall 1-PDU-20-50-16</v>
      </c>
      <c r="J171" s="217" t="s">
        <v>10282</v>
      </c>
      <c r="K171" s="217" t="s">
        <v>10283</v>
      </c>
      <c r="L171" t="str">
        <f t="shared" si="176"/>
        <v>5-DaHall 1-PDU-19</v>
      </c>
      <c r="M171" t="str">
        <f t="shared" si="226"/>
        <v>[branch#016] [A] W</v>
      </c>
      <c r="N171" t="str">
        <f t="shared" si="198"/>
        <v>5-DaHall 1-PDU-20</v>
      </c>
      <c r="O171" t="str">
        <f>IF(IF(LEN((MID(K171,22,2)))=1, "[branch#"&amp;0&amp;MID(K171,22,2)&amp;"] [A] W", "[branch#"&amp;MID(K171,22,2)&amp;"] [A] W")="[branch#] [A] W", "", IF(LEN((MID(K171,22,2)))=1, "[branch#"&amp;0&amp;MID(K171,22,2)&amp;"] [A] W", "2255 [branch#"&amp;MID(K171,22,2)&amp;"] [A] W"))</f>
        <v>2255 [branch#16] [A] W</v>
      </c>
      <c r="P171" s="2989" t="e" cm="1">
        <f t="array" ref="P171">INDEX('각층분기별_유효전력최대(전월)'!$F$4:$F$2020,MATCH(1, ('각층분기별_유효전력최대(전월)'!$D$4:$D$2020='7층~4층_매핑테이블'!L171) * ('각층분기별_유효전력최대(전월)'!$E$4:$E$2020='7층~4층_매핑테이블'!M171),0)) + INDEX('각층분기별_유효전력최대(전월)'!$F$4:$F$2020,MATCH(1, ('각층분기별_유효전력최대(전월)'!$D$4:$D$2020='7층~4층_매핑테이블'!N171) * ('각층분기별_유효전력최대(전월)'!$E$4:$E$2020='7층~4층_매핑테이블'!O171),0))</f>
        <v>#N/A</v>
      </c>
      <c r="Q171" s="1" t="str">
        <f t="shared" si="227"/>
        <v>6-DaHall 1-PDU-11-30-116-DaHall 1-PDU-12-30-11</v>
      </c>
      <c r="R171" s="217" t="s">
        <v>10284</v>
      </c>
      <c r="S171" s="217" t="s">
        <v>10285</v>
      </c>
      <c r="T171" t="str">
        <f t="shared" si="182"/>
        <v>6-DaHall 1-PDU-11</v>
      </c>
      <c r="U171" t="str">
        <f t="shared" si="228"/>
        <v>[branch#011] [A] W</v>
      </c>
      <c r="V171" t="str">
        <f t="shared" si="229"/>
        <v>6-DaHall 1-PDU-12</v>
      </c>
      <c r="W171" t="str">
        <f t="shared" si="230"/>
        <v>[branch#011] [A] W</v>
      </c>
      <c r="X171" s="2989" cm="1">
        <f t="array" ref="X171">INDEX('각층분기별_유효전력최대(전월)'!$I$4:$I$2020,MATCH(1, ('각층분기별_유효전력최대(전월)'!$G$4:$G$2020='7층~4층_매핑테이블'!T171) * ('각층분기별_유효전력최대(전월)'!$H$4:$H$2020='7층~4층_매핑테이블'!U171),0)) + INDEX('각층분기별_유효전력최대(전월)'!$I$4:$I$2020,MATCH(1, ('각층분기별_유효전력최대(전월)'!$G$4:$G$2020='7층~4층_매핑테이블'!V171) * ('각층분기별_유효전력최대(전월)'!$H$4:$H$2020='7층~4층_매핑테이블'!W171),0))</f>
        <v>0</v>
      </c>
      <c r="Y171" s="3274" t="str">
        <f t="shared" si="215"/>
        <v>7-DaHall 1-PDU-01-30-257-DaHall 1-PDU-02-30-25</v>
      </c>
      <c r="Z171" s="217" t="s">
        <v>10286</v>
      </c>
      <c r="AA171" s="217" t="s">
        <v>10287</v>
      </c>
      <c r="AB171" s="3274" t="str">
        <f t="shared" si="234"/>
        <v>7-DaHall 1-PDU-01</v>
      </c>
      <c r="AC171" t="s">
        <v>9419</v>
      </c>
      <c r="AD171" t="str">
        <f t="shared" si="173"/>
        <v>7-DaHall 1-PDU-02</v>
      </c>
      <c r="AE171" t="s">
        <v>9419</v>
      </c>
      <c r="AF171" s="2989" cm="1">
        <f t="array" ref="AF171">INDEX('각층분기별_유효전력최대(전월)'!$L$4:$L$2020,MATCH(1, ('각층분기별_유효전력최대(전월)'!$J$4:$J$2020='7층~4층_매핑테이블'!AB171) * ('각층분기별_유효전력최대(전월)'!$K$4:$K$2020='7층~4층_매핑테이블'!AC171),0)) + INDEX('각층분기별_유효전력최대(전월)'!$L$4:$L$2020,MATCH(1, ('각층분기별_유효전력최대(전월)'!$J$4:$J$2020='7층~4층_매핑테이블'!AD171) * ('각층분기별_유효전력최대(전월)'!$K$4:$K$2020='7층~4층_매핑테이블'!AE171),0))</f>
        <v>0.73399999999999999</v>
      </c>
    </row>
    <row r="172" spans="1:32" x14ac:dyDescent="0.25">
      <c r="A172" t="str">
        <f t="shared" si="232"/>
        <v/>
      </c>
      <c r="B172" s="217"/>
      <c r="C172" s="217"/>
      <c r="D172" s="2989" t="str">
        <f t="shared" si="233"/>
        <v/>
      </c>
      <c r="E172" s="2989" t="str">
        <f t="shared" si="174"/>
        <v/>
      </c>
      <c r="F172" s="2989" t="str">
        <f t="shared" si="235"/>
        <v/>
      </c>
      <c r="G172" s="2989" t="str">
        <f t="shared" si="236"/>
        <v/>
      </c>
      <c r="H172" s="2989" cm="1">
        <f t="array" ref="H172">INDEX('각층분기별_유효전력최대(전월)'!$C$4:$C$2020,MATCH(1, ('각층분기별_유효전력최대(전월)'!$A$4:$A$2020='7층~4층_매핑테이블'!D172) * ('각층분기별_유효전력최대(전월)'!$B$4:$B$2020='7층~4층_매핑테이블'!E172),0)) + INDEX('각층분기별_유효전력최대(전월)'!$C$4:$C$2020,MATCH(1, ('각층분기별_유효전력최대(전월)'!$A$4:$A$2020='7층~4층_매핑테이블'!F172) * ('각층분기별_유효전력최대(전월)'!$B$4:$B$2020='7층~4층_매핑테이블'!G172),0))</f>
        <v>0</v>
      </c>
      <c r="I172" t="str">
        <f t="shared" si="196"/>
        <v>5-DaHall 1-PDU-21-50-165-DaHall 1-PDU-22-50-16</v>
      </c>
      <c r="J172" s="217" t="s">
        <v>10288</v>
      </c>
      <c r="K172" s="217" t="s">
        <v>10289</v>
      </c>
      <c r="L172" t="str">
        <f t="shared" si="176"/>
        <v>5-DaHall 1-PDU-21</v>
      </c>
      <c r="M172" t="str">
        <f t="shared" si="226"/>
        <v>[branch#016] [A] W</v>
      </c>
      <c r="N172" t="str">
        <f t="shared" si="198"/>
        <v>5-DaHall 1-PDU-22</v>
      </c>
      <c r="O172" t="str">
        <f>IF(IF(LEN((MID(K172,22,2)))=1, "[branch#"&amp;0&amp;MID(K172,22,2)&amp;"] [A] W", "[branch#"&amp;MID(K172,22,2)&amp;"] [A] W")="[branch#] [A] W", "", IF(LEN((MID(K172,22,2)))=1, "[branch#"&amp;0&amp;MID(K172,22,2)&amp;"] [A] W", "2255 [branch#"&amp;MID(K172,22,2)&amp;"] [A] W"))</f>
        <v>2255 [branch#16] [A] W</v>
      </c>
      <c r="P172" s="2989" t="e" cm="1">
        <f t="array" ref="P172">INDEX('각층분기별_유효전력최대(전월)'!$F$4:$F$2020,MATCH(1, ('각층분기별_유효전력최대(전월)'!$D$4:$D$2020='7층~4층_매핑테이블'!L172) * ('각층분기별_유효전력최대(전월)'!$E$4:$E$2020='7층~4층_매핑테이블'!M172),0)) + INDEX('각층분기별_유효전력최대(전월)'!$F$4:$F$2020,MATCH(1, ('각층분기별_유효전력최대(전월)'!$D$4:$D$2020='7층~4층_매핑테이블'!N172) * ('각층분기별_유효전력최대(전월)'!$E$4:$E$2020='7층~4층_매핑테이블'!O172),0))</f>
        <v>#N/A</v>
      </c>
      <c r="Q172" s="1" t="str">
        <f>R172&amp;S172</f>
        <v>6-DaHall 1-PDU-11-30-136-DaHall 1-PDU-09-30-31</v>
      </c>
      <c r="R172" s="217" t="s">
        <v>10290</v>
      </c>
      <c r="S172" s="217" t="s">
        <v>10291</v>
      </c>
      <c r="T172" t="str">
        <f t="shared" si="182"/>
        <v>6-DaHall 1-PDU-11</v>
      </c>
      <c r="U172" t="str">
        <f t="shared" si="228"/>
        <v>[branch#013] [A] W</v>
      </c>
      <c r="V172" t="str">
        <f>IF(MID(S172,16,2)="0","",MID(S172,1,15)&amp;MID(S172,16,2))</f>
        <v>6-DaHall 1-PDU-09</v>
      </c>
      <c r="W172" t="str">
        <f>IF(IF(LEN((MID(S172,22,2)))=1, "[branch#0"&amp;0&amp;MID(S172,22,2)&amp;"] [A] W", "[branch#0"&amp;MID(S172,22,2)&amp;"] [A] W")="[branch#0] [A] W", "", IF(LEN((MID(S172,22,2)))=1, "[branch#0"&amp;0&amp;MID(S172,22,2)&amp;"] [A] W", "[branch#0"&amp;MID(S172,22,2)&amp;"] [A] W"))</f>
        <v>[branch#031] [A] W</v>
      </c>
      <c r="X172" s="2989" cm="1">
        <f t="array" ref="X172">INDEX('각층분기별_유효전력최대(전월)'!$I$4:$I$2020,MATCH(1, ('각층분기별_유효전력최대(전월)'!$G$4:$G$2020='7층~4층_매핑테이블'!T172) * ('각층분기별_유효전력최대(전월)'!$H$4:$H$2020='7층~4층_매핑테이블'!U172),0)) + INDEX('각층분기별_유효전력최대(전월)'!$I$4:$I$2020,MATCH(1, ('각층분기별_유효전력최대(전월)'!$G$4:$G$2020='7층~4층_매핑테이블'!V172) * ('각층분기별_유효전력최대(전월)'!$H$4:$H$2020='7층~4층_매핑테이블'!W172),0))</f>
        <v>0</v>
      </c>
      <c r="Y172" s="3274" t="str">
        <f t="shared" si="215"/>
        <v>7-DaHall 1-PDU-01-30-327-DaHall 1-PDU-02-30-32</v>
      </c>
      <c r="Z172" s="217" t="s">
        <v>10292</v>
      </c>
      <c r="AA172" s="217" t="s">
        <v>10293</v>
      </c>
      <c r="AB172" s="3274" t="str">
        <f t="shared" si="234"/>
        <v>7-DaHall 1-PDU-01</v>
      </c>
      <c r="AC172" t="s">
        <v>9371</v>
      </c>
      <c r="AD172" t="str">
        <f t="shared" si="173"/>
        <v>7-DaHall 1-PDU-02</v>
      </c>
      <c r="AE172" t="s">
        <v>9371</v>
      </c>
      <c r="AF172" s="2989" cm="1">
        <f t="array" ref="AF172">INDEX('각층분기별_유효전력최대(전월)'!$L$4:$L$2020,MATCH(1, ('각층분기별_유효전력최대(전월)'!$J$4:$J$2020='7층~4층_매핑테이블'!AB172) * ('각층분기별_유효전력최대(전월)'!$K$4:$K$2020='7층~4층_매핑테이블'!AC172),0)) + INDEX('각층분기별_유효전력최대(전월)'!$L$4:$L$2020,MATCH(1, ('각층분기별_유효전력최대(전월)'!$J$4:$J$2020='7층~4층_매핑테이블'!AD172) * ('각층분기별_유효전력최대(전월)'!$K$4:$K$2020='7층~4층_매핑테이블'!AE172),0))</f>
        <v>0.76200000000000001</v>
      </c>
    </row>
    <row r="173" spans="1:32" x14ac:dyDescent="0.25">
      <c r="A173" t="str">
        <f t="shared" si="232"/>
        <v/>
      </c>
      <c r="B173" s="217"/>
      <c r="C173" s="217"/>
      <c r="D173" s="2989" t="str">
        <f t="shared" si="233"/>
        <v/>
      </c>
      <c r="E173" s="2989" t="str">
        <f t="shared" si="174"/>
        <v/>
      </c>
      <c r="F173" s="2989" t="str">
        <f t="shared" si="235"/>
        <v/>
      </c>
      <c r="G173" s="2989" t="str">
        <f t="shared" si="236"/>
        <v/>
      </c>
      <c r="H173" s="2989" cm="1">
        <f t="array" ref="H173">INDEX('각층분기별_유효전력최대(전월)'!$C$4:$C$2020,MATCH(1, ('각층분기별_유효전력최대(전월)'!$A$4:$A$2020='7층~4층_매핑테이블'!D173) * ('각층분기별_유효전력최대(전월)'!$B$4:$B$2020='7층~4층_매핑테이블'!E173),0)) + INDEX('각층분기별_유효전력최대(전월)'!$C$4:$C$2020,MATCH(1, ('각층분기별_유효전력최대(전월)'!$A$4:$A$2020='7층~4층_매핑테이블'!F173) * ('각층분기별_유효전력최대(전월)'!$B$4:$B$2020='7층~4층_매핑테이블'!G173),0))</f>
        <v>0</v>
      </c>
      <c r="I173" t="str">
        <f t="shared" si="196"/>
        <v>5-DaHall 1-PDU-19-50-215-DaHall 1-PDU-20-50-21</v>
      </c>
      <c r="J173" s="217" t="s">
        <v>10294</v>
      </c>
      <c r="K173" s="217" t="s">
        <v>10295</v>
      </c>
      <c r="L173" t="str">
        <f t="shared" si="176"/>
        <v>5-DaHall 1-PDU-19</v>
      </c>
      <c r="M173" t="str">
        <f t="shared" si="226"/>
        <v>[branch#021] [A] W</v>
      </c>
      <c r="N173" t="str">
        <f t="shared" si="198"/>
        <v>5-DaHall 1-PDU-20</v>
      </c>
      <c r="O173" t="str">
        <f>IF(IF(LEN((MID(K173,22,2)))=1, "[branch#"&amp;0&amp;MID(K173,22,2)&amp;"] [A] W", "[branch#"&amp;MID(K173,22,2)&amp;"] [A] W")="[branch#] [A] W", "", IF(LEN((MID(K173,22,2)))=1, "[branch#"&amp;0&amp;MID(K173,22,2)&amp;"] [A] W", "2955 [branch#"&amp;MID(K173,22,2)&amp;"] [A] W"))</f>
        <v>2955 [branch#21] [A] W</v>
      </c>
      <c r="P173" s="2989" t="e" cm="1">
        <f t="array" ref="P173">INDEX('각층분기별_유효전력최대(전월)'!$F$4:$F$2020,MATCH(1, ('각층분기별_유효전력최대(전월)'!$D$4:$D$2020='7층~4층_매핑테이블'!L173) * ('각층분기별_유효전력최대(전월)'!$E$4:$E$2020='7층~4층_매핑테이블'!M173),0)) + INDEX('각층분기별_유효전력최대(전월)'!$F$4:$F$2020,MATCH(1, ('각층분기별_유효전력최대(전월)'!$D$4:$D$2020='7층~4층_매핑테이블'!N173) * ('각층분기별_유효전력최대(전월)'!$E$4:$E$2020='7층~4층_매핑테이블'!O173),0))</f>
        <v>#N/A</v>
      </c>
      <c r="Q173" s="1" t="str">
        <f t="shared" si="227"/>
        <v>6-DaHall 1-PDU-11-30-156-DaHall 1-PDU-12-30-15</v>
      </c>
      <c r="R173" s="217" t="s">
        <v>10296</v>
      </c>
      <c r="S173" s="217" t="s">
        <v>10297</v>
      </c>
      <c r="T173" t="str">
        <f t="shared" si="182"/>
        <v>6-DaHall 1-PDU-11</v>
      </c>
      <c r="U173" t="str">
        <f t="shared" si="228"/>
        <v>[branch#015] [A] W</v>
      </c>
      <c r="V173" t="str">
        <f t="shared" si="229"/>
        <v>6-DaHall 1-PDU-12</v>
      </c>
      <c r="W173" t="str">
        <f t="shared" si="230"/>
        <v>[branch#015] [A] W</v>
      </c>
      <c r="X173" s="2989" cm="1">
        <f t="array" ref="X173">INDEX('각층분기별_유효전력최대(전월)'!$I$4:$I$2020,MATCH(1, ('각층분기별_유효전력최대(전월)'!$G$4:$G$2020='7층~4층_매핑테이블'!T173) * ('각층분기별_유효전력최대(전월)'!$H$4:$H$2020='7층~4층_매핑테이블'!U173),0)) + INDEX('각층분기별_유효전력최대(전월)'!$I$4:$I$2020,MATCH(1, ('각층분기별_유효전력최대(전월)'!$G$4:$G$2020='7층~4층_매핑테이블'!V173) * ('각층분기별_유효전력최대(전월)'!$H$4:$H$2020='7층~4층_매핑테이블'!W173),0))</f>
        <v>0</v>
      </c>
      <c r="Y173" s="3274" t="str">
        <f t="shared" si="215"/>
        <v>7-DaHall 1-PDU-01-30-417-DaHall 1-PDU-02-30-41</v>
      </c>
      <c r="Z173" s="217" t="s">
        <v>10298</v>
      </c>
      <c r="AA173" s="217" t="s">
        <v>10299</v>
      </c>
      <c r="AB173" s="3274" t="str">
        <f t="shared" si="234"/>
        <v>7-DaHall 1-PDU-01</v>
      </c>
      <c r="AC173" t="s">
        <v>9481</v>
      </c>
      <c r="AD173" t="str">
        <f t="shared" si="173"/>
        <v>7-DaHall 1-PDU-02</v>
      </c>
      <c r="AE173" t="s">
        <v>9481</v>
      </c>
      <c r="AF173" s="2989" cm="1">
        <f t="array" ref="AF173">INDEX('각층분기별_유효전력최대(전월)'!$L$4:$L$2020,MATCH(1, ('각층분기별_유효전력최대(전월)'!$J$4:$J$2020='7층~4층_매핑테이블'!AB173) * ('각층분기별_유효전력최대(전월)'!$K$4:$K$2020='7층~4층_매핑테이블'!AC173),0)) + INDEX('각층분기별_유효전력최대(전월)'!$L$4:$L$2020,MATCH(1, ('각층분기별_유효전력최대(전월)'!$J$4:$J$2020='7층~4층_매핑테이블'!AD173) * ('각층분기별_유효전력최대(전월)'!$K$4:$K$2020='7층~4층_매핑테이블'!AE173),0))</f>
        <v>0.18</v>
      </c>
    </row>
    <row r="174" spans="1:32" x14ac:dyDescent="0.25">
      <c r="A174" t="str">
        <f t="shared" si="232"/>
        <v/>
      </c>
      <c r="B174" s="217"/>
      <c r="C174" s="217"/>
      <c r="D174" s="2989" t="str">
        <f>IF(MID(B174,16,2)="0","",MID(B174,1,15)&amp;MID(B174,16,2))</f>
        <v/>
      </c>
      <c r="E174" s="2989" t="str">
        <f t="shared" si="174"/>
        <v/>
      </c>
      <c r="F174" s="2989" t="str">
        <f t="shared" si="235"/>
        <v/>
      </c>
      <c r="G174" s="2989" t="str">
        <f t="shared" si="236"/>
        <v/>
      </c>
      <c r="H174" s="2989" cm="1">
        <f t="array" ref="H174">INDEX('각층분기별_유효전력최대(전월)'!$C$4:$C$2020,MATCH(1, ('각층분기별_유효전력최대(전월)'!$A$4:$A$2020='7층~4층_매핑테이블'!D174) * ('각층분기별_유효전력최대(전월)'!$B$4:$B$2020='7층~4층_매핑테이블'!E174),0)) + INDEX('각층분기별_유효전력최대(전월)'!$C$4:$C$2020,MATCH(1, ('각층분기별_유효전력최대(전월)'!$A$4:$A$2020='7층~4층_매핑테이블'!F174) * ('각층분기별_유효전력최대(전월)'!$B$4:$B$2020='7층~4층_매핑테이블'!G174),0))</f>
        <v>0</v>
      </c>
      <c r="I174" t="str">
        <f t="shared" si="196"/>
        <v>5-DaHall 1-PDU-21-50-215-DaHall 1-PDU-22-50-21</v>
      </c>
      <c r="J174" s="217" t="s">
        <v>10300</v>
      </c>
      <c r="K174" s="217" t="s">
        <v>10301</v>
      </c>
      <c r="L174" t="str">
        <f t="shared" si="176"/>
        <v>5-DaHall 1-PDU-21</v>
      </c>
      <c r="M174" t="str">
        <f t="shared" si="226"/>
        <v>[branch#021] [A] W</v>
      </c>
      <c r="N174" t="str">
        <f t="shared" si="198"/>
        <v>5-DaHall 1-PDU-22</v>
      </c>
      <c r="O174" t="str">
        <f>IF(IF(LEN((MID(K174,22,2)))=1, "[branch#"&amp;0&amp;MID(K174,22,2)&amp;"] [A] W", "[branch#"&amp;MID(K174,22,2)&amp;"] [A] W")="[branch#] [A] W", "", IF(LEN((MID(K174,22,2)))=1, "[branch#"&amp;0&amp;MID(K174,22,2)&amp;"] [A] W", "2955 [branch#"&amp;MID(K174,22,2)&amp;"] [A] W"))</f>
        <v>2955 [branch#21] [A] W</v>
      </c>
      <c r="P174" s="2989" t="e" cm="1">
        <f t="array" ref="P174">INDEX('각층분기별_유효전력최대(전월)'!$F$4:$F$2020,MATCH(1, ('각층분기별_유효전력최대(전월)'!$D$4:$D$2020='7층~4층_매핑테이블'!L174) * ('각층분기별_유효전력최대(전월)'!$E$4:$E$2020='7층~4층_매핑테이블'!M174),0)) + INDEX('각층분기별_유효전력최대(전월)'!$F$4:$F$2020,MATCH(1, ('각층분기별_유효전력최대(전월)'!$D$4:$D$2020='7층~4층_매핑테이블'!N174) * ('각층분기별_유효전력최대(전월)'!$E$4:$E$2020='7층~4층_매핑테이블'!O174),0))</f>
        <v>#N/A</v>
      </c>
      <c r="Q174" s="1" t="str">
        <f t="shared" si="227"/>
        <v>6-DaHall 1-PDU-11-30-176-DaHall 1-PDU-12-30-17</v>
      </c>
      <c r="R174" s="217" t="s">
        <v>10302</v>
      </c>
      <c r="S174" s="217" t="s">
        <v>10303</v>
      </c>
      <c r="T174" t="str">
        <f t="shared" si="182"/>
        <v>6-DaHall 1-PDU-11</v>
      </c>
      <c r="U174" t="str">
        <f t="shared" si="228"/>
        <v>[branch#017] [A] W</v>
      </c>
      <c r="V174" t="str">
        <f t="shared" si="229"/>
        <v>6-DaHall 1-PDU-12</v>
      </c>
      <c r="W174" t="str">
        <f t="shared" si="230"/>
        <v>[branch#017] [A] W</v>
      </c>
      <c r="X174" s="2989" cm="1">
        <f t="array" ref="X174">INDEX('각층분기별_유효전력최대(전월)'!$I$4:$I$2020,MATCH(1, ('각층분기별_유효전력최대(전월)'!$G$4:$G$2020='7층~4층_매핑테이블'!T174) * ('각층분기별_유효전력최대(전월)'!$H$4:$H$2020='7층~4층_매핑테이블'!U174),0)) + INDEX('각층분기별_유효전력최대(전월)'!$I$4:$I$2020,MATCH(1, ('각층분기별_유효전력최대(전월)'!$G$4:$G$2020='7층~4층_매핑테이블'!V174) * ('각층분기별_유효전력최대(전월)'!$H$4:$H$2020='7층~4층_매핑테이블'!W174),0))</f>
        <v>0</v>
      </c>
      <c r="Y174" s="3274" t="str">
        <f>Z174&amp;AA174</f>
        <v>7-DaHall 1-RPP-01-20-197-DaHall 1-RPP-02-30-10</v>
      </c>
      <c r="Z174" s="217" t="s">
        <v>10304</v>
      </c>
      <c r="AA174" s="217" t="s">
        <v>10305</v>
      </c>
      <c r="AB174" s="3274" t="str">
        <f>IF(MID(Z174,16,2)="0","",MID(Z174,1,15)&amp;MID(Z174,16,2))</f>
        <v>7-DaHall 1-RPP-01</v>
      </c>
      <c r="AC174" t="s">
        <v>9486</v>
      </c>
      <c r="AD174" t="str">
        <f t="shared" si="173"/>
        <v>7-DaHall 1-RPP-02</v>
      </c>
      <c r="AE174" t="s">
        <v>9500</v>
      </c>
      <c r="AF174" s="2989" cm="1">
        <f t="array" ref="AF174">INDEX('각층분기별_유효전력최대(전월)'!$L$4:$L$2020,MATCH(1, ('각층분기별_유효전력최대(전월)'!$J$4:$J$2020='7층~4층_매핑테이블'!AB174) * ('각층분기별_유효전력최대(전월)'!$K$4:$K$2020='7층~4층_매핑테이블'!AC174),0)) + INDEX('각층분기별_유효전력최대(전월)'!$L$4:$L$2020,MATCH(1, ('각층분기별_유효전력최대(전월)'!$J$4:$J$2020='7층~4층_매핑테이블'!AD174) * ('각층분기별_유효전력최대(전월)'!$K$4:$K$2020='7층~4층_매핑테이블'!AE174),0))</f>
        <v>0.28000000000000003</v>
      </c>
    </row>
    <row r="175" spans="1:32" x14ac:dyDescent="0.25">
      <c r="A175" t="str">
        <f t="shared" si="232"/>
        <v/>
      </c>
      <c r="B175" s="217"/>
      <c r="C175" s="217"/>
      <c r="D175" s="2989" t="str">
        <f>IF(MID(B175,16,2)="0","",MID(B175,1,15)&amp;MID(B175,16,2))</f>
        <v/>
      </c>
      <c r="E175" s="2989" t="str">
        <f t="shared" si="174"/>
        <v/>
      </c>
      <c r="F175" s="2989" t="str">
        <f t="shared" si="235"/>
        <v/>
      </c>
      <c r="G175" s="2989" t="str">
        <f t="shared" si="236"/>
        <v/>
      </c>
      <c r="H175" s="2989" cm="1">
        <f t="array" ref="H175">INDEX('각층분기별_유효전력최대(전월)'!$C$4:$C$2020,MATCH(1, ('각층분기별_유효전력최대(전월)'!$A$4:$A$2020='7층~4층_매핑테이블'!D175) * ('각층분기별_유효전력최대(전월)'!$B$4:$B$2020='7층~4층_매핑테이블'!E175),0)) + INDEX('각층분기별_유효전력최대(전월)'!$C$4:$C$2020,MATCH(1, ('각층분기별_유효전력최대(전월)'!$A$4:$A$2020='7층~4층_매핑테이블'!F175) * ('각층분기별_유효전력최대(전월)'!$B$4:$B$2020='7층~4층_매핑테이블'!G175),0))</f>
        <v>0</v>
      </c>
      <c r="I175" t="str">
        <f t="shared" si="196"/>
        <v>5-DaHall 1-PDU-19-30-195-DaHall 1-PDU-20-30-19</v>
      </c>
      <c r="J175" s="217" t="s">
        <v>10306</v>
      </c>
      <c r="K175" s="217" t="s">
        <v>10307</v>
      </c>
      <c r="L175" t="str">
        <f t="shared" si="176"/>
        <v>5-DaHall 1-PDU-19</v>
      </c>
      <c r="M175" t="str">
        <f t="shared" si="226"/>
        <v>[branch#019] [A] W</v>
      </c>
      <c r="N175" t="str">
        <f t="shared" si="198"/>
        <v>5-DaHall 1-PDU-20</v>
      </c>
      <c r="O175" t="str">
        <f>IF(IF(LEN((MID(K175,22,2)))=1, "[branch#"&amp;0&amp;MID(K175,22,2)&amp;"] [A] W", "[branch#"&amp;MID(K175,22,2)&amp;"] [A] W")="[branch#] [A] W", "", IF(LEN((MID(K175,22,2)))=1, "[branch#"&amp;0&amp;MID(K175,22,2)&amp;"] [A] W", "2675 [branch#"&amp;MID(K175,22,2)&amp;"] [A] W"))</f>
        <v>2675 [branch#19] [A] W</v>
      </c>
      <c r="P175" s="2989" t="e" cm="1">
        <f t="array" ref="P175">INDEX('각층분기별_유효전력최대(전월)'!$F$4:$F$2020,MATCH(1, ('각층분기별_유효전력최대(전월)'!$D$4:$D$2020='7층~4층_매핑테이블'!L175) * ('각층분기별_유효전력최대(전월)'!$E$4:$E$2020='7층~4층_매핑테이블'!M175),0)) + INDEX('각층분기별_유효전력최대(전월)'!$F$4:$F$2020,MATCH(1, ('각층분기별_유효전력최대(전월)'!$D$4:$D$2020='7층~4층_매핑테이블'!N175) * ('각층분기별_유효전력최대(전월)'!$E$4:$E$2020='7층~4층_매핑테이블'!O175),0))</f>
        <v>#N/A</v>
      </c>
      <c r="Q175" s="1" t="str">
        <f>R175&amp;S175</f>
        <v/>
      </c>
      <c r="R175" s="217"/>
      <c r="S175" s="217"/>
      <c r="T175" t="str">
        <f t="shared" si="182"/>
        <v/>
      </c>
      <c r="U175" t="str">
        <f>IF(IF(LEN((MID(R175,22,2)))=1, "[branch#0"&amp;0&amp;MID(R175,22,2)&amp;"] [A] W", "[branch#0"&amp;MID(R175,22,2)&amp;"] [A] W")="[branch#0] [A] W", "", IF(LEN((MID(R175,22,2)))=1, "[branch#0"&amp;0&amp;MID(R175,22,2)&amp;"] [A] W", "[branch#0"&amp;MID(R175,22,2)&amp;"] [A] W"))</f>
        <v/>
      </c>
      <c r="V175" t="str">
        <f>IF(MID(S175,16,2)="0","",MID(S175,1,15)&amp;MID(S175,16,2))</f>
        <v/>
      </c>
      <c r="W175" t="str">
        <f>IF(IF(LEN((MID(S175,22,2)))=1, "[branch#0"&amp;0&amp;MID(S175,22,2)&amp;"] [A] W", "[branch#0"&amp;MID(S175,22,2)&amp;"] [A] W")="[branch#0] [A] W", "", IF(LEN((MID(S175,22,2)))=1, "[branch#0"&amp;0&amp;MID(S175,22,2)&amp;"] [A] W", "[branch#0"&amp;MID(S175,22,2)&amp;"] [A] W"))</f>
        <v/>
      </c>
      <c r="X175" s="2989" cm="1">
        <f t="array" ref="X175">INDEX('각층분기별_유효전력최대(전월)'!$I$4:$I$2020,MATCH(1, ('각층분기별_유효전력최대(전월)'!$G$4:$G$2020='7층~4층_매핑테이블'!T175) * ('각층분기별_유효전력최대(전월)'!$H$4:$H$2020='7층~4층_매핑테이블'!U175),0)) + INDEX('각층분기별_유효전력최대(전월)'!$I$4:$I$2020,MATCH(1, ('각층분기별_유효전력최대(전월)'!$G$4:$G$2020='7층~4층_매핑테이블'!V175) * ('각층분기별_유효전력최대(전월)'!$H$4:$H$2020='7층~4층_매핑테이블'!W175),0))</f>
        <v>0</v>
      </c>
      <c r="Y175" s="3274" t="str">
        <f>Z175&amp;AA175</f>
        <v>7-DaHall 1-PDU-01-30-447-DaHall 1-PDU-02-30-44</v>
      </c>
      <c r="Z175" s="217" t="s">
        <v>10308</v>
      </c>
      <c r="AA175" s="217" t="s">
        <v>10309</v>
      </c>
      <c r="AB175" s="3274" t="str">
        <f>IF(MID(Z175,16,2)="0","",MID(Z175,1,15)&amp;MID(Z175,16,2))</f>
        <v>7-DaHall 1-PDU-01</v>
      </c>
      <c r="AC175" t="s">
        <v>9389</v>
      </c>
      <c r="AD175" t="str">
        <f t="shared" si="173"/>
        <v>7-DaHall 1-PDU-02</v>
      </c>
      <c r="AE175" t="s">
        <v>9389</v>
      </c>
      <c r="AF175" s="2989" cm="1">
        <f t="array" ref="AF175">INDEX('각층분기별_유효전력최대(전월)'!$L$4:$L$2020,MATCH(1, ('각층분기별_유효전력최대(전월)'!$J$4:$J$2020='7층~4층_매핑테이블'!AB175) * ('각층분기별_유효전력최대(전월)'!$K$4:$K$2020='7층~4층_매핑테이블'!AC175),0)) + INDEX('각층분기별_유효전력최대(전월)'!$L$4:$L$2020,MATCH(1, ('각층분기별_유효전력최대(전월)'!$J$4:$J$2020='7층~4층_매핑테이블'!AD175) * ('각층분기별_유효전력최대(전월)'!$K$4:$K$2020='7층~4층_매핑테이블'!AE175),0))</f>
        <v>2.4339999999999997</v>
      </c>
    </row>
    <row r="176" spans="1:32" x14ac:dyDescent="0.25">
      <c r="A176" t="str">
        <f>B176&amp;C176</f>
        <v>4-DaHall 1-PDU-02-100-74-DaHall 1-PDU-01-100-7</v>
      </c>
      <c r="B176" s="217" t="s">
        <v>10310</v>
      </c>
      <c r="C176" s="217" t="s">
        <v>10311</v>
      </c>
      <c r="D176" s="2989" t="str">
        <f>IF(MID(B176,16,2)="0","",MID(B176,1,15)&amp;MID(B176,16,2))</f>
        <v>4-DaHall 1-PDU-02</v>
      </c>
      <c r="E176" s="2989" t="str">
        <f t="shared" si="174"/>
        <v>[branch#007] [A] W</v>
      </c>
      <c r="F176" s="2989" t="str">
        <f>IF(MID(C176,16,2)="0","",MID(C176,1,15)&amp;MID(C176,16,2))</f>
        <v>4-DaHall 1-PDU-01</v>
      </c>
      <c r="G176" s="2989" t="str">
        <f>IF(IF(LEN(MID(C176,23,2))=1, "[branch#0"&amp;0&amp;MID(C176,23,2)&amp;"] [A] W", "[branch#0"&amp;MID(C176,23,2)&amp;"] [A] W")="[branch#0] [A] W", "", IF(LEN(MID(C176,23,2))=1, "[branch#0"&amp;0&amp;MID(C176,23,2)&amp;"] [A] W", "[branch#0"&amp;MID(C176,23,2)&amp;"] [A] W"))</f>
        <v>[branch#007] [A] W</v>
      </c>
      <c r="H176" s="2989" cm="1">
        <f t="array" ref="H176">INDEX('각층분기별_유효전력최대(전월)'!$C$4:$C$2020,MATCH(1, ('각층분기별_유효전력최대(전월)'!$A$4:$A$2020='7층~4층_매핑테이블'!D176) * ('각층분기별_유효전력최대(전월)'!$B$4:$B$2020='7층~4층_매핑테이블'!E176),0)) + INDEX('각층분기별_유효전력최대(전월)'!$C$4:$C$2020,MATCH(1, ('각층분기별_유효전력최대(전월)'!$A$4:$A$2020='7층~4층_매핑테이블'!F176) * ('각층분기별_유효전력최대(전월)'!$B$4:$B$2020='7층~4층_매핑테이블'!G176),0))</f>
        <v>8.8550000000000004</v>
      </c>
      <c r="I176" t="str">
        <f t="shared" si="196"/>
        <v>5-DaHall 1-PDU-21-30-195-DaHall 1-PDU-22-30-19</v>
      </c>
      <c r="J176" s="217" t="s">
        <v>10312</v>
      </c>
      <c r="K176" s="217" t="s">
        <v>10313</v>
      </c>
      <c r="L176" t="str">
        <f t="shared" si="176"/>
        <v>5-DaHall 1-PDU-21</v>
      </c>
      <c r="M176" t="str">
        <f t="shared" si="226"/>
        <v>[branch#019] [A] W</v>
      </c>
      <c r="N176" t="str">
        <f t="shared" si="198"/>
        <v>5-DaHall 1-PDU-22</v>
      </c>
      <c r="O176" t="str">
        <f>IF(IF(LEN((MID(K176,22,2)))=1, "[branch#"&amp;0&amp;MID(K176,22,2)&amp;"] [A] W", "[branch#"&amp;MID(K176,22,2)&amp;"] [A] W")="[branch#] [A] W", "", IF(LEN((MID(K176,22,2)))=1, "[branch#"&amp;0&amp;MID(K176,22,2)&amp;"] [A] W", "2675 [branch#"&amp;MID(K176,22,2)&amp;"] [A] W"))</f>
        <v>2675 [branch#19] [A] W</v>
      </c>
      <c r="P176" s="2989" t="e" cm="1">
        <f t="array" ref="P176">INDEX('각층분기별_유효전력최대(전월)'!$F$4:$F$2020,MATCH(1, ('각층분기별_유효전력최대(전월)'!$D$4:$D$2020='7층~4층_매핑테이블'!L176) * ('각층분기별_유효전력최대(전월)'!$E$4:$E$2020='7층~4층_매핑테이블'!M176),0)) + INDEX('각층분기별_유효전력최대(전월)'!$F$4:$F$2020,MATCH(1, ('각층분기별_유효전력최대(전월)'!$D$4:$D$2020='7층~4층_매핑테이블'!N176) * ('각층분기별_유효전력최대(전월)'!$E$4:$E$2020='7층~4층_매핑테이블'!O176),0))</f>
        <v>#N/A</v>
      </c>
      <c r="Q176" s="1" t="str">
        <f>R176&amp;S176</f>
        <v>6-DaHall 1-PDU-11-30-26-DaHall 1-PDU-12-30-2</v>
      </c>
      <c r="R176" s="217" t="s">
        <v>10314</v>
      </c>
      <c r="S176" s="217" t="s">
        <v>10315</v>
      </c>
      <c r="T176" t="str">
        <f t="shared" si="182"/>
        <v>6-DaHall 1-PDU-11</v>
      </c>
      <c r="U176" t="str">
        <f>IF(IF(LEN((MID(R176,22,2)))=1, "[branch#0"&amp;0&amp;MID(R176,22,2)&amp;"] [A] W", "[branch#0"&amp;MID(R176,22,2)&amp;"] [A] W")="[branch#0] [A] W", "", IF(LEN((MID(R176,22,2)))=1, "[branch#0"&amp;0&amp;MID(R176,22,2)&amp;"] [A] W", "[branch#0"&amp;MID(R176,22,2)&amp;"] [A] W"))</f>
        <v>[branch#002] [A] W</v>
      </c>
      <c r="V176" t="str">
        <f>IF(MID(S176,16,2)="0","",MID(S176,1,15)&amp;MID(S176,16,2))</f>
        <v>6-DaHall 1-PDU-12</v>
      </c>
      <c r="W176" t="str">
        <f>IF(IF(LEN((MID(S176,22,2)))=1, "[branch#0"&amp;0&amp;MID(S176,22,2)&amp;"] [A] W", "[branch#0"&amp;MID(S176,22,2)&amp;"] [A] W")="[branch#0] [A] W", "", IF(LEN((MID(S176,22,2)))=1, "[branch#0"&amp;0&amp;MID(S176,22,2)&amp;"] [A] W", "[branch#0"&amp;MID(S176,22,2)&amp;"] [A] W"))</f>
        <v>[branch#002] [A] W</v>
      </c>
      <c r="X176" s="2989" cm="1">
        <f t="array" ref="X176">INDEX('각층분기별_유효전력최대(전월)'!$I$4:$I$2020,MATCH(1, ('각층분기별_유효전력최대(전월)'!$G$4:$G$2020='7층~4층_매핑테이블'!T176) * ('각층분기별_유효전력최대(전월)'!$H$4:$H$2020='7층~4층_매핑테이블'!U176),0)) + INDEX('각층분기별_유효전력최대(전월)'!$I$4:$I$2020,MATCH(1, ('각층분기별_유효전력최대(전월)'!$G$4:$G$2020='7층~4층_매핑테이블'!V176) * ('각층분기별_유효전력최대(전월)'!$H$4:$H$2020='7층~4층_매핑테이블'!W176),0))</f>
        <v>0</v>
      </c>
      <c r="Y176" s="3274" t="str">
        <f t="shared" ref="Y176:Y179" si="237">Z176&amp;AA176</f>
        <v>7-DaHall 1-PDU-01-30-27-DaHall 1-PDU-02-30-2</v>
      </c>
      <c r="Z176" s="217" t="s">
        <v>10316</v>
      </c>
      <c r="AA176" s="217" t="s">
        <v>10317</v>
      </c>
      <c r="AB176" s="3274" t="str">
        <f>IF(MID(Z176,16,2)="0","",MID(Z176,1,15)&amp;MID(Z176,16,2))</f>
        <v>7-DaHall 1-PDU-01</v>
      </c>
      <c r="AC176" t="s">
        <v>9361</v>
      </c>
      <c r="AD176" t="str">
        <f t="shared" si="173"/>
        <v>7-DaHall 1-PDU-02</v>
      </c>
      <c r="AE176" t="s">
        <v>9361</v>
      </c>
      <c r="AF176" s="2989" cm="1">
        <f t="array" ref="AF176">INDEX('각층분기별_유효전력최대(전월)'!$L$4:$L$2020,MATCH(1, ('각층분기별_유효전력최대(전월)'!$J$4:$J$2020='7층~4층_매핑테이블'!AB176) * ('각층분기별_유효전력최대(전월)'!$K$4:$K$2020='7층~4층_매핑테이블'!AC176),0)) + INDEX('각층분기별_유효전력최대(전월)'!$L$4:$L$2020,MATCH(1, ('각층분기별_유효전력최대(전월)'!$J$4:$J$2020='7층~4층_매핑테이블'!AD176) * ('각층분기별_유효전력최대(전월)'!$K$4:$K$2020='7층~4층_매핑테이블'!AE176),0))</f>
        <v>0</v>
      </c>
    </row>
    <row r="177" spans="1:32" x14ac:dyDescent="0.25">
      <c r="A177" t="str">
        <f>B177&amp;C177</f>
        <v/>
      </c>
      <c r="B177" s="217"/>
      <c r="C177" s="217"/>
      <c r="D177" s="2989" t="str">
        <f>IF(MID(B177,16,2)="0","",MID(B177,1,15)&amp;MID(B177,16,2))</f>
        <v/>
      </c>
      <c r="E177" s="2989" t="str">
        <f t="shared" si="174"/>
        <v/>
      </c>
      <c r="F177" s="2989" t="str">
        <f>IF(MID(C177,16,2)="0","",MID(C177,1,15)&amp;MID(C177,16,2))</f>
        <v/>
      </c>
      <c r="G177" s="2989" t="str">
        <f>IF(IF(LEN(MID(C177,23,2))=1, "[branch#0"&amp;0&amp;MID(C177,23,2)&amp;"] [A] W", "[branch#0"&amp;MID(C177,23,2)&amp;"] [A] W")="[branch#0] [A] W", "", IF(LEN(MID(C177,23,2))=1, "[branch#0"&amp;0&amp;MID(C177,23,2)&amp;"] [A] W", "[branch#0"&amp;MID(C177,23,2)&amp;"] [A] W"))</f>
        <v/>
      </c>
      <c r="H177" s="2989" cm="1">
        <f t="array" ref="H177">INDEX('각층분기별_유효전력최대(전월)'!$C$4:$C$2020,MATCH(1, ('각층분기별_유효전력최대(전월)'!$A$4:$A$2020='7층~4층_매핑테이블'!D177) * ('각층분기별_유효전력최대(전월)'!$B$4:$B$2020='7층~4층_매핑테이블'!E177),0)) + INDEX('각층분기별_유효전력최대(전월)'!$C$4:$C$2020,MATCH(1, ('각층분기별_유효전력최대(전월)'!$A$4:$A$2020='7층~4층_매핑테이블'!F177) * ('각층분기별_유효전력최대(전월)'!$B$4:$B$2020='7층~4층_매핑테이블'!G177),0))</f>
        <v>0</v>
      </c>
      <c r="I177" t="str">
        <f t="shared" si="196"/>
        <v>5-DaHall 1-PDU-19-30-175-DaHall 1-PDU-20-30-17</v>
      </c>
      <c r="J177" s="217" t="s">
        <v>10318</v>
      </c>
      <c r="K177" s="217" t="s">
        <v>10319</v>
      </c>
      <c r="L177" t="str">
        <f t="shared" si="176"/>
        <v>5-DaHall 1-PDU-19</v>
      </c>
      <c r="M177" t="str">
        <f t="shared" si="226"/>
        <v>[branch#017] [A] W</v>
      </c>
      <c r="N177" t="str">
        <f t="shared" si="198"/>
        <v>5-DaHall 1-PDU-20</v>
      </c>
      <c r="O177" t="str">
        <f>IF(IF(LEN((MID(K177,22,2)))=1, "[branch#"&amp;0&amp;MID(K177,22,2)&amp;"] [A] W", "[branch#"&amp;MID(K177,22,2)&amp;"] [A] W")="[branch#] [A] W", "", IF(LEN((MID(K177,22,2)))=1, "[branch#"&amp;0&amp;MID(K177,22,2)&amp;"] [A] W", "2395 [branch#"&amp;MID(K177,22,2)&amp;"] [A] W"))</f>
        <v>2395 [branch#17] [A] W</v>
      </c>
      <c r="P177" s="2989" t="e" cm="1">
        <f t="array" ref="P177">INDEX('각층분기별_유효전력최대(전월)'!$F$4:$F$2020,MATCH(1, ('각층분기별_유효전력최대(전월)'!$D$4:$D$2020='7층~4층_매핑테이블'!L177) * ('각층분기별_유효전력최대(전월)'!$E$4:$E$2020='7층~4층_매핑테이블'!M177),0)) + INDEX('각층분기별_유효전력최대(전월)'!$F$4:$F$2020,MATCH(1, ('각층분기별_유효전력최대(전월)'!$D$4:$D$2020='7층~4층_매핑테이블'!N177) * ('각층분기별_유효전력최대(전월)'!$E$4:$E$2020='7층~4층_매핑테이블'!O177),0))</f>
        <v>#N/A</v>
      </c>
      <c r="Q177" s="1" t="str">
        <f t="shared" ref="Q177:Q184" si="238">R177&amp;S177</f>
        <v>6-DaHall 1-PDU-11-30-46-DaHall 1-PDU-12-30-4</v>
      </c>
      <c r="R177" s="217" t="s">
        <v>10320</v>
      </c>
      <c r="S177" s="217" t="s">
        <v>10321</v>
      </c>
      <c r="T177" t="str">
        <f t="shared" si="182"/>
        <v>6-DaHall 1-PDU-11</v>
      </c>
      <c r="U177" t="str">
        <f t="shared" ref="U177:U184" si="239">IF(IF(LEN((MID(R177,22,2)))=1, "[branch#0"&amp;0&amp;MID(R177,22,2)&amp;"] [A] W", "[branch#0"&amp;MID(R177,22,2)&amp;"] [A] W")="[branch#0] [A] W", "", IF(LEN((MID(R177,22,2)))=1, "[branch#0"&amp;0&amp;MID(R177,22,2)&amp;"] [A] W", "[branch#0"&amp;MID(R177,22,2)&amp;"] [A] W"))</f>
        <v>[branch#004] [A] W</v>
      </c>
      <c r="V177" t="str">
        <f t="shared" ref="V177:V184" si="240">IF(MID(S177,16,2)="0","",MID(S177,1,15)&amp;MID(S177,16,2))</f>
        <v>6-DaHall 1-PDU-12</v>
      </c>
      <c r="W177" t="str">
        <f t="shared" ref="W177:W184" si="241">IF(IF(LEN((MID(S177,22,2)))=1, "[branch#0"&amp;0&amp;MID(S177,22,2)&amp;"] [A] W", "[branch#0"&amp;MID(S177,22,2)&amp;"] [A] W")="[branch#0] [A] W", "", IF(LEN((MID(S177,22,2)))=1, "[branch#0"&amp;0&amp;MID(S177,22,2)&amp;"] [A] W", "[branch#0"&amp;MID(S177,22,2)&amp;"] [A] W"))</f>
        <v>[branch#004] [A] W</v>
      </c>
      <c r="X177" s="2989" cm="1">
        <f t="array" ref="X177">INDEX('각층분기별_유효전력최대(전월)'!$I$4:$I$2020,MATCH(1, ('각층분기별_유효전력최대(전월)'!$G$4:$G$2020='7층~4층_매핑테이블'!T177) * ('각층분기별_유효전력최대(전월)'!$H$4:$H$2020='7층~4층_매핑테이블'!U177),0)) + INDEX('각층분기별_유효전력최대(전월)'!$I$4:$I$2020,MATCH(1, ('각층분기별_유효전력최대(전월)'!$G$4:$G$2020='7층~4층_매핑테이블'!V177) * ('각층분기별_유효전력최대(전월)'!$H$4:$H$2020='7층~4층_매핑테이블'!W177),0))</f>
        <v>0</v>
      </c>
      <c r="Y177" s="3274" t="str">
        <f t="shared" si="237"/>
        <v>7-DaHall 1-A-1-35-507-DaHall 1-B-1-50-47</v>
      </c>
      <c r="Z177" s="217" t="s">
        <v>10322</v>
      </c>
      <c r="AA177" s="217" t="s">
        <v>10323</v>
      </c>
      <c r="AB177" s="3274" t="str">
        <f t="shared" ref="AB177:AB179" si="242">IF(MID(Z177,16,2)="0","",MID(Z177,1,15)&amp;MID(Z177,16,2))</f>
        <v>7-DaHall 1-A-1-35</v>
      </c>
      <c r="AC177" t="s">
        <v>9533</v>
      </c>
      <c r="AD177" t="str">
        <f t="shared" si="173"/>
        <v>7-DaHall 1-B-1-50</v>
      </c>
      <c r="AE177" t="s">
        <v>9528</v>
      </c>
      <c r="AF177" s="2989" t="e" cm="1">
        <f t="array" ref="AF177">INDEX('각층분기별_유효전력최대(전월)'!$L$4:$L$2020,MATCH(1, ('각층분기별_유효전력최대(전월)'!$J$4:$J$2020='7층~4층_매핑테이블'!AB177) * ('각층분기별_유효전력최대(전월)'!$K$4:$K$2020='7층~4층_매핑테이블'!AC177),0)) + INDEX('각층분기별_유효전력최대(전월)'!$L$4:$L$2020,MATCH(1, ('각층분기별_유효전력최대(전월)'!$J$4:$J$2020='7층~4층_매핑테이블'!AD177) * ('각층분기별_유효전력최대(전월)'!$K$4:$K$2020='7층~4층_매핑테이블'!AE177),0))</f>
        <v>#N/A</v>
      </c>
    </row>
    <row r="178" spans="1:32" x14ac:dyDescent="0.25">
      <c r="A178" t="str">
        <f t="shared" ref="A178:A186" si="243">B178&amp;C178</f>
        <v/>
      </c>
      <c r="B178" s="217"/>
      <c r="C178" s="217"/>
      <c r="D178" s="2989" t="str">
        <f>IF(MID(B178,16,2)="0","",MID(B178,1,15)&amp;MID(B178,16,2))</f>
        <v/>
      </c>
      <c r="E178" s="2989" t="str">
        <f t="shared" si="174"/>
        <v/>
      </c>
      <c r="F178" s="2989" t="str">
        <f>IF(MID(C178,16,2)="0","",MID(C178,1,15)&amp;MID(C178,16,2))</f>
        <v/>
      </c>
      <c r="G178" s="2989" t="str">
        <f>IF(IF(LEN(MID(C178,23,2))=1, "[branch#0"&amp;0&amp;MID(C178,23,2)&amp;"] [A] W", "[branch#0"&amp;MID(C178,23,2)&amp;"] [A] W")="[branch#0] [A] W", "", IF(LEN(MID(C178,23,2))=1, "[branch#0"&amp;0&amp;MID(C178,23,2)&amp;"] [A] W", "[branch#0"&amp;MID(C178,23,2)&amp;"] [A] W"))</f>
        <v/>
      </c>
      <c r="H178" s="2989" cm="1">
        <f t="array" ref="H178">INDEX('각층분기별_유효전력최대(전월)'!$C$4:$C$2020,MATCH(1, ('각층분기별_유효전력최대(전월)'!$A$4:$A$2020='7층~4층_매핑테이블'!D178) * ('각층분기별_유효전력최대(전월)'!$B$4:$B$2020='7층~4층_매핑테이블'!E178),0)) + INDEX('각층분기별_유효전력최대(전월)'!$C$4:$C$2020,MATCH(1, ('각층분기별_유효전력최대(전월)'!$A$4:$A$2020='7층~4층_매핑테이블'!F178) * ('각층분기별_유효전력최대(전월)'!$B$4:$B$2020='7층~4층_매핑테이블'!G178),0))</f>
        <v>0</v>
      </c>
      <c r="I178" t="str">
        <f t="shared" si="196"/>
        <v>5-DaHall 1-PDU-21-30-175-DaHall 1-PDU-22-30-17</v>
      </c>
      <c r="J178" s="217" t="s">
        <v>10324</v>
      </c>
      <c r="K178" s="217" t="s">
        <v>10325</v>
      </c>
      <c r="L178" t="str">
        <f t="shared" si="176"/>
        <v>5-DaHall 1-PDU-21</v>
      </c>
      <c r="M178" t="str">
        <f t="shared" si="226"/>
        <v>[branch#017] [A] W</v>
      </c>
      <c r="N178" t="str">
        <f t="shared" si="198"/>
        <v>5-DaHall 1-PDU-22</v>
      </c>
      <c r="O178" t="str">
        <f>IF(IF(LEN((MID(K178,22,2)))=1, "[branch#"&amp;0&amp;MID(K178,22,2)&amp;"] [A] W", "[branch#"&amp;MID(K178,22,2)&amp;"] [A] W")="[branch#] [A] W", "", IF(LEN((MID(K178,22,2)))=1, "[branch#"&amp;0&amp;MID(K178,22,2)&amp;"] [A] W", "2395 [branch#"&amp;MID(K178,22,2)&amp;"] [A] W"))</f>
        <v>2395 [branch#17] [A] W</v>
      </c>
      <c r="P178" s="2989" t="e" cm="1">
        <f t="array" ref="P178">INDEX('각층분기별_유효전력최대(전월)'!$F$4:$F$2020,MATCH(1, ('각층분기별_유효전력최대(전월)'!$D$4:$D$2020='7층~4층_매핑테이블'!L178) * ('각층분기별_유효전력최대(전월)'!$E$4:$E$2020='7층~4층_매핑테이블'!M178),0)) + INDEX('각층분기별_유효전력최대(전월)'!$F$4:$F$2020,MATCH(1, ('각층분기별_유효전력최대(전월)'!$D$4:$D$2020='7층~4층_매핑테이블'!N178) * ('각층분기별_유효전력최대(전월)'!$E$4:$E$2020='7층~4층_매핑테이블'!O178),0))</f>
        <v>#N/A</v>
      </c>
      <c r="Q178" s="1" t="str">
        <f t="shared" si="238"/>
        <v>6-DaHall 1-PDU-11-30-66-DaHall 1-PDU-12-30-6</v>
      </c>
      <c r="R178" s="217" t="s">
        <v>10326</v>
      </c>
      <c r="S178" s="217" t="s">
        <v>10327</v>
      </c>
      <c r="T178" t="str">
        <f t="shared" si="182"/>
        <v>6-DaHall 1-PDU-11</v>
      </c>
      <c r="U178" t="str">
        <f t="shared" si="239"/>
        <v>[branch#006] [A] W</v>
      </c>
      <c r="V178" t="str">
        <f t="shared" si="240"/>
        <v>6-DaHall 1-PDU-12</v>
      </c>
      <c r="W178" t="str">
        <f t="shared" si="241"/>
        <v>[branch#006] [A] W</v>
      </c>
      <c r="X178" s="2989" cm="1">
        <f t="array" ref="X178">INDEX('각층분기별_유효전력최대(전월)'!$I$4:$I$2020,MATCH(1, ('각층분기별_유효전력최대(전월)'!$G$4:$G$2020='7층~4층_매핑테이블'!T178) * ('각층분기별_유효전력최대(전월)'!$H$4:$H$2020='7층~4층_매핑테이블'!U178),0)) + INDEX('각층분기별_유효전력최대(전월)'!$I$4:$I$2020,MATCH(1, ('각층분기별_유효전력최대(전월)'!$G$4:$G$2020='7층~4층_매핑테이블'!V178) * ('각층분기별_유효전력최대(전월)'!$H$4:$H$2020='7층~4층_매핑테이블'!W178),0))</f>
        <v>0</v>
      </c>
      <c r="Y178" s="3274" t="str">
        <f t="shared" si="237"/>
        <v>7-DaHall 1-PDU-01-30-467-DaHall 1-PDU-02-30-46</v>
      </c>
      <c r="Z178" s="217" t="s">
        <v>10328</v>
      </c>
      <c r="AA178" s="217" t="s">
        <v>10329</v>
      </c>
      <c r="AB178" s="3274" t="str">
        <f t="shared" si="242"/>
        <v>7-DaHall 1-PDU-01</v>
      </c>
      <c r="AC178" t="s">
        <v>9401</v>
      </c>
      <c r="AD178" t="str">
        <f t="shared" si="173"/>
        <v>7-DaHall 1-PDU-02</v>
      </c>
      <c r="AE178" t="s">
        <v>9401</v>
      </c>
      <c r="AF178" s="2989" cm="1">
        <f t="array" ref="AF178">INDEX('각층분기별_유효전력최대(전월)'!$L$4:$L$2020,MATCH(1, ('각층분기별_유효전력최대(전월)'!$J$4:$J$2020='7층~4층_매핑테이블'!AB178) * ('각층분기별_유효전력최대(전월)'!$K$4:$K$2020='7층~4층_매핑테이블'!AC178),0)) + INDEX('각층분기별_유효전력최대(전월)'!$L$4:$L$2020,MATCH(1, ('각층분기별_유효전력최대(전월)'!$J$4:$J$2020='7층~4층_매핑테이블'!AD178) * ('각층분기별_유효전력최대(전월)'!$K$4:$K$2020='7층~4층_매핑테이블'!AE178),0))</f>
        <v>0</v>
      </c>
    </row>
    <row r="179" spans="1:32" x14ac:dyDescent="0.25">
      <c r="A179" t="str">
        <f t="shared" si="243"/>
        <v/>
      </c>
      <c r="B179" s="217"/>
      <c r="C179" s="217"/>
      <c r="D179" s="2989" t="str">
        <f t="shared" ref="D179:D242" si="244">IF(MID(B179,16,2)="0","",MID(B179,1,15)&amp;MID(B179,16,2))</f>
        <v/>
      </c>
      <c r="E179" s="2989" t="str">
        <f t="shared" si="174"/>
        <v/>
      </c>
      <c r="F179" s="2989" t="str">
        <f>IF(MID(C179,16,2)="0","",MID(C179,1,15)&amp;MID(C179,16,2))</f>
        <v/>
      </c>
      <c r="G179" s="2989" t="str">
        <f>IF(IF(LEN(MID(C179,23,2))=1, "[branch#0"&amp;0&amp;MID(C179,23,2)&amp;"] [A] W", "[branch#0"&amp;MID(C179,23,2)&amp;"] [A] W")="[branch#0] [A] W", "", IF(LEN(MID(C179,23,2))=1, "[branch#0"&amp;0&amp;MID(C179,23,2)&amp;"] [A] W", "[branch#0"&amp;MID(C179,23,2)&amp;"] [A] W"))</f>
        <v/>
      </c>
      <c r="H179" s="2989" cm="1">
        <f t="array" ref="H179">INDEX('각층분기별_유효전력최대(전월)'!$C$4:$C$2020,MATCH(1, ('각층분기별_유효전력최대(전월)'!$A$4:$A$2020='7층~4층_매핑테이블'!D179) * ('각층분기별_유효전력최대(전월)'!$B$4:$B$2020='7층~4층_매핑테이블'!E179),0)) + INDEX('각층분기별_유효전력최대(전월)'!$C$4:$C$2020,MATCH(1, ('각층분기별_유효전력최대(전월)'!$A$4:$A$2020='7층~4층_매핑테이블'!F179) * ('각층분기별_유효전력최대(전월)'!$B$4:$B$2020='7층~4층_매핑테이블'!G179),0))</f>
        <v>0</v>
      </c>
      <c r="I179" t="str">
        <f t="shared" si="196"/>
        <v>5-DaHall 1-PDU-19-30-155-DaHall 1-PDU-20-30-15</v>
      </c>
      <c r="J179" s="217" t="s">
        <v>10330</v>
      </c>
      <c r="K179" s="217" t="s">
        <v>10331</v>
      </c>
      <c r="L179" t="str">
        <f t="shared" si="176"/>
        <v>5-DaHall 1-PDU-19</v>
      </c>
      <c r="M179" t="str">
        <f t="shared" si="226"/>
        <v>[branch#015] [A] W</v>
      </c>
      <c r="N179" t="str">
        <f t="shared" si="198"/>
        <v>5-DaHall 1-PDU-20</v>
      </c>
      <c r="O179" t="str">
        <f>IF(IF(LEN((MID(K179,22,2)))=1, "[branch#"&amp;0&amp;MID(K179,22,2)&amp;"] [A] W", "[branch#"&amp;MID(K179,22,2)&amp;"] [A] W")="[branch#] [A] W", "", IF(LEN((MID(K179,22,2)))=1, "[branch#"&amp;0&amp;MID(K179,22,2)&amp;"] [A] W", "2115 [branch#"&amp;MID(K179,22,2)&amp;"] [A] W"))</f>
        <v>2115 [branch#15] [A] W</v>
      </c>
      <c r="P179" s="2989" t="e" cm="1">
        <f t="array" ref="P179">INDEX('각층분기별_유효전력최대(전월)'!$F$4:$F$2020,MATCH(1, ('각층분기별_유효전력최대(전월)'!$D$4:$D$2020='7층~4층_매핑테이블'!L179) * ('각층분기별_유효전력최대(전월)'!$E$4:$E$2020='7층~4층_매핑테이블'!M179),0)) + INDEX('각층분기별_유효전력최대(전월)'!$F$4:$F$2020,MATCH(1, ('각층분기별_유효전력최대(전월)'!$D$4:$D$2020='7층~4층_매핑테이블'!N179) * ('각층분기별_유효전력최대(전월)'!$E$4:$E$2020='7층~4층_매핑테이블'!O179),0))</f>
        <v>#N/A</v>
      </c>
      <c r="Q179" s="1" t="str">
        <f t="shared" si="238"/>
        <v>6-DaHall 1-PDU-11-30-86-DaHall 1-PDU-12-30-8</v>
      </c>
      <c r="R179" s="217" t="s">
        <v>10332</v>
      </c>
      <c r="S179" s="217" t="s">
        <v>10333</v>
      </c>
      <c r="T179" t="str">
        <f t="shared" si="182"/>
        <v>6-DaHall 1-PDU-11</v>
      </c>
      <c r="U179" t="str">
        <f t="shared" si="239"/>
        <v>[branch#008] [A] W</v>
      </c>
      <c r="V179" t="str">
        <f t="shared" si="240"/>
        <v>6-DaHall 1-PDU-12</v>
      </c>
      <c r="W179" t="str">
        <f t="shared" si="241"/>
        <v>[branch#008] [A] W</v>
      </c>
      <c r="X179" s="2989" cm="1">
        <f t="array" ref="X179">INDEX('각층분기별_유효전력최대(전월)'!$I$4:$I$2020,MATCH(1, ('각층분기별_유효전력최대(전월)'!$G$4:$G$2020='7층~4층_매핑테이블'!T179) * ('각층분기별_유효전력최대(전월)'!$H$4:$H$2020='7층~4층_매핑테이블'!U179),0)) + INDEX('각층분기별_유효전력최대(전월)'!$I$4:$I$2020,MATCH(1, ('각층분기별_유효전력최대(전월)'!$G$4:$G$2020='7층~4층_매핑테이블'!V179) * ('각층분기별_유효전력최대(전월)'!$H$4:$H$2020='7층~4층_매핑테이블'!W179),0))</f>
        <v>0</v>
      </c>
      <c r="Y179" s="3274" t="str">
        <f t="shared" si="237"/>
        <v>7-DaHall 1-RPP-01-30-247-DaHall 1-RPP-02-30-18</v>
      </c>
      <c r="Z179" s="217" t="s">
        <v>10334</v>
      </c>
      <c r="AA179" s="217" t="s">
        <v>10335</v>
      </c>
      <c r="AB179" s="3274" t="str">
        <f t="shared" si="242"/>
        <v>7-DaHall 1-RPP-01</v>
      </c>
      <c r="AC179" t="s">
        <v>9554</v>
      </c>
      <c r="AD179" t="str">
        <f t="shared" si="173"/>
        <v>7-DaHall 1-RPP-02</v>
      </c>
      <c r="AE179" t="s">
        <v>9473</v>
      </c>
      <c r="AF179" s="2989" cm="1">
        <f t="array" ref="AF179">INDEX('각층분기별_유효전력최대(전월)'!$L$4:$L$2020,MATCH(1, ('각층분기별_유효전력최대(전월)'!$J$4:$J$2020='7층~4층_매핑테이블'!AB179) * ('각층분기별_유효전력최대(전월)'!$K$4:$K$2020='7층~4층_매핑테이블'!AC179),0)) + INDEX('각층분기별_유효전력최대(전월)'!$L$4:$L$2020,MATCH(1, ('각층분기별_유효전력최대(전월)'!$J$4:$J$2020='7층~4층_매핑테이블'!AD179) * ('각층분기별_유효전력최대(전월)'!$K$4:$K$2020='7층~4층_매핑테이블'!AE179),0))</f>
        <v>0</v>
      </c>
    </row>
    <row r="180" spans="1:32" x14ac:dyDescent="0.25">
      <c r="A180" t="str">
        <f t="shared" si="243"/>
        <v/>
      </c>
      <c r="B180" s="217"/>
      <c r="C180" s="217"/>
      <c r="D180" s="2989" t="str">
        <f t="shared" si="244"/>
        <v/>
      </c>
      <c r="E180" s="2989" t="str">
        <f t="shared" si="174"/>
        <v/>
      </c>
      <c r="F180" s="2989" t="str">
        <f>IF(MID(C180,16,2)="0","",MID(C180,1,15)&amp;MID(C180,16,2))</f>
        <v/>
      </c>
      <c r="G180" s="2989" t="str">
        <f>IF(IF(LEN(MID(C180,23,2))=1, "[branch#0"&amp;0&amp;MID(C180,23,2)&amp;"] [A] W", "[branch#0"&amp;MID(C180,23,2)&amp;"] [A] W")="[branch#0] [A] W", "", IF(LEN(MID(C180,23,2))=1, "[branch#0"&amp;0&amp;MID(C180,23,2)&amp;"] [A] W", "[branch#0"&amp;MID(C180,23,2)&amp;"] [A] W"))</f>
        <v/>
      </c>
      <c r="H180" s="2989" cm="1">
        <f t="array" ref="H180">INDEX('각층분기별_유효전력최대(전월)'!$C$4:$C$2020,MATCH(1, ('각층분기별_유효전력최대(전월)'!$A$4:$A$2020='7층~4층_매핑테이블'!D180) * ('각층분기별_유효전력최대(전월)'!$B$4:$B$2020='7층~4층_매핑테이블'!E180),0)) + INDEX('각층분기별_유효전력최대(전월)'!$C$4:$C$2020,MATCH(1, ('각층분기별_유효전력최대(전월)'!$A$4:$A$2020='7층~4층_매핑테이블'!F180) * ('각층분기별_유효전력최대(전월)'!$B$4:$B$2020='7층~4층_매핑테이블'!G180),0))</f>
        <v>0</v>
      </c>
      <c r="I180" t="str">
        <f t="shared" si="196"/>
        <v>5-DaHall 1-PDU-21-30-155-DaHall 1-PDU-22-30-15</v>
      </c>
      <c r="J180" s="217" t="s">
        <v>10336</v>
      </c>
      <c r="K180" s="217" t="s">
        <v>10337</v>
      </c>
      <c r="L180" t="str">
        <f t="shared" si="176"/>
        <v>5-DaHall 1-PDU-21</v>
      </c>
      <c r="M180" t="str">
        <f t="shared" si="226"/>
        <v>[branch#015] [A] W</v>
      </c>
      <c r="N180" t="str">
        <f t="shared" si="198"/>
        <v>5-DaHall 1-PDU-22</v>
      </c>
      <c r="O180" t="str">
        <f>IF(IF(LEN((MID(K180,22,2)))=1, "[branch#"&amp;0&amp;MID(K180,22,2)&amp;"] [A] W", "[branch#"&amp;MID(K180,22,2)&amp;"] [A] W")="[branch#] [A] W", "", IF(LEN((MID(K180,22,2)))=1, "[branch#"&amp;0&amp;MID(K180,22,2)&amp;"] [A] W", "2115 [branch#"&amp;MID(K180,22,2)&amp;"] [A] W"))</f>
        <v>2115 [branch#15] [A] W</v>
      </c>
      <c r="P180" s="2989" t="e" cm="1">
        <f t="array" ref="P180">INDEX('각층분기별_유효전력최대(전월)'!$F$4:$F$2020,MATCH(1, ('각층분기별_유효전력최대(전월)'!$D$4:$D$2020='7층~4층_매핑테이블'!L180) * ('각층분기별_유효전력최대(전월)'!$E$4:$E$2020='7층~4층_매핑테이블'!M180),0)) + INDEX('각층분기별_유효전력최대(전월)'!$F$4:$F$2020,MATCH(1, ('각층분기별_유효전력최대(전월)'!$D$4:$D$2020='7층~4층_매핑테이블'!N180) * ('각층분기별_유효전력최대(전월)'!$E$4:$E$2020='7층~4층_매핑테이블'!O180),0))</f>
        <v>#N/A</v>
      </c>
      <c r="Q180" s="1" t="str">
        <f t="shared" si="238"/>
        <v>6-DaHall 1-PDU-11-30-106-DaHall 1-PDU-12-30-10</v>
      </c>
      <c r="R180" s="217" t="s">
        <v>10338</v>
      </c>
      <c r="S180" s="217" t="s">
        <v>10339</v>
      </c>
      <c r="T180" t="str">
        <f t="shared" si="182"/>
        <v>6-DaHall 1-PDU-11</v>
      </c>
      <c r="U180" t="str">
        <f t="shared" si="239"/>
        <v>[branch#010] [A] W</v>
      </c>
      <c r="V180" t="str">
        <f t="shared" si="240"/>
        <v>6-DaHall 1-PDU-12</v>
      </c>
      <c r="W180" t="str">
        <f t="shared" si="241"/>
        <v>[branch#010] [A] W</v>
      </c>
      <c r="X180" s="2989" cm="1">
        <f t="array" ref="X180">INDEX('각층분기별_유효전력최대(전월)'!$I$4:$I$2020,MATCH(1, ('각층분기별_유효전력최대(전월)'!$G$4:$G$2020='7층~4층_매핑테이블'!T180) * ('각층분기별_유효전력최대(전월)'!$H$4:$H$2020='7층~4층_매핑테이블'!U180),0)) + INDEX('각층분기별_유효전력최대(전월)'!$I$4:$I$2020,MATCH(1, ('각층분기별_유효전력최대(전월)'!$G$4:$G$2020='7층~4층_매핑테이블'!V180) * ('각층분기별_유효전력최대(전월)'!$H$4:$H$2020='7층~4층_매핑테이블'!W180),0))</f>
        <v>0</v>
      </c>
      <c r="Y180" s="3274" t="str">
        <f>Z180&amp;AA180</f>
        <v>7-DaHall 1-RPP-01-20-337-DaHall 1-RPP-02-20-29</v>
      </c>
      <c r="Z180" s="217" t="s">
        <v>10340</v>
      </c>
      <c r="AA180" s="217" t="s">
        <v>10341</v>
      </c>
      <c r="AB180" s="3274" t="str">
        <f t="shared" ref="AB180:AB185" si="245">IF(MID(Z180,16,2)="0","",MID(Z180,1,15)&amp;MID(Z180,16,2))</f>
        <v>7-DaHall 1-RPP-01</v>
      </c>
      <c r="AC180" t="s">
        <v>9571</v>
      </c>
      <c r="AD180" t="str">
        <f t="shared" si="173"/>
        <v>7-DaHall 1-RPP-02</v>
      </c>
      <c r="AE180" t="s">
        <v>9459</v>
      </c>
      <c r="AF180" s="2989" cm="1">
        <f t="array" ref="AF180">INDEX('각층분기별_유효전력최대(전월)'!$L$4:$L$2020,MATCH(1, ('각층분기별_유효전력최대(전월)'!$J$4:$J$2020='7층~4층_매핑테이블'!AB180) * ('각층분기별_유효전력최대(전월)'!$K$4:$K$2020='7층~4층_매핑테이블'!AC180),0)) + INDEX('각층분기별_유효전력최대(전월)'!$L$4:$L$2020,MATCH(1, ('각층분기별_유효전력최대(전월)'!$J$4:$J$2020='7층~4층_매핑테이블'!AD180) * ('각층분기별_유효전력최대(전월)'!$K$4:$K$2020='7층~4층_매핑테이블'!AE180),0))</f>
        <v>0</v>
      </c>
    </row>
    <row r="181" spans="1:32" x14ac:dyDescent="0.25">
      <c r="A181" t="str">
        <f t="shared" si="243"/>
        <v/>
      </c>
      <c r="B181" s="217"/>
      <c r="C181" s="217"/>
      <c r="D181" s="2989" t="str">
        <f t="shared" si="244"/>
        <v/>
      </c>
      <c r="E181" s="2989" t="str">
        <f t="shared" si="174"/>
        <v/>
      </c>
      <c r="F181" s="2989" t="str">
        <f t="shared" ref="F181:F186" si="246">IF(MID(C181,16,2)="0","",MID(C181,1,15)&amp;MID(C181,16,2))</f>
        <v/>
      </c>
      <c r="G181" s="2989" t="str">
        <f t="shared" ref="G181:G186" si="247">IF(IF(LEN(MID(C181,23,2))=1, "[branch#0"&amp;0&amp;MID(C181,23,2)&amp;"] [A] W", "[branch#0"&amp;MID(C181,23,2)&amp;"] [A] W")="[branch#0] [A] W", "", IF(LEN(MID(C181,23,2))=1, "[branch#0"&amp;0&amp;MID(C181,23,2)&amp;"] [A] W", "[branch#0"&amp;MID(C181,23,2)&amp;"] [A] W"))</f>
        <v/>
      </c>
      <c r="H181" s="2989" cm="1">
        <f t="array" ref="H181">INDEX('각층분기별_유효전력최대(전월)'!$C$4:$C$2020,MATCH(1, ('각층분기별_유효전력최대(전월)'!$A$4:$A$2020='7층~4층_매핑테이블'!D181) * ('각층분기별_유효전력최대(전월)'!$B$4:$B$2020='7층~4층_매핑테이블'!E181),0)) + INDEX('각층분기별_유효전력최대(전월)'!$C$4:$C$2020,MATCH(1, ('각층분기별_유효전력최대(전월)'!$A$4:$A$2020='7층~4층_매핑테이블'!F181) * ('각층분기별_유효전력최대(전월)'!$B$4:$B$2020='7층~4층_매핑테이블'!G181),0))</f>
        <v>0</v>
      </c>
      <c r="I181" t="str">
        <f t="shared" si="196"/>
        <v>5-DaHall 1-PDU-19-30-145-DaHall 1-PDU-20-30-14</v>
      </c>
      <c r="J181" s="217" t="s">
        <v>10342</v>
      </c>
      <c r="K181" s="217" t="s">
        <v>10343</v>
      </c>
      <c r="L181" t="str">
        <f t="shared" si="176"/>
        <v>5-DaHall 1-PDU-19</v>
      </c>
      <c r="M181" t="str">
        <f t="shared" si="226"/>
        <v>[branch#014] [A] W</v>
      </c>
      <c r="N181" t="str">
        <f t="shared" si="198"/>
        <v>5-DaHall 1-PDU-20</v>
      </c>
      <c r="O181" t="str">
        <f>IF(IF(LEN((MID(K181,22,2)))=1, "[branch#"&amp;0&amp;MID(K181,22,2)&amp;"] [A] W", "[branch#"&amp;MID(K181,22,2)&amp;"] [A] W")="[branch#] [A] W", "", IF(LEN((MID(K181,22,2)))=1, "[branch#"&amp;0&amp;MID(K181,22,2)&amp;"] [A] W", "1975 [branch#"&amp;MID(K181,22,2)&amp;"] [A] W"))</f>
        <v>1975 [branch#14] [A] W</v>
      </c>
      <c r="P181" s="2989" t="e" cm="1">
        <f t="array" ref="P181">INDEX('각층분기별_유효전력최대(전월)'!$F$4:$F$2020,MATCH(1, ('각층분기별_유효전력최대(전월)'!$D$4:$D$2020='7층~4층_매핑테이블'!L181) * ('각층분기별_유효전력최대(전월)'!$E$4:$E$2020='7층~4층_매핑테이블'!M181),0)) + INDEX('각층분기별_유효전력최대(전월)'!$F$4:$F$2020,MATCH(1, ('각층분기별_유효전력최대(전월)'!$D$4:$D$2020='7층~4층_매핑테이블'!N181) * ('각층분기별_유효전력최대(전월)'!$E$4:$E$2020='7층~4층_매핑테이블'!O181),0))</f>
        <v>#N/A</v>
      </c>
      <c r="Q181" s="1" t="str">
        <f t="shared" si="238"/>
        <v>6-DaHall 1-PDU-11-30-126-DaHall 1-PDU-12-30-12</v>
      </c>
      <c r="R181" s="217" t="s">
        <v>10344</v>
      </c>
      <c r="S181" s="217" t="s">
        <v>10345</v>
      </c>
      <c r="T181" t="str">
        <f t="shared" si="182"/>
        <v>6-DaHall 1-PDU-11</v>
      </c>
      <c r="U181" t="str">
        <f t="shared" si="239"/>
        <v>[branch#012] [A] W</v>
      </c>
      <c r="V181" t="str">
        <f t="shared" si="240"/>
        <v>6-DaHall 1-PDU-12</v>
      </c>
      <c r="W181" t="str">
        <f t="shared" si="241"/>
        <v>[branch#012] [A] W</v>
      </c>
      <c r="X181" s="2989" cm="1">
        <f t="array" ref="X181">INDEX('각층분기별_유효전력최대(전월)'!$I$4:$I$2020,MATCH(1, ('각층분기별_유효전력최대(전월)'!$G$4:$G$2020='7층~4층_매핑테이블'!T181) * ('각층분기별_유효전력최대(전월)'!$H$4:$H$2020='7층~4층_매핑테이블'!U181),0)) + INDEX('각층분기별_유효전력최대(전월)'!$I$4:$I$2020,MATCH(1, ('각층분기별_유효전력최대(전월)'!$G$4:$G$2020='7층~4층_매핑테이블'!V181) * ('각층분기별_유효전력최대(전월)'!$H$4:$H$2020='7층~4층_매핑테이블'!W181),0))</f>
        <v>0</v>
      </c>
      <c r="Y181" s="3274" t="str">
        <f>Z181&amp;AA181</f>
        <v>7-DaHall 1-RPP-01-30-227-DaHall 1-RPP-02-30-16</v>
      </c>
      <c r="Z181" s="217" t="s">
        <v>10346</v>
      </c>
      <c r="AA181" s="217" t="s">
        <v>10347</v>
      </c>
      <c r="AB181" s="3274" t="str">
        <f t="shared" si="245"/>
        <v>7-DaHall 1-RPP-01</v>
      </c>
      <c r="AC181" t="s">
        <v>9547</v>
      </c>
      <c r="AD181" t="str">
        <f t="shared" si="173"/>
        <v>7-DaHall 1-RPP-02</v>
      </c>
      <c r="AE181" t="s">
        <v>9465</v>
      </c>
      <c r="AF181" s="2989" cm="1">
        <f t="array" ref="AF181">INDEX('각층분기별_유효전력최대(전월)'!$L$4:$L$2020,MATCH(1, ('각층분기별_유효전력최대(전월)'!$J$4:$J$2020='7층~4층_매핑테이블'!AB181) * ('각층분기별_유효전력최대(전월)'!$K$4:$K$2020='7층~4층_매핑테이블'!AC181),0)) + INDEX('각층분기별_유효전력최대(전월)'!$L$4:$L$2020,MATCH(1, ('각층분기별_유효전력최대(전월)'!$J$4:$J$2020='7층~4층_매핑테이블'!AD181) * ('각층분기별_유효전력최대(전월)'!$K$4:$K$2020='7층~4층_매핑테이블'!AE181),0))</f>
        <v>0</v>
      </c>
    </row>
    <row r="182" spans="1:32" x14ac:dyDescent="0.25">
      <c r="A182" t="str">
        <f t="shared" si="243"/>
        <v/>
      </c>
      <c r="B182" s="217"/>
      <c r="C182" s="217"/>
      <c r="D182" s="2989" t="str">
        <f t="shared" si="244"/>
        <v/>
      </c>
      <c r="E182" s="2989" t="str">
        <f t="shared" si="174"/>
        <v/>
      </c>
      <c r="F182" s="2989" t="str">
        <f t="shared" si="246"/>
        <v/>
      </c>
      <c r="G182" s="2989" t="str">
        <f t="shared" si="247"/>
        <v/>
      </c>
      <c r="H182" s="2989" cm="1">
        <f t="array" ref="H182">INDEX('각층분기별_유효전력최대(전월)'!$C$4:$C$2020,MATCH(1, ('각층분기별_유효전력최대(전월)'!$A$4:$A$2020='7층~4층_매핑테이블'!D182) * ('각층분기별_유효전력최대(전월)'!$B$4:$B$2020='7층~4층_매핑테이블'!E182),0)) + INDEX('각층분기별_유효전력최대(전월)'!$C$4:$C$2020,MATCH(1, ('각층분기별_유효전력최대(전월)'!$A$4:$A$2020='7층~4층_매핑테이블'!F182) * ('각층분기별_유효전력최대(전월)'!$B$4:$B$2020='7층~4층_매핑테이블'!G182),0))</f>
        <v>0</v>
      </c>
      <c r="I182" t="str">
        <f t="shared" si="196"/>
        <v>5-DaHall 1-PDU-21-30-145-DaHall 1-PDU-22-30-14</v>
      </c>
      <c r="J182" s="217" t="s">
        <v>10348</v>
      </c>
      <c r="K182" s="217" t="s">
        <v>10349</v>
      </c>
      <c r="L182" t="str">
        <f t="shared" si="176"/>
        <v>5-DaHall 1-PDU-21</v>
      </c>
      <c r="M182" t="str">
        <f t="shared" si="226"/>
        <v>[branch#014] [A] W</v>
      </c>
      <c r="N182" t="str">
        <f t="shared" si="198"/>
        <v>5-DaHall 1-PDU-22</v>
      </c>
      <c r="O182" t="str">
        <f>IF(IF(LEN((MID(K182,22,2)))=1, "[branch#"&amp;0&amp;MID(K182,22,2)&amp;"] [A] W", "[branch#"&amp;MID(K182,22,2)&amp;"] [A] W")="[branch#] [A] W", "", IF(LEN((MID(K182,22,2)))=1, "[branch#"&amp;0&amp;MID(K182,22,2)&amp;"] [A] W", "1975 [branch#"&amp;MID(K182,22,2)&amp;"] [A] W"))</f>
        <v>1975 [branch#14] [A] W</v>
      </c>
      <c r="P182" s="2989" t="e" cm="1">
        <f t="array" ref="P182">INDEX('각층분기별_유효전력최대(전월)'!$F$4:$F$2020,MATCH(1, ('각층분기별_유효전력최대(전월)'!$D$4:$D$2020='7층~4층_매핑테이블'!L182) * ('각층분기별_유효전력최대(전월)'!$E$4:$E$2020='7층~4층_매핑테이블'!M182),0)) + INDEX('각층분기별_유효전력최대(전월)'!$F$4:$F$2020,MATCH(1, ('각층분기별_유효전력최대(전월)'!$D$4:$D$2020='7층~4층_매핑테이블'!N182) * ('각층분기별_유효전력최대(전월)'!$E$4:$E$2020='7층~4층_매핑테이블'!O182),0))</f>
        <v>#N/A</v>
      </c>
      <c r="Q182" s="1" t="str">
        <f>R182&amp;S182</f>
        <v>6-DaHall 1-PDU-11-30-146-DaHall 1-PDU-10-30-21</v>
      </c>
      <c r="R182" s="217" t="s">
        <v>10350</v>
      </c>
      <c r="S182" s="217" t="s">
        <v>10351</v>
      </c>
      <c r="T182" t="str">
        <f t="shared" si="182"/>
        <v>6-DaHall 1-PDU-11</v>
      </c>
      <c r="U182" t="str">
        <f t="shared" si="239"/>
        <v>[branch#014] [A] W</v>
      </c>
      <c r="V182" t="str">
        <f>IF(MID(S182,16,2)="0","",MID(S182,1,15)&amp;MID(S182,16,2))</f>
        <v>6-DaHall 1-PDU-10</v>
      </c>
      <c r="W182" t="str">
        <f>IF(IF(LEN((MID(S182,22,2)))=1, "[branch#0"&amp;0&amp;MID(S182,22,2)&amp;"] [A] W", "[branch#0"&amp;MID(S182,22,2)&amp;"] [A] W")="[branch#0] [A] W", "", IF(LEN((MID(S182,22,2)))=1, "[branch#0"&amp;0&amp;MID(S182,22,2)&amp;"] [A] W", "[branch#0"&amp;MID(S182,22,2)&amp;"] [A] W"))</f>
        <v>[branch#021] [A] W</v>
      </c>
      <c r="X182" s="2989" cm="1">
        <f t="array" ref="X182">INDEX('각층분기별_유효전력최대(전월)'!$I$4:$I$2020,MATCH(1, ('각층분기별_유효전력최대(전월)'!$G$4:$G$2020='7층~4층_매핑테이블'!T182) * ('각층분기별_유효전력최대(전월)'!$H$4:$H$2020='7층~4층_매핑테이블'!U182),0)) + INDEX('각층분기별_유효전력최대(전월)'!$I$4:$I$2020,MATCH(1, ('각층분기별_유효전력최대(전월)'!$G$4:$G$2020='7층~4층_매핑테이블'!V182) * ('각층분기별_유효전력최대(전월)'!$H$4:$H$2020='7층~4층_매핑테이블'!W182),0))</f>
        <v>0</v>
      </c>
      <c r="Y182" s="3274" t="str">
        <f t="shared" ref="Y182:Y183" si="248">Z182&amp;AA182</f>
        <v>7-DaHall 1-PDU-01-30-17-DaHall 1-PDU-02-30-1</v>
      </c>
      <c r="Z182" s="217" t="s">
        <v>10352</v>
      </c>
      <c r="AA182" s="217" t="s">
        <v>10353</v>
      </c>
      <c r="AB182" s="3274" t="str">
        <f t="shared" si="245"/>
        <v>7-DaHall 1-PDU-01</v>
      </c>
      <c r="AC182" t="s">
        <v>9344</v>
      </c>
      <c r="AD182" t="str">
        <f t="shared" si="173"/>
        <v>7-DaHall 1-PDU-02</v>
      </c>
      <c r="AE182" t="s">
        <v>9344</v>
      </c>
      <c r="AF182" s="2989" cm="1">
        <f t="array" ref="AF182">INDEX('각층분기별_유효전력최대(전월)'!$L$4:$L$2020,MATCH(1, ('각층분기별_유효전력최대(전월)'!$J$4:$J$2020='7층~4층_매핑테이블'!AB182) * ('각층분기별_유효전력최대(전월)'!$K$4:$K$2020='7층~4층_매핑테이블'!AC182),0)) + INDEX('각층분기별_유효전력최대(전월)'!$L$4:$L$2020,MATCH(1, ('각층분기별_유효전력최대(전월)'!$J$4:$J$2020='7층~4층_매핑테이블'!AD182) * ('각층분기별_유효전력최대(전월)'!$K$4:$K$2020='7층~4층_매핑테이블'!AE182),0))</f>
        <v>0</v>
      </c>
    </row>
    <row r="183" spans="1:32" x14ac:dyDescent="0.25">
      <c r="A183" t="str">
        <f t="shared" si="243"/>
        <v/>
      </c>
      <c r="B183" s="217"/>
      <c r="C183" s="217"/>
      <c r="D183" s="2989" t="str">
        <f t="shared" si="244"/>
        <v/>
      </c>
      <c r="E183" s="2989" t="str">
        <f t="shared" si="174"/>
        <v/>
      </c>
      <c r="F183" s="2989" t="str">
        <f t="shared" si="246"/>
        <v/>
      </c>
      <c r="G183" s="2989" t="str">
        <f t="shared" si="247"/>
        <v/>
      </c>
      <c r="H183" s="2989" cm="1">
        <f t="array" ref="H183">INDEX('각층분기별_유효전력최대(전월)'!$C$4:$C$2020,MATCH(1, ('각층분기별_유효전력최대(전월)'!$A$4:$A$2020='7층~4층_매핑테이블'!D183) * ('각층분기별_유효전력최대(전월)'!$B$4:$B$2020='7층~4층_매핑테이블'!E183),0)) + INDEX('각층분기별_유효전력최대(전월)'!$C$4:$C$2020,MATCH(1, ('각층분기별_유효전력최대(전월)'!$A$4:$A$2020='7층~4층_매핑테이블'!F183) * ('각층분기별_유효전력최대(전월)'!$B$4:$B$2020='7층~4층_매핑테이블'!G183),0))</f>
        <v>0</v>
      </c>
      <c r="I183" t="str">
        <f t="shared" si="196"/>
        <v>5-DaHall 1-PDU-19-30-125-DaHall 1-PDU-20-30-12</v>
      </c>
      <c r="J183" s="217" t="s">
        <v>10354</v>
      </c>
      <c r="K183" s="217" t="s">
        <v>10355</v>
      </c>
      <c r="L183" t="str">
        <f t="shared" si="176"/>
        <v>5-DaHall 1-PDU-19</v>
      </c>
      <c r="M183" t="str">
        <f t="shared" si="226"/>
        <v>[branch#012] [A] W</v>
      </c>
      <c r="N183" t="str">
        <f t="shared" si="198"/>
        <v>5-DaHall 1-PDU-20</v>
      </c>
      <c r="O183" t="str">
        <f>IF(IF(LEN((MID(K183,22,2)))=1, "[branch#"&amp;0&amp;MID(K183,22,2)&amp;"] [A] W", "[branch#"&amp;MID(K183,22,2)&amp;"] [A] W")="[branch#] [A] W", "", IF(LEN((MID(K183,22,2)))=1, "[branch#"&amp;0&amp;MID(K183,22,2)&amp;"] [A] W", "1695 [branch#"&amp;MID(K183,22,2)&amp;"] [A] W"))</f>
        <v>1695 [branch#12] [A] W</v>
      </c>
      <c r="P183" s="2989" t="e" cm="1">
        <f t="array" ref="P183">INDEX('각층분기별_유효전력최대(전월)'!$F$4:$F$2020,MATCH(1, ('각층분기별_유효전력최대(전월)'!$D$4:$D$2020='7층~4층_매핑테이블'!L183) * ('각층분기별_유효전력최대(전월)'!$E$4:$E$2020='7층~4층_매핑테이블'!M183),0)) + INDEX('각층분기별_유효전력최대(전월)'!$F$4:$F$2020,MATCH(1, ('각층분기별_유효전력최대(전월)'!$D$4:$D$2020='7층~4층_매핑테이블'!N183) * ('각층분기별_유효전력최대(전월)'!$E$4:$E$2020='7층~4층_매핑테이블'!O183),0))</f>
        <v>#N/A</v>
      </c>
      <c r="Q183" s="1" t="str">
        <f t="shared" si="238"/>
        <v>6-DaHall 1-PDU-11-30-166-DaHall 1-PDU-12-30-16</v>
      </c>
      <c r="R183" s="217" t="s">
        <v>10356</v>
      </c>
      <c r="S183" s="217" t="s">
        <v>10357</v>
      </c>
      <c r="T183" t="str">
        <f t="shared" si="182"/>
        <v>6-DaHall 1-PDU-11</v>
      </c>
      <c r="U183" t="str">
        <f t="shared" si="239"/>
        <v>[branch#016] [A] W</v>
      </c>
      <c r="V183" t="str">
        <f t="shared" si="240"/>
        <v>6-DaHall 1-PDU-12</v>
      </c>
      <c r="W183" t="str">
        <f t="shared" si="241"/>
        <v>[branch#016] [A] W</v>
      </c>
      <c r="X183" s="2989" cm="1">
        <f t="array" ref="X183">INDEX('각층분기별_유효전력최대(전월)'!$I$4:$I$2020,MATCH(1, ('각층분기별_유효전력최대(전월)'!$G$4:$G$2020='7층~4층_매핑테이블'!T183) * ('각층분기별_유효전력최대(전월)'!$H$4:$H$2020='7층~4층_매핑테이블'!U183),0)) + INDEX('각층분기별_유효전력최대(전월)'!$I$4:$I$2020,MATCH(1, ('각층분기별_유효전력최대(전월)'!$G$4:$G$2020='7층~4층_매핑테이블'!V183) * ('각층분기별_유효전력최대(전월)'!$H$4:$H$2020='7층~4층_매핑테이블'!W183),0))</f>
        <v>0</v>
      </c>
      <c r="Y183" s="3274" t="str">
        <f t="shared" si="248"/>
        <v>7-DaHall 1-PDU-01-30-127-DaHall 1-PDU-02-30-12</v>
      </c>
      <c r="Z183" s="217" t="s">
        <v>10358</v>
      </c>
      <c r="AA183" s="217" t="s">
        <v>10359</v>
      </c>
      <c r="AB183" s="3274" t="str">
        <f t="shared" si="245"/>
        <v>7-DaHall 1-PDU-01</v>
      </c>
      <c r="AC183" t="s">
        <v>9509</v>
      </c>
      <c r="AD183" t="str">
        <f t="shared" si="173"/>
        <v>7-DaHall 1-PDU-02</v>
      </c>
      <c r="AE183" t="s">
        <v>9509</v>
      </c>
      <c r="AF183" s="2989" cm="1">
        <f t="array" ref="AF183">INDEX('각층분기별_유효전력최대(전월)'!$L$4:$L$2020,MATCH(1, ('각층분기별_유효전력최대(전월)'!$J$4:$J$2020='7층~4층_매핑테이블'!AB183) * ('각층분기별_유효전력최대(전월)'!$K$4:$K$2020='7층~4층_매핑테이블'!AC183),0)) + INDEX('각층분기별_유효전력최대(전월)'!$L$4:$L$2020,MATCH(1, ('각층분기별_유효전력최대(전월)'!$J$4:$J$2020='7층~4층_매핑테이블'!AD183) * ('각층분기별_유효전력최대(전월)'!$K$4:$K$2020='7층~4층_매핑테이블'!AE183),0))</f>
        <v>0</v>
      </c>
    </row>
    <row r="184" spans="1:32" x14ac:dyDescent="0.25">
      <c r="A184" t="str">
        <f t="shared" si="243"/>
        <v/>
      </c>
      <c r="B184" s="217"/>
      <c r="C184" s="217"/>
      <c r="D184" s="2989" t="str">
        <f t="shared" si="244"/>
        <v/>
      </c>
      <c r="E184" s="2989" t="str">
        <f t="shared" si="174"/>
        <v/>
      </c>
      <c r="F184" s="2989" t="str">
        <f t="shared" si="246"/>
        <v/>
      </c>
      <c r="G184" s="2989" t="str">
        <f t="shared" si="247"/>
        <v/>
      </c>
      <c r="H184" s="2989" cm="1">
        <f t="array" ref="H184">INDEX('각층분기별_유효전력최대(전월)'!$C$4:$C$2020,MATCH(1, ('각층분기별_유효전력최대(전월)'!$A$4:$A$2020='7층~4층_매핑테이블'!D184) * ('각층분기별_유효전력최대(전월)'!$B$4:$B$2020='7층~4층_매핑테이블'!E184),0)) + INDEX('각층분기별_유효전력최대(전월)'!$C$4:$C$2020,MATCH(1, ('각층분기별_유효전력최대(전월)'!$A$4:$A$2020='7층~4층_매핑테이블'!F184) * ('각층분기별_유효전력최대(전월)'!$B$4:$B$2020='7층~4층_매핑테이블'!G184),0))</f>
        <v>0</v>
      </c>
      <c r="I184" t="str">
        <f t="shared" si="196"/>
        <v>5-DaHall 1-PDU-21-30-125-DaHall 1-PDU-22-30-12</v>
      </c>
      <c r="J184" s="217" t="s">
        <v>10360</v>
      </c>
      <c r="K184" s="217" t="s">
        <v>10361</v>
      </c>
      <c r="L184" t="str">
        <f t="shared" si="176"/>
        <v>5-DaHall 1-PDU-21</v>
      </c>
      <c r="M184" t="str">
        <f t="shared" si="226"/>
        <v>[branch#012] [A] W</v>
      </c>
      <c r="N184" t="str">
        <f t="shared" si="198"/>
        <v>5-DaHall 1-PDU-22</v>
      </c>
      <c r="O184" t="str">
        <f>IF(IF(LEN((MID(K184,22,2)))=1, "[branch#"&amp;0&amp;MID(K184,22,2)&amp;"] [A] W", "[branch#"&amp;MID(K184,22,2)&amp;"] [A] W")="[branch#] [A] W", "", IF(LEN((MID(K184,22,2)))=1, "[branch#"&amp;0&amp;MID(K184,22,2)&amp;"] [A] W", "1695 [branch#"&amp;MID(K184,22,2)&amp;"] [A] W"))</f>
        <v>1695 [branch#12] [A] W</v>
      </c>
      <c r="P184" s="2989" t="e" cm="1">
        <f t="array" ref="P184">INDEX('각층분기별_유효전력최대(전월)'!$F$4:$F$2020,MATCH(1, ('각층분기별_유효전력최대(전월)'!$D$4:$D$2020='7층~4층_매핑테이블'!L184) * ('각층분기별_유효전력최대(전월)'!$E$4:$E$2020='7층~4층_매핑테이블'!M184),0)) + INDEX('각층분기별_유효전력최대(전월)'!$F$4:$F$2020,MATCH(1, ('각층분기별_유효전력최대(전월)'!$D$4:$D$2020='7층~4층_매핑테이블'!N184) * ('각층분기별_유효전력최대(전월)'!$E$4:$E$2020='7층~4층_매핑테이블'!O184),0))</f>
        <v>#N/A</v>
      </c>
      <c r="Q184" s="1" t="str">
        <f t="shared" si="238"/>
        <v>6-DaHall 1-PDU-11-30-186-DaHall 1-PDU-12-30-18</v>
      </c>
      <c r="R184" s="217" t="s">
        <v>10362</v>
      </c>
      <c r="S184" s="217" t="s">
        <v>10363</v>
      </c>
      <c r="T184" t="str">
        <f t="shared" si="182"/>
        <v>6-DaHall 1-PDU-11</v>
      </c>
      <c r="U184" t="str">
        <f t="shared" si="239"/>
        <v>[branch#018] [A] W</v>
      </c>
      <c r="V184" t="str">
        <f t="shared" si="240"/>
        <v>6-DaHall 1-PDU-12</v>
      </c>
      <c r="W184" t="str">
        <f t="shared" si="241"/>
        <v>[branch#018] [A] W</v>
      </c>
      <c r="X184" s="2989" cm="1">
        <f t="array" ref="X184">INDEX('각층분기별_유효전력최대(전월)'!$I$4:$I$2020,MATCH(1, ('각층분기별_유효전력최대(전월)'!$G$4:$G$2020='7층~4층_매핑테이블'!T184) * ('각층분기별_유효전력최대(전월)'!$H$4:$H$2020='7층~4층_매핑테이블'!U184),0)) + INDEX('각층분기별_유효전력최대(전월)'!$I$4:$I$2020,MATCH(1, ('각층분기별_유효전력최대(전월)'!$G$4:$G$2020='7층~4층_매핑테이블'!V184) * ('각층분기별_유효전력최대(전월)'!$H$4:$H$2020='7층~4층_매핑테이블'!W184),0))</f>
        <v>0</v>
      </c>
      <c r="Y184" s="3274" t="str">
        <f>Z184&amp;AA184</f>
        <v/>
      </c>
      <c r="Z184" s="217"/>
      <c r="AA184" s="217"/>
      <c r="AB184" s="3274" t="str">
        <f t="shared" si="245"/>
        <v/>
      </c>
      <c r="AD184" t="str">
        <f t="shared" si="173"/>
        <v/>
      </c>
      <c r="AF184" s="2989" cm="1">
        <f t="array" ref="AF184">INDEX('각층분기별_유효전력최대(전월)'!$L$4:$L$2020,MATCH(1, ('각층분기별_유효전력최대(전월)'!$J$4:$J$2020='7층~4층_매핑테이블'!AB184) * ('각층분기별_유효전력최대(전월)'!$K$4:$K$2020='7층~4층_매핑테이블'!AC184),0)) + INDEX('각층분기별_유효전력최대(전월)'!$L$4:$L$2020,MATCH(1, ('각층분기별_유효전력최대(전월)'!$J$4:$J$2020='7층~4층_매핑테이블'!AD184) * ('각층분기별_유효전력최대(전월)'!$K$4:$K$2020='7층~4층_매핑테이블'!AE184),0))</f>
        <v>0</v>
      </c>
    </row>
    <row r="185" spans="1:32" x14ac:dyDescent="0.25">
      <c r="A185" t="str">
        <f t="shared" si="243"/>
        <v/>
      </c>
      <c r="B185" s="217"/>
      <c r="C185" s="217"/>
      <c r="D185" s="2989" t="str">
        <f t="shared" si="244"/>
        <v/>
      </c>
      <c r="E185" s="2989" t="str">
        <f t="shared" si="174"/>
        <v/>
      </c>
      <c r="F185" s="2989" t="str">
        <f t="shared" si="246"/>
        <v/>
      </c>
      <c r="G185" s="2989" t="str">
        <f t="shared" si="247"/>
        <v/>
      </c>
      <c r="H185" s="2989" cm="1">
        <f t="array" ref="H185">INDEX('각층분기별_유효전력최대(전월)'!$C$4:$C$2020,MATCH(1, ('각층분기별_유효전력최대(전월)'!$A$4:$A$2020='7층~4층_매핑테이블'!D185) * ('각층분기별_유효전력최대(전월)'!$B$4:$B$2020='7층~4층_매핑테이블'!E185),0)) + INDEX('각층분기별_유효전력최대(전월)'!$C$4:$C$2020,MATCH(1, ('각층분기별_유효전력최대(전월)'!$A$4:$A$2020='7층~4층_매핑테이블'!F185) * ('각층분기별_유효전력최대(전월)'!$B$4:$B$2020='7층~4층_매핑테이블'!G185),0))</f>
        <v>0</v>
      </c>
      <c r="I185" t="str">
        <f t="shared" si="196"/>
        <v>5-DaHall 1-PDU-19-50-105-DaHall 1-PDU-20-50-10</v>
      </c>
      <c r="J185" s="217" t="s">
        <v>10364</v>
      </c>
      <c r="K185" s="217" t="s">
        <v>10365</v>
      </c>
      <c r="L185" t="str">
        <f t="shared" si="176"/>
        <v>5-DaHall 1-PDU-19</v>
      </c>
      <c r="M185" t="str">
        <f t="shared" si="226"/>
        <v>[branch#010] [A] W</v>
      </c>
      <c r="N185" t="str">
        <f t="shared" si="198"/>
        <v>5-DaHall 1-PDU-20</v>
      </c>
      <c r="O185" t="str">
        <f>IF(IF(LEN((MID(K185,22,2)))=1, "[branch#"&amp;0&amp;MID(K185,22,2)&amp;"] [A] W", "[branch#"&amp;MID(K185,22,2)&amp;"] [A] W")="[branch#] [A] W", "", IF(LEN((MID(K185,22,2)))=1, "[branch#"&amp;0&amp;MID(K185,22,2)&amp;"] [A] W", "1415 [branch#"&amp;MID(K185,22,2)&amp;"] [A] W"))</f>
        <v>1415 [branch#10] [A] W</v>
      </c>
      <c r="P185" s="2989" t="e" cm="1">
        <f t="array" ref="P185">INDEX('각층분기별_유효전력최대(전월)'!$F$4:$F$2020,MATCH(1, ('각층분기별_유효전력최대(전월)'!$D$4:$D$2020='7층~4층_매핑테이블'!L185) * ('각층분기별_유효전력최대(전월)'!$E$4:$E$2020='7층~4층_매핑테이블'!M185),0)) + INDEX('각층분기별_유효전력최대(전월)'!$F$4:$F$2020,MATCH(1, ('각층분기별_유효전력최대(전월)'!$D$4:$D$2020='7층~4층_매핑테이블'!N185) * ('각층분기별_유효전력최대(전월)'!$E$4:$E$2020='7층~4층_매핑테이블'!O185),0))</f>
        <v>#N/A</v>
      </c>
      <c r="Q185" s="1" t="str">
        <f>R185&amp;S185</f>
        <v/>
      </c>
      <c r="R185" s="217"/>
      <c r="S185" s="217"/>
      <c r="T185" t="str">
        <f t="shared" si="182"/>
        <v/>
      </c>
      <c r="U185" t="str">
        <f>IF(IF(LEN((MID(R185,22,2)))=1, "[branch#0"&amp;0&amp;MID(R185,22,2)&amp;"] [A] W", "[branch#0"&amp;MID(R185,22,2)&amp;"] [A] W")="[branch#0] [A] W", "", IF(LEN((MID(R185,22,2)))=1, "[branch#0"&amp;0&amp;MID(R185,22,2)&amp;"] [A] W", "[branch#0"&amp;MID(R185,22,2)&amp;"] [A] W"))</f>
        <v/>
      </c>
      <c r="V185" t="str">
        <f>IF(MID(S185,16,2)="0","",MID(S185,1,15)&amp;MID(S185,16,2))</f>
        <v/>
      </c>
      <c r="W185" t="str">
        <f>IF(IF(LEN((MID(S185,22,2)))=1, "[branch#0"&amp;0&amp;MID(S185,22,2)&amp;"] [A] W", "[branch#0"&amp;MID(S185,22,2)&amp;"] [A] W")="[branch#0] [A] W", "", IF(LEN((MID(S185,22,2)))=1, "[branch#0"&amp;0&amp;MID(S185,22,2)&amp;"] [A] W", "[branch#0"&amp;MID(S185,22,2)&amp;"] [A] W"))</f>
        <v/>
      </c>
      <c r="X185" s="2989" cm="1">
        <f t="array" ref="X185">INDEX('각층분기별_유효전력최대(전월)'!$I$4:$I$2020,MATCH(1, ('각층분기별_유효전력최대(전월)'!$G$4:$G$2020='7층~4층_매핑테이블'!T185) * ('각층분기별_유효전력최대(전월)'!$H$4:$H$2020='7층~4층_매핑테이블'!U185),0)) + INDEX('각층분기별_유효전력최대(전월)'!$I$4:$I$2020,MATCH(1, ('각층분기별_유효전력최대(전월)'!$G$4:$G$2020='7층~4층_매핑테이블'!V185) * ('각층분기별_유효전력최대(전월)'!$H$4:$H$2020='7층~4층_매핑테이블'!W185),0))</f>
        <v>0</v>
      </c>
      <c r="Y185" s="3274" t="str">
        <f t="shared" ref="Y185:Y187" si="249">Z185&amp;AA185</f>
        <v/>
      </c>
      <c r="Z185" s="217"/>
      <c r="AA185" s="217"/>
      <c r="AB185" s="3274" t="str">
        <f t="shared" si="245"/>
        <v/>
      </c>
      <c r="AD185" t="str">
        <f t="shared" si="173"/>
        <v/>
      </c>
      <c r="AF185" s="2989" cm="1">
        <f t="array" ref="AF185">INDEX('각층분기별_유효전력최대(전월)'!$L$4:$L$2020,MATCH(1, ('각층분기별_유효전력최대(전월)'!$J$4:$J$2020='7층~4층_매핑테이블'!AB185) * ('각층분기별_유효전력최대(전월)'!$K$4:$K$2020='7층~4층_매핑테이블'!AC185),0)) + INDEX('각층분기별_유효전력최대(전월)'!$L$4:$L$2020,MATCH(1, ('각층분기별_유효전력최대(전월)'!$J$4:$J$2020='7층~4층_매핑테이블'!AD185) * ('각층분기별_유효전력최대(전월)'!$K$4:$K$2020='7층~4층_매핑테이블'!AE185),0))</f>
        <v>0</v>
      </c>
    </row>
    <row r="186" spans="1:32" x14ac:dyDescent="0.25">
      <c r="A186" t="str">
        <f t="shared" si="243"/>
        <v/>
      </c>
      <c r="B186" s="217"/>
      <c r="C186" s="217"/>
      <c r="D186" s="2989" t="str">
        <f t="shared" si="244"/>
        <v/>
      </c>
      <c r="E186" s="2989" t="str">
        <f t="shared" si="174"/>
        <v/>
      </c>
      <c r="F186" s="2989" t="str">
        <f t="shared" si="246"/>
        <v/>
      </c>
      <c r="G186" s="2989" t="str">
        <f t="shared" si="247"/>
        <v/>
      </c>
      <c r="H186" s="2989" cm="1">
        <f t="array" ref="H186">INDEX('각층분기별_유효전력최대(전월)'!$C$4:$C$2020,MATCH(1, ('각층분기별_유효전력최대(전월)'!$A$4:$A$2020='7층~4층_매핑테이블'!D186) * ('각층분기별_유효전력최대(전월)'!$B$4:$B$2020='7층~4층_매핑테이블'!E186),0)) + INDEX('각층분기별_유효전력최대(전월)'!$C$4:$C$2020,MATCH(1, ('각층분기별_유효전력최대(전월)'!$A$4:$A$2020='7층~4층_매핑테이블'!F186) * ('각층분기별_유효전력최대(전월)'!$B$4:$B$2020='7층~4층_매핑테이블'!G186),0))</f>
        <v>0</v>
      </c>
      <c r="I186" t="str">
        <f t="shared" si="196"/>
        <v>5-DaHall 1-PDU-21-50-105-DaHall 1-PDU-22-50-10</v>
      </c>
      <c r="J186" s="217" t="s">
        <v>10366</v>
      </c>
      <c r="K186" s="217" t="s">
        <v>10367</v>
      </c>
      <c r="L186" t="str">
        <f t="shared" si="176"/>
        <v>5-DaHall 1-PDU-21</v>
      </c>
      <c r="M186" t="str">
        <f t="shared" si="226"/>
        <v>[branch#010] [A] W</v>
      </c>
      <c r="N186" t="str">
        <f t="shared" si="198"/>
        <v>5-DaHall 1-PDU-22</v>
      </c>
      <c r="O186" t="str">
        <f>IF(IF(LEN((MID(K186,22,2)))=1, "[branch#"&amp;0&amp;MID(K186,22,2)&amp;"] [A] W", "[branch#"&amp;MID(K186,22,2)&amp;"] [A] W")="[branch#] [A] W", "", IF(LEN((MID(K186,22,2)))=1, "[branch#"&amp;0&amp;MID(K186,22,2)&amp;"] [A] W", "1415 [branch#"&amp;MID(K186,22,2)&amp;"] [A] W"))</f>
        <v>1415 [branch#10] [A] W</v>
      </c>
      <c r="P186" s="2989" t="e" cm="1">
        <f t="array" ref="P186">INDEX('각층분기별_유효전력최대(전월)'!$F$4:$F$2020,MATCH(1, ('각층분기별_유효전력최대(전월)'!$D$4:$D$2020='7층~4층_매핑테이블'!L186) * ('각층분기별_유효전력최대(전월)'!$E$4:$E$2020='7층~4층_매핑테이블'!M186),0)) + INDEX('각층분기별_유효전력최대(전월)'!$F$4:$F$2020,MATCH(1, ('각층분기별_유효전력최대(전월)'!$D$4:$D$2020='7층~4층_매핑테이블'!N186) * ('각층분기별_유효전력최대(전월)'!$E$4:$E$2020='7층~4층_매핑테이블'!O186),0))</f>
        <v>#N/A</v>
      </c>
      <c r="Q186" s="1" t="str">
        <f>R186&amp;S186</f>
        <v>6-DaHall 1-PDU-09-30-16-DaHall 1-PDU-10-30-1</v>
      </c>
      <c r="R186" s="217" t="s">
        <v>10368</v>
      </c>
      <c r="S186" s="217" t="s">
        <v>10369</v>
      </c>
      <c r="T186" t="str">
        <f t="shared" si="182"/>
        <v>6-DaHall 1-PDU-09</v>
      </c>
      <c r="U186" t="str">
        <f>IF(IF(LEN((MID(R186,22,2)))=1, "[branch#0"&amp;0&amp;MID(R186,22,2)&amp;"] [A] W", "[branch#0"&amp;MID(R186,22,2)&amp;"] [A] W")="[branch#0] [A] W", "", IF(LEN((MID(R186,22,2)))=1, "[branch#0"&amp;0&amp;MID(R186,22,2)&amp;"] [A] W", "[branch#0"&amp;MID(R186,22,2)&amp;"] [A] W"))</f>
        <v>[branch#001] [A] W</v>
      </c>
      <c r="V186" t="str">
        <f>IF(MID(S186,16,2)="0","",MID(S186,1,15)&amp;MID(S186,16,2))</f>
        <v>6-DaHall 1-PDU-10</v>
      </c>
      <c r="W186" t="str">
        <f>IF(IF(LEN((MID(S186,22,2)))=1, "[branch#0"&amp;0&amp;MID(S186,22,2)&amp;"] [A] W", "[branch#0"&amp;MID(S186,22,2)&amp;"] [A] W")="[branch#0] [A] W", "", IF(LEN((MID(S186,22,2)))=1, "[branch#0"&amp;0&amp;MID(S186,22,2)&amp;"] [A] W", "[branch#0"&amp;MID(S186,22,2)&amp;"] [A] W"))</f>
        <v>[branch#001] [A] W</v>
      </c>
      <c r="X186" s="2989" cm="1">
        <f t="array" ref="X186">INDEX('각층분기별_유효전력최대(전월)'!$I$4:$I$2020,MATCH(1, ('각층분기별_유효전력최대(전월)'!$G$4:$G$2020='7층~4층_매핑테이블'!T186) * ('각층분기별_유효전력최대(전월)'!$H$4:$H$2020='7층~4층_매핑테이블'!U186),0)) + INDEX('각층분기별_유효전력최대(전월)'!$I$4:$I$2020,MATCH(1, ('각층분기별_유효전력최대(전월)'!$G$4:$G$2020='7층~4층_매핑테이블'!V186) * ('각층분기별_유효전력최대(전월)'!$H$4:$H$2020='7층~4층_매핑테이블'!W186),0))</f>
        <v>0</v>
      </c>
      <c r="Y186" s="3274" t="str">
        <f t="shared" si="249"/>
        <v/>
      </c>
      <c r="Z186" s="217"/>
      <c r="AA186" s="217"/>
      <c r="AB186" s="3274" t="str">
        <f t="shared" ref="AB186:AB187" si="250">IF(MID(Z186,16,2)="0","",MID(Z186,1,15)&amp;MID(Z186,16,2))</f>
        <v/>
      </c>
      <c r="AD186" t="str">
        <f t="shared" si="173"/>
        <v/>
      </c>
      <c r="AF186" s="2989" cm="1">
        <f t="array" ref="AF186">INDEX('각층분기별_유효전력최대(전월)'!$L$4:$L$2020,MATCH(1, ('각층분기별_유효전력최대(전월)'!$J$4:$J$2020='7층~4층_매핑테이블'!AB186) * ('각층분기별_유효전력최대(전월)'!$K$4:$K$2020='7층~4층_매핑테이블'!AC186),0)) + INDEX('각층분기별_유효전력최대(전월)'!$L$4:$L$2020,MATCH(1, ('각층분기별_유효전력최대(전월)'!$J$4:$J$2020='7층~4층_매핑테이블'!AD186) * ('각층분기별_유효전력최대(전월)'!$K$4:$K$2020='7층~4층_매핑테이블'!AE186),0))</f>
        <v>0</v>
      </c>
    </row>
    <row r="187" spans="1:32" x14ac:dyDescent="0.25">
      <c r="A187" t="str">
        <f>B187&amp;C187</f>
        <v>4-DaHall 1-PDU-04-100-84-DaHall 1-PDU-03-100-8</v>
      </c>
      <c r="B187" s="217" t="s">
        <v>10370</v>
      </c>
      <c r="C187" s="217" t="s">
        <v>10371</v>
      </c>
      <c r="D187" s="2989" t="str">
        <f t="shared" si="244"/>
        <v>4-DaHall 1-PDU-04</v>
      </c>
      <c r="E187" s="2989" t="str">
        <f t="shared" si="174"/>
        <v>[branch#008] [A] W</v>
      </c>
      <c r="F187" s="2989" t="str">
        <f>IF(MID(C187,16,2)="0","",MID(C187,1,15)&amp;MID(C187,16,2))</f>
        <v>4-DaHall 1-PDU-03</v>
      </c>
      <c r="G187" s="2989" t="str">
        <f>IF(IF(LEN(MID(C187,23,2))=1, "[branch#0"&amp;0&amp;MID(C187,23,2)&amp;"] [A] W", "[branch#0"&amp;MID(C187,23,2)&amp;"] [A] W")="[branch#0] [A] W", "", IF(LEN(MID(C187,23,2))=1, "[branch#0"&amp;0&amp;MID(C187,23,2)&amp;"] [A] W", "[branch#0"&amp;MID(C187,23,2)&amp;"] [A] W"))</f>
        <v>[branch#008] [A] W</v>
      </c>
      <c r="H187" s="2989" cm="1">
        <f t="array" ref="H187">INDEX('각층분기별_유효전력최대(전월)'!$C$4:$C$2020,MATCH(1, ('각층분기별_유효전력최대(전월)'!$A$4:$A$2020='7층~4층_매핑테이블'!D187) * ('각층분기별_유효전력최대(전월)'!$B$4:$B$2020='7층~4층_매핑테이블'!E187),0)) + INDEX('각층분기별_유효전력최대(전월)'!$C$4:$C$2020,MATCH(1, ('각층분기별_유효전력최대(전월)'!$A$4:$A$2020='7층~4층_매핑테이블'!F187) * ('각층분기별_유효전력최대(전월)'!$B$4:$B$2020='7층~4층_매핑테이블'!G187),0))</f>
        <v>8.69</v>
      </c>
      <c r="I187" t="str">
        <f t="shared" si="196"/>
        <v>5-DaHall 1-PDU-19-50-85-DaHall 1-PDU-20-50-8</v>
      </c>
      <c r="J187" s="217" t="s">
        <v>10372</v>
      </c>
      <c r="K187" s="217" t="s">
        <v>10373</v>
      </c>
      <c r="L187" t="str">
        <f t="shared" si="176"/>
        <v>5-DaHall 1-PDU-19</v>
      </c>
      <c r="M187" t="str">
        <f t="shared" si="226"/>
        <v>[branch#008] [A] W</v>
      </c>
      <c r="N187" t="str">
        <f t="shared" si="198"/>
        <v>5-DaHall 1-PDU-20</v>
      </c>
      <c r="O187" t="str">
        <f>IF(IF(LEN((MID(K187,22,2)))=1, "[branch#"&amp;0&amp;MID(K187,22,2)&amp;"] [A] W", "[branch#"&amp;MID(K187,22,2)&amp;"] [A] W")="[branch#] [A] W", "", IF(LEN((MID(K187,22,2)))=1, "1135 [branch#"&amp;0&amp;MID(K187,22,2)&amp;"] [A] W", "1135 [branch#"&amp;MID(K187,22,2)&amp;"] [A] W"))</f>
        <v>1135 [branch#08] [A] W</v>
      </c>
      <c r="P187" s="2989" t="e" cm="1">
        <f t="array" ref="P187">INDEX('각층분기별_유효전력최대(전월)'!$F$4:$F$2020,MATCH(1, ('각층분기별_유효전력최대(전월)'!$D$4:$D$2020='7층~4층_매핑테이블'!L187) * ('각층분기별_유효전력최대(전월)'!$E$4:$E$2020='7층~4층_매핑테이블'!M187),0)) + INDEX('각층분기별_유효전력최대(전월)'!$F$4:$F$2020,MATCH(1, ('각층분기별_유효전력최대(전월)'!$D$4:$D$2020='7층~4층_매핑테이블'!N187) * ('각층분기별_유효전력최대(전월)'!$E$4:$E$2020='7층~4층_매핑테이블'!O187),0))</f>
        <v>#N/A</v>
      </c>
      <c r="Q187" s="1" t="str">
        <f t="shared" ref="Q187:Q198" si="251">R187&amp;S187</f>
        <v>6-DaHall 1-PDU-09-30-36-DaHall 1-PDU-10-30-3</v>
      </c>
      <c r="R187" s="217" t="s">
        <v>10374</v>
      </c>
      <c r="S187" s="217" t="s">
        <v>10375</v>
      </c>
      <c r="T187" t="str">
        <f t="shared" si="182"/>
        <v>6-DaHall 1-PDU-09</v>
      </c>
      <c r="U187" t="str">
        <f t="shared" ref="U187:U198" si="252">IF(IF(LEN((MID(R187,22,2)))=1, "[branch#0"&amp;0&amp;MID(R187,22,2)&amp;"] [A] W", "[branch#0"&amp;MID(R187,22,2)&amp;"] [A] W")="[branch#0] [A] W", "", IF(LEN((MID(R187,22,2)))=1, "[branch#0"&amp;0&amp;MID(R187,22,2)&amp;"] [A] W", "[branch#0"&amp;MID(R187,22,2)&amp;"] [A] W"))</f>
        <v>[branch#003] [A] W</v>
      </c>
      <c r="V187" t="str">
        <f t="shared" ref="V187:V198" si="253">IF(MID(S187,16,2)="0","",MID(S187,1,15)&amp;MID(S187,16,2))</f>
        <v>6-DaHall 1-PDU-10</v>
      </c>
      <c r="W187" t="str">
        <f t="shared" ref="W187:W198" si="254">IF(IF(LEN((MID(S187,22,2)))=1, "[branch#0"&amp;0&amp;MID(S187,22,2)&amp;"] [A] W", "[branch#0"&amp;MID(S187,22,2)&amp;"] [A] W")="[branch#0] [A] W", "", IF(LEN((MID(S187,22,2)))=1, "[branch#0"&amp;0&amp;MID(S187,22,2)&amp;"] [A] W", "[branch#0"&amp;MID(S187,22,2)&amp;"] [A] W"))</f>
        <v>[branch#003] [A] W</v>
      </c>
      <c r="X187" s="2989" cm="1">
        <f t="array" ref="X187">INDEX('각층분기별_유효전력최대(전월)'!$I$4:$I$2020,MATCH(1, ('각층분기별_유효전력최대(전월)'!$G$4:$G$2020='7층~4층_매핑테이블'!T187) * ('각층분기별_유효전력최대(전월)'!$H$4:$H$2020='7층~4층_매핑테이블'!U187),0)) + INDEX('각층분기별_유효전력최대(전월)'!$I$4:$I$2020,MATCH(1, ('각층분기별_유효전력최대(전월)'!$G$4:$G$2020='7층~4층_매핑테이블'!V187) * ('각층분기별_유효전력최대(전월)'!$H$4:$H$2020='7층~4층_매핑테이블'!W187),0))</f>
        <v>0</v>
      </c>
      <c r="Y187" s="3274" t="str">
        <f t="shared" si="249"/>
        <v/>
      </c>
      <c r="Z187" s="217"/>
      <c r="AA187" s="217"/>
      <c r="AB187" s="3274" t="str">
        <f t="shared" si="250"/>
        <v/>
      </c>
      <c r="AD187" t="str">
        <f t="shared" si="173"/>
        <v/>
      </c>
      <c r="AF187" s="2989" cm="1">
        <f t="array" ref="AF187">INDEX('각층분기별_유효전력최대(전월)'!$L$4:$L$2020,MATCH(1, ('각층분기별_유효전력최대(전월)'!$J$4:$J$2020='7층~4층_매핑테이블'!AB187) * ('각층분기별_유효전력최대(전월)'!$K$4:$K$2020='7층~4층_매핑테이블'!AC187),0)) + INDEX('각층분기별_유효전력최대(전월)'!$L$4:$L$2020,MATCH(1, ('각층분기별_유효전력최대(전월)'!$J$4:$J$2020='7층~4층_매핑테이블'!AD187) * ('각층분기별_유효전력최대(전월)'!$K$4:$K$2020='7층~4층_매핑테이블'!AE187),0))</f>
        <v>0</v>
      </c>
    </row>
    <row r="188" spans="1:32" x14ac:dyDescent="0.25">
      <c r="A188" t="str">
        <f>B188&amp;C188</f>
        <v/>
      </c>
      <c r="B188" s="217"/>
      <c r="C188" s="217"/>
      <c r="D188" s="2989" t="str">
        <f t="shared" si="244"/>
        <v/>
      </c>
      <c r="E188" s="2989" t="str">
        <f t="shared" si="174"/>
        <v/>
      </c>
      <c r="F188" s="2989" t="str">
        <f>IF(MID(C188,16,2)="0","",MID(C188,1,15)&amp;MID(C188,16,2))</f>
        <v/>
      </c>
      <c r="G188" s="2989" t="str">
        <f>IF(IF(LEN(MID(C188,23,2))=1, "[branch#0"&amp;0&amp;MID(C188,23,2)&amp;"] [A] W", "[branch#0"&amp;MID(C188,23,2)&amp;"] [A] W")="[branch#0] [A] W", "", IF(LEN(MID(C188,23,2))=1, "[branch#0"&amp;0&amp;MID(C188,23,2)&amp;"] [A] W", "[branch#0"&amp;MID(C188,23,2)&amp;"] [A] W"))</f>
        <v/>
      </c>
      <c r="H188" s="2989" cm="1">
        <f t="array" ref="H188">INDEX('각층분기별_유효전력최대(전월)'!$C$4:$C$2020,MATCH(1, ('각층분기별_유효전력최대(전월)'!$A$4:$A$2020='7층~4층_매핑테이블'!D188) * ('각층분기별_유효전력최대(전월)'!$B$4:$B$2020='7층~4층_매핑테이블'!E188),0)) + INDEX('각층분기별_유효전력최대(전월)'!$C$4:$C$2020,MATCH(1, ('각층분기별_유효전력최대(전월)'!$A$4:$A$2020='7층~4층_매핑테이블'!F188) * ('각층분기별_유효전력최대(전월)'!$B$4:$B$2020='7층~4층_매핑테이블'!G188),0))</f>
        <v>0</v>
      </c>
      <c r="I188" t="str">
        <f t="shared" si="196"/>
        <v>5-DaHall 1-PDU-21-50-85-DaHall 1-PDU-22-50-8</v>
      </c>
      <c r="J188" s="217" t="s">
        <v>10376</v>
      </c>
      <c r="K188" s="217" t="s">
        <v>10377</v>
      </c>
      <c r="L188" t="str">
        <f t="shared" si="176"/>
        <v>5-DaHall 1-PDU-21</v>
      </c>
      <c r="M188" t="str">
        <f t="shared" si="226"/>
        <v>[branch#008] [A] W</v>
      </c>
      <c r="N188" t="str">
        <f t="shared" si="198"/>
        <v>5-DaHall 1-PDU-22</v>
      </c>
      <c r="O188" t="str">
        <f>IF(IF(LEN((MID(K188,22,2)))=1, "[branch#"&amp;0&amp;MID(K188,22,2)&amp;"] [A] W", "[branch#"&amp;MID(K188,22,2)&amp;"] [A] W")="[branch#] [A] W", "", IF(LEN((MID(K188,22,2)))=1, "1135 [branch#"&amp;0&amp;MID(K188,22,2)&amp;"] [A] W", "1135 [branch#"&amp;MID(K188,22,2)&amp;"] [A] W"))</f>
        <v>1135 [branch#08] [A] W</v>
      </c>
      <c r="P188" s="2989" t="e" cm="1">
        <f t="array" ref="P188">INDEX('각층분기별_유효전력최대(전월)'!$F$4:$F$2020,MATCH(1, ('각층분기별_유효전력최대(전월)'!$D$4:$D$2020='7층~4층_매핑테이블'!L188) * ('각층분기별_유효전력최대(전월)'!$E$4:$E$2020='7층~4층_매핑테이블'!M188),0)) + INDEX('각층분기별_유효전력최대(전월)'!$F$4:$F$2020,MATCH(1, ('각층분기별_유효전력최대(전월)'!$D$4:$D$2020='7층~4층_매핑테이블'!N188) * ('각층분기별_유효전력최대(전월)'!$E$4:$E$2020='7층~4층_매핑테이블'!O188),0))</f>
        <v>#N/A</v>
      </c>
      <c r="Q188" s="1" t="str">
        <f t="shared" si="251"/>
        <v>6-DaHall 1-PDU-09-30-56-DaHall 1-PDU-10-30-5</v>
      </c>
      <c r="R188" s="217" t="s">
        <v>10378</v>
      </c>
      <c r="S188" s="217" t="s">
        <v>10379</v>
      </c>
      <c r="T188" t="str">
        <f t="shared" si="182"/>
        <v>6-DaHall 1-PDU-09</v>
      </c>
      <c r="U188" t="str">
        <f t="shared" si="252"/>
        <v>[branch#005] [A] W</v>
      </c>
      <c r="V188" t="str">
        <f t="shared" si="253"/>
        <v>6-DaHall 1-PDU-10</v>
      </c>
      <c r="W188" t="str">
        <f t="shared" si="254"/>
        <v>[branch#005] [A] W</v>
      </c>
      <c r="X188" s="2989" cm="1">
        <f t="array" ref="X188">INDEX('각층분기별_유효전력최대(전월)'!$I$4:$I$2020,MATCH(1, ('각층분기별_유효전력최대(전월)'!$G$4:$G$2020='7층~4층_매핑테이블'!T188) * ('각층분기별_유효전력최대(전월)'!$H$4:$H$2020='7층~4층_매핑테이블'!U188),0)) + INDEX('각층분기별_유효전력최대(전월)'!$I$4:$I$2020,MATCH(1, ('각층분기별_유효전력최대(전월)'!$G$4:$G$2020='7층~4층_매핑테이블'!V188) * ('각층분기별_유효전력최대(전월)'!$H$4:$H$2020='7층~4층_매핑테이블'!W188),0))</f>
        <v>0</v>
      </c>
      <c r="Y188" s="3274" t="str">
        <f>Z188&amp;AA188</f>
        <v>7-DaHall 1-RPP-01-20-397-DaHall 1-RPP-02-30-40</v>
      </c>
      <c r="Z188" s="217" t="s">
        <v>10380</v>
      </c>
      <c r="AA188" s="217" t="s">
        <v>10381</v>
      </c>
      <c r="AB188" s="3274" t="str">
        <f>IF(MID(Z188,16,2)="0","",MID(Z188,1,15)&amp;MID(Z188,16,2))</f>
        <v>7-DaHall 1-RPP-01</v>
      </c>
      <c r="AC188" t="s">
        <v>9924</v>
      </c>
      <c r="AD188" t="str">
        <f t="shared" si="173"/>
        <v>7-DaHall 1-RPP-02</v>
      </c>
      <c r="AE188" t="s">
        <v>9368</v>
      </c>
      <c r="AF188" s="2989" cm="1">
        <f t="array" ref="AF188">INDEX('각층분기별_유효전력최대(전월)'!$L$4:$L$2020,MATCH(1, ('각층분기별_유효전력최대(전월)'!$J$4:$J$2020='7층~4층_매핑테이블'!AB188) * ('각층분기별_유효전력최대(전월)'!$K$4:$K$2020='7층~4층_매핑테이블'!AC188),0)) + INDEX('각층분기별_유효전력최대(전월)'!$L$4:$L$2020,MATCH(1, ('각층분기별_유효전력최대(전월)'!$J$4:$J$2020='7층~4층_매핑테이블'!AD188) * ('각층분기별_유효전력최대(전월)'!$K$4:$K$2020='7층~4층_매핑테이블'!AE188),0))</f>
        <v>0</v>
      </c>
    </row>
    <row r="189" spans="1:32" x14ac:dyDescent="0.25">
      <c r="A189" t="str">
        <f t="shared" ref="A189:A197" si="255">B189&amp;C189</f>
        <v/>
      </c>
      <c r="B189" s="217"/>
      <c r="C189" s="217"/>
      <c r="D189" s="2989" t="str">
        <f t="shared" si="244"/>
        <v/>
      </c>
      <c r="E189" s="2989" t="str">
        <f t="shared" si="174"/>
        <v/>
      </c>
      <c r="F189" s="2989" t="str">
        <f>IF(MID(C189,16,2)="0","",MID(C189,1,15)&amp;MID(C189,16,2))</f>
        <v/>
      </c>
      <c r="G189" s="2989" t="str">
        <f>IF(IF(LEN(MID(C189,23,2))=1, "[branch#0"&amp;0&amp;MID(C189,23,2)&amp;"] [A] W", "[branch#0"&amp;MID(C189,23,2)&amp;"] [A] W")="[branch#0] [A] W", "", IF(LEN(MID(C189,23,2))=1, "[branch#0"&amp;0&amp;MID(C189,23,2)&amp;"] [A] W", "[branch#0"&amp;MID(C189,23,2)&amp;"] [A] W"))</f>
        <v/>
      </c>
      <c r="H189" s="2989" cm="1">
        <f t="array" ref="H189">INDEX('각층분기별_유효전력최대(전월)'!$C$4:$C$2020,MATCH(1, ('각층분기별_유효전력최대(전월)'!$A$4:$A$2020='7층~4층_매핑테이블'!D189) * ('각층분기별_유효전력최대(전월)'!$B$4:$B$2020='7층~4층_매핑테이블'!E189),0)) + INDEX('각층분기별_유효전력최대(전월)'!$C$4:$C$2020,MATCH(1, ('각층분기별_유효전력최대(전월)'!$A$4:$A$2020='7층~4층_매핑테이블'!F189) * ('각층분기별_유효전력최대(전월)'!$B$4:$B$2020='7층~4층_매핑테이블'!G189),0))</f>
        <v>0</v>
      </c>
      <c r="I189" t="str">
        <f t="shared" si="196"/>
        <v>5-DaHall 1-PDU-19-50-245-DaHall 1-PDU-20-50-24</v>
      </c>
      <c r="J189" s="217" t="s">
        <v>10382</v>
      </c>
      <c r="K189" s="217" t="s">
        <v>10383</v>
      </c>
      <c r="L189" t="str">
        <f t="shared" si="176"/>
        <v>5-DaHall 1-PDU-19</v>
      </c>
      <c r="M189" t="str">
        <f t="shared" si="226"/>
        <v>[branch#024] [A] W</v>
      </c>
      <c r="N189" t="str">
        <f t="shared" si="198"/>
        <v>5-DaHall 1-PDU-20</v>
      </c>
      <c r="O189" t="str">
        <f>IF(IF(LEN((MID(K189,22,2)))=1, "[branch#"&amp;0&amp;MID(K189,22,2)&amp;"] [A] W", "[branch#"&amp;MID(K189,22,2)&amp;"] [A] W")="[branch#] [A] W", "", IF(LEN((MID(K189,22,2)))=1, "3375 [branch#"&amp;0&amp;MID(K189,22,2)&amp;"] [A] W", "3375 [branch#"&amp;MID(K189,22,2)&amp;"] [A] W"))</f>
        <v>3375 [branch#24] [A] W</v>
      </c>
      <c r="P189" s="2989" t="e" cm="1">
        <f t="array" ref="P189">INDEX('각층분기별_유효전력최대(전월)'!$F$4:$F$2020,MATCH(1, ('각층분기별_유효전력최대(전월)'!$D$4:$D$2020='7층~4층_매핑테이블'!L189) * ('각층분기별_유효전력최대(전월)'!$E$4:$E$2020='7층~4층_매핑테이블'!M189),0)) + INDEX('각층분기별_유효전력최대(전월)'!$F$4:$F$2020,MATCH(1, ('각층분기별_유효전력최대(전월)'!$D$4:$D$2020='7층~4층_매핑테이블'!N189) * ('각층분기별_유효전력최대(전월)'!$E$4:$E$2020='7층~4층_매핑테이블'!O189),0))</f>
        <v>#N/A</v>
      </c>
      <c r="Q189" s="1" t="str">
        <f t="shared" si="251"/>
        <v>6-DaHall 1-PDU-13-30-326-DaHall 1-PDU-14-30-34</v>
      </c>
      <c r="R189" s="217" t="s">
        <v>10384</v>
      </c>
      <c r="S189" s="217" t="s">
        <v>10385</v>
      </c>
      <c r="T189" t="str">
        <f t="shared" si="182"/>
        <v>6-DaHall 1-PDU-13</v>
      </c>
      <c r="U189" t="str">
        <f t="shared" si="252"/>
        <v>[branch#032] [A] W</v>
      </c>
      <c r="V189" t="str">
        <f t="shared" si="253"/>
        <v>6-DaHall 1-PDU-14</v>
      </c>
      <c r="W189" t="str">
        <f t="shared" si="254"/>
        <v>[branch#034] [A] W</v>
      </c>
      <c r="X189" s="2989" cm="1">
        <f t="array" ref="X189">INDEX('각층분기별_유효전력최대(전월)'!$I$4:$I$2020,MATCH(1, ('각층분기별_유효전력최대(전월)'!$G$4:$G$2020='7층~4층_매핑테이블'!T189) * ('각층분기별_유효전력최대(전월)'!$H$4:$H$2020='7층~4층_매핑테이블'!U189),0)) + INDEX('각층분기별_유효전력최대(전월)'!$I$4:$I$2020,MATCH(1, ('각층분기별_유효전력최대(전월)'!$G$4:$G$2020='7층~4층_매핑테이블'!V189) * ('각층분기별_유효전력최대(전월)'!$H$4:$H$2020='7층~4층_매핑테이블'!W189),0))</f>
        <v>0</v>
      </c>
      <c r="Y189" s="3274" t="str">
        <f t="shared" ref="Y189:Y194" si="256">Z189&amp;AA189</f>
        <v>7-DaHall 1-B-5-35-407-DaHall 1-A-5-35-41</v>
      </c>
      <c r="Z189" s="217" t="s">
        <v>10386</v>
      </c>
      <c r="AA189" s="217" t="s">
        <v>10387</v>
      </c>
      <c r="AB189" s="3274" t="str">
        <f>IF(MID(Z189,16,2)="0","",MID(Z189,1,15)&amp;MID(Z189,16,2))</f>
        <v>7-DaHall 1-B-5-35</v>
      </c>
      <c r="AC189" t="s">
        <v>9368</v>
      </c>
      <c r="AD189" t="str">
        <f t="shared" si="173"/>
        <v>7-DaHall 1-A-5-35</v>
      </c>
      <c r="AE189" t="s">
        <v>9481</v>
      </c>
      <c r="AF189" s="2989" t="e" cm="1">
        <f t="array" ref="AF189">INDEX('각층분기별_유효전력최대(전월)'!$L$4:$L$2020,MATCH(1, ('각층분기별_유효전력최대(전월)'!$J$4:$J$2020='7층~4층_매핑테이블'!AB189) * ('각층분기별_유효전력최대(전월)'!$K$4:$K$2020='7층~4층_매핑테이블'!AC189),0)) + INDEX('각층분기별_유효전력최대(전월)'!$L$4:$L$2020,MATCH(1, ('각층분기별_유효전력최대(전월)'!$J$4:$J$2020='7층~4층_매핑테이블'!AD189) * ('각층분기별_유효전력최대(전월)'!$K$4:$K$2020='7층~4층_매핑테이블'!AE189),0))</f>
        <v>#N/A</v>
      </c>
    </row>
    <row r="190" spans="1:32" x14ac:dyDescent="0.25">
      <c r="A190" t="str">
        <f t="shared" si="255"/>
        <v/>
      </c>
      <c r="B190" s="217"/>
      <c r="C190" s="217"/>
      <c r="D190" s="2989" t="str">
        <f t="shared" si="244"/>
        <v/>
      </c>
      <c r="E190" s="2989" t="str">
        <f t="shared" si="174"/>
        <v/>
      </c>
      <c r="F190" s="2989" t="str">
        <f>IF(MID(C190,16,2)="0","",MID(C190,1,15)&amp;MID(C190,16,2))</f>
        <v/>
      </c>
      <c r="G190" s="2989" t="str">
        <f>IF(IF(LEN(MID(C190,23,2))=1, "[branch#0"&amp;0&amp;MID(C190,23,2)&amp;"] [A] W", "[branch#0"&amp;MID(C190,23,2)&amp;"] [A] W")="[branch#0] [A] W", "", IF(LEN(MID(C190,23,2))=1, "[branch#0"&amp;0&amp;MID(C190,23,2)&amp;"] [A] W", "[branch#0"&amp;MID(C190,23,2)&amp;"] [A] W"))</f>
        <v/>
      </c>
      <c r="H190" s="2989" cm="1">
        <f t="array" ref="H190">INDEX('각층분기별_유효전력최대(전월)'!$C$4:$C$2020,MATCH(1, ('각층분기별_유효전력최대(전월)'!$A$4:$A$2020='7층~4층_매핑테이블'!D190) * ('각층분기별_유효전력최대(전월)'!$B$4:$B$2020='7층~4층_매핑테이블'!E190),0)) + INDEX('각층분기별_유효전력최대(전월)'!$C$4:$C$2020,MATCH(1, ('각층분기별_유효전력최대(전월)'!$A$4:$A$2020='7층~4층_매핑테이블'!F190) * ('각층분기별_유효전력최대(전월)'!$B$4:$B$2020='7층~4층_매핑테이블'!G190),0))</f>
        <v>0</v>
      </c>
      <c r="I190" t="str">
        <f t="shared" si="196"/>
        <v>5-DaHall 1-PDU-21-50-245-DaHall 1-PDU-22-50-24</v>
      </c>
      <c r="J190" s="217" t="s">
        <v>10388</v>
      </c>
      <c r="K190" s="217" t="s">
        <v>10389</v>
      </c>
      <c r="L190" t="str">
        <f t="shared" si="176"/>
        <v>5-DaHall 1-PDU-21</v>
      </c>
      <c r="M190" t="str">
        <f t="shared" si="226"/>
        <v>[branch#024] [A] W</v>
      </c>
      <c r="N190" t="str">
        <f t="shared" si="198"/>
        <v>5-DaHall 1-PDU-22</v>
      </c>
      <c r="O190" t="str">
        <f>IF(IF(LEN((MID(K190,22,2)))=1, "[branch#"&amp;0&amp;MID(K190,22,2)&amp;"] [A] W", "[branch#"&amp;MID(K190,22,2)&amp;"] [A] W")="[branch#] [A] W", "", IF(LEN((MID(K190,22,2)))=1, "3375 [branch#"&amp;0&amp;MID(K190,22,2)&amp;"] [A] W", "3375 [branch#"&amp;MID(K190,22,2)&amp;"] [A] W"))</f>
        <v>3375 [branch#24] [A] W</v>
      </c>
      <c r="P190" s="2989" t="e" cm="1">
        <f t="array" ref="P190">INDEX('각층분기별_유효전력최대(전월)'!$F$4:$F$2020,MATCH(1, ('각층분기별_유효전력최대(전월)'!$D$4:$D$2020='7층~4층_매핑테이블'!L190) * ('각층분기별_유효전력최대(전월)'!$E$4:$E$2020='7층~4층_매핑테이블'!M190),0)) + INDEX('각층분기별_유효전력최대(전월)'!$F$4:$F$2020,MATCH(1, ('각층분기별_유효전력최대(전월)'!$D$4:$D$2020='7층~4층_매핑테이블'!N190) * ('각층분기별_유효전력최대(전월)'!$E$4:$E$2020='7층~4층_매핑테이블'!O190),0))</f>
        <v>#N/A</v>
      </c>
      <c r="Q190" s="1" t="str">
        <f t="shared" si="251"/>
        <v>6-DaHall 1-PDU-13-30-306-DaHall 1-PDU-14-30-30</v>
      </c>
      <c r="R190" s="217" t="s">
        <v>10390</v>
      </c>
      <c r="S190" s="217" t="s">
        <v>10391</v>
      </c>
      <c r="T190" t="str">
        <f t="shared" si="182"/>
        <v>6-DaHall 1-PDU-13</v>
      </c>
      <c r="U190" t="str">
        <f t="shared" si="252"/>
        <v>[branch#030] [A] W</v>
      </c>
      <c r="V190" t="str">
        <f t="shared" si="253"/>
        <v>6-DaHall 1-PDU-14</v>
      </c>
      <c r="W190" t="str">
        <f t="shared" si="254"/>
        <v>[branch#030] [A] W</v>
      </c>
      <c r="X190" s="2989" cm="1">
        <f t="array" ref="X190">INDEX('각층분기별_유효전력최대(전월)'!$I$4:$I$2020,MATCH(1, ('각층분기별_유효전력최대(전월)'!$G$4:$G$2020='7층~4층_매핑테이블'!T190) * ('각층분기별_유효전력최대(전월)'!$H$4:$H$2020='7층~4층_매핑테이블'!U190),0)) + INDEX('각층분기별_유효전력최대(전월)'!$I$4:$I$2020,MATCH(1, ('각층분기별_유효전력최대(전월)'!$G$4:$G$2020='7층~4층_매핑테이블'!V190) * ('각층분기별_유효전력최대(전월)'!$H$4:$H$2020='7층~4층_매핑테이블'!W190),0))</f>
        <v>0</v>
      </c>
      <c r="Y190" s="3274" t="str">
        <f t="shared" si="256"/>
        <v>7-DaHall 1-RPP-01-20-357-DaHall 1-RPP-02-30-34</v>
      </c>
      <c r="Z190" s="217" t="s">
        <v>10392</v>
      </c>
      <c r="AA190" s="217" t="s">
        <v>10393</v>
      </c>
      <c r="AB190" s="3274" t="str">
        <f t="shared" ref="AB190:AB191" si="257">IF(MID(Z190,16,2)="0","",MID(Z190,1,15)&amp;MID(Z190,16,2))</f>
        <v>7-DaHall 1-RPP-01</v>
      </c>
      <c r="AC190" t="s">
        <v>9580</v>
      </c>
      <c r="AD190" t="str">
        <f t="shared" si="173"/>
        <v>7-DaHall 1-RPP-02</v>
      </c>
      <c r="AE190" t="s">
        <v>9468</v>
      </c>
      <c r="AF190" s="2989" cm="1">
        <f t="array" ref="AF190">INDEX('각층분기별_유효전력최대(전월)'!$L$4:$L$2020,MATCH(1, ('각층분기별_유효전력최대(전월)'!$J$4:$J$2020='7층~4층_매핑테이블'!AB190) * ('각층분기별_유효전력최대(전월)'!$K$4:$K$2020='7층~4층_매핑테이블'!AC190),0)) + INDEX('각층분기별_유효전력최대(전월)'!$L$4:$L$2020,MATCH(1, ('각층분기별_유효전력최대(전월)'!$J$4:$J$2020='7층~4층_매핑테이블'!AD190) * ('각층분기별_유효전력최대(전월)'!$K$4:$K$2020='7층~4층_매핑테이블'!AE190),0))</f>
        <v>0</v>
      </c>
    </row>
    <row r="191" spans="1:32" x14ac:dyDescent="0.25">
      <c r="A191" t="str">
        <f t="shared" si="255"/>
        <v/>
      </c>
      <c r="B191" s="217"/>
      <c r="C191" s="217"/>
      <c r="D191" s="2989" t="str">
        <f t="shared" si="244"/>
        <v/>
      </c>
      <c r="E191" s="2989" t="str">
        <f t="shared" si="174"/>
        <v/>
      </c>
      <c r="F191" s="2989" t="str">
        <f>IF(MID(C191,16,2)="0","",MID(C191,1,15)&amp;MID(C191,16,2))</f>
        <v/>
      </c>
      <c r="G191" s="2989" t="str">
        <f>IF(IF(LEN(MID(C191,23,2))=1, "[branch#0"&amp;0&amp;MID(C191,23,2)&amp;"] [A] W", "[branch#0"&amp;MID(C191,23,2)&amp;"] [A] W")="[branch#0] [A] W", "", IF(LEN(MID(C191,23,2))=1, "[branch#0"&amp;0&amp;MID(C191,23,2)&amp;"] [A] W", "[branch#0"&amp;MID(C191,23,2)&amp;"] [A] W"))</f>
        <v/>
      </c>
      <c r="H191" s="2989" cm="1">
        <f t="array" ref="H191">INDEX('각층분기별_유효전력최대(전월)'!$C$4:$C$2020,MATCH(1, ('각층분기별_유효전력최대(전월)'!$A$4:$A$2020='7층~4층_매핑테이블'!D191) * ('각층분기별_유효전력최대(전월)'!$B$4:$B$2020='7층~4층_매핑테이블'!E191),0)) + INDEX('각층분기별_유효전력최대(전월)'!$C$4:$C$2020,MATCH(1, ('각층분기별_유효전력최대(전월)'!$A$4:$A$2020='7층~4층_매핑테이블'!F191) * ('각층분기별_유효전력최대(전월)'!$B$4:$B$2020='7층~4층_매핑테이블'!G191),0))</f>
        <v>0</v>
      </c>
      <c r="I191" t="str">
        <f t="shared" si="196"/>
        <v>5-DaHall 1-PDU-19-30-65-DaHall 1-PDU-20-30-6</v>
      </c>
      <c r="J191" s="217" t="s">
        <v>10394</v>
      </c>
      <c r="K191" s="217" t="s">
        <v>10395</v>
      </c>
      <c r="L191" t="str">
        <f t="shared" si="176"/>
        <v>5-DaHall 1-PDU-19</v>
      </c>
      <c r="M191" t="str">
        <f t="shared" si="226"/>
        <v>[branch#006] [A] W</v>
      </c>
      <c r="N191" t="str">
        <f t="shared" si="198"/>
        <v>5-DaHall 1-PDU-20</v>
      </c>
      <c r="O191" t="str">
        <f>IF(IF(LEN((MID(K191,22,2)))=1, "[branch#"&amp;0&amp;MID(K191,22,2)&amp;"] [A] W", "[branch#"&amp;MID(K191,22,2)&amp;"] [A] W")="[branch#] [A] W", "", IF(LEN((MID(K191,22,2)))=1, "0855 [branch#"&amp;0&amp;MID(K191,22,2)&amp;"] [A] W", "0855 [branch#"&amp;MID(K191,22,2)&amp;"] [A] W"))</f>
        <v>0855 [branch#06] [A] W</v>
      </c>
      <c r="P191" s="2989" t="e" cm="1">
        <f t="array" ref="P191">INDEX('각층분기별_유효전력최대(전월)'!$F$4:$F$2020,MATCH(1, ('각층분기별_유효전력최대(전월)'!$D$4:$D$2020='7층~4층_매핑테이블'!L191) * ('각층분기별_유효전력최대(전월)'!$E$4:$E$2020='7층~4층_매핑테이블'!M191),0)) + INDEX('각층분기별_유효전력최대(전월)'!$F$4:$F$2020,MATCH(1, ('각층분기별_유효전력최대(전월)'!$D$4:$D$2020='7층~4층_매핑테이블'!N191) * ('각층분기별_유효전력최대(전월)'!$E$4:$E$2020='7층~4층_매핑테이블'!O191),0))</f>
        <v>#N/A</v>
      </c>
      <c r="Q191" s="1" t="str">
        <f t="shared" si="251"/>
        <v>6-DaHall 1-PDU-09-30-76-DaHall 1-PDU-10-30-7</v>
      </c>
      <c r="R191" s="217" t="s">
        <v>10396</v>
      </c>
      <c r="S191" s="217" t="s">
        <v>10397</v>
      </c>
      <c r="T191" t="str">
        <f t="shared" si="182"/>
        <v>6-DaHall 1-PDU-09</v>
      </c>
      <c r="U191" t="str">
        <f t="shared" si="252"/>
        <v>[branch#007] [A] W</v>
      </c>
      <c r="V191" t="str">
        <f t="shared" si="253"/>
        <v>6-DaHall 1-PDU-10</v>
      </c>
      <c r="W191" t="str">
        <f t="shared" si="254"/>
        <v>[branch#007] [A] W</v>
      </c>
      <c r="X191" s="2989" cm="1">
        <f t="array" ref="X191">INDEX('각층분기별_유효전력최대(전월)'!$I$4:$I$2020,MATCH(1, ('각층분기별_유효전력최대(전월)'!$G$4:$G$2020='7층~4층_매핑테이블'!T191) * ('각층분기별_유효전력최대(전월)'!$H$4:$H$2020='7층~4층_매핑테이블'!U191),0)) + INDEX('각층분기별_유효전력최대(전월)'!$I$4:$I$2020,MATCH(1, ('각층분기별_유효전력최대(전월)'!$G$4:$G$2020='7층~4층_매핑테이블'!V191) * ('각층분기별_유효전력최대(전월)'!$H$4:$H$2020='7층~4층_매핑테이블'!W191),0))</f>
        <v>0</v>
      </c>
      <c r="Y191" s="3274" t="str">
        <f t="shared" si="256"/>
        <v>7-DaHall 1-RPP-01-30-187-DaHall 1-PDU-02-30-29</v>
      </c>
      <c r="Z191" s="217" t="s">
        <v>10398</v>
      </c>
      <c r="AA191" s="217" t="s">
        <v>10399</v>
      </c>
      <c r="AB191" s="3274" t="str">
        <f t="shared" si="257"/>
        <v>7-DaHall 1-RPP-01</v>
      </c>
      <c r="AC191" t="s">
        <v>9473</v>
      </c>
      <c r="AD191" t="str">
        <f t="shared" si="173"/>
        <v>7-DaHall 1-PDU-02</v>
      </c>
      <c r="AE191" t="s">
        <v>9459</v>
      </c>
      <c r="AF191" s="2989" cm="1">
        <f t="array" ref="AF191">INDEX('각층분기별_유효전력최대(전월)'!$L$4:$L$2020,MATCH(1, ('각층분기별_유효전력최대(전월)'!$J$4:$J$2020='7층~4층_매핑테이블'!AB191) * ('각층분기별_유효전력최대(전월)'!$K$4:$K$2020='7층~4층_매핑테이블'!AC191),0)) + INDEX('각층분기별_유효전력최대(전월)'!$L$4:$L$2020,MATCH(1, ('각층분기별_유효전력최대(전월)'!$J$4:$J$2020='7층~4층_매핑테이블'!AD191) * ('각층분기별_유효전력최대(전월)'!$K$4:$K$2020='7층~4층_매핑테이블'!AE191),0))</f>
        <v>0.95</v>
      </c>
    </row>
    <row r="192" spans="1:32" x14ac:dyDescent="0.25">
      <c r="A192" t="str">
        <f t="shared" si="255"/>
        <v/>
      </c>
      <c r="B192" s="217"/>
      <c r="C192" s="217"/>
      <c r="D192" s="2989" t="str">
        <f t="shared" si="244"/>
        <v/>
      </c>
      <c r="E192" s="2989" t="str">
        <f t="shared" si="174"/>
        <v/>
      </c>
      <c r="F192" s="2989" t="str">
        <f t="shared" ref="F192:F221" si="258">IF(MID(C192,16,2)="0","",MID(C192,1,15)&amp;MID(C192,16,2))</f>
        <v/>
      </c>
      <c r="G192" s="2989" t="str">
        <f t="shared" ref="G192:G221" si="259">IF(IF(LEN(MID(C192,23,2))=1, "[branch#0"&amp;0&amp;MID(C192,23,2)&amp;"] [A] W", "[branch#0"&amp;MID(C192,23,2)&amp;"] [A] W")="[branch#0] [A] W", "", IF(LEN(MID(C192,23,2))=1, "[branch#0"&amp;0&amp;MID(C192,23,2)&amp;"] [A] W", "[branch#0"&amp;MID(C192,23,2)&amp;"] [A] W"))</f>
        <v/>
      </c>
      <c r="H192" s="2989" cm="1">
        <f t="array" ref="H192">INDEX('각층분기별_유효전력최대(전월)'!$C$4:$C$2020,MATCH(1, ('각층분기별_유효전력최대(전월)'!$A$4:$A$2020='7층~4층_매핑테이블'!D192) * ('각층분기별_유효전력최대(전월)'!$B$4:$B$2020='7층~4층_매핑테이블'!E192),0)) + INDEX('각층분기별_유효전력최대(전월)'!$C$4:$C$2020,MATCH(1, ('각층분기별_유효전력최대(전월)'!$A$4:$A$2020='7층~4층_매핑테이블'!F192) * ('각층분기별_유효전력최대(전월)'!$B$4:$B$2020='7층~4층_매핑테이블'!G192),0))</f>
        <v>0</v>
      </c>
      <c r="I192" t="str">
        <f t="shared" si="196"/>
        <v>5-DaHall 1-PDU-21-30-65-DaHall 1-PDU-22-30-6</v>
      </c>
      <c r="J192" s="217" t="s">
        <v>10400</v>
      </c>
      <c r="K192" s="217" t="s">
        <v>10401</v>
      </c>
      <c r="L192" t="str">
        <f t="shared" si="176"/>
        <v>5-DaHall 1-PDU-21</v>
      </c>
      <c r="M192" t="str">
        <f t="shared" si="226"/>
        <v>[branch#006] [A] W</v>
      </c>
      <c r="N192" t="str">
        <f t="shared" si="198"/>
        <v>5-DaHall 1-PDU-22</v>
      </c>
      <c r="O192" t="str">
        <f>IF(IF(LEN((MID(K192,22,2)))=1, "[branch#"&amp;0&amp;MID(K192,22,2)&amp;"] [A] W", "[branch#"&amp;MID(K192,22,2)&amp;"] [A] W")="[branch#] [A] W", "", IF(LEN((MID(K192,22,2)))=1, "0855 [branch#"&amp;0&amp;MID(K192,22,2)&amp;"] [A] W", "0855 [branch#"&amp;MID(K192,22,2)&amp;"] [A] W"))</f>
        <v>0855 [branch#06] [A] W</v>
      </c>
      <c r="P192" s="2989" t="e" cm="1">
        <f t="array" ref="P192">INDEX('각층분기별_유효전력최대(전월)'!$F$4:$F$2020,MATCH(1, ('각층분기별_유효전력최대(전월)'!$D$4:$D$2020='7층~4층_매핑테이블'!L192) * ('각층분기별_유효전력최대(전월)'!$E$4:$E$2020='7층~4층_매핑테이블'!M192),0)) + INDEX('각층분기별_유효전력최대(전월)'!$F$4:$F$2020,MATCH(1, ('각층분기별_유효전력최대(전월)'!$D$4:$D$2020='7층~4층_매핑테이블'!N192) * ('각층분기별_유효전력최대(전월)'!$E$4:$E$2020='7층~4층_매핑테이블'!O192),0))</f>
        <v>#N/A</v>
      </c>
      <c r="Q192" s="1" t="str">
        <f>R192&amp;S192</f>
        <v>6-DaHall 1-PDU-13-30-346-DaHall 1-PDU-14-30-32</v>
      </c>
      <c r="R192" s="217" t="s">
        <v>10402</v>
      </c>
      <c r="S192" s="217" t="s">
        <v>10403</v>
      </c>
      <c r="T192" t="str">
        <f t="shared" si="182"/>
        <v>6-DaHall 1-PDU-13</v>
      </c>
      <c r="U192" t="str">
        <f t="shared" si="252"/>
        <v>[branch#034] [A] W</v>
      </c>
      <c r="V192" t="str">
        <f>IF(MID(S192,16,2)="0","",MID(S192,1,15)&amp;MID(S192,16,2))</f>
        <v>6-DaHall 1-PDU-14</v>
      </c>
      <c r="W192" t="str">
        <f>IF(IF(LEN((MID(S192,22,2)))=1, "[branch#0"&amp;0&amp;MID(S192,22,2)&amp;"] [A] W", "[branch#0"&amp;MID(S192,22,2)&amp;"] [A] W")="[branch#0] [A] W", "", IF(LEN((MID(S192,22,2)))=1, "[branch#0"&amp;0&amp;MID(S192,22,2)&amp;"] [A] W", "[branch#0"&amp;MID(S192,22,2)&amp;"] [A] W"))</f>
        <v>[branch#032] [A] W</v>
      </c>
      <c r="X192" s="2989" cm="1">
        <f t="array" ref="X192">INDEX('각층분기별_유효전력최대(전월)'!$I$4:$I$2020,MATCH(1, ('각층분기별_유효전력최대(전월)'!$G$4:$G$2020='7층~4층_매핑테이블'!T192) * ('각층분기별_유효전력최대(전월)'!$H$4:$H$2020='7층~4층_매핑테이블'!U192),0)) + INDEX('각층분기별_유효전력최대(전월)'!$I$4:$I$2020,MATCH(1, ('각층분기별_유효전력최대(전월)'!$G$4:$G$2020='7층~4층_매핑테이블'!V192) * ('각층분기별_유효전력최대(전월)'!$H$4:$H$2020='7층~4층_매핑테이블'!W192),0))</f>
        <v>0</v>
      </c>
      <c r="Y192" s="3274" t="str">
        <f t="shared" si="256"/>
        <v>7-DaHall 1-RPP-02-30-36</v>
      </c>
      <c r="Z192" s="217"/>
      <c r="AA192" s="217" t="s">
        <v>10404</v>
      </c>
      <c r="AB192" s="3274" t="str">
        <f t="shared" ref="AB192:AB202" si="260">IF(MID(Z192,16,2)="0","",MID(Z192,1,15)&amp;MID(Z192,16,2))</f>
        <v/>
      </c>
      <c r="AD192" t="str">
        <f t="shared" si="173"/>
        <v>7-DaHall 1-RPP-02</v>
      </c>
      <c r="AE192" t="s">
        <v>9349</v>
      </c>
      <c r="AF192" s="2989" cm="1">
        <f t="array" ref="AF192">INDEX('각층분기별_유효전력최대(전월)'!$L$4:$L$2020,MATCH(1, ('각층분기별_유효전력최대(전월)'!$J$4:$J$2020='7층~4층_매핑테이블'!AB192) * ('각층분기별_유효전력최대(전월)'!$K$4:$K$2020='7층~4층_매핑테이블'!AC192),0)) + INDEX('각층분기별_유효전력최대(전월)'!$L$4:$L$2020,MATCH(1, ('각층분기별_유효전력최대(전월)'!$J$4:$J$2020='7층~4층_매핑테이블'!AD192) * ('각층분기별_유효전력최대(전월)'!$K$4:$K$2020='7층~4층_매핑테이블'!AE192),0))</f>
        <v>1.6930000000000001</v>
      </c>
    </row>
    <row r="193" spans="1:32" x14ac:dyDescent="0.25">
      <c r="A193" t="str">
        <f t="shared" si="255"/>
        <v/>
      </c>
      <c r="B193" s="217"/>
      <c r="C193" s="217"/>
      <c r="D193" s="2989" t="str">
        <f t="shared" si="244"/>
        <v/>
      </c>
      <c r="E193" s="2989" t="str">
        <f t="shared" si="174"/>
        <v/>
      </c>
      <c r="F193" s="2989" t="str">
        <f t="shared" si="258"/>
        <v/>
      </c>
      <c r="G193" s="2989" t="str">
        <f t="shared" si="259"/>
        <v/>
      </c>
      <c r="H193" s="2989" cm="1">
        <f t="array" ref="H193">INDEX('각층분기별_유효전력최대(전월)'!$C$4:$C$2020,MATCH(1, ('각층분기별_유효전력최대(전월)'!$A$4:$A$2020='7층~4층_매핑테이블'!D193) * ('각층분기별_유효전력최대(전월)'!$B$4:$B$2020='7층~4층_매핑테이블'!E193),0)) + INDEX('각층분기별_유효전력최대(전월)'!$C$4:$C$2020,MATCH(1, ('각층분기별_유효전력최대(전월)'!$A$4:$A$2020='7층~4층_매핑테이블'!F193) * ('각층분기별_유효전력최대(전월)'!$B$4:$B$2020='7층~4층_매핑테이블'!G193),0))</f>
        <v>0</v>
      </c>
      <c r="I193" t="str">
        <f t="shared" si="196"/>
        <v>5-DaHall 1-PDU-19-50-45-DaHall 1-PDU-20-50-4</v>
      </c>
      <c r="J193" s="217" t="s">
        <v>10405</v>
      </c>
      <c r="K193" s="217" t="s">
        <v>10406</v>
      </c>
      <c r="L193" t="str">
        <f t="shared" si="176"/>
        <v>5-DaHall 1-PDU-19</v>
      </c>
      <c r="M193" t="str">
        <f>IF(IF(LEN((MID(J193,22,2)))=1, "[branch#0"&amp;0&amp;MID(J193,22,2)&amp;"] [A] W", "[branch#0"&amp;MID(J193,22,2)&amp;"] [A] W")="[branch#0] [A] W", "", IF(LEN((MID(J193,22,2)))=1, "[branch#0"&amp;0&amp;MID(J193,22,2)&amp;"] [A] W", "[branch#0"&amp;MID(J193,22,2)&amp;"] [A] W"))</f>
        <v>[branch#004] [A] W</v>
      </c>
      <c r="N193" t="str">
        <f t="shared" si="198"/>
        <v>5-DaHall 1-PDU-20</v>
      </c>
      <c r="O193" t="str">
        <f>IF(IF(LEN((MID(K193,22,2)))=1, "[branch#"&amp;0&amp;MID(K193,22,2)&amp;"] [A] W", "[branch#"&amp;MID(K193,22,2)&amp;"] [A] W")="[branch#] [A] W", "", IF(LEN((MID(K193,22,2)))=1, "0575 [branch#"&amp;0&amp;MID(K193,22,2)&amp;"] [A] W", "0575 [branch#"&amp;MID(K193,22,2)&amp;"] [A] W"))</f>
        <v>0575 [branch#04] [A] W</v>
      </c>
      <c r="P193" s="2989" t="e" cm="1">
        <f t="array" ref="P193">INDEX('각층분기별_유효전력최대(전월)'!$F$4:$F$2020,MATCH(1, ('각층분기별_유효전력최대(전월)'!$D$4:$D$2020='7층~4층_매핑테이블'!L193) * ('각층분기별_유효전력최대(전월)'!$E$4:$E$2020='7층~4층_매핑테이블'!M193),0)) + INDEX('각층분기별_유효전력최대(전월)'!$F$4:$F$2020,MATCH(1, ('각층분기별_유효전력최대(전월)'!$D$4:$D$2020='7층~4층_매핑테이블'!N193) * ('각층분기별_유효전력최대(전월)'!$E$4:$E$2020='7층~4층_매핑테이블'!O193),0))</f>
        <v>#N/A</v>
      </c>
      <c r="Q193" s="1" t="str">
        <f t="shared" si="251"/>
        <v>6-DaHall 1-PDU-13-30-286-DaHall 1-PDU-14-30-28</v>
      </c>
      <c r="R193" s="217" t="s">
        <v>10407</v>
      </c>
      <c r="S193" s="217" t="s">
        <v>10408</v>
      </c>
      <c r="T193" t="str">
        <f t="shared" si="182"/>
        <v>6-DaHall 1-PDU-13</v>
      </c>
      <c r="U193" t="str">
        <f t="shared" si="252"/>
        <v>[branch#028] [A] W</v>
      </c>
      <c r="V193" t="str">
        <f t="shared" si="253"/>
        <v>6-DaHall 1-PDU-14</v>
      </c>
      <c r="W193" t="str">
        <f t="shared" si="254"/>
        <v>[branch#028] [A] W</v>
      </c>
      <c r="X193" s="2989" cm="1">
        <f t="array" ref="X193">INDEX('각층분기별_유효전력최대(전월)'!$I$4:$I$2020,MATCH(1, ('각층분기별_유효전력최대(전월)'!$G$4:$G$2020='7층~4층_매핑테이블'!T193) * ('각층분기별_유효전력최대(전월)'!$H$4:$H$2020='7층~4층_매핑테이블'!U193),0)) + INDEX('각층분기별_유효전력최대(전월)'!$I$4:$I$2020,MATCH(1, ('각층분기별_유효전력최대(전월)'!$G$4:$G$2020='7층~4층_매핑테이블'!V193) * ('각층분기별_유효전력최대(전월)'!$H$4:$H$2020='7층~4층_매핑테이블'!W193),0))</f>
        <v>0</v>
      </c>
      <c r="Y193" s="3274" t="str">
        <f t="shared" si="256"/>
        <v>7-DaHall 1-PDU-01-30-37-DaHall 1-RPP-01-30-16</v>
      </c>
      <c r="Z193" s="217" t="s">
        <v>10409</v>
      </c>
      <c r="AA193" s="217" t="s">
        <v>10410</v>
      </c>
      <c r="AB193" s="3274" t="str">
        <f t="shared" si="260"/>
        <v>7-DaHall 1-PDU-01</v>
      </c>
      <c r="AC193" t="s">
        <v>9315</v>
      </c>
      <c r="AD193" t="str">
        <f t="shared" si="173"/>
        <v>7-DaHall 1-RPP-01</v>
      </c>
      <c r="AE193" t="s">
        <v>9465</v>
      </c>
      <c r="AF193" s="2989" cm="1">
        <f t="array" ref="AF193">INDEX('각층분기별_유효전력최대(전월)'!$L$4:$L$2020,MATCH(1, ('각층분기별_유효전력최대(전월)'!$J$4:$J$2020='7층~4층_매핑테이블'!AB193) * ('각층분기별_유효전력최대(전월)'!$K$4:$K$2020='7층~4층_매핑테이블'!AC193),0)) + INDEX('각층분기별_유효전력최대(전월)'!$L$4:$L$2020,MATCH(1, ('각층분기별_유효전력최대(전월)'!$J$4:$J$2020='7층~4층_매핑테이블'!AD193) * ('각층분기별_유효전력최대(전월)'!$K$4:$K$2020='7층~4층_매핑테이블'!AE193),0))</f>
        <v>0.92900000000000005</v>
      </c>
    </row>
    <row r="194" spans="1:32" x14ac:dyDescent="0.25">
      <c r="A194" t="str">
        <f t="shared" si="255"/>
        <v/>
      </c>
      <c r="B194" s="217"/>
      <c r="C194" s="217"/>
      <c r="D194" s="2989" t="str">
        <f t="shared" si="244"/>
        <v/>
      </c>
      <c r="E194" s="2989" t="str">
        <f t="shared" si="174"/>
        <v/>
      </c>
      <c r="F194" s="2989" t="str">
        <f t="shared" si="258"/>
        <v/>
      </c>
      <c r="G194" s="2989" t="str">
        <f t="shared" si="259"/>
        <v/>
      </c>
      <c r="H194" s="2989" cm="1">
        <f t="array" ref="H194">INDEX('각층분기별_유효전력최대(전월)'!$C$4:$C$2020,MATCH(1, ('각층분기별_유효전력최대(전월)'!$A$4:$A$2020='7층~4층_매핑테이블'!D194) * ('각층분기별_유효전력최대(전월)'!$B$4:$B$2020='7층~4층_매핑테이블'!E194),0)) + INDEX('각층분기별_유효전력최대(전월)'!$C$4:$C$2020,MATCH(1, ('각층분기별_유효전력최대(전월)'!$A$4:$A$2020='7층~4층_매핑테이블'!F194) * ('각층분기별_유효전력최대(전월)'!$B$4:$B$2020='7층~4층_매핑테이블'!G194),0))</f>
        <v>0</v>
      </c>
      <c r="I194" t="str">
        <f t="shared" si="196"/>
        <v>5-DaHall 1-PDU-21-50-45-DaHall 1-PDU-22-50-4</v>
      </c>
      <c r="J194" s="217" t="s">
        <v>10411</v>
      </c>
      <c r="K194" s="217" t="s">
        <v>10412</v>
      </c>
      <c r="L194" t="str">
        <f t="shared" si="176"/>
        <v>5-DaHall 1-PDU-21</v>
      </c>
      <c r="M194" t="str">
        <f t="shared" ref="M194:M220" si="261">IF(IF(LEN((MID(J194,22,2)))=1, "[branch#0"&amp;0&amp;MID(J194,22,2)&amp;"] [A] W", "[branch#0"&amp;MID(J194,22,2)&amp;"] [A] W")="[branch#0] [A] W", "", IF(LEN((MID(J194,22,2)))=1, "[branch#0"&amp;0&amp;MID(J194,22,2)&amp;"] [A] W", "[branch#0"&amp;MID(J194,22,2)&amp;"] [A] W"))</f>
        <v>[branch#004] [A] W</v>
      </c>
      <c r="N194" t="str">
        <f t="shared" si="198"/>
        <v>5-DaHall 1-PDU-22</v>
      </c>
      <c r="O194" t="str">
        <f>IF(IF(LEN((MID(K194,22,2)))=1, "[branch#"&amp;0&amp;MID(K194,22,2)&amp;"] [A] W", "[branch#"&amp;MID(K194,22,2)&amp;"] [A] W")="[branch#] [A] W", "", IF(LEN((MID(K194,22,2)))=1, "0575 [branch#"&amp;0&amp;MID(K194,22,2)&amp;"] [A] W", "0575 [branch#"&amp;MID(K194,22,2)&amp;"] [A] W"))</f>
        <v>0575 [branch#04] [A] W</v>
      </c>
      <c r="P194" s="2989" t="e" cm="1">
        <f t="array" ref="P194">INDEX('각층분기별_유효전력최대(전월)'!$F$4:$F$2020,MATCH(1, ('각층분기별_유효전력최대(전월)'!$D$4:$D$2020='7층~4층_매핑테이블'!L194) * ('각층분기별_유효전력최대(전월)'!$E$4:$E$2020='7층~4층_매핑테이블'!M194),0)) + INDEX('각층분기별_유효전력최대(전월)'!$F$4:$F$2020,MATCH(1, ('각층분기별_유효전력최대(전월)'!$D$4:$D$2020='7층~4층_매핑테이블'!N194) * ('각층분기별_유효전력최대(전월)'!$E$4:$E$2020='7층~4층_매핑테이블'!O194),0))</f>
        <v>#N/A</v>
      </c>
      <c r="Q194" s="1" t="str">
        <f t="shared" si="251"/>
        <v>6-DaHall 1-PDU-09-30-96-DaHall 1-PDU-10-30-9</v>
      </c>
      <c r="R194" s="217" t="s">
        <v>10413</v>
      </c>
      <c r="S194" s="217" t="s">
        <v>10414</v>
      </c>
      <c r="T194" t="str">
        <f t="shared" si="182"/>
        <v>6-DaHall 1-PDU-09</v>
      </c>
      <c r="U194" t="str">
        <f t="shared" si="252"/>
        <v>[branch#009] [A] W</v>
      </c>
      <c r="V194" t="str">
        <f t="shared" si="253"/>
        <v>6-DaHall 1-PDU-10</v>
      </c>
      <c r="W194" t="str">
        <f t="shared" si="254"/>
        <v>[branch#009] [A] W</v>
      </c>
      <c r="X194" s="2989" cm="1">
        <f t="array" ref="X194">INDEX('각층분기별_유효전력최대(전월)'!$I$4:$I$2020,MATCH(1, ('각층분기별_유효전력최대(전월)'!$G$4:$G$2020='7층~4층_매핑테이블'!T194) * ('각층분기별_유효전력최대(전월)'!$H$4:$H$2020='7층~4층_매핑테이블'!U194),0)) + INDEX('각층분기별_유효전력최대(전월)'!$I$4:$I$2020,MATCH(1, ('각층분기별_유효전력최대(전월)'!$G$4:$G$2020='7층~4층_매핑테이블'!V194) * ('각층분기별_유효전력최대(전월)'!$H$4:$H$2020='7층~4층_매핑테이블'!W194),0))</f>
        <v>0</v>
      </c>
      <c r="Y194" s="3274" t="str">
        <f t="shared" si="256"/>
        <v>7-DaHall 1-RPP-01-30-267-DaHall 1-RPP-02-30-20</v>
      </c>
      <c r="Z194" s="217" t="s">
        <v>10415</v>
      </c>
      <c r="AA194" s="217" t="s">
        <v>10416</v>
      </c>
      <c r="AB194" s="3274" t="str">
        <f t="shared" si="260"/>
        <v>7-DaHall 1-RPP-01</v>
      </c>
      <c r="AC194" t="s">
        <v>9365</v>
      </c>
      <c r="AD194" t="str">
        <f t="shared" si="173"/>
        <v>7-DaHall 1-RPP-02</v>
      </c>
      <c r="AE194" t="s">
        <v>9512</v>
      </c>
      <c r="AF194" s="2989" cm="1">
        <f t="array" ref="AF194">INDEX('각층분기별_유효전력최대(전월)'!$L$4:$L$2020,MATCH(1, ('각층분기별_유효전력최대(전월)'!$J$4:$J$2020='7층~4층_매핑테이블'!AB194) * ('각층분기별_유효전력최대(전월)'!$K$4:$K$2020='7층~4층_매핑테이블'!AC194),0)) + INDEX('각층분기별_유효전력최대(전월)'!$L$4:$L$2020,MATCH(1, ('각층분기별_유효전력최대(전월)'!$J$4:$J$2020='7층~4층_매핑테이블'!AD194) * ('각층분기별_유효전력최대(전월)'!$K$4:$K$2020='7층~4층_매핑테이블'!AE194),0))</f>
        <v>1.2529999999999999</v>
      </c>
    </row>
    <row r="195" spans="1:32" x14ac:dyDescent="0.25">
      <c r="A195" t="str">
        <f t="shared" si="255"/>
        <v/>
      </c>
      <c r="B195" s="217"/>
      <c r="C195" s="217"/>
      <c r="D195" s="2989" t="str">
        <f t="shared" si="244"/>
        <v/>
      </c>
      <c r="E195" s="2989" t="str">
        <f t="shared" si="174"/>
        <v/>
      </c>
      <c r="F195" s="2989" t="str">
        <f t="shared" si="258"/>
        <v/>
      </c>
      <c r="G195" s="2989" t="str">
        <f t="shared" si="259"/>
        <v/>
      </c>
      <c r="H195" s="2989" cm="1">
        <f t="array" ref="H195">INDEX('각층분기별_유효전력최대(전월)'!$C$4:$C$2020,MATCH(1, ('각층분기별_유효전력최대(전월)'!$A$4:$A$2020='7층~4층_매핑테이블'!D195) * ('각층분기별_유효전력최대(전월)'!$B$4:$B$2020='7층~4층_매핑테이블'!E195),0)) + INDEX('각층분기별_유효전력최대(전월)'!$C$4:$C$2020,MATCH(1, ('각층분기별_유효전력최대(전월)'!$A$4:$A$2020='7층~4층_매핑테이블'!F195) * ('각층분기별_유효전력최대(전월)'!$B$4:$B$2020='7층~4층_매핑테이블'!G195),0))</f>
        <v>0</v>
      </c>
      <c r="I195" t="str">
        <f t="shared" si="196"/>
        <v>5-DaHall 1-PDU-19-50-25-DaHall 1-PDU-20-50-2</v>
      </c>
      <c r="J195" s="217" t="s">
        <v>10417</v>
      </c>
      <c r="K195" s="217" t="s">
        <v>10418</v>
      </c>
      <c r="L195" t="str">
        <f t="shared" si="176"/>
        <v>5-DaHall 1-PDU-19</v>
      </c>
      <c r="M195" t="str">
        <f t="shared" si="261"/>
        <v>[branch#002] [A] W</v>
      </c>
      <c r="N195" t="str">
        <f t="shared" si="198"/>
        <v>5-DaHall 1-PDU-20</v>
      </c>
      <c r="O195" t="str">
        <f>IF(IF(LEN((MID(K195,22,2)))=1, "[branch#"&amp;0&amp;MID(K195,22,2)&amp;"] [A] W", "[branch#"&amp;MID(K195,22,2)&amp;"] [A] W")="[branch#] [A] W", "", IF(LEN((MID(K195,22,2)))=1, "0295 [branch#"&amp;0&amp;MID(K195,22,2)&amp;"] [A] W", "0295 [branch#"&amp;MID(K195,22,2)&amp;"] [A] W"))</f>
        <v>0295 [branch#02] [A] W</v>
      </c>
      <c r="P195" s="2989" t="e" cm="1">
        <f t="array" ref="P195">INDEX('각층분기별_유효전력최대(전월)'!$F$4:$F$2020,MATCH(1, ('각층분기별_유효전력최대(전월)'!$D$4:$D$2020='7층~4층_매핑테이블'!L195) * ('각층분기별_유효전력최대(전월)'!$E$4:$E$2020='7층~4층_매핑테이블'!M195),0)) + INDEX('각층분기별_유효전력최대(전월)'!$F$4:$F$2020,MATCH(1, ('각층분기별_유효전력최대(전월)'!$D$4:$D$2020='7층~4층_매핑테이블'!N195) * ('각층분기별_유효전력최대(전월)'!$E$4:$E$2020='7층~4층_매핑테이블'!O195),0))</f>
        <v>#N/A</v>
      </c>
      <c r="Q195" s="1" t="str">
        <f t="shared" si="251"/>
        <v>6-DaHall 1-PDU-09-30-116-DaHall 1-PDU-10-30-11</v>
      </c>
      <c r="R195" s="217" t="s">
        <v>10419</v>
      </c>
      <c r="S195" s="217" t="s">
        <v>10420</v>
      </c>
      <c r="T195" t="str">
        <f t="shared" si="182"/>
        <v>6-DaHall 1-PDU-09</v>
      </c>
      <c r="U195" t="str">
        <f t="shared" si="252"/>
        <v>[branch#011] [A] W</v>
      </c>
      <c r="V195" t="str">
        <f t="shared" si="253"/>
        <v>6-DaHall 1-PDU-10</v>
      </c>
      <c r="W195" t="str">
        <f t="shared" si="254"/>
        <v>[branch#011] [A] W</v>
      </c>
      <c r="X195" s="2989" cm="1">
        <f t="array" ref="X195">INDEX('각층분기별_유효전력최대(전월)'!$I$4:$I$2020,MATCH(1, ('각층분기별_유효전력최대(전월)'!$G$4:$G$2020='7층~4층_매핑테이블'!T195) * ('각층분기별_유효전력최대(전월)'!$H$4:$H$2020='7층~4층_매핑테이블'!U195),0)) + INDEX('각층분기별_유효전력최대(전월)'!$I$4:$I$2020,MATCH(1, ('각층분기별_유효전력최대(전월)'!$G$4:$G$2020='7층~4층_매핑테이블'!V195) * ('각층분기별_유효전력최대(전월)'!$H$4:$H$2020='7층~4층_매핑테이블'!W195),0))</f>
        <v>0</v>
      </c>
      <c r="Y195" s="3274" t="str">
        <f>Z195&amp;AA195</f>
        <v/>
      </c>
      <c r="Z195" s="217"/>
      <c r="AA195" s="217"/>
      <c r="AB195" s="3274" t="str">
        <f t="shared" si="260"/>
        <v/>
      </c>
      <c r="AD195" t="str">
        <f t="shared" si="173"/>
        <v/>
      </c>
      <c r="AF195" s="2989" cm="1">
        <f t="array" ref="AF195">INDEX('각층분기별_유효전력최대(전월)'!$L$4:$L$2020,MATCH(1, ('각층분기별_유효전력최대(전월)'!$J$4:$J$2020='7층~4층_매핑테이블'!AB195) * ('각층분기별_유효전력최대(전월)'!$K$4:$K$2020='7층~4층_매핑테이블'!AC195),0)) + INDEX('각층분기별_유효전력최대(전월)'!$L$4:$L$2020,MATCH(1, ('각층분기별_유효전력최대(전월)'!$J$4:$J$2020='7층~4층_매핑테이블'!AD195) * ('각층분기별_유효전력최대(전월)'!$K$4:$K$2020='7층~4층_매핑테이블'!AE195),0))</f>
        <v>0</v>
      </c>
    </row>
    <row r="196" spans="1:32" x14ac:dyDescent="0.25">
      <c r="A196" t="str">
        <f t="shared" si="255"/>
        <v/>
      </c>
      <c r="B196" s="217"/>
      <c r="C196" s="217"/>
      <c r="D196" s="2989" t="str">
        <f t="shared" si="244"/>
        <v/>
      </c>
      <c r="E196" s="2989" t="str">
        <f t="shared" si="174"/>
        <v/>
      </c>
      <c r="F196" s="2989" t="str">
        <f t="shared" si="258"/>
        <v/>
      </c>
      <c r="G196" s="2989" t="str">
        <f t="shared" si="259"/>
        <v/>
      </c>
      <c r="H196" s="2989" cm="1">
        <f t="array" ref="H196">INDEX('각층분기별_유효전력최대(전월)'!$C$4:$C$2020,MATCH(1, ('각층분기별_유효전력최대(전월)'!$A$4:$A$2020='7층~4층_매핑테이블'!D196) * ('각층분기별_유효전력최대(전월)'!$B$4:$B$2020='7층~4층_매핑테이블'!E196),0)) + INDEX('각층분기별_유효전력최대(전월)'!$C$4:$C$2020,MATCH(1, ('각층분기별_유효전력최대(전월)'!$A$4:$A$2020='7층~4층_매핑테이블'!F196) * ('각층분기별_유효전력최대(전월)'!$B$4:$B$2020='7층~4층_매핑테이블'!G196),0))</f>
        <v>0</v>
      </c>
      <c r="I196" t="str">
        <f t="shared" si="196"/>
        <v>5-DaHall 1-PDU-21-50-25-DaHall 1-PDU-22-50-2</v>
      </c>
      <c r="J196" s="217" t="s">
        <v>10421</v>
      </c>
      <c r="K196" s="217" t="s">
        <v>10422</v>
      </c>
      <c r="L196" t="str">
        <f t="shared" si="176"/>
        <v>5-DaHall 1-PDU-21</v>
      </c>
      <c r="M196" t="str">
        <f t="shared" si="261"/>
        <v>[branch#002] [A] W</v>
      </c>
      <c r="N196" t="str">
        <f t="shared" si="198"/>
        <v>5-DaHall 1-PDU-22</v>
      </c>
      <c r="O196" t="str">
        <f>IF(IF(LEN((MID(K196,22,2)))=1, "[branch#"&amp;0&amp;MID(K196,22,2)&amp;"] [A] W", "[branch#"&amp;MID(K196,22,2)&amp;"] [A] W")="[branch#] [A] W", "", IF(LEN((MID(K196,22,2)))=1, "0295 [branch#"&amp;0&amp;MID(K196,22,2)&amp;"] [A] W", "0295 [branch#"&amp;MID(K196,22,2)&amp;"] [A] W"))</f>
        <v>0295 [branch#02] [A] W</v>
      </c>
      <c r="P196" s="2989" t="e" cm="1">
        <f t="array" ref="P196">INDEX('각층분기별_유효전력최대(전월)'!$F$4:$F$2020,MATCH(1, ('각층분기별_유효전력최대(전월)'!$D$4:$D$2020='7층~4층_매핑테이블'!L196) * ('각층분기별_유효전력최대(전월)'!$E$4:$E$2020='7층~4층_매핑테이블'!M196),0)) + INDEX('각층분기별_유효전력최대(전월)'!$F$4:$F$2020,MATCH(1, ('각층분기별_유효전력최대(전월)'!$D$4:$D$2020='7층~4층_매핑테이블'!N196) * ('각층분기별_유효전력최대(전월)'!$E$4:$E$2020='7층~4층_매핑테이블'!O196),0))</f>
        <v>#N/A</v>
      </c>
      <c r="Q196" s="1" t="str">
        <f>R196&amp;S196</f>
        <v>6-DaHall 1-PDU-09-30-136-DaHall 1-PDU-10-30-13</v>
      </c>
      <c r="R196" s="217" t="s">
        <v>10423</v>
      </c>
      <c r="S196" s="217" t="s">
        <v>10424</v>
      </c>
      <c r="T196" t="str">
        <f t="shared" si="182"/>
        <v>6-DaHall 1-PDU-09</v>
      </c>
      <c r="U196" t="str">
        <f t="shared" si="252"/>
        <v>[branch#013] [A] W</v>
      </c>
      <c r="V196" t="str">
        <f>IF(MID(S196,16,2)="0","",MID(S196,1,15)&amp;MID(S196,16,2))</f>
        <v>6-DaHall 1-PDU-10</v>
      </c>
      <c r="W196" t="str">
        <f>IF(IF(LEN((MID(S196,22,2)))=1, "[branch#0"&amp;0&amp;MID(S196,22,2)&amp;"] [A] W", "[branch#0"&amp;MID(S196,22,2)&amp;"] [A] W")="[branch#0] [A] W", "", IF(LEN((MID(S196,22,2)))=1, "[branch#0"&amp;0&amp;MID(S196,22,2)&amp;"] [A] W", "[branch#0"&amp;MID(S196,22,2)&amp;"] [A] W"))</f>
        <v>[branch#013] [A] W</v>
      </c>
      <c r="X196" s="2989" cm="1">
        <f t="array" ref="X196">INDEX('각층분기별_유효전력최대(전월)'!$I$4:$I$2020,MATCH(1, ('각층분기별_유효전력최대(전월)'!$G$4:$G$2020='7층~4층_매핑테이블'!T196) * ('각층분기별_유효전력최대(전월)'!$H$4:$H$2020='7층~4층_매핑테이블'!U196),0)) + INDEX('각층분기별_유효전력최대(전월)'!$I$4:$I$2020,MATCH(1, ('각층분기별_유효전력최대(전월)'!$G$4:$G$2020='7층~4층_매핑테이블'!V196) * ('각층분기별_유효전력최대(전월)'!$H$4:$H$2020='7층~4층_매핑테이블'!W196),0))</f>
        <v>0</v>
      </c>
      <c r="Y196" s="3274" t="str">
        <f t="shared" ref="Y196" si="262">Z196&amp;AA196</f>
        <v/>
      </c>
      <c r="Z196" s="217"/>
      <c r="AA196" s="217"/>
      <c r="AB196" s="3274" t="str">
        <f t="shared" si="260"/>
        <v/>
      </c>
      <c r="AD196" t="str">
        <f t="shared" si="173"/>
        <v/>
      </c>
      <c r="AF196" s="2989" cm="1">
        <f t="array" ref="AF196">INDEX('각층분기별_유효전력최대(전월)'!$L$4:$L$2020,MATCH(1, ('각층분기별_유효전력최대(전월)'!$J$4:$J$2020='7층~4층_매핑테이블'!AB196) * ('각층분기별_유효전력최대(전월)'!$K$4:$K$2020='7층~4층_매핑테이블'!AC196),0)) + INDEX('각층분기별_유효전력최대(전월)'!$L$4:$L$2020,MATCH(1, ('각층분기별_유효전력최대(전월)'!$J$4:$J$2020='7층~4층_매핑테이블'!AD196) * ('각층분기별_유효전력최대(전월)'!$K$4:$K$2020='7층~4층_매핑테이블'!AE196),0))</f>
        <v>0</v>
      </c>
    </row>
    <row r="197" spans="1:32" x14ac:dyDescent="0.25">
      <c r="A197" t="str">
        <f t="shared" si="255"/>
        <v/>
      </c>
      <c r="B197" s="217"/>
      <c r="C197" s="217"/>
      <c r="D197" s="2989" t="str">
        <f t="shared" si="244"/>
        <v/>
      </c>
      <c r="E197" s="2989" t="str">
        <f t="shared" si="174"/>
        <v/>
      </c>
      <c r="F197" s="2989" t="str">
        <f t="shared" si="258"/>
        <v/>
      </c>
      <c r="G197" s="2989" t="str">
        <f t="shared" si="259"/>
        <v/>
      </c>
      <c r="H197" s="2989" cm="1">
        <f t="array" ref="H197">INDEX('각층분기별_유효전력최대(전월)'!$C$4:$C$2020,MATCH(1, ('각층분기별_유효전력최대(전월)'!$A$4:$A$2020='7층~4층_매핑테이블'!D197) * ('각층분기별_유효전력최대(전월)'!$B$4:$B$2020='7층~4층_매핑테이블'!E197),0)) + INDEX('각층분기별_유효전력최대(전월)'!$C$4:$C$2020,MATCH(1, ('각층분기별_유효전력최대(전월)'!$A$4:$A$2020='7층~4층_매핑테이블'!F197) * ('각층분기별_유효전력최대(전월)'!$B$4:$B$2020='7층~4층_매핑테이블'!G197),0))</f>
        <v>0</v>
      </c>
      <c r="I197" t="str">
        <f t="shared" si="196"/>
        <v>5-DaHall 1-PDU-19-50-135-DaHall 1-PDU-20-50-13</v>
      </c>
      <c r="J197" s="217" t="s">
        <v>10425</v>
      </c>
      <c r="K197" s="217" t="s">
        <v>10426</v>
      </c>
      <c r="L197" t="str">
        <f t="shared" si="176"/>
        <v>5-DaHall 1-PDU-19</v>
      </c>
      <c r="M197" t="str">
        <f t="shared" si="261"/>
        <v>[branch#013] [A] W</v>
      </c>
      <c r="N197" t="str">
        <f t="shared" si="198"/>
        <v>5-DaHall 1-PDU-20</v>
      </c>
      <c r="O197" t="str">
        <f>IF(IF(LEN((MID(K197,22,2)))=1, "[branch#"&amp;0&amp;MID(K197,22,2)&amp;"] [A] W", "[branch#"&amp;MID(K197,22,2)&amp;"] [A] W")="[branch#] [A] W", "", IF(LEN((MID(K197,22,2)))=1, "1835 [branch#"&amp;0&amp;MID(K197,22,2)&amp;"] [A] W", "1835 [branch#"&amp;MID(K197,22,2)&amp;"] [A] W"))</f>
        <v>1835 [branch#13] [A] W</v>
      </c>
      <c r="P197" s="2989" t="e" cm="1">
        <f t="array" ref="P197">INDEX('각층분기별_유효전력최대(전월)'!$F$4:$F$2020,MATCH(1, ('각층분기별_유효전력최대(전월)'!$D$4:$D$2020='7층~4층_매핑테이블'!L197) * ('각층분기별_유효전력최대(전월)'!$E$4:$E$2020='7층~4층_매핑테이블'!M197),0)) + INDEX('각층분기별_유효전력최대(전월)'!$F$4:$F$2020,MATCH(1, ('각층분기별_유효전력최대(전월)'!$D$4:$D$2020='7층~4층_매핑테이블'!N197) * ('각층분기별_유효전력최대(전월)'!$E$4:$E$2020='7층~4층_매핑테이블'!O197),0))</f>
        <v>#N/A</v>
      </c>
      <c r="Q197" s="1" t="str">
        <f t="shared" si="251"/>
        <v>6-DaHall 1-PDU-09-30-156-DaHall 1-PDU-10-30-15</v>
      </c>
      <c r="R197" s="217" t="s">
        <v>10427</v>
      </c>
      <c r="S197" s="217" t="s">
        <v>10428</v>
      </c>
      <c r="T197" t="str">
        <f t="shared" si="182"/>
        <v>6-DaHall 1-PDU-09</v>
      </c>
      <c r="U197" t="str">
        <f t="shared" si="252"/>
        <v>[branch#015] [A] W</v>
      </c>
      <c r="V197" t="str">
        <f t="shared" si="253"/>
        <v>6-DaHall 1-PDU-10</v>
      </c>
      <c r="W197" t="str">
        <f t="shared" si="254"/>
        <v>[branch#015] [A] W</v>
      </c>
      <c r="X197" s="2989" cm="1">
        <f t="array" ref="X197">INDEX('각층분기별_유효전력최대(전월)'!$I$4:$I$2020,MATCH(1, ('각층분기별_유효전력최대(전월)'!$G$4:$G$2020='7층~4층_매핑테이블'!T197) * ('각층분기별_유효전력최대(전월)'!$H$4:$H$2020='7층~4층_매핑테이블'!U197),0)) + INDEX('각층분기별_유효전력최대(전월)'!$I$4:$I$2020,MATCH(1, ('각층분기별_유효전력최대(전월)'!$G$4:$G$2020='7층~4층_매핑테이블'!V197) * ('각층분기별_유효전력최대(전월)'!$H$4:$H$2020='7층~4층_매핑테이블'!W197),0))</f>
        <v>0</v>
      </c>
      <c r="Y197" s="3274" t="str">
        <f>Z197&amp;AA197</f>
        <v>7-DaHall 1-A-1-35-517-DaHall 1-B-1-35-51</v>
      </c>
      <c r="Z197" s="217" t="s">
        <v>10429</v>
      </c>
      <c r="AA197" s="217" t="s">
        <v>10430</v>
      </c>
      <c r="AB197" s="3274" t="str">
        <f t="shared" si="260"/>
        <v>7-DaHall 1-A-1-35</v>
      </c>
      <c r="AC197" t="s">
        <v>9448</v>
      </c>
      <c r="AD197" t="str">
        <f t="shared" si="173"/>
        <v>7-DaHall 1-B-1-35</v>
      </c>
      <c r="AE197" t="s">
        <v>9448</v>
      </c>
      <c r="AF197" s="2989" t="e" cm="1">
        <f t="array" ref="AF197">INDEX('각층분기별_유효전력최대(전월)'!$L$4:$L$2020,MATCH(1, ('각층분기별_유효전력최대(전월)'!$J$4:$J$2020='7층~4층_매핑테이블'!AB197) * ('각층분기별_유효전력최대(전월)'!$K$4:$K$2020='7층~4층_매핑테이블'!AC197),0)) + INDEX('각층분기별_유효전력최대(전월)'!$L$4:$L$2020,MATCH(1, ('각층분기별_유효전력최대(전월)'!$J$4:$J$2020='7층~4층_매핑테이블'!AD197) * ('각층분기별_유효전력최대(전월)'!$K$4:$K$2020='7층~4층_매핑테이블'!AE197),0))</f>
        <v>#N/A</v>
      </c>
    </row>
    <row r="198" spans="1:32" x14ac:dyDescent="0.25">
      <c r="A198" t="str">
        <f>B198&amp;C198</f>
        <v/>
      </c>
      <c r="B198" s="217"/>
      <c r="C198" s="217"/>
      <c r="D198" s="2989" t="str">
        <f t="shared" si="244"/>
        <v/>
      </c>
      <c r="E198" s="2989" t="str">
        <f t="shared" si="174"/>
        <v/>
      </c>
      <c r="F198" s="2989" t="str">
        <f t="shared" si="258"/>
        <v/>
      </c>
      <c r="G198" s="2989" t="str">
        <f t="shared" si="259"/>
        <v/>
      </c>
      <c r="H198" s="2989" cm="1">
        <f t="array" ref="H198">INDEX('각층분기별_유효전력최대(전월)'!$C$4:$C$2020,MATCH(1, ('각층분기별_유효전력최대(전월)'!$A$4:$A$2020='7층~4층_매핑테이블'!D198) * ('각층분기별_유효전력최대(전월)'!$B$4:$B$2020='7층~4층_매핑테이블'!E198),0)) + INDEX('각층분기별_유효전력최대(전월)'!$C$4:$C$2020,MATCH(1, ('각층분기별_유효전력최대(전월)'!$A$4:$A$2020='7층~4층_매핑테이블'!F198) * ('각층분기별_유효전력최대(전월)'!$B$4:$B$2020='7층~4층_매핑테이블'!G198),0))</f>
        <v>0</v>
      </c>
      <c r="I198" t="str">
        <f t="shared" si="196"/>
        <v>5-DaHall 1-PDU-21-50-135-DaHall 1-PDU-22-50-13</v>
      </c>
      <c r="J198" s="217" t="s">
        <v>10431</v>
      </c>
      <c r="K198" s="217" t="s">
        <v>10432</v>
      </c>
      <c r="L198" t="str">
        <f t="shared" si="176"/>
        <v>5-DaHall 1-PDU-21</v>
      </c>
      <c r="M198" t="str">
        <f t="shared" si="261"/>
        <v>[branch#013] [A] W</v>
      </c>
      <c r="N198" t="str">
        <f t="shared" si="198"/>
        <v>5-DaHall 1-PDU-22</v>
      </c>
      <c r="O198" t="str">
        <f>IF(IF(LEN((MID(K198,22,2)))=1, "[branch#"&amp;0&amp;MID(K198,22,2)&amp;"] [A] W", "[branch#"&amp;MID(K198,22,2)&amp;"] [A] W")="[branch#] [A] W", "", IF(LEN((MID(K198,22,2)))=1, "1835 [branch#"&amp;0&amp;MID(K198,22,2)&amp;"] [A] W", "1835 [branch#"&amp;MID(K198,22,2)&amp;"] [A] W"))</f>
        <v>1835 [branch#13] [A] W</v>
      </c>
      <c r="P198" s="2989" t="e" cm="1">
        <f t="array" ref="P198">INDEX('각층분기별_유효전력최대(전월)'!$F$4:$F$2020,MATCH(1, ('각층분기별_유효전력최대(전월)'!$D$4:$D$2020='7층~4층_매핑테이블'!L198) * ('각층분기별_유효전력최대(전월)'!$E$4:$E$2020='7층~4층_매핑테이블'!M198),0)) + INDEX('각층분기별_유효전력최대(전월)'!$F$4:$F$2020,MATCH(1, ('각층분기별_유효전력최대(전월)'!$D$4:$D$2020='7층~4층_매핑테이블'!N198) * ('각층분기별_유효전력최대(전월)'!$E$4:$E$2020='7층~4층_매핑테이블'!O198),0))</f>
        <v>#N/A</v>
      </c>
      <c r="Q198" s="1" t="str">
        <f t="shared" si="251"/>
        <v>6-DaHall 1-PDU-09-30-176-DaHall 1-PDU-10-30-17</v>
      </c>
      <c r="R198" s="217" t="s">
        <v>10433</v>
      </c>
      <c r="S198" s="217" t="s">
        <v>10434</v>
      </c>
      <c r="T198" t="str">
        <f t="shared" si="182"/>
        <v>6-DaHall 1-PDU-09</v>
      </c>
      <c r="U198" t="str">
        <f t="shared" si="252"/>
        <v>[branch#017] [A] W</v>
      </c>
      <c r="V198" t="str">
        <f t="shared" si="253"/>
        <v>6-DaHall 1-PDU-10</v>
      </c>
      <c r="W198" t="str">
        <f t="shared" si="254"/>
        <v>[branch#017] [A] W</v>
      </c>
      <c r="X198" s="2989" cm="1">
        <f t="array" ref="X198">INDEX('각층분기별_유효전력최대(전월)'!$I$4:$I$2020,MATCH(1, ('각층분기별_유효전력최대(전월)'!$G$4:$G$2020='7층~4층_매핑테이블'!T198) * ('각층분기별_유효전력최대(전월)'!$H$4:$H$2020='7층~4층_매핑테이블'!U198),0)) + INDEX('각층분기별_유효전력최대(전월)'!$I$4:$I$2020,MATCH(1, ('각층분기별_유효전력최대(전월)'!$G$4:$G$2020='7층~4층_매핑테이블'!V198) * ('각층분기별_유효전력최대(전월)'!$H$4:$H$2020='7층~4층_매핑테이블'!W198),0))</f>
        <v>0</v>
      </c>
      <c r="Y198" s="3274" t="str">
        <f>Z198&amp;AA198</f>
        <v/>
      </c>
      <c r="Z198" s="217"/>
      <c r="AA198" s="217"/>
      <c r="AB198" s="3274" t="str">
        <f t="shared" si="260"/>
        <v/>
      </c>
      <c r="AD198" t="str">
        <f t="shared" si="173"/>
        <v/>
      </c>
      <c r="AF198" s="2989" cm="1">
        <f t="array" ref="AF198">INDEX('각층분기별_유효전력최대(전월)'!$L$4:$L$2020,MATCH(1, ('각층분기별_유효전력최대(전월)'!$J$4:$J$2020='7층~4층_매핑테이블'!AB198) * ('각층분기별_유효전력최대(전월)'!$K$4:$K$2020='7층~4층_매핑테이블'!AC198),0)) + INDEX('각층분기별_유효전력최대(전월)'!$L$4:$L$2020,MATCH(1, ('각층분기별_유효전력최대(전월)'!$J$4:$J$2020='7층~4층_매핑테이블'!AD198) * ('각층분기별_유효전력최대(전월)'!$K$4:$K$2020='7층~4층_매핑테이블'!AE198),0))</f>
        <v>0</v>
      </c>
    </row>
    <row r="199" spans="1:32" x14ac:dyDescent="0.25">
      <c r="A199" t="str">
        <f>B199&amp;C199</f>
        <v>4-DaHall 1-PDU-04-100-74-DaHall 1-PDU-03-100-7</v>
      </c>
      <c r="B199" s="217" t="s">
        <v>10435</v>
      </c>
      <c r="C199" s="217" t="s">
        <v>10436</v>
      </c>
      <c r="D199" s="2989" t="str">
        <f t="shared" si="244"/>
        <v>4-DaHall 1-PDU-04</v>
      </c>
      <c r="E199" s="2989" t="str">
        <f t="shared" si="174"/>
        <v>[branch#007] [A] W</v>
      </c>
      <c r="F199" s="2989" t="str">
        <f t="shared" si="258"/>
        <v>4-DaHall 1-PDU-03</v>
      </c>
      <c r="G199" s="2989" t="str">
        <f t="shared" si="259"/>
        <v>[branch#007] [A] W</v>
      </c>
      <c r="H199" s="2989" cm="1">
        <f t="array" ref="H199">INDEX('각층분기별_유효전력최대(전월)'!$C$4:$C$2020,MATCH(1, ('각층분기별_유효전력최대(전월)'!$A$4:$A$2020='7층~4층_매핑테이블'!D199) * ('각층분기별_유효전력최대(전월)'!$B$4:$B$2020='7층~4층_매핑테이블'!E199),0)) + INDEX('각층분기별_유효전력최대(전월)'!$C$4:$C$2020,MATCH(1, ('각층분기별_유효전력최대(전월)'!$A$4:$A$2020='7층~4층_매핑테이블'!F199) * ('각층분기별_유효전력최대(전월)'!$B$4:$B$2020='7층~4층_매핑테이블'!G199),0))</f>
        <v>10.939</v>
      </c>
      <c r="I199" t="str">
        <f t="shared" si="196"/>
        <v>5-DaHall 1-PDU-19-50-115-DaHall 1-PDU-20-50-11</v>
      </c>
      <c r="J199" s="217" t="s">
        <v>10437</v>
      </c>
      <c r="K199" s="217" t="s">
        <v>10438</v>
      </c>
      <c r="L199" t="str">
        <f t="shared" si="176"/>
        <v>5-DaHall 1-PDU-19</v>
      </c>
      <c r="M199" t="str">
        <f t="shared" si="261"/>
        <v>[branch#011] [A] W</v>
      </c>
      <c r="N199" t="str">
        <f t="shared" si="198"/>
        <v>5-DaHall 1-PDU-20</v>
      </c>
      <c r="O199" t="str">
        <f>IF(IF(LEN((MID(K199,22,2)))=1, "[branch#"&amp;0&amp;MID(K199,22,2)&amp;"] [A] W", "[branch#"&amp;MID(K199,22,2)&amp;"] [A] W")="[branch#] [A] W", "", IF(LEN((MID(K199,22,2)))=1, "1555 [branch#"&amp;0&amp;MID(K199,22,2)&amp;"] [A] W", "1555 [branch#"&amp;MID(K199,22,2)&amp;"] [A] W"))</f>
        <v>1555 [branch#11] [A] W</v>
      </c>
      <c r="P199" s="2989" t="e" cm="1">
        <f t="array" ref="P199">INDEX('각층분기별_유효전력최대(전월)'!$F$4:$F$2020,MATCH(1, ('각층분기별_유효전력최대(전월)'!$D$4:$D$2020='7층~4층_매핑테이블'!L199) * ('각층분기별_유효전력최대(전월)'!$E$4:$E$2020='7층~4층_매핑테이블'!M199),0)) + INDEX('각층분기별_유효전력최대(전월)'!$F$4:$F$2020,MATCH(1, ('각층분기별_유효전력최대(전월)'!$D$4:$D$2020='7층~4층_매핑테이블'!N199) * ('각층분기별_유효전력최대(전월)'!$E$4:$E$2020='7층~4층_매핑테이블'!O199),0))</f>
        <v>#N/A</v>
      </c>
      <c r="Q199" s="1" t="str">
        <f>R199&amp;S199</f>
        <v/>
      </c>
      <c r="R199" s="217"/>
      <c r="S199" s="217"/>
      <c r="T199" t="str">
        <f t="shared" si="182"/>
        <v/>
      </c>
      <c r="U199" t="str">
        <f>IF(IF(LEN((MID(R199,22,2)))=1, "[branch#0"&amp;0&amp;MID(R199,22,2)&amp;"] [A] W", "[branch#0"&amp;MID(R199,22,2)&amp;"] [A] W")="[branch#0] [A] W", "", IF(LEN((MID(R199,22,2)))=1, "[branch#0"&amp;0&amp;MID(R199,22,2)&amp;"] [A] W", "[branch#0"&amp;MID(R199,22,2)&amp;"] [A] W"))</f>
        <v/>
      </c>
      <c r="V199" t="str">
        <f>IF(MID(S199,16,2)="0","",MID(S199,1,15)&amp;MID(S199,16,2))</f>
        <v/>
      </c>
      <c r="W199" t="str">
        <f>IF(IF(LEN((MID(S199,22,2)))=1, "[branch#0"&amp;0&amp;MID(S199,22,2)&amp;"] [A] W", "[branch#0"&amp;MID(S199,22,2)&amp;"] [A] W")="[branch#0] [A] W", "", IF(LEN((MID(S199,22,2)))=1, "[branch#0"&amp;0&amp;MID(S199,22,2)&amp;"] [A] W", "[branch#0"&amp;MID(S199,22,2)&amp;"] [A] W"))</f>
        <v/>
      </c>
      <c r="X199" s="2989" cm="1">
        <f t="array" ref="X199">INDEX('각층분기별_유효전력최대(전월)'!$I$4:$I$2020,MATCH(1, ('각층분기별_유효전력최대(전월)'!$G$4:$G$2020='7층~4층_매핑테이블'!T199) * ('각층분기별_유효전력최대(전월)'!$H$4:$H$2020='7층~4층_매핑테이블'!U199),0)) + INDEX('각층분기별_유효전력최대(전월)'!$I$4:$I$2020,MATCH(1, ('각층분기별_유효전력최대(전월)'!$G$4:$G$2020='7층~4층_매핑테이블'!V199) * ('각층분기별_유효전력최대(전월)'!$H$4:$H$2020='7층~4층_매핑테이블'!W199),0))</f>
        <v>0</v>
      </c>
      <c r="Y199" s="3274" t="str">
        <f>Z199&amp;AA199</f>
        <v>7-DaHall 1-RPP-01--367-DaHall 1-RPP-02-30-30</v>
      </c>
      <c r="Z199" s="217" t="s">
        <v>10439</v>
      </c>
      <c r="AA199" s="217" t="s">
        <v>10440</v>
      </c>
      <c r="AB199" s="3274" t="str">
        <f t="shared" si="260"/>
        <v>7-DaHall 1-RPP-01</v>
      </c>
      <c r="AC199" t="s">
        <v>9349</v>
      </c>
      <c r="AD199" t="str">
        <f t="shared" ref="AD199:AD262" si="263">IF(MID(AA199,16,2)="0","",MID(AA199,1,15)&amp;MID(AA199,16,2))</f>
        <v>7-DaHall 1-RPP-02</v>
      </c>
      <c r="AE199" t="s">
        <v>9375</v>
      </c>
      <c r="AF199" s="2989" cm="1">
        <f t="array" ref="AF199">INDEX('각층분기별_유효전력최대(전월)'!$L$4:$L$2020,MATCH(1, ('각층분기별_유효전력최대(전월)'!$J$4:$J$2020='7층~4층_매핑테이블'!AB199) * ('각층분기별_유효전력최대(전월)'!$K$4:$K$2020='7층~4층_매핑테이블'!AC199),0)) + INDEX('각층분기별_유효전력최대(전월)'!$L$4:$L$2020,MATCH(1, ('각층분기별_유효전력최대(전월)'!$J$4:$J$2020='7층~4층_매핑테이블'!AD199) * ('각층분기별_유효전력최대(전월)'!$K$4:$K$2020='7층~4층_매핑테이블'!AE199),0))</f>
        <v>1.31</v>
      </c>
    </row>
    <row r="200" spans="1:32" x14ac:dyDescent="0.25">
      <c r="A200" t="str">
        <f>B200&amp;C200</f>
        <v/>
      </c>
      <c r="B200" s="217"/>
      <c r="C200" s="217"/>
      <c r="D200" s="2989" t="str">
        <f t="shared" si="244"/>
        <v/>
      </c>
      <c r="E200" s="2989" t="str">
        <f t="shared" ref="E200:E263" si="264">IF(IF(LEN(MID(B200,23,2))=1, "[branch#0"&amp;0&amp;MID(B200,23,2)&amp;"] [A] W", "[branch#0"&amp;MID(B200,23,2)&amp;"] [A] W")="[branch#0] [A] W", "", IF(LEN(MID(B200,23,2))=1, "[branch#0"&amp;0&amp;MID(B200,23,2)&amp;"] [A] W", "[branch#0"&amp;MID(B200,23,2)&amp;"] [A] W"))</f>
        <v/>
      </c>
      <c r="F200" s="2989" t="str">
        <f t="shared" si="258"/>
        <v/>
      </c>
      <c r="G200" s="2989" t="str">
        <f t="shared" si="259"/>
        <v/>
      </c>
      <c r="H200" s="2989" cm="1">
        <f t="array" ref="H200">INDEX('각층분기별_유효전력최대(전월)'!$C$4:$C$2020,MATCH(1, ('각층분기별_유효전력최대(전월)'!$A$4:$A$2020='7층~4층_매핑테이블'!D200) * ('각층분기별_유효전력최대(전월)'!$B$4:$B$2020='7층~4층_매핑테이블'!E200),0)) + INDEX('각층분기별_유효전력최대(전월)'!$C$4:$C$2020,MATCH(1, ('각층분기별_유효전력최대(전월)'!$A$4:$A$2020='7층~4층_매핑테이블'!F200) * ('각층분기별_유효전력최대(전월)'!$B$4:$B$2020='7층~4층_매핑테이블'!G200),0))</f>
        <v>0</v>
      </c>
      <c r="I200" t="str">
        <f t="shared" si="196"/>
        <v>5-DaHall 1-PDU-21-50-115-DaHall 1-PDU-22-50-11</v>
      </c>
      <c r="J200" s="217" t="s">
        <v>10441</v>
      </c>
      <c r="K200" s="217" t="s">
        <v>10442</v>
      </c>
      <c r="L200" t="str">
        <f t="shared" ref="L200:L263" si="265">IF(MID(J200,16,2)="0","",MID(J200,1,15)&amp;MID(J200,16,2))</f>
        <v>5-DaHall 1-PDU-21</v>
      </c>
      <c r="M200" t="str">
        <f t="shared" si="261"/>
        <v>[branch#011] [A] W</v>
      </c>
      <c r="N200" t="str">
        <f t="shared" si="198"/>
        <v>5-DaHall 1-PDU-22</v>
      </c>
      <c r="O200" t="str">
        <f>IF(IF(LEN((MID(K200,22,2)))=1, "[branch#"&amp;0&amp;MID(K200,22,2)&amp;"] [A] W", "[branch#"&amp;MID(K200,22,2)&amp;"] [A] W")="[branch#] [A] W", "", IF(LEN((MID(K200,22,2)))=1, "1555 [branch#"&amp;0&amp;MID(K200,22,2)&amp;"] [A] W", "1555 [branch#"&amp;MID(K200,22,2)&amp;"] [A] W"))</f>
        <v>1555 [branch#11] [A] W</v>
      </c>
      <c r="P200" s="2989" t="e" cm="1">
        <f t="array" ref="P200">INDEX('각층분기별_유효전력최대(전월)'!$F$4:$F$2020,MATCH(1, ('각층분기별_유효전력최대(전월)'!$D$4:$D$2020='7층~4층_매핑테이블'!L200) * ('각층분기별_유효전력최대(전월)'!$E$4:$E$2020='7층~4층_매핑테이블'!M200),0)) + INDEX('각층분기별_유효전력최대(전월)'!$F$4:$F$2020,MATCH(1, ('각층분기별_유효전력최대(전월)'!$D$4:$D$2020='7층~4층_매핑테이블'!N200) * ('각층분기별_유효전력최대(전월)'!$E$4:$E$2020='7층~4층_매핑테이블'!O200),0))</f>
        <v>#N/A</v>
      </c>
      <c r="Q200" s="1" t="str">
        <f>R200&amp;S200</f>
        <v>6-DaHall 1-PDU-09-30-26-DaHall 1-PDU-10-30-2</v>
      </c>
      <c r="R200" s="217" t="s">
        <v>10443</v>
      </c>
      <c r="S200" s="217" t="s">
        <v>10444</v>
      </c>
      <c r="T200" t="str">
        <f t="shared" si="182"/>
        <v>6-DaHall 1-PDU-09</v>
      </c>
      <c r="U200" t="str">
        <f>IF(IF(LEN((MID(R200,22,2)))=1, "[branch#0"&amp;0&amp;MID(R200,22,2)&amp;"] [A] W", "[branch#0"&amp;MID(R200,22,2)&amp;"] [A] W")="[branch#0] [A] W", "", IF(LEN((MID(R200,22,2)))=1, "[branch#0"&amp;0&amp;MID(R200,22,2)&amp;"] [A] W", "[branch#0"&amp;MID(R200,22,2)&amp;"] [A] W"))</f>
        <v>[branch#002] [A] W</v>
      </c>
      <c r="V200" t="str">
        <f>IF(MID(S200,16,2)="0","",MID(S200,1,15)&amp;MID(S200,16,2))</f>
        <v>6-DaHall 1-PDU-10</v>
      </c>
      <c r="W200" t="str">
        <f>IF(IF(LEN((MID(S200,22,2)))=1, "[branch#0"&amp;0&amp;MID(S200,22,2)&amp;"] [A] W", "[branch#0"&amp;MID(S200,22,2)&amp;"] [A] W")="[branch#0] [A] W", "", IF(LEN((MID(S200,22,2)))=1, "[branch#0"&amp;0&amp;MID(S200,22,2)&amp;"] [A] W", "[branch#0"&amp;MID(S200,22,2)&amp;"] [A] W"))</f>
        <v>[branch#002] [A] W</v>
      </c>
      <c r="X200" s="2989" cm="1">
        <f t="array" ref="X200">INDEX('각층분기별_유효전력최대(전월)'!$I$4:$I$2020,MATCH(1, ('각층분기별_유효전력최대(전월)'!$G$4:$G$2020='7층~4층_매핑테이블'!T200) * ('각층분기별_유효전력최대(전월)'!$H$4:$H$2020='7층~4층_매핑테이블'!U200),0)) + INDEX('각층분기별_유효전력최대(전월)'!$I$4:$I$2020,MATCH(1, ('각층분기별_유효전력최대(전월)'!$G$4:$G$2020='7층~4층_매핑테이블'!V200) * ('각층분기별_유효전력최대(전월)'!$H$4:$H$2020='7층~4층_매핑테이블'!W200),0))</f>
        <v>0</v>
      </c>
      <c r="Y200" s="3274" t="str">
        <f t="shared" ref="Y200:Y206" si="266">Z200&amp;AA200</f>
        <v>7-DaHall 1-RPP-01-30-147-DaHall 1-RPP-02-20-27</v>
      </c>
      <c r="Z200" s="217" t="s">
        <v>10445</v>
      </c>
      <c r="AA200" s="217" t="s">
        <v>10446</v>
      </c>
      <c r="AB200" s="3274" t="str">
        <f t="shared" si="260"/>
        <v>7-DaHall 1-RPP-01</v>
      </c>
      <c r="AC200" t="s">
        <v>9478</v>
      </c>
      <c r="AD200" t="str">
        <f t="shared" si="263"/>
        <v>7-DaHall 1-RPP-02</v>
      </c>
      <c r="AE200" t="s">
        <v>9521</v>
      </c>
      <c r="AF200" s="2989" cm="1">
        <f t="array" ref="AF200">INDEX('각층분기별_유효전력최대(전월)'!$L$4:$L$2020,MATCH(1, ('각층분기별_유효전력최대(전월)'!$J$4:$J$2020='7층~4층_매핑테이블'!AB200) * ('각층분기별_유효전력최대(전월)'!$K$4:$K$2020='7층~4층_매핑테이블'!AC200),0)) + INDEX('각층분기별_유효전력최대(전월)'!$L$4:$L$2020,MATCH(1, ('각층분기별_유효전력최대(전월)'!$J$4:$J$2020='7층~4층_매핑테이블'!AD200) * ('각층분기별_유효전력최대(전월)'!$K$4:$K$2020='7층~4층_매핑테이블'!AE200),0))</f>
        <v>2.8159999999999998</v>
      </c>
    </row>
    <row r="201" spans="1:32" x14ac:dyDescent="0.25">
      <c r="A201" t="str">
        <f t="shared" ref="A201:A209" si="267">B201&amp;C201</f>
        <v/>
      </c>
      <c r="B201" s="217"/>
      <c r="C201" s="217"/>
      <c r="D201" s="2989" t="str">
        <f t="shared" si="244"/>
        <v/>
      </c>
      <c r="E201" s="2989" t="str">
        <f t="shared" si="264"/>
        <v/>
      </c>
      <c r="F201" s="2989" t="str">
        <f t="shared" si="258"/>
        <v/>
      </c>
      <c r="G201" s="2989" t="str">
        <f t="shared" si="259"/>
        <v/>
      </c>
      <c r="H201" s="2989" cm="1">
        <f t="array" ref="H201">INDEX('각층분기별_유효전력최대(전월)'!$C$4:$C$2020,MATCH(1, ('각층분기별_유효전력최대(전월)'!$A$4:$A$2020='7층~4층_매핑테이블'!D201) * ('각층분기별_유효전력최대(전월)'!$B$4:$B$2020='7층~4층_매핑테이블'!E201),0)) + INDEX('각층분기별_유효전력최대(전월)'!$C$4:$C$2020,MATCH(1, ('각층분기별_유효전력최대(전월)'!$A$4:$A$2020='7층~4층_매핑테이블'!F201) * ('각층분기별_유효전력최대(전월)'!$B$4:$B$2020='7층~4층_매핑테이블'!G201),0))</f>
        <v>0</v>
      </c>
      <c r="I201" t="str">
        <f t="shared" si="196"/>
        <v>5-DaHall 1-PDU-19-50-95-DaHall 1-PDU-20-50-9</v>
      </c>
      <c r="J201" s="217" t="s">
        <v>10447</v>
      </c>
      <c r="K201" s="217" t="s">
        <v>10448</v>
      </c>
      <c r="L201" t="str">
        <f t="shared" si="265"/>
        <v>5-DaHall 1-PDU-19</v>
      </c>
      <c r="M201" t="str">
        <f t="shared" si="261"/>
        <v>[branch#009] [A] W</v>
      </c>
      <c r="N201" t="str">
        <f t="shared" si="198"/>
        <v>5-DaHall 1-PDU-20</v>
      </c>
      <c r="O201" t="str">
        <f>IF(IF(LEN((MID(K201,22,2)))=1, "[branch#"&amp;0&amp;MID(K201,22,2)&amp;"] [A] W", "[branch#"&amp;MID(K201,22,2)&amp;"] [A] W")="[branch#] [A] W", "", IF(LEN((MID(K201,22,2)))=1, "1275 [branch#"&amp;0&amp;MID(K201,22,2)&amp;"] [A] W", "1275 [branch#"&amp;MID(K201,22,2)&amp;"] [A] W"))</f>
        <v>1275 [branch#09] [A] W</v>
      </c>
      <c r="P201" s="2989" t="e" cm="1">
        <f t="array" ref="P201">INDEX('각층분기별_유효전력최대(전월)'!$F$4:$F$2020,MATCH(1, ('각층분기별_유효전력최대(전월)'!$D$4:$D$2020='7층~4층_매핑테이블'!L201) * ('각층분기별_유효전력최대(전월)'!$E$4:$E$2020='7층~4층_매핑테이블'!M201),0)) + INDEX('각층분기별_유효전력최대(전월)'!$F$4:$F$2020,MATCH(1, ('각층분기별_유효전력최대(전월)'!$D$4:$D$2020='7층~4층_매핑테이블'!N201) * ('각층분기별_유효전력최대(전월)'!$E$4:$E$2020='7층~4층_매핑테이블'!O201),0))</f>
        <v>#N/A</v>
      </c>
      <c r="Q201" s="1" t="str">
        <f t="shared" ref="Q201:Q208" si="268">R201&amp;S201</f>
        <v>6-DaHall 1-PDU-09-30-46-DaHall 1-PDU-10-30-4</v>
      </c>
      <c r="R201" s="217" t="s">
        <v>10449</v>
      </c>
      <c r="S201" s="217" t="s">
        <v>10450</v>
      </c>
      <c r="T201" t="str">
        <f t="shared" ref="T201:T247" si="269">IF(MID(R201,16,2)="0","",MID(R201,1,15)&amp;MID(R201,16,2))</f>
        <v>6-DaHall 1-PDU-09</v>
      </c>
      <c r="U201" t="str">
        <f t="shared" ref="U201:U208" si="270">IF(IF(LEN((MID(R201,22,2)))=1, "[branch#0"&amp;0&amp;MID(R201,22,2)&amp;"] [A] W", "[branch#0"&amp;MID(R201,22,2)&amp;"] [A] W")="[branch#0] [A] W", "", IF(LEN((MID(R201,22,2)))=1, "[branch#0"&amp;0&amp;MID(R201,22,2)&amp;"] [A] W", "[branch#0"&amp;MID(R201,22,2)&amp;"] [A] W"))</f>
        <v>[branch#004] [A] W</v>
      </c>
      <c r="V201" t="str">
        <f t="shared" ref="V201:V208" si="271">IF(MID(S201,16,2)="0","",MID(S201,1,15)&amp;MID(S201,16,2))</f>
        <v>6-DaHall 1-PDU-10</v>
      </c>
      <c r="W201" t="str">
        <f t="shared" ref="W201:W208" si="272">IF(IF(LEN((MID(S201,22,2)))=1, "[branch#0"&amp;0&amp;MID(S201,22,2)&amp;"] [A] W", "[branch#0"&amp;MID(S201,22,2)&amp;"] [A] W")="[branch#0] [A] W", "", IF(LEN((MID(S201,22,2)))=1, "[branch#0"&amp;0&amp;MID(S201,22,2)&amp;"] [A] W", "[branch#0"&amp;MID(S201,22,2)&amp;"] [A] W"))</f>
        <v>[branch#004] [A] W</v>
      </c>
      <c r="X201" s="2989" cm="1">
        <f t="array" ref="X201">INDEX('각층분기별_유효전력최대(전월)'!$I$4:$I$2020,MATCH(1, ('각층분기별_유효전력최대(전월)'!$G$4:$G$2020='7층~4층_매핑테이블'!T201) * ('각층분기별_유효전력최대(전월)'!$H$4:$H$2020='7층~4층_매핑테이블'!U201),0)) + INDEX('각층분기별_유효전력최대(전월)'!$I$4:$I$2020,MATCH(1, ('각층분기별_유효전력최대(전월)'!$G$4:$G$2020='7층~4층_매핑테이블'!V201) * ('각층분기별_유효전력최대(전월)'!$H$4:$H$2020='7층~4층_매핑테이블'!W201),0))</f>
        <v>0</v>
      </c>
      <c r="Y201" s="3274" t="str">
        <f t="shared" si="266"/>
        <v>7-DaHall 1-RPP-02-20-25</v>
      </c>
      <c r="Z201" s="217"/>
      <c r="AA201" s="217" t="s">
        <v>10451</v>
      </c>
      <c r="AB201" s="3274" t="str">
        <f t="shared" si="260"/>
        <v/>
      </c>
      <c r="AD201" t="str">
        <f t="shared" si="263"/>
        <v>7-DaHall 1-RPP-02</v>
      </c>
      <c r="AE201" t="s">
        <v>9419</v>
      </c>
      <c r="AF201" s="2989" cm="1">
        <f t="array" ref="AF201">INDEX('각층분기별_유효전력최대(전월)'!$L$4:$L$2020,MATCH(1, ('각층분기별_유효전력최대(전월)'!$J$4:$J$2020='7층~4층_매핑테이블'!AB201) * ('각층분기별_유효전력최대(전월)'!$K$4:$K$2020='7층~4층_매핑테이블'!AC201),0)) + INDEX('각층분기별_유효전력최대(전월)'!$L$4:$L$2020,MATCH(1, ('각층분기별_유효전력최대(전월)'!$J$4:$J$2020='7층~4층_매핑테이블'!AD201) * ('각층분기별_유효전력최대(전월)'!$K$4:$K$2020='7층~4층_매핑테이블'!AE201),0))</f>
        <v>0</v>
      </c>
    </row>
    <row r="202" spans="1:32" x14ac:dyDescent="0.25">
      <c r="A202" t="str">
        <f t="shared" si="267"/>
        <v/>
      </c>
      <c r="B202" s="217"/>
      <c r="C202" s="217"/>
      <c r="D202" s="2989" t="str">
        <f t="shared" si="244"/>
        <v/>
      </c>
      <c r="E202" s="2989" t="str">
        <f t="shared" si="264"/>
        <v/>
      </c>
      <c r="F202" s="2989" t="str">
        <f t="shared" si="258"/>
        <v/>
      </c>
      <c r="G202" s="2989" t="str">
        <f t="shared" si="259"/>
        <v/>
      </c>
      <c r="H202" s="2989" cm="1">
        <f t="array" ref="H202">INDEX('각층분기별_유효전력최대(전월)'!$C$4:$C$2020,MATCH(1, ('각층분기별_유효전력최대(전월)'!$A$4:$A$2020='7층~4층_매핑테이블'!D202) * ('각층분기별_유효전력최대(전월)'!$B$4:$B$2020='7층~4층_매핑테이블'!E202),0)) + INDEX('각층분기별_유효전력최대(전월)'!$C$4:$C$2020,MATCH(1, ('각층분기별_유효전력최대(전월)'!$A$4:$A$2020='7층~4층_매핑테이블'!F202) * ('각층분기별_유효전력최대(전월)'!$B$4:$B$2020='7층~4층_매핑테이블'!G202),0))</f>
        <v>0</v>
      </c>
      <c r="I202" t="str">
        <f t="shared" si="196"/>
        <v>5-DaHall 1-PDU-21-50-95-DaHall 1-PDU-22-50-9</v>
      </c>
      <c r="J202" s="217" t="s">
        <v>10452</v>
      </c>
      <c r="K202" s="217" t="s">
        <v>10453</v>
      </c>
      <c r="L202" t="str">
        <f t="shared" si="265"/>
        <v>5-DaHall 1-PDU-21</v>
      </c>
      <c r="M202" t="str">
        <f t="shared" si="261"/>
        <v>[branch#009] [A] W</v>
      </c>
      <c r="N202" t="str">
        <f t="shared" si="198"/>
        <v>5-DaHall 1-PDU-22</v>
      </c>
      <c r="O202" t="str">
        <f>IF(IF(LEN((MID(K202,22,2)))=1, "[branch#"&amp;0&amp;MID(K202,22,2)&amp;"] [A] W", "[branch#"&amp;MID(K202,22,2)&amp;"] [A] W")="[branch#] [A] W", "", IF(LEN((MID(K202,22,2)))=1, "1275 [branch#"&amp;0&amp;MID(K202,22,2)&amp;"] [A] W", "1275 [branch#"&amp;MID(K202,22,2)&amp;"] [A] W"))</f>
        <v>1275 [branch#09] [A] W</v>
      </c>
      <c r="P202" s="2989" t="e" cm="1">
        <f t="array" ref="P202">INDEX('각층분기별_유효전력최대(전월)'!$F$4:$F$2020,MATCH(1, ('각층분기별_유효전력최대(전월)'!$D$4:$D$2020='7층~4층_매핑테이블'!L202) * ('각층분기별_유효전력최대(전월)'!$E$4:$E$2020='7층~4층_매핑테이블'!M202),0)) + INDEX('각층분기별_유효전력최대(전월)'!$F$4:$F$2020,MATCH(1, ('각층분기별_유효전력최대(전월)'!$D$4:$D$2020='7층~4층_매핑테이블'!N202) * ('각층분기별_유효전력최대(전월)'!$E$4:$E$2020='7층~4층_매핑테이블'!O202),0))</f>
        <v>#N/A</v>
      </c>
      <c r="Q202" s="1" t="str">
        <f t="shared" si="268"/>
        <v>6-DaHall 1-PDU-09-30-66-DaHall 1-PDU-10-30-6</v>
      </c>
      <c r="R202" s="217" t="s">
        <v>10454</v>
      </c>
      <c r="S202" s="217" t="s">
        <v>10455</v>
      </c>
      <c r="T202" t="str">
        <f t="shared" si="269"/>
        <v>6-DaHall 1-PDU-09</v>
      </c>
      <c r="U202" t="str">
        <f t="shared" si="270"/>
        <v>[branch#006] [A] W</v>
      </c>
      <c r="V202" t="str">
        <f t="shared" si="271"/>
        <v>6-DaHall 1-PDU-10</v>
      </c>
      <c r="W202" t="str">
        <f t="shared" si="272"/>
        <v>[branch#006] [A] W</v>
      </c>
      <c r="X202" s="2989" cm="1">
        <f t="array" ref="X202">INDEX('각층분기별_유효전력최대(전월)'!$I$4:$I$2020,MATCH(1, ('각층분기별_유효전력최대(전월)'!$G$4:$G$2020='7층~4층_매핑테이블'!T202) * ('각층분기별_유효전력최대(전월)'!$H$4:$H$2020='7층~4층_매핑테이블'!U202),0)) + INDEX('각층분기별_유효전력최대(전월)'!$I$4:$I$2020,MATCH(1, ('각층분기별_유효전력최대(전월)'!$G$4:$G$2020='7층~4층_매핑테이블'!V202) * ('각층분기별_유효전력최대(전월)'!$H$4:$H$2020='7층~4층_매핑테이블'!W202),0))</f>
        <v>0</v>
      </c>
      <c r="Y202" s="3274" t="str">
        <f t="shared" si="266"/>
        <v>7-DaHall 1-RPP-02-20-23</v>
      </c>
      <c r="Z202" s="217"/>
      <c r="AA202" s="217" t="s">
        <v>10456</v>
      </c>
      <c r="AB202" s="3274" t="str">
        <f t="shared" si="260"/>
        <v/>
      </c>
      <c r="AD202" t="str">
        <f t="shared" si="263"/>
        <v>7-DaHall 1-RPP-02</v>
      </c>
      <c r="AE202" t="s">
        <v>9497</v>
      </c>
      <c r="AF202" s="2989" cm="1">
        <f t="array" ref="AF202">INDEX('각층분기별_유효전력최대(전월)'!$L$4:$L$2020,MATCH(1, ('각층분기별_유효전력최대(전월)'!$J$4:$J$2020='7층~4층_매핑테이블'!AB202) * ('각층분기별_유효전력최대(전월)'!$K$4:$K$2020='7층~4층_매핑테이블'!AC202),0)) + INDEX('각층분기별_유효전력최대(전월)'!$L$4:$L$2020,MATCH(1, ('각층분기별_유효전력최대(전월)'!$J$4:$J$2020='7층~4층_매핑테이블'!AD202) * ('각층분기별_유효전력최대(전월)'!$K$4:$K$2020='7층~4층_매핑테이블'!AE202),0))</f>
        <v>0</v>
      </c>
    </row>
    <row r="203" spans="1:32" x14ac:dyDescent="0.25">
      <c r="A203" t="str">
        <f t="shared" si="267"/>
        <v/>
      </c>
      <c r="B203" s="217"/>
      <c r="C203" s="217"/>
      <c r="D203" s="2989" t="str">
        <f t="shared" si="244"/>
        <v/>
      </c>
      <c r="E203" s="2989" t="str">
        <f t="shared" si="264"/>
        <v/>
      </c>
      <c r="F203" s="2989" t="str">
        <f t="shared" si="258"/>
        <v/>
      </c>
      <c r="G203" s="2989" t="str">
        <f t="shared" si="259"/>
        <v/>
      </c>
      <c r="H203" s="2989" cm="1">
        <f t="array" ref="H203">INDEX('각층분기별_유효전력최대(전월)'!$C$4:$C$2020,MATCH(1, ('각층분기별_유효전력최대(전월)'!$A$4:$A$2020='7층~4층_매핑테이블'!D203) * ('각층분기별_유효전력최대(전월)'!$B$4:$B$2020='7층~4층_매핑테이블'!E203),0)) + INDEX('각층분기별_유효전력최대(전월)'!$C$4:$C$2020,MATCH(1, ('각층분기별_유효전력최대(전월)'!$A$4:$A$2020='7층~4층_매핑테이블'!F203) * ('각층분기별_유효전력최대(전월)'!$B$4:$B$2020='7층~4층_매핑테이블'!G203),0))</f>
        <v>0</v>
      </c>
      <c r="I203" t="str">
        <f t="shared" si="196"/>
        <v>5-DaHall 1-PDU-19-50-75-DaHall 1-PDU-20-50-7</v>
      </c>
      <c r="J203" s="217" t="s">
        <v>10457</v>
      </c>
      <c r="K203" s="217" t="s">
        <v>10458</v>
      </c>
      <c r="L203" t="str">
        <f t="shared" si="265"/>
        <v>5-DaHall 1-PDU-19</v>
      </c>
      <c r="M203" t="str">
        <f t="shared" si="261"/>
        <v>[branch#007] [A] W</v>
      </c>
      <c r="N203" t="str">
        <f t="shared" si="198"/>
        <v>5-DaHall 1-PDU-20</v>
      </c>
      <c r="O203" t="str">
        <f>IF(IF(LEN((MID(K203,22,2)))=1, "[branch#"&amp;0&amp;MID(K203,22,2)&amp;"] [A] W", "[branch#"&amp;MID(K203,22,2)&amp;"] [A] W")="[branch#] [A] W", "", IF(LEN((MID(K203,22,2)))=1, "0995 [branch#"&amp;0&amp;MID(K203,22,2)&amp;"] [A] W", "0995 [branch#"&amp;MID(K203,22,2)&amp;"] [A] W"))</f>
        <v>0995 [branch#07] [A] W</v>
      </c>
      <c r="P203" s="2989" t="e" cm="1">
        <f t="array" ref="P203">INDEX('각층분기별_유효전력최대(전월)'!$F$4:$F$2020,MATCH(1, ('각층분기별_유효전력최대(전월)'!$D$4:$D$2020='7층~4층_매핑테이블'!L203) * ('각층분기별_유효전력최대(전월)'!$E$4:$E$2020='7층~4층_매핑테이블'!M203),0)) + INDEX('각층분기별_유효전력최대(전월)'!$F$4:$F$2020,MATCH(1, ('각층분기별_유효전력최대(전월)'!$D$4:$D$2020='7층~4층_매핑테이블'!N203) * ('각층분기별_유효전력최대(전월)'!$E$4:$E$2020='7층~4층_매핑테이블'!O203),0))</f>
        <v>#N/A</v>
      </c>
      <c r="Q203" s="1" t="str">
        <f t="shared" si="268"/>
        <v>6-DaHall 1-PDU-09-30-86-DaHall 1-PDU-10-30-8</v>
      </c>
      <c r="R203" s="217" t="s">
        <v>10459</v>
      </c>
      <c r="S203" s="217" t="s">
        <v>10460</v>
      </c>
      <c r="T203" t="str">
        <f t="shared" si="269"/>
        <v>6-DaHall 1-PDU-09</v>
      </c>
      <c r="U203" t="str">
        <f t="shared" si="270"/>
        <v>[branch#008] [A] W</v>
      </c>
      <c r="V203" t="str">
        <f t="shared" si="271"/>
        <v>6-DaHall 1-PDU-10</v>
      </c>
      <c r="W203" t="str">
        <f t="shared" si="272"/>
        <v>[branch#008] [A] W</v>
      </c>
      <c r="X203" s="2989" cm="1">
        <f t="array" ref="X203">INDEX('각층분기별_유효전력최대(전월)'!$I$4:$I$2020,MATCH(1, ('각층분기별_유효전력최대(전월)'!$G$4:$G$2020='7층~4층_매핑테이블'!T203) * ('각층분기별_유효전력최대(전월)'!$H$4:$H$2020='7층~4층_매핑테이블'!U203),0)) + INDEX('각층분기별_유효전력최대(전월)'!$I$4:$I$2020,MATCH(1, ('각층분기별_유효전력최대(전월)'!$G$4:$G$2020='7층~4층_매핑테이블'!V203) * ('각층분기별_유효전력최대(전월)'!$H$4:$H$2020='7층~4층_매핑테이블'!W203),0))</f>
        <v>0</v>
      </c>
      <c r="Y203" s="3274" t="str">
        <f t="shared" si="266"/>
        <v>7-DaHall 1-RPP-02-20-21</v>
      </c>
      <c r="Z203" s="217"/>
      <c r="AA203" s="217" t="s">
        <v>10461</v>
      </c>
      <c r="AB203" s="3274" t="str">
        <f t="shared" ref="AB203" si="273">IF(MID(Z203,16,2)="0","",MID(Z203,1,15)&amp;MID(Z203,16,2))</f>
        <v/>
      </c>
      <c r="AD203" t="str">
        <f t="shared" si="263"/>
        <v>7-DaHall 1-RPP-02</v>
      </c>
      <c r="AE203" t="s">
        <v>9489</v>
      </c>
      <c r="AF203" s="2989" cm="1">
        <f t="array" ref="AF203">INDEX('각층분기별_유효전력최대(전월)'!$L$4:$L$2020,MATCH(1, ('각층분기별_유효전력최대(전월)'!$J$4:$J$2020='7층~4층_매핑테이블'!AB203) * ('각층분기별_유효전력최대(전월)'!$K$4:$K$2020='7층~4층_매핑테이블'!AC203),0)) + INDEX('각층분기별_유효전력최대(전월)'!$L$4:$L$2020,MATCH(1, ('각층분기별_유효전력최대(전월)'!$J$4:$J$2020='7층~4층_매핑테이블'!AD203) * ('각층분기별_유효전력최대(전월)'!$K$4:$K$2020='7층~4층_매핑테이블'!AE203),0))</f>
        <v>0</v>
      </c>
    </row>
    <row r="204" spans="1:32" x14ac:dyDescent="0.25">
      <c r="A204" t="str">
        <f t="shared" si="267"/>
        <v/>
      </c>
      <c r="B204" s="217"/>
      <c r="C204" s="217"/>
      <c r="D204" s="2989" t="str">
        <f t="shared" si="244"/>
        <v/>
      </c>
      <c r="E204" s="2989" t="str">
        <f t="shared" si="264"/>
        <v/>
      </c>
      <c r="F204" s="2989" t="str">
        <f t="shared" si="258"/>
        <v/>
      </c>
      <c r="G204" s="2989" t="str">
        <f t="shared" si="259"/>
        <v/>
      </c>
      <c r="H204" s="2989" cm="1">
        <f t="array" ref="H204">INDEX('각층분기별_유효전력최대(전월)'!$C$4:$C$2020,MATCH(1, ('각층분기별_유효전력최대(전월)'!$A$4:$A$2020='7층~4층_매핑테이블'!D204) * ('각층분기별_유효전력최대(전월)'!$B$4:$B$2020='7층~4층_매핑테이블'!E204),0)) + INDEX('각층분기별_유효전력최대(전월)'!$C$4:$C$2020,MATCH(1, ('각층분기별_유효전력최대(전월)'!$A$4:$A$2020='7층~4층_매핑테이블'!F204) * ('각층분기별_유효전력최대(전월)'!$B$4:$B$2020='7층~4층_매핑테이블'!G204),0))</f>
        <v>0</v>
      </c>
      <c r="I204" t="str">
        <f t="shared" si="196"/>
        <v>5-DaHall 1-PDU-21-50-75-DaHall 1-PDU-22-50-7</v>
      </c>
      <c r="J204" s="217" t="s">
        <v>10462</v>
      </c>
      <c r="K204" s="217" t="s">
        <v>10463</v>
      </c>
      <c r="L204" t="str">
        <f t="shared" si="265"/>
        <v>5-DaHall 1-PDU-21</v>
      </c>
      <c r="M204" t="str">
        <f t="shared" si="261"/>
        <v>[branch#007] [A] W</v>
      </c>
      <c r="N204" t="str">
        <f t="shared" si="198"/>
        <v>5-DaHall 1-PDU-22</v>
      </c>
      <c r="O204" t="str">
        <f>IF(IF(LEN((MID(K204,22,2)))=1, "[branch#"&amp;0&amp;MID(K204,22,2)&amp;"] [A] W", "[branch#"&amp;MID(K204,22,2)&amp;"] [A] W")="[branch#] [A] W", "", IF(LEN((MID(K204,22,2)))=1, "0995 [branch#"&amp;0&amp;MID(K204,22,2)&amp;"] [A] W", "0995 [branch#"&amp;MID(K204,22,2)&amp;"] [A] W"))</f>
        <v>0995 [branch#07] [A] W</v>
      </c>
      <c r="P204" s="2989" t="e" cm="1">
        <f t="array" ref="P204">INDEX('각층분기별_유효전력최대(전월)'!$F$4:$F$2020,MATCH(1, ('각층분기별_유효전력최대(전월)'!$D$4:$D$2020='7층~4층_매핑테이블'!L204) * ('각층분기별_유효전력최대(전월)'!$E$4:$E$2020='7층~4층_매핑테이블'!M204),0)) + INDEX('각층분기별_유효전력최대(전월)'!$F$4:$F$2020,MATCH(1, ('각층분기별_유효전력최대(전월)'!$D$4:$D$2020='7층~4층_매핑테이블'!N204) * ('각층분기별_유효전력최대(전월)'!$E$4:$E$2020='7층~4층_매핑테이블'!O204),0))</f>
        <v>#N/A</v>
      </c>
      <c r="Q204" s="1" t="str">
        <f t="shared" si="268"/>
        <v>6-DaHall 1-PDU-09-30-106-DaHall 1-PDU-10-30-10</v>
      </c>
      <c r="R204" s="217" t="s">
        <v>10464</v>
      </c>
      <c r="S204" s="217" t="s">
        <v>10465</v>
      </c>
      <c r="T204" t="str">
        <f t="shared" si="269"/>
        <v>6-DaHall 1-PDU-09</v>
      </c>
      <c r="U204" t="str">
        <f t="shared" si="270"/>
        <v>[branch#010] [A] W</v>
      </c>
      <c r="V204" t="str">
        <f t="shared" si="271"/>
        <v>6-DaHall 1-PDU-10</v>
      </c>
      <c r="W204" t="str">
        <f t="shared" si="272"/>
        <v>[branch#010] [A] W</v>
      </c>
      <c r="X204" s="2989" cm="1">
        <f t="array" ref="X204">INDEX('각층분기별_유효전력최대(전월)'!$I$4:$I$2020,MATCH(1, ('각층분기별_유효전력최대(전월)'!$G$4:$G$2020='7층~4층_매핑테이블'!T204) * ('각층분기별_유효전력최대(전월)'!$H$4:$H$2020='7층~4층_매핑테이블'!U204),0)) + INDEX('각층분기별_유효전력최대(전월)'!$I$4:$I$2020,MATCH(1, ('각층분기별_유효전력최대(전월)'!$G$4:$G$2020='7층~4층_매핑테이블'!V204) * ('각층분기별_유효전력최대(전월)'!$H$4:$H$2020='7층~4층_매핑테이블'!W204),0))</f>
        <v>0</v>
      </c>
      <c r="Y204" s="3274" t="str">
        <f t="shared" si="266"/>
        <v>7-DaHall 1-RPP-01-30-4</v>
      </c>
      <c r="Z204" s="217" t="s">
        <v>10466</v>
      </c>
      <c r="AA204" s="217"/>
      <c r="AB204" s="3274" t="str">
        <f>IF(MID(Z204,16,2)="0","",MID(Z204,1,15)&amp;MID(Z204,16,2))</f>
        <v>7-DaHall 1-RPP-01</v>
      </c>
      <c r="AC204" t="s">
        <v>9395</v>
      </c>
      <c r="AD204" t="str">
        <f t="shared" si="263"/>
        <v/>
      </c>
      <c r="AF204" s="2989" cm="1">
        <f t="array" ref="AF204">INDEX('각층분기별_유효전력최대(전월)'!$L$4:$L$2020,MATCH(1, ('각층분기별_유효전력최대(전월)'!$J$4:$J$2020='7층~4층_매핑테이블'!AB204) * ('각층분기별_유효전력최대(전월)'!$K$4:$K$2020='7층~4층_매핑테이블'!AC204),0)) + INDEX('각층분기별_유효전력최대(전월)'!$L$4:$L$2020,MATCH(1, ('각층분기별_유효전력최대(전월)'!$J$4:$J$2020='7층~4층_매핑테이블'!AD204) * ('각층분기별_유효전력최대(전월)'!$K$4:$K$2020='7층~4층_매핑테이블'!AE204),0))</f>
        <v>0</v>
      </c>
    </row>
    <row r="205" spans="1:32" x14ac:dyDescent="0.25">
      <c r="A205" t="str">
        <f t="shared" si="267"/>
        <v/>
      </c>
      <c r="B205" s="217"/>
      <c r="C205" s="217"/>
      <c r="D205" s="2989" t="str">
        <f t="shared" si="244"/>
        <v/>
      </c>
      <c r="E205" s="2989" t="str">
        <f t="shared" si="264"/>
        <v/>
      </c>
      <c r="F205" s="2989" t="str">
        <f t="shared" si="258"/>
        <v/>
      </c>
      <c r="G205" s="2989" t="str">
        <f t="shared" si="259"/>
        <v/>
      </c>
      <c r="H205" s="2989" cm="1">
        <f t="array" ref="H205">INDEX('각층분기별_유효전력최대(전월)'!$C$4:$C$2020,MATCH(1, ('각층분기별_유효전력최대(전월)'!$A$4:$A$2020='7층~4층_매핑테이블'!D205) * ('각층분기별_유효전력최대(전월)'!$B$4:$B$2020='7층~4층_매핑테이블'!E205),0)) + INDEX('각층분기별_유효전력최대(전월)'!$C$4:$C$2020,MATCH(1, ('각층분기별_유효전력최대(전월)'!$A$4:$A$2020='7층~4층_매핑테이블'!F205) * ('각층분기별_유효전력최대(전월)'!$B$4:$B$2020='7층~4층_매핑테이블'!G205),0))</f>
        <v>0</v>
      </c>
      <c r="I205" t="str">
        <f t="shared" si="196"/>
        <v>5-DaHall 1-PDU-19-50-235-DaHall 1-PDU-20-50-23</v>
      </c>
      <c r="J205" s="217" t="s">
        <v>10467</v>
      </c>
      <c r="K205" s="217" t="s">
        <v>10468</v>
      </c>
      <c r="L205" t="str">
        <f t="shared" si="265"/>
        <v>5-DaHall 1-PDU-19</v>
      </c>
      <c r="M205" t="str">
        <f t="shared" si="261"/>
        <v>[branch#023] [A] W</v>
      </c>
      <c r="N205" t="str">
        <f t="shared" si="198"/>
        <v>5-DaHall 1-PDU-20</v>
      </c>
      <c r="O205" t="str">
        <f>IF(IF(LEN((MID(K205,22,2)))=1, "[branch#"&amp;0&amp;MID(K205,22,2)&amp;"] [A] W", "[branch#"&amp;MID(K205,22,2)&amp;"] [A] W")="[branch#] [A] W", "", IF(LEN((MID(K205,22,2)))=1, "3235 [branch#"&amp;0&amp;MID(K205,22,2)&amp;"] [A] W", "3235 [branch#"&amp;MID(K205,22,2)&amp;"] [A] W"))</f>
        <v>3235 [branch#23] [A] W</v>
      </c>
      <c r="P205" s="2989" t="e" cm="1">
        <f t="array" ref="P205">INDEX('각층분기별_유효전력최대(전월)'!$F$4:$F$2020,MATCH(1, ('각층분기별_유효전력최대(전월)'!$D$4:$D$2020='7층~4층_매핑테이블'!L205) * ('각층분기별_유효전력최대(전월)'!$E$4:$E$2020='7층~4층_매핑테이블'!M205),0)) + INDEX('각층분기별_유효전력최대(전월)'!$F$4:$F$2020,MATCH(1, ('각층분기별_유효전력최대(전월)'!$D$4:$D$2020='7층~4층_매핑테이블'!N205) * ('각층분기별_유효전력최대(전월)'!$E$4:$E$2020='7층~4층_매핑테이블'!O205),0))</f>
        <v>#N/A</v>
      </c>
      <c r="Q205" s="1" t="str">
        <f t="shared" si="268"/>
        <v>6-DaHall 1-PDU-09-30-126-DaHall 1-PDU-10-30-12</v>
      </c>
      <c r="R205" s="217" t="s">
        <v>10469</v>
      </c>
      <c r="S205" s="217" t="s">
        <v>10470</v>
      </c>
      <c r="T205" t="str">
        <f t="shared" si="269"/>
        <v>6-DaHall 1-PDU-09</v>
      </c>
      <c r="U205" t="str">
        <f t="shared" si="270"/>
        <v>[branch#012] [A] W</v>
      </c>
      <c r="V205" t="str">
        <f t="shared" si="271"/>
        <v>6-DaHall 1-PDU-10</v>
      </c>
      <c r="W205" t="str">
        <f t="shared" si="272"/>
        <v>[branch#012] [A] W</v>
      </c>
      <c r="X205" s="2989" cm="1">
        <f t="array" ref="X205">INDEX('각층분기별_유효전력최대(전월)'!$I$4:$I$2020,MATCH(1, ('각층분기별_유효전력최대(전월)'!$G$4:$G$2020='7층~4층_매핑테이블'!T205) * ('각층분기별_유효전력최대(전월)'!$H$4:$H$2020='7층~4층_매핑테이블'!U205),0)) + INDEX('각층분기별_유효전력최대(전월)'!$I$4:$I$2020,MATCH(1, ('각층분기별_유효전력최대(전월)'!$G$4:$G$2020='7층~4층_매핑테이블'!V205) * ('각층분기별_유효전력최대(전월)'!$H$4:$H$2020='7층~4층_매핑테이블'!W205),0))</f>
        <v>0</v>
      </c>
      <c r="Y205" s="3274" t="str">
        <f t="shared" si="266"/>
        <v>7-DaHall 1-RPP-01-30-6</v>
      </c>
      <c r="Z205" s="217" t="s">
        <v>10471</v>
      </c>
      <c r="AA205" s="217"/>
      <c r="AB205" s="3274" t="str">
        <f>IF(MID(Z205,16,2)="0","",MID(Z205,1,15)&amp;MID(Z205,16,2))</f>
        <v>7-DaHall 1-RPP-01</v>
      </c>
      <c r="AC205" t="s">
        <v>9351</v>
      </c>
      <c r="AD205" t="str">
        <f t="shared" si="263"/>
        <v/>
      </c>
      <c r="AF205" s="2989" cm="1">
        <f t="array" ref="AF205">INDEX('각층분기별_유효전력최대(전월)'!$L$4:$L$2020,MATCH(1, ('각층분기별_유효전력최대(전월)'!$J$4:$J$2020='7층~4층_매핑테이블'!AB205) * ('각층분기별_유효전력최대(전월)'!$K$4:$K$2020='7층~4층_매핑테이블'!AC205),0)) + INDEX('각층분기별_유효전력최대(전월)'!$L$4:$L$2020,MATCH(1, ('각층분기별_유효전력최대(전월)'!$J$4:$J$2020='7층~4층_매핑테이블'!AD205) * ('각층분기별_유효전력최대(전월)'!$K$4:$K$2020='7층~4층_매핑테이블'!AE205),0))</f>
        <v>0</v>
      </c>
    </row>
    <row r="206" spans="1:32" x14ac:dyDescent="0.25">
      <c r="A206" t="str">
        <f t="shared" si="267"/>
        <v/>
      </c>
      <c r="B206" s="217"/>
      <c r="C206" s="217"/>
      <c r="D206" s="2989" t="str">
        <f t="shared" si="244"/>
        <v/>
      </c>
      <c r="E206" s="2989" t="str">
        <f t="shared" si="264"/>
        <v/>
      </c>
      <c r="F206" s="2989" t="str">
        <f t="shared" si="258"/>
        <v/>
      </c>
      <c r="G206" s="2989" t="str">
        <f t="shared" si="259"/>
        <v/>
      </c>
      <c r="H206" s="2989" cm="1">
        <f t="array" ref="H206">INDEX('각층분기별_유효전력최대(전월)'!$C$4:$C$2020,MATCH(1, ('각층분기별_유효전력최대(전월)'!$A$4:$A$2020='7층~4층_매핑테이블'!D206) * ('각층분기별_유효전력최대(전월)'!$B$4:$B$2020='7층~4층_매핑테이블'!E206),0)) + INDEX('각층분기별_유효전력최대(전월)'!$C$4:$C$2020,MATCH(1, ('각층분기별_유효전력최대(전월)'!$A$4:$A$2020='7층~4층_매핑테이블'!F206) * ('각층분기별_유효전력최대(전월)'!$B$4:$B$2020='7층~4층_매핑테이블'!G206),0))</f>
        <v>0</v>
      </c>
      <c r="I206" t="str">
        <f t="shared" si="196"/>
        <v>5-DaHall 1-PDU-21-50-235-DaHall 1-PDU-22-50-23</v>
      </c>
      <c r="J206" s="217" t="s">
        <v>10472</v>
      </c>
      <c r="K206" s="217" t="s">
        <v>10473</v>
      </c>
      <c r="L206" t="str">
        <f t="shared" si="265"/>
        <v>5-DaHall 1-PDU-21</v>
      </c>
      <c r="M206" t="str">
        <f t="shared" si="261"/>
        <v>[branch#023] [A] W</v>
      </c>
      <c r="N206" t="str">
        <f t="shared" si="198"/>
        <v>5-DaHall 1-PDU-22</v>
      </c>
      <c r="O206" t="str">
        <f>IF(IF(LEN((MID(K206,22,2)))=1, "[branch#"&amp;0&amp;MID(K206,22,2)&amp;"] [A] W", "[branch#"&amp;MID(K206,22,2)&amp;"] [A] W")="[branch#] [A] W", "", IF(LEN((MID(K206,22,2)))=1, "3235 [branch#"&amp;0&amp;MID(K206,22,2)&amp;"] [A] W", "3235 [branch#"&amp;MID(K206,22,2)&amp;"] [A] W"))</f>
        <v>3235 [branch#23] [A] W</v>
      </c>
      <c r="P206" s="2989" t="e" cm="1">
        <f t="array" ref="P206">INDEX('각층분기별_유효전력최대(전월)'!$F$4:$F$2020,MATCH(1, ('각층분기별_유효전력최대(전월)'!$D$4:$D$2020='7층~4층_매핑테이블'!L206) * ('각층분기별_유효전력최대(전월)'!$E$4:$E$2020='7층~4층_매핑테이블'!M206),0)) + INDEX('각층분기별_유효전력최대(전월)'!$F$4:$F$2020,MATCH(1, ('각층분기별_유효전력최대(전월)'!$D$4:$D$2020='7층~4층_매핑테이블'!N206) * ('각층분기별_유효전력최대(전월)'!$E$4:$E$2020='7층~4층_매핑테이블'!O206),0))</f>
        <v>#N/A</v>
      </c>
      <c r="Q206" s="1" t="str">
        <f>R206&amp;S206</f>
        <v>6-DaHall 1-PDU-09-30-146-DaHall 1-PDU-10-30-14</v>
      </c>
      <c r="R206" s="217" t="s">
        <v>10474</v>
      </c>
      <c r="S206" s="217" t="s">
        <v>10475</v>
      </c>
      <c r="T206" t="str">
        <f t="shared" si="269"/>
        <v>6-DaHall 1-PDU-09</v>
      </c>
      <c r="U206" t="str">
        <f t="shared" si="270"/>
        <v>[branch#014] [A] W</v>
      </c>
      <c r="V206" t="str">
        <f>IF(MID(S206,16,2)="0","",MID(S206,1,15)&amp;MID(S206,16,2))</f>
        <v>6-DaHall 1-PDU-10</v>
      </c>
      <c r="W206" t="str">
        <f>IF(IF(LEN((MID(S206,22,2)))=1, "[branch#0"&amp;0&amp;MID(S206,22,2)&amp;"] [A] W", "[branch#0"&amp;MID(S206,22,2)&amp;"] [A] W")="[branch#0] [A] W", "", IF(LEN((MID(S206,22,2)))=1, "[branch#0"&amp;0&amp;MID(S206,22,2)&amp;"] [A] W", "[branch#0"&amp;MID(S206,22,2)&amp;"] [A] W"))</f>
        <v>[branch#014] [A] W</v>
      </c>
      <c r="X206" s="2989" cm="1">
        <f t="array" ref="X206">INDEX('각층분기별_유효전력최대(전월)'!$I$4:$I$2020,MATCH(1, ('각층분기별_유효전력최대(전월)'!$G$4:$G$2020='7층~4층_매핑테이블'!T206) * ('각층분기별_유효전력최대(전월)'!$H$4:$H$2020='7층~4층_매핑테이블'!U206),0)) + INDEX('각층분기별_유효전력최대(전월)'!$I$4:$I$2020,MATCH(1, ('각층분기별_유효전력최대(전월)'!$G$4:$G$2020='7층~4층_매핑테이블'!V206) * ('각층분기별_유효전력최대(전월)'!$H$4:$H$2020='7층~4층_매핑테이블'!W206),0))</f>
        <v>0</v>
      </c>
      <c r="Y206" s="3274" t="str">
        <f t="shared" si="266"/>
        <v>7-DaHall 1-RPP-02-20-19</v>
      </c>
      <c r="Z206" s="217"/>
      <c r="AA206" s="217" t="s">
        <v>10476</v>
      </c>
      <c r="AB206" s="3274" t="str">
        <f>IF(MID(Z206,16,2)="0","",MID(Z206,1,15)&amp;MID(Z206,16,2))</f>
        <v/>
      </c>
      <c r="AD206" t="str">
        <f t="shared" si="263"/>
        <v>7-DaHall 1-RPP-02</v>
      </c>
      <c r="AE206" t="s">
        <v>9486</v>
      </c>
      <c r="AF206" s="2989" cm="1">
        <f t="array" ref="AF206">INDEX('각층분기별_유효전력최대(전월)'!$L$4:$L$2020,MATCH(1, ('각층분기별_유효전력최대(전월)'!$J$4:$J$2020='7층~4층_매핑테이블'!AB206) * ('각층분기별_유효전력최대(전월)'!$K$4:$K$2020='7층~4층_매핑테이블'!AC206),0)) + INDEX('각층분기별_유효전력최대(전월)'!$L$4:$L$2020,MATCH(1, ('각층분기별_유효전력최대(전월)'!$J$4:$J$2020='7층~4층_매핑테이블'!AD206) * ('각층분기별_유효전력최대(전월)'!$K$4:$K$2020='7층~4층_매핑테이블'!AE206),0))</f>
        <v>0</v>
      </c>
    </row>
    <row r="207" spans="1:32" x14ac:dyDescent="0.25">
      <c r="A207" t="str">
        <f t="shared" si="267"/>
        <v/>
      </c>
      <c r="B207" s="217"/>
      <c r="C207" s="217"/>
      <c r="D207" s="2989" t="str">
        <f t="shared" si="244"/>
        <v/>
      </c>
      <c r="E207" s="2989" t="str">
        <f t="shared" si="264"/>
        <v/>
      </c>
      <c r="F207" s="2989" t="str">
        <f t="shared" si="258"/>
        <v/>
      </c>
      <c r="G207" s="2989" t="str">
        <f t="shared" si="259"/>
        <v/>
      </c>
      <c r="H207" s="2989" cm="1">
        <f t="array" ref="H207">INDEX('각층분기별_유효전력최대(전월)'!$C$4:$C$2020,MATCH(1, ('각층분기별_유효전력최대(전월)'!$A$4:$A$2020='7층~4층_매핑테이블'!D207) * ('각층분기별_유효전력최대(전월)'!$B$4:$B$2020='7층~4층_매핑테이블'!E207),0)) + INDEX('각층분기별_유효전력최대(전월)'!$C$4:$C$2020,MATCH(1, ('각층분기별_유효전력최대(전월)'!$A$4:$A$2020='7층~4층_매핑테이블'!F207) * ('각층분기별_유효전력최대(전월)'!$B$4:$B$2020='7층~4층_매핑테이블'!G207),0))</f>
        <v>0</v>
      </c>
      <c r="I207" t="str">
        <f t="shared" si="196"/>
        <v>5-DaHall 1-PDU-19-50-55-DaHall 1-PDU-20-50-5</v>
      </c>
      <c r="J207" s="217" t="s">
        <v>10477</v>
      </c>
      <c r="K207" s="217" t="s">
        <v>10478</v>
      </c>
      <c r="L207" t="str">
        <f t="shared" si="265"/>
        <v>5-DaHall 1-PDU-19</v>
      </c>
      <c r="M207" t="str">
        <f t="shared" si="261"/>
        <v>[branch#005] [A] W</v>
      </c>
      <c r="N207" t="str">
        <f t="shared" si="198"/>
        <v>5-DaHall 1-PDU-20</v>
      </c>
      <c r="O207" t="str">
        <f>IF(IF(LEN((MID(K207,22,2)))=1, "[branch#"&amp;0&amp;MID(K207,22,2)&amp;"] [A] W", "[branch#"&amp;MID(K207,22,2)&amp;"] [A] W")="[branch#] [A] W", "", IF(LEN((MID(K207,22,2)))=1, "0715 [branch#"&amp;0&amp;MID(K207,22,2)&amp;"] [A] W", "0715 [branch#"&amp;MID(K207,22,2)&amp;"] [A] W"))</f>
        <v>0715 [branch#05] [A] W</v>
      </c>
      <c r="P207" s="2989" t="e" cm="1">
        <f t="array" ref="P207">INDEX('각층분기별_유효전력최대(전월)'!$F$4:$F$2020,MATCH(1, ('각층분기별_유효전력최대(전월)'!$D$4:$D$2020='7층~4층_매핑테이블'!L207) * ('각층분기별_유효전력최대(전월)'!$E$4:$E$2020='7층~4층_매핑테이블'!M207),0)) + INDEX('각층분기별_유효전력최대(전월)'!$F$4:$F$2020,MATCH(1, ('각층분기별_유효전력최대(전월)'!$D$4:$D$2020='7층~4층_매핑테이블'!N207) * ('각층분기별_유효전력최대(전월)'!$E$4:$E$2020='7층~4층_매핑테이블'!O207),0))</f>
        <v>#N/A</v>
      </c>
      <c r="Q207" s="1" t="str">
        <f t="shared" si="268"/>
        <v>6-DaHall 1-PDU-09-30-166-DaHall 1-PDU-10-30-16</v>
      </c>
      <c r="R207" s="217" t="s">
        <v>10479</v>
      </c>
      <c r="S207" s="217" t="s">
        <v>10480</v>
      </c>
      <c r="T207" t="str">
        <f t="shared" si="269"/>
        <v>6-DaHall 1-PDU-09</v>
      </c>
      <c r="U207" t="str">
        <f t="shared" si="270"/>
        <v>[branch#016] [A] W</v>
      </c>
      <c r="V207" t="str">
        <f t="shared" si="271"/>
        <v>6-DaHall 1-PDU-10</v>
      </c>
      <c r="W207" t="str">
        <f t="shared" si="272"/>
        <v>[branch#016] [A] W</v>
      </c>
      <c r="X207" s="2989" cm="1">
        <f t="array" ref="X207">INDEX('각층분기별_유효전력최대(전월)'!$I$4:$I$2020,MATCH(1, ('각층분기별_유효전력최대(전월)'!$G$4:$G$2020='7층~4층_매핑테이블'!T207) * ('각층분기별_유효전력최대(전월)'!$H$4:$H$2020='7층~4층_매핑테이블'!U207),0)) + INDEX('각층분기별_유효전력최대(전월)'!$I$4:$I$2020,MATCH(1, ('각층분기별_유효전력최대(전월)'!$G$4:$G$2020='7층~4층_매핑테이블'!V207) * ('각층분기별_유효전력최대(전월)'!$H$4:$H$2020='7층~4층_매핑테이블'!W207),0))</f>
        <v>0</v>
      </c>
      <c r="Y207" s="3274" t="str">
        <f>Z207&amp;AA207</f>
        <v/>
      </c>
      <c r="Z207" s="217"/>
      <c r="AA207" s="217"/>
      <c r="AB207" s="3274" t="str">
        <f>IF(MID(Z207,16,2)="0","",MID(Z207,1,15)&amp;MID(Z207,16,2))</f>
        <v/>
      </c>
      <c r="AD207" t="str">
        <f t="shared" si="263"/>
        <v/>
      </c>
      <c r="AF207" s="2989" cm="1">
        <f t="array" ref="AF207">INDEX('각층분기별_유효전력최대(전월)'!$L$4:$L$2020,MATCH(1, ('각층분기별_유효전력최대(전월)'!$J$4:$J$2020='7층~4층_매핑테이블'!AB207) * ('각층분기별_유효전력최대(전월)'!$K$4:$K$2020='7층~4층_매핑테이블'!AC207),0)) + INDEX('각층분기별_유효전력최대(전월)'!$L$4:$L$2020,MATCH(1, ('각층분기별_유효전력최대(전월)'!$J$4:$J$2020='7층~4층_매핑테이블'!AD207) * ('각층분기별_유효전력최대(전월)'!$K$4:$K$2020='7층~4층_매핑테이블'!AE207),0))</f>
        <v>0</v>
      </c>
    </row>
    <row r="208" spans="1:32" x14ac:dyDescent="0.25">
      <c r="A208" t="str">
        <f t="shared" si="267"/>
        <v/>
      </c>
      <c r="B208" s="217"/>
      <c r="C208" s="217"/>
      <c r="D208" s="2989" t="str">
        <f t="shared" si="244"/>
        <v/>
      </c>
      <c r="E208" s="2989" t="str">
        <f t="shared" si="264"/>
        <v/>
      </c>
      <c r="F208" s="2989" t="str">
        <f t="shared" si="258"/>
        <v/>
      </c>
      <c r="G208" s="2989" t="str">
        <f t="shared" si="259"/>
        <v/>
      </c>
      <c r="H208" s="2989" cm="1">
        <f t="array" ref="H208">INDEX('각층분기별_유효전력최대(전월)'!$C$4:$C$2020,MATCH(1, ('각층분기별_유효전력최대(전월)'!$A$4:$A$2020='7층~4층_매핑테이블'!D208) * ('각층분기별_유효전력최대(전월)'!$B$4:$B$2020='7층~4층_매핑테이블'!E208),0)) + INDEX('각층분기별_유효전력최대(전월)'!$C$4:$C$2020,MATCH(1, ('각층분기별_유효전력최대(전월)'!$A$4:$A$2020='7층~4층_매핑테이블'!F208) * ('각층분기별_유효전력최대(전월)'!$B$4:$B$2020='7층~4층_매핑테이블'!G208),0))</f>
        <v>0</v>
      </c>
      <c r="I208" t="str">
        <f t="shared" si="196"/>
        <v>5-DaHall 1-PDU-21-50-55-DaHall 1-PDU-22-50-5</v>
      </c>
      <c r="J208" s="217" t="s">
        <v>10481</v>
      </c>
      <c r="K208" s="217" t="s">
        <v>10482</v>
      </c>
      <c r="L208" t="str">
        <f t="shared" si="265"/>
        <v>5-DaHall 1-PDU-21</v>
      </c>
      <c r="M208" t="str">
        <f t="shared" si="261"/>
        <v>[branch#005] [A] W</v>
      </c>
      <c r="N208" t="str">
        <f t="shared" si="198"/>
        <v>5-DaHall 1-PDU-22</v>
      </c>
      <c r="O208" t="str">
        <f>IF(IF(LEN((MID(K208,22,2)))=1, "[branch#"&amp;0&amp;MID(K208,22,2)&amp;"] [A] W", "[branch#"&amp;MID(K208,22,2)&amp;"] [A] W")="[branch#] [A] W", "", IF(LEN((MID(K208,22,2)))=1, "0715 [branch#"&amp;0&amp;MID(K208,22,2)&amp;"] [A] W", "0715 [branch#"&amp;MID(K208,22,2)&amp;"] [A] W"))</f>
        <v>0715 [branch#05] [A] W</v>
      </c>
      <c r="P208" s="2989" t="e" cm="1">
        <f t="array" ref="P208">INDEX('각층분기별_유효전력최대(전월)'!$F$4:$F$2020,MATCH(1, ('각층분기별_유효전력최대(전월)'!$D$4:$D$2020='7층~4층_매핑테이블'!L208) * ('각층분기별_유효전력최대(전월)'!$E$4:$E$2020='7층~4층_매핑테이블'!M208),0)) + INDEX('각층분기별_유효전력최대(전월)'!$F$4:$F$2020,MATCH(1, ('각층분기별_유효전력최대(전월)'!$D$4:$D$2020='7층~4층_매핑테이블'!N208) * ('각층분기별_유효전력최대(전월)'!$E$4:$E$2020='7층~4층_매핑테이블'!O208),0))</f>
        <v>#N/A</v>
      </c>
      <c r="Q208" s="1" t="str">
        <f t="shared" si="268"/>
        <v>6-DaHall 1-PDU-09-30-186-DaHall 1-PDU-10-30-18</v>
      </c>
      <c r="R208" s="217" t="s">
        <v>10483</v>
      </c>
      <c r="S208" s="217" t="s">
        <v>10484</v>
      </c>
      <c r="T208" t="str">
        <f t="shared" si="269"/>
        <v>6-DaHall 1-PDU-09</v>
      </c>
      <c r="U208" t="str">
        <f t="shared" si="270"/>
        <v>[branch#018] [A] W</v>
      </c>
      <c r="V208" t="str">
        <f t="shared" si="271"/>
        <v>6-DaHall 1-PDU-10</v>
      </c>
      <c r="W208" t="str">
        <f t="shared" si="272"/>
        <v>[branch#018] [A] W</v>
      </c>
      <c r="X208" s="2989" cm="1">
        <f t="array" ref="X208">INDEX('각층분기별_유효전력최대(전월)'!$I$4:$I$2020,MATCH(1, ('각층분기별_유효전력최대(전월)'!$G$4:$G$2020='7층~4층_매핑테이블'!T208) * ('각층분기별_유효전력최대(전월)'!$H$4:$H$2020='7층~4층_매핑테이블'!U208),0)) + INDEX('각층분기별_유효전력최대(전월)'!$I$4:$I$2020,MATCH(1, ('각층분기별_유효전력최대(전월)'!$G$4:$G$2020='7층~4층_매핑테이블'!V208) * ('각층분기별_유효전력최대(전월)'!$H$4:$H$2020='7층~4층_매핑테이블'!W208),0))</f>
        <v>0</v>
      </c>
      <c r="Y208" s="3274" t="str">
        <f t="shared" ref="Y208" si="274">Z208&amp;AA208</f>
        <v/>
      </c>
      <c r="Z208" s="217"/>
      <c r="AA208" s="217"/>
      <c r="AB208" s="3274" t="str">
        <f t="shared" ref="AB208" si="275">IF(MID(Z208,16,2)="0","",MID(Z208,1,15)&amp;MID(Z208,16,2))</f>
        <v/>
      </c>
      <c r="AD208" t="str">
        <f t="shared" si="263"/>
        <v/>
      </c>
      <c r="AF208" s="2989" cm="1">
        <f t="array" ref="AF208">INDEX('각층분기별_유효전력최대(전월)'!$L$4:$L$2020,MATCH(1, ('각층분기별_유효전력최대(전월)'!$J$4:$J$2020='7층~4층_매핑테이블'!AB208) * ('각층분기별_유효전력최대(전월)'!$K$4:$K$2020='7층~4층_매핑테이블'!AC208),0)) + INDEX('각층분기별_유효전력최대(전월)'!$L$4:$L$2020,MATCH(1, ('각층분기별_유효전력최대(전월)'!$J$4:$J$2020='7층~4층_매핑테이블'!AD208) * ('각층분기별_유효전력최대(전월)'!$K$4:$K$2020='7층~4층_매핑테이블'!AE208),0))</f>
        <v>0</v>
      </c>
    </row>
    <row r="209" spans="1:32" x14ac:dyDescent="0.25">
      <c r="A209" t="str">
        <f t="shared" si="267"/>
        <v/>
      </c>
      <c r="B209" s="217"/>
      <c r="C209" s="217"/>
      <c r="D209" s="2989" t="str">
        <f t="shared" si="244"/>
        <v/>
      </c>
      <c r="E209" s="2989" t="str">
        <f t="shared" si="264"/>
        <v/>
      </c>
      <c r="F209" s="2989" t="str">
        <f t="shared" si="258"/>
        <v/>
      </c>
      <c r="G209" s="2989" t="str">
        <f t="shared" si="259"/>
        <v/>
      </c>
      <c r="H209" s="2989" cm="1">
        <f t="array" ref="H209">INDEX('각층분기별_유효전력최대(전월)'!$C$4:$C$2020,MATCH(1, ('각층분기별_유효전력최대(전월)'!$A$4:$A$2020='7층~4층_매핑테이블'!D209) * ('각층분기별_유효전력최대(전월)'!$B$4:$B$2020='7층~4층_매핑테이블'!E209),0)) + INDEX('각층분기별_유효전력최대(전월)'!$C$4:$C$2020,MATCH(1, ('각층분기별_유효전력최대(전월)'!$A$4:$A$2020='7층~4층_매핑테이블'!F209) * ('각층분기별_유효전력최대(전월)'!$B$4:$B$2020='7층~4층_매핑테이블'!G209),0))</f>
        <v>0</v>
      </c>
      <c r="I209" t="str">
        <f t="shared" si="196"/>
        <v>5-DaHall 1-PDU-19-50-35-DaHall 1-PDU-20-50-3</v>
      </c>
      <c r="J209" s="217" t="s">
        <v>10485</v>
      </c>
      <c r="K209" s="217" t="s">
        <v>10486</v>
      </c>
      <c r="L209" t="str">
        <f t="shared" si="265"/>
        <v>5-DaHall 1-PDU-19</v>
      </c>
      <c r="M209" t="str">
        <f t="shared" si="261"/>
        <v>[branch#003] [A] W</v>
      </c>
      <c r="N209" t="str">
        <f t="shared" si="198"/>
        <v>5-DaHall 1-PDU-20</v>
      </c>
      <c r="O209" t="str">
        <f>IF(IF(LEN((MID(K209,22,2)))=1, "[branch#"&amp;0&amp;MID(K209,22,2)&amp;"] [A] W", "[branch#"&amp;MID(K209,22,2)&amp;"] [A] W")="[branch#] [A] W", "", IF(LEN((MID(K209,22,2)))=1, "0435 [branch#"&amp;0&amp;MID(K209,22,2)&amp;"] [A] W", "0435 [branch#"&amp;MID(K209,22,2)&amp;"] [A] W"))</f>
        <v>0435 [branch#03] [A] W</v>
      </c>
      <c r="P209" s="2989" t="e" cm="1">
        <f t="array" ref="P209">INDEX('각층분기별_유효전력최대(전월)'!$F$4:$F$2020,MATCH(1, ('각층분기별_유효전력최대(전월)'!$D$4:$D$2020='7층~4층_매핑테이블'!L209) * ('각층분기별_유효전력최대(전월)'!$E$4:$E$2020='7층~4층_매핑테이블'!M209),0)) + INDEX('각층분기별_유효전력최대(전월)'!$F$4:$F$2020,MATCH(1, ('각층분기별_유효전력최대(전월)'!$D$4:$D$2020='7층~4층_매핑테이블'!N209) * ('각층분기별_유효전력최대(전월)'!$E$4:$E$2020='7층~4층_매핑테이블'!O209),0))</f>
        <v>#N/A</v>
      </c>
      <c r="Q209" s="1" t="str">
        <f>R209&amp;S209</f>
        <v/>
      </c>
      <c r="R209" s="217"/>
      <c r="S209" s="217"/>
      <c r="T209" t="str">
        <f t="shared" si="269"/>
        <v/>
      </c>
      <c r="U209" t="str">
        <f>IF(IF(LEN((MID(R209,22,2)))=1, "[branch#0"&amp;0&amp;MID(R209,22,2)&amp;"] [A] W", "[branch#0"&amp;MID(R209,22,2)&amp;"] [A] W")="[branch#0] [A] W", "", IF(LEN((MID(R209,22,2)))=1, "[branch#0"&amp;0&amp;MID(R209,22,2)&amp;"] [A] W", "[branch#0"&amp;MID(R209,22,2)&amp;"] [A] W"))</f>
        <v/>
      </c>
      <c r="V209" t="str">
        <f>IF(MID(S209,16,2)="0","",MID(S209,1,15)&amp;MID(S209,16,2))</f>
        <v/>
      </c>
      <c r="W209" t="str">
        <f>IF(IF(LEN((MID(S209,22,2)))=1, "[branch#0"&amp;0&amp;MID(S209,22,2)&amp;"] [A] W", "[branch#0"&amp;MID(S209,22,2)&amp;"] [A] W")="[branch#0] [A] W", "", IF(LEN((MID(S209,22,2)))=1, "[branch#0"&amp;0&amp;MID(S209,22,2)&amp;"] [A] W", "[branch#0"&amp;MID(S209,22,2)&amp;"] [A] W"))</f>
        <v/>
      </c>
      <c r="X209" s="2989" cm="1">
        <f t="array" ref="X209">INDEX('각층분기별_유효전력최대(전월)'!$I$4:$I$2020,MATCH(1, ('각층분기별_유효전력최대(전월)'!$G$4:$G$2020='7층~4층_매핑테이블'!T209) * ('각층분기별_유효전력최대(전월)'!$H$4:$H$2020='7층~4층_매핑테이블'!U209),0)) + INDEX('각층분기별_유효전력최대(전월)'!$I$4:$I$2020,MATCH(1, ('각층분기별_유효전력최대(전월)'!$G$4:$G$2020='7층~4층_매핑테이블'!V209) * ('각층분기별_유효전력최대(전월)'!$H$4:$H$2020='7층~4층_매핑테이블'!W209),0))</f>
        <v>0</v>
      </c>
      <c r="Y209" s="3274" t="str">
        <f>Z209&amp;AA209</f>
        <v>7-DaHall 1-RPP-01-20-11</v>
      </c>
      <c r="Z209" s="217" t="s">
        <v>10487</v>
      </c>
      <c r="AA209" s="217"/>
      <c r="AB209" s="3274" t="str">
        <f>IF(MID(Z209,16,2)="0","",MID(Z209,1,15)&amp;MID(Z209,16,2))</f>
        <v>7-DaHall 1-RPP-01</v>
      </c>
      <c r="AC209" t="s">
        <v>9386</v>
      </c>
      <c r="AD209" t="str">
        <f t="shared" si="263"/>
        <v/>
      </c>
      <c r="AF209" s="2989" cm="1">
        <f t="array" ref="AF209">INDEX('각층분기별_유효전력최대(전월)'!$L$4:$L$2020,MATCH(1, ('각층분기별_유효전력최대(전월)'!$J$4:$J$2020='7층~4층_매핑테이블'!AB209) * ('각층분기별_유효전력최대(전월)'!$K$4:$K$2020='7층~4층_매핑테이블'!AC209),0)) + INDEX('각층분기별_유효전력최대(전월)'!$L$4:$L$2020,MATCH(1, ('각층분기별_유효전력최대(전월)'!$J$4:$J$2020='7층~4층_매핑테이블'!AD209) * ('각층분기별_유효전력최대(전월)'!$K$4:$K$2020='7층~4층_매핑테이블'!AE209),0))</f>
        <v>0</v>
      </c>
    </row>
    <row r="210" spans="1:32" x14ac:dyDescent="0.25">
      <c r="A210" t="str">
        <f>B210&amp;C210</f>
        <v/>
      </c>
      <c r="B210" s="217"/>
      <c r="C210" s="217"/>
      <c r="D210" s="2989" t="str">
        <f t="shared" si="244"/>
        <v/>
      </c>
      <c r="E210" s="2989" t="str">
        <f t="shared" si="264"/>
        <v/>
      </c>
      <c r="F210" s="2989" t="str">
        <f t="shared" si="258"/>
        <v/>
      </c>
      <c r="G210" s="2989" t="str">
        <f t="shared" si="259"/>
        <v/>
      </c>
      <c r="H210" s="2989" cm="1">
        <f t="array" ref="H210">INDEX('각층분기별_유효전력최대(전월)'!$C$4:$C$2020,MATCH(1, ('각층분기별_유효전력최대(전월)'!$A$4:$A$2020='7층~4층_매핑테이블'!D210) * ('각층분기별_유효전력최대(전월)'!$B$4:$B$2020='7층~4층_매핑테이블'!E210),0)) + INDEX('각층분기별_유효전력최대(전월)'!$C$4:$C$2020,MATCH(1, ('각층분기별_유효전력최대(전월)'!$A$4:$A$2020='7층~4층_매핑테이블'!F210) * ('각층분기별_유효전력최대(전월)'!$B$4:$B$2020='7층~4층_매핑테이블'!G210),0))</f>
        <v>0</v>
      </c>
      <c r="I210" t="str">
        <f t="shared" ref="I210:I273" si="276">J210&amp;K210</f>
        <v>5-DaHall 1-PDU-21-50-35-DaHall 1-PDU-22-50-3</v>
      </c>
      <c r="J210" s="217" t="s">
        <v>10488</v>
      </c>
      <c r="K210" s="217" t="s">
        <v>10489</v>
      </c>
      <c r="L210" t="str">
        <f t="shared" si="265"/>
        <v>5-DaHall 1-PDU-21</v>
      </c>
      <c r="M210" t="str">
        <f t="shared" si="261"/>
        <v>[branch#003] [A] W</v>
      </c>
      <c r="N210" t="str">
        <f t="shared" ref="N210:N273" si="277">IF(MID(K210,16,2)="0","",MID(K210,1,15)&amp;MID(K210,16,2))</f>
        <v>5-DaHall 1-PDU-22</v>
      </c>
      <c r="O210" t="str">
        <f>IF(IF(LEN((MID(K210,22,2)))=1, "[branch#"&amp;0&amp;MID(K210,22,2)&amp;"] [A] W", "[branch#"&amp;MID(K210,22,2)&amp;"] [A] W")="[branch#] [A] W", "", IF(LEN((MID(K210,22,2)))=1, "0435 [branch#"&amp;0&amp;MID(K210,22,2)&amp;"] [A] W", "0435 [branch#"&amp;MID(K210,22,2)&amp;"] [A] W"))</f>
        <v>0435 [branch#03] [A] W</v>
      </c>
      <c r="P210" s="2989" t="e" cm="1">
        <f t="array" ref="P210">INDEX('각층분기별_유효전력최대(전월)'!$F$4:$F$2020,MATCH(1, ('각층분기별_유효전력최대(전월)'!$D$4:$D$2020='7층~4층_매핑테이블'!L210) * ('각층분기별_유효전력최대(전월)'!$E$4:$E$2020='7층~4층_매핑테이블'!M210),0)) + INDEX('각층분기별_유효전력최대(전월)'!$F$4:$F$2020,MATCH(1, ('각층분기별_유효전력최대(전월)'!$D$4:$D$2020='7층~4층_매핑테이블'!N210) * ('각층분기별_유효전력최대(전월)'!$E$4:$E$2020='7층~4층_매핑테이블'!O210),0))</f>
        <v>#N/A</v>
      </c>
      <c r="Q210" s="1" t="str">
        <f>R210&amp;S210</f>
        <v>6-DaHall 1-PDU-09-30-206-DaHall 1-PDU-10-30-20</v>
      </c>
      <c r="R210" s="217" t="s">
        <v>10490</v>
      </c>
      <c r="S210" s="217" t="s">
        <v>10491</v>
      </c>
      <c r="T210" t="str">
        <f t="shared" si="269"/>
        <v>6-DaHall 1-PDU-09</v>
      </c>
      <c r="U210" t="str">
        <f>IF(IF(LEN((MID(R210,22,2)))=1, "[branch#0"&amp;0&amp;MID(R210,22,2)&amp;"] [A] W", "[branch#0"&amp;MID(R210,22,2)&amp;"] [A] W")="[branch#0] [A] W", "", IF(LEN((MID(R210,22,2)))=1, "[branch#0"&amp;0&amp;MID(R210,22,2)&amp;"] [A] W", "[branch#0"&amp;MID(R210,22,2)&amp;"] [A] W"))</f>
        <v>[branch#020] [A] W</v>
      </c>
      <c r="V210" t="str">
        <f>IF(MID(S210,16,2)="0","",MID(S210,1,15)&amp;MID(S210,16,2))</f>
        <v>6-DaHall 1-PDU-10</v>
      </c>
      <c r="W210" t="str">
        <f>IF(IF(LEN((MID(S210,22,2)))=1, "[branch#0"&amp;0&amp;MID(S210,22,2)&amp;"] [A] W", "[branch#0"&amp;MID(S210,22,2)&amp;"] [A] W")="[branch#0] [A] W", "", IF(LEN((MID(S210,22,2)))=1, "[branch#0"&amp;0&amp;MID(S210,22,2)&amp;"] [A] W", "[branch#0"&amp;MID(S210,22,2)&amp;"] [A] W"))</f>
        <v>[branch#020] [A] W</v>
      </c>
      <c r="X210" s="2989" cm="1">
        <f t="array" ref="X210">INDEX('각층분기별_유효전력최대(전월)'!$I$4:$I$2020,MATCH(1, ('각층분기별_유효전력최대(전월)'!$G$4:$G$2020='7층~4층_매핑테이블'!T210) * ('각층분기별_유효전력최대(전월)'!$H$4:$H$2020='7층~4층_매핑테이블'!U210),0)) + INDEX('각층분기별_유효전력최대(전월)'!$I$4:$I$2020,MATCH(1, ('각층분기별_유효전력최대(전월)'!$G$4:$G$2020='7층~4층_매핑테이블'!V210) * ('각층분기별_유효전력최대(전월)'!$H$4:$H$2020='7층~4층_매핑테이블'!W210),0))</f>
        <v>0</v>
      </c>
      <c r="Y210" s="3274" t="str">
        <f t="shared" ref="Y210:Y215" si="278">Z210&amp;AA210</f>
        <v>7-DaHall 1-RPP-01-30-387-DaHall 1-RPP-02-30-32</v>
      </c>
      <c r="Z210" s="217" t="s">
        <v>10492</v>
      </c>
      <c r="AA210" s="217" t="s">
        <v>10493</v>
      </c>
      <c r="AB210" s="3274" t="str">
        <f>IF(MID(Z210,16,2)="0","",MID(Z210,1,15)&amp;MID(Z210,16,2))</f>
        <v>7-DaHall 1-RPP-01</v>
      </c>
      <c r="AC210" t="s">
        <v>9358</v>
      </c>
      <c r="AD210" t="str">
        <f t="shared" si="263"/>
        <v>7-DaHall 1-RPP-02</v>
      </c>
      <c r="AE210" t="s">
        <v>9371</v>
      </c>
      <c r="AF210" s="2989" cm="1">
        <f t="array" ref="AF210">INDEX('각층분기별_유효전력최대(전월)'!$L$4:$L$2020,MATCH(1, ('각층분기별_유효전력최대(전월)'!$J$4:$J$2020='7층~4층_매핑테이블'!AB210) * ('각층분기별_유효전력최대(전월)'!$K$4:$K$2020='7층~4층_매핑테이블'!AC210),0)) + INDEX('각층분기별_유효전력최대(전월)'!$L$4:$L$2020,MATCH(1, ('각층분기별_유효전력최대(전월)'!$J$4:$J$2020='7층~4층_매핑테이블'!AD210) * ('각층분기별_유효전력최대(전월)'!$K$4:$K$2020='7층~4층_매핑테이블'!AE210),0))</f>
        <v>1.2310000000000001</v>
      </c>
    </row>
    <row r="211" spans="1:32" x14ac:dyDescent="0.25">
      <c r="A211" t="str">
        <f>B211&amp;C211</f>
        <v>4-DaHall 1-PDU-04-100-64-DaHall 1-PDU-03-100-6</v>
      </c>
      <c r="B211" s="217" t="s">
        <v>10494</v>
      </c>
      <c r="C211" s="217" t="s">
        <v>10495</v>
      </c>
      <c r="D211" s="2989" t="str">
        <f t="shared" si="244"/>
        <v>4-DaHall 1-PDU-04</v>
      </c>
      <c r="E211" s="2989" t="str">
        <f t="shared" si="264"/>
        <v>[branch#006] [A] W</v>
      </c>
      <c r="F211" s="2989" t="str">
        <f t="shared" si="258"/>
        <v>4-DaHall 1-PDU-03</v>
      </c>
      <c r="G211" s="2989" t="str">
        <f t="shared" si="259"/>
        <v>[branch#006] [A] W</v>
      </c>
      <c r="H211" s="2989" cm="1">
        <f t="array" ref="H211">INDEX('각층분기별_유효전력최대(전월)'!$C$4:$C$2020,MATCH(1, ('각층분기별_유효전력최대(전월)'!$A$4:$A$2020='7층~4층_매핑테이블'!D211) * ('각층분기별_유효전력최대(전월)'!$B$4:$B$2020='7층~4층_매핑테이블'!E211),0)) + INDEX('각층분기별_유효전력최대(전월)'!$C$4:$C$2020,MATCH(1, ('각층분기별_유효전력최대(전월)'!$A$4:$A$2020='7층~4층_매핑테이블'!F211) * ('각층분기별_유효전력최대(전월)'!$B$4:$B$2020='7층~4층_매핑테이블'!G211),0))</f>
        <v>5.3680000000000003</v>
      </c>
      <c r="I211" t="str">
        <f t="shared" si="276"/>
        <v>5-DaHall 1-PDU-19-50-15-DaHall 1-PDU-20-50-1</v>
      </c>
      <c r="J211" s="217" t="s">
        <v>10496</v>
      </c>
      <c r="K211" s="217" t="s">
        <v>10497</v>
      </c>
      <c r="L211" t="str">
        <f t="shared" si="265"/>
        <v>5-DaHall 1-PDU-19</v>
      </c>
      <c r="M211" t="str">
        <f t="shared" si="261"/>
        <v>[branch#001] [A] W</v>
      </c>
      <c r="N211" t="str">
        <f t="shared" si="277"/>
        <v>5-DaHall 1-PDU-20</v>
      </c>
      <c r="O211" t="str">
        <f>IF(IF(LEN((MID(K211,22,2)))=1, "[branch#"&amp;0&amp;MID(K211,22,2)&amp;"] [A] W", "[branch#"&amp;MID(K211,22,2)&amp;"] [A] W")="[branch#] [A] W", "", IF(LEN((MID(K211,22,2)))=1, "0155 [branch#"&amp;0&amp;MID(K211,22,2)&amp;"] [A] W", "0155 [branch#"&amp;MID(K211,22,2)&amp;"] [A] W"))</f>
        <v>0155 [branch#01] [A] W</v>
      </c>
      <c r="P211" s="2989" t="e" cm="1">
        <f t="array" ref="P211">INDEX('각층분기별_유효전력최대(전월)'!$F$4:$F$2020,MATCH(1, ('각층분기별_유효전력최대(전월)'!$D$4:$D$2020='7층~4층_매핑테이블'!L211) * ('각층분기별_유효전력최대(전월)'!$E$4:$E$2020='7층~4층_매핑테이블'!M211),0)) + INDEX('각층분기별_유효전력최대(전월)'!$F$4:$F$2020,MATCH(1, ('각층분기별_유효전력최대(전월)'!$D$4:$D$2020='7층~4층_매핑테이블'!N211) * ('각층분기별_유효전력최대(전월)'!$E$4:$E$2020='7층~4층_매핑테이블'!O211),0))</f>
        <v>#N/A</v>
      </c>
      <c r="Q211" s="1" t="str">
        <f t="shared" ref="Q211:Q241" si="279">R211&amp;S211</f>
        <v>6-DaHall 1-PDU-09-30-226-DaHall 1-PDU-10-30-22</v>
      </c>
      <c r="R211" s="217" t="s">
        <v>10498</v>
      </c>
      <c r="S211" s="217" t="s">
        <v>10499</v>
      </c>
      <c r="T211" t="str">
        <f t="shared" si="269"/>
        <v>6-DaHall 1-PDU-09</v>
      </c>
      <c r="U211" t="str">
        <f t="shared" ref="U211:U224" si="280">IF(IF(LEN((MID(R211,22,2)))=1, "[branch#0"&amp;0&amp;MID(R211,22,2)&amp;"] [A] W", "[branch#0"&amp;MID(R211,22,2)&amp;"] [A] W")="[branch#0] [A] W", "", IF(LEN((MID(R211,22,2)))=1, "[branch#0"&amp;0&amp;MID(R211,22,2)&amp;"] [A] W", "[branch#0"&amp;MID(R211,22,2)&amp;"] [A] W"))</f>
        <v>[branch#022] [A] W</v>
      </c>
      <c r="V211" t="str">
        <f t="shared" ref="V211:V239" si="281">IF(MID(S211,16,2)="0","",MID(S211,1,15)&amp;MID(S211,16,2))</f>
        <v>6-DaHall 1-PDU-10</v>
      </c>
      <c r="W211" t="str">
        <f t="shared" ref="W211:W224" si="282">IF(IF(LEN((MID(S211,22,2)))=1, "[branch#0"&amp;0&amp;MID(S211,22,2)&amp;"] [A] W", "[branch#0"&amp;MID(S211,22,2)&amp;"] [A] W")="[branch#0] [A] W", "", IF(LEN((MID(S211,22,2)))=1, "[branch#0"&amp;0&amp;MID(S211,22,2)&amp;"] [A] W", "[branch#0"&amp;MID(S211,22,2)&amp;"] [A] W"))</f>
        <v>[branch#022] [A] W</v>
      </c>
      <c r="X211" s="2989" cm="1">
        <f t="array" ref="X211">INDEX('각층분기별_유효전력최대(전월)'!$I$4:$I$2020,MATCH(1, ('각층분기별_유효전력최대(전월)'!$G$4:$G$2020='7층~4층_매핑테이블'!T211) * ('각층분기별_유효전력최대(전월)'!$H$4:$H$2020='7층~4층_매핑테이블'!U211),0)) + INDEX('각층분기별_유효전력최대(전월)'!$I$4:$I$2020,MATCH(1, ('각층분기별_유효전력최대(전월)'!$G$4:$G$2020='7층~4층_매핑테이블'!V211) * ('각층분기별_유효전력최대(전월)'!$H$4:$H$2020='7층~4층_매핑테이블'!W211),0))</f>
        <v>0</v>
      </c>
      <c r="Y211" s="3274" t="str">
        <f t="shared" si="278"/>
        <v>7-DaHall 1-RPP-01-30-347-DaHall 1-RPP-02-30-28</v>
      </c>
      <c r="Z211" s="217" t="s">
        <v>10500</v>
      </c>
      <c r="AA211" s="217" t="s">
        <v>10501</v>
      </c>
      <c r="AB211" s="3274" t="str">
        <f t="shared" ref="AB211:AB214" si="283">IF(MID(Z211,16,2)="0","",MID(Z211,1,15)&amp;MID(Z211,16,2))</f>
        <v>7-DaHall 1-RPP-01</v>
      </c>
      <c r="AC211" t="s">
        <v>9468</v>
      </c>
      <c r="AD211" t="str">
        <f t="shared" si="263"/>
        <v>7-DaHall 1-RPP-02</v>
      </c>
      <c r="AE211" t="s">
        <v>9430</v>
      </c>
      <c r="AF211" s="2989" cm="1">
        <f t="array" ref="AF211">INDEX('각층분기별_유효전력최대(전월)'!$L$4:$L$2020,MATCH(1, ('각층분기별_유효전력최대(전월)'!$J$4:$J$2020='7층~4층_매핑테이블'!AB211) * ('각층분기별_유효전력최대(전월)'!$K$4:$K$2020='7층~4층_매핑테이블'!AC211),0)) + INDEX('각층분기별_유효전력최대(전월)'!$L$4:$L$2020,MATCH(1, ('각층분기별_유효전력최대(전월)'!$J$4:$J$2020='7층~4층_매핑테이블'!AD211) * ('각층분기별_유효전력최대(전월)'!$K$4:$K$2020='7층~4층_매핑테이블'!AE211),0))</f>
        <v>0</v>
      </c>
    </row>
    <row r="212" spans="1:32" x14ac:dyDescent="0.25">
      <c r="A212" t="str">
        <f>B212&amp;C212</f>
        <v/>
      </c>
      <c r="B212" s="217"/>
      <c r="C212" s="217"/>
      <c r="D212" s="2989" t="str">
        <f t="shared" si="244"/>
        <v/>
      </c>
      <c r="E212" s="2989" t="str">
        <f t="shared" si="264"/>
        <v/>
      </c>
      <c r="F212" s="2989" t="str">
        <f t="shared" si="258"/>
        <v/>
      </c>
      <c r="G212" s="2989" t="str">
        <f t="shared" si="259"/>
        <v/>
      </c>
      <c r="H212" s="2989" cm="1">
        <f t="array" ref="H212">INDEX('각층분기별_유효전력최대(전월)'!$C$4:$C$2020,MATCH(1, ('각층분기별_유효전력최대(전월)'!$A$4:$A$2020='7층~4층_매핑테이블'!D212) * ('각층분기별_유효전력최대(전월)'!$B$4:$B$2020='7층~4층_매핑테이블'!E212),0)) + INDEX('각층분기별_유효전력최대(전월)'!$C$4:$C$2020,MATCH(1, ('각층분기별_유효전력최대(전월)'!$A$4:$A$2020='7층~4층_매핑테이블'!F212) * ('각층분기별_유효전력최대(전월)'!$B$4:$B$2020='7층~4층_매핑테이블'!G212),0))</f>
        <v>0</v>
      </c>
      <c r="I212" t="str">
        <f t="shared" si="276"/>
        <v>5-DaHall 1-PDU-21-50-15-DaHall 1-PDU-22-50-1</v>
      </c>
      <c r="J212" s="217" t="s">
        <v>10502</v>
      </c>
      <c r="K212" s="217" t="s">
        <v>10503</v>
      </c>
      <c r="L212" t="str">
        <f t="shared" si="265"/>
        <v>5-DaHall 1-PDU-21</v>
      </c>
      <c r="M212" t="str">
        <f t="shared" si="261"/>
        <v>[branch#001] [A] W</v>
      </c>
      <c r="N212" t="str">
        <f t="shared" si="277"/>
        <v>5-DaHall 1-PDU-22</v>
      </c>
      <c r="O212" t="str">
        <f>IF(IF(LEN((MID(K212,22,2)))=1, "[branch#"&amp;0&amp;MID(K212,22,2)&amp;"] [A] W", "[branch#"&amp;MID(K212,22,2)&amp;"] [A] W")="[branch#] [A] W", "", IF(LEN((MID(K212,22,2)))=1, "0155 [branch#"&amp;0&amp;MID(K212,22,2)&amp;"] [A] W", "0155 [branch#"&amp;MID(K212,22,2)&amp;"] [A] W"))</f>
        <v>0155 [branch#01] [A] W</v>
      </c>
      <c r="P212" s="2989" t="e" cm="1">
        <f t="array" ref="P212">INDEX('각층분기별_유효전력최대(전월)'!$F$4:$F$2020,MATCH(1, ('각층분기별_유효전력최대(전월)'!$D$4:$D$2020='7층~4층_매핑테이블'!L212) * ('각층분기별_유효전력최대(전월)'!$E$4:$E$2020='7층~4층_매핑테이블'!M212),0)) + INDEX('각층분기별_유효전력최대(전월)'!$F$4:$F$2020,MATCH(1, ('각층분기별_유효전력최대(전월)'!$D$4:$D$2020='7층~4층_매핑테이블'!N212) * ('각층분기별_유효전력최대(전월)'!$E$4:$E$2020='7층~4층_매핑테이블'!O212),0))</f>
        <v>#N/A</v>
      </c>
      <c r="Q212" s="1" t="str">
        <f t="shared" si="279"/>
        <v>6-DaHall 1-PDU-09-30-246-DaHall 1-PDU-10-30-48</v>
      </c>
      <c r="R212" s="217" t="s">
        <v>10504</v>
      </c>
      <c r="S212" s="217" t="s">
        <v>10505</v>
      </c>
      <c r="T212" t="str">
        <f t="shared" si="269"/>
        <v>6-DaHall 1-PDU-09</v>
      </c>
      <c r="U212" t="str">
        <f t="shared" si="280"/>
        <v>[branch#024] [A] W</v>
      </c>
      <c r="V212" t="str">
        <f t="shared" si="281"/>
        <v>6-DaHall 1-PDU-10</v>
      </c>
      <c r="W212" t="str">
        <f t="shared" si="282"/>
        <v>[branch#048] [A] W</v>
      </c>
      <c r="X212" s="2989" cm="1">
        <f t="array" ref="X212">INDEX('각층분기별_유효전력최대(전월)'!$I$4:$I$2020,MATCH(1, ('각층분기별_유효전력최대(전월)'!$G$4:$G$2020='7층~4층_매핑테이블'!T212) * ('각층분기별_유효전력최대(전월)'!$H$4:$H$2020='7층~4층_매핑테이블'!U212),0)) + INDEX('각층분기별_유효전력최대(전월)'!$I$4:$I$2020,MATCH(1, ('각층분기별_유효전력최대(전월)'!$G$4:$G$2020='7층~4층_매핑테이블'!V212) * ('각층분기별_유효전력최대(전월)'!$H$4:$H$2020='7층~4층_매핑테이블'!W212),0))</f>
        <v>0</v>
      </c>
      <c r="Y212" s="3274" t="str">
        <f t="shared" si="278"/>
        <v>7-DaHall 1-PDU-01-30-67-DaHall 1-PDU-02-30-6</v>
      </c>
      <c r="Z212" s="217" t="s">
        <v>10506</v>
      </c>
      <c r="AA212" s="217" t="s">
        <v>10507</v>
      </c>
      <c r="AB212" s="3274" t="str">
        <f t="shared" si="283"/>
        <v>7-DaHall 1-PDU-01</v>
      </c>
      <c r="AC212" t="s">
        <v>9351</v>
      </c>
      <c r="AD212" t="str">
        <f t="shared" si="263"/>
        <v>7-DaHall 1-PDU-02</v>
      </c>
      <c r="AE212" t="s">
        <v>9351</v>
      </c>
      <c r="AF212" s="2989" cm="1">
        <f t="array" ref="AF212">INDEX('각층분기별_유효전력최대(전월)'!$L$4:$L$2020,MATCH(1, ('각층분기별_유효전력최대(전월)'!$J$4:$J$2020='7층~4층_매핑테이블'!AB212) * ('각층분기별_유효전력최대(전월)'!$K$4:$K$2020='7층~4층_매핑테이블'!AC212),0)) + INDEX('각층분기별_유효전력최대(전월)'!$L$4:$L$2020,MATCH(1, ('각층분기별_유효전력최대(전월)'!$J$4:$J$2020='7층~4층_매핑테이블'!AD212) * ('각층분기별_유효전력최대(전월)'!$K$4:$K$2020='7층~4층_매핑테이블'!AE212),0))</f>
        <v>0</v>
      </c>
    </row>
    <row r="213" spans="1:32" x14ac:dyDescent="0.25">
      <c r="A213" t="str">
        <f t="shared" ref="A213:A221" si="284">B213&amp;C213</f>
        <v/>
      </c>
      <c r="B213" s="217"/>
      <c r="C213" s="217"/>
      <c r="D213" s="2989" t="str">
        <f t="shared" si="244"/>
        <v/>
      </c>
      <c r="E213" s="2989" t="str">
        <f t="shared" si="264"/>
        <v/>
      </c>
      <c r="F213" s="2989" t="str">
        <f t="shared" si="258"/>
        <v/>
      </c>
      <c r="G213" s="2989" t="str">
        <f t="shared" si="259"/>
        <v/>
      </c>
      <c r="H213" s="2989" cm="1">
        <f t="array" ref="H213">INDEX('각층분기별_유효전력최대(전월)'!$C$4:$C$2020,MATCH(1, ('각층분기별_유효전력최대(전월)'!$A$4:$A$2020='7층~4층_매핑테이블'!D213) * ('각층분기별_유효전력최대(전월)'!$B$4:$B$2020='7층~4층_매핑테이블'!E213),0)) + INDEX('각층분기별_유효전력최대(전월)'!$C$4:$C$2020,MATCH(1, ('각층분기별_유효전력최대(전월)'!$A$4:$A$2020='7층~4층_매핑테이블'!F213) * ('각층분기별_유효전력최대(전월)'!$B$4:$B$2020='7층~4층_매핑테이블'!G213),0))</f>
        <v>0</v>
      </c>
      <c r="I213" t="str">
        <f t="shared" si="276"/>
        <v>5-DaHall 1-PDU-05-30-25-DaHall 1-PDU-06-30-2</v>
      </c>
      <c r="J213" s="217" t="s">
        <v>10508</v>
      </c>
      <c r="K213" s="217" t="s">
        <v>10509</v>
      </c>
      <c r="L213" t="str">
        <f t="shared" si="265"/>
        <v>5-DaHall 1-PDU-05</v>
      </c>
      <c r="M213" t="str">
        <f t="shared" si="261"/>
        <v>[branch#002] [A] W</v>
      </c>
      <c r="N213" t="str">
        <f t="shared" si="277"/>
        <v>5-DaHall 1-PDU-06</v>
      </c>
      <c r="O213" t="str">
        <f>IF(IF(LEN((MID(K213,22,2)))=1, "[branch#0"&amp;0&amp;MID(K213,22,2)&amp;"] [A] W", "[branch#0"&amp;MID(K213,22,2)&amp;"] [A] W")="[branch#0] [A] W", "", IF(LEN((MID(K213,22,2)))=1, "[branch#0"&amp;0&amp;MID(K213,22,2)&amp;"] [A] W", "[branch#0"&amp;MID(K213,22,2)&amp;"] [A] W"))</f>
        <v>[branch#002] [A] W</v>
      </c>
      <c r="P213" s="2989" cm="1">
        <f t="array" ref="P213">INDEX('각층분기별_유효전력최대(전월)'!$F$4:$F$2020,MATCH(1, ('각층분기별_유효전력최대(전월)'!$D$4:$D$2020='7층~4층_매핑테이블'!L213) * ('각층분기별_유효전력최대(전월)'!$E$4:$E$2020='7층~4층_매핑테이블'!M213),0)) + INDEX('각층분기별_유효전력최대(전월)'!$F$4:$F$2020,MATCH(1, ('각층분기별_유효전력최대(전월)'!$D$4:$D$2020='7층~4층_매핑테이블'!N213) * ('각층분기별_유효전력최대(전월)'!$E$4:$E$2020='7층~4층_매핑테이블'!O213),0))</f>
        <v>0</v>
      </c>
      <c r="Q213" s="1" t="str">
        <f t="shared" si="279"/>
        <v>6-DaHall 1-PDU-09-30-266-DaHall 1-PDU-10-30-26</v>
      </c>
      <c r="R213" s="217" t="s">
        <v>10510</v>
      </c>
      <c r="S213" s="217" t="s">
        <v>10511</v>
      </c>
      <c r="T213" t="str">
        <f t="shared" si="269"/>
        <v>6-DaHall 1-PDU-09</v>
      </c>
      <c r="U213" t="str">
        <f t="shared" si="280"/>
        <v>[branch#026] [A] W</v>
      </c>
      <c r="V213" t="str">
        <f t="shared" si="281"/>
        <v>6-DaHall 1-PDU-10</v>
      </c>
      <c r="W213" t="str">
        <f t="shared" si="282"/>
        <v>[branch#026] [A] W</v>
      </c>
      <c r="X213" s="2989" cm="1">
        <f t="array" ref="X213">INDEX('각층분기별_유효전력최대(전월)'!$I$4:$I$2020,MATCH(1, ('각층분기별_유효전력최대(전월)'!$G$4:$G$2020='7층~4층_매핑테이블'!T213) * ('각층분기별_유효전력최대(전월)'!$H$4:$H$2020='7층~4층_매핑테이블'!U213),0)) + INDEX('각층분기별_유효전력최대(전월)'!$I$4:$I$2020,MATCH(1, ('각층분기별_유효전력최대(전월)'!$G$4:$G$2020='7층~4층_매핑테이블'!V213) * ('각층분기별_유효전력최대(전월)'!$H$4:$H$2020='7층~4층_매핑테이블'!W213),0))</f>
        <v>0</v>
      </c>
      <c r="Y213" s="3274" t="str">
        <f t="shared" si="278"/>
        <v>7-DaHall 1-PDU-01-30-547-DaHall 1-PDU-02-30-53</v>
      </c>
      <c r="Z213" s="217" t="s">
        <v>10512</v>
      </c>
      <c r="AA213" s="217" t="s">
        <v>10513</v>
      </c>
      <c r="AB213" s="3274" t="str">
        <f t="shared" si="283"/>
        <v>7-DaHall 1-PDU-01</v>
      </c>
      <c r="AC213" t="s">
        <v>9433</v>
      </c>
      <c r="AD213" t="str">
        <f t="shared" si="263"/>
        <v>7-DaHall 1-PDU-02</v>
      </c>
      <c r="AE213" t="s">
        <v>9440</v>
      </c>
      <c r="AF213" s="2989" cm="1">
        <f t="array" ref="AF213">INDEX('각층분기별_유효전력최대(전월)'!$L$4:$L$2020,MATCH(1, ('각층분기별_유효전력최대(전월)'!$J$4:$J$2020='7층~4층_매핑테이블'!AB213) * ('각층분기별_유효전력최대(전월)'!$K$4:$K$2020='7층~4층_매핑테이블'!AC213),0)) + INDEX('각층분기별_유효전력최대(전월)'!$L$4:$L$2020,MATCH(1, ('각층분기별_유효전력최대(전월)'!$J$4:$J$2020='7층~4층_매핑테이블'!AD213) * ('각층분기별_유효전력최대(전월)'!$K$4:$K$2020='7층~4층_매핑테이블'!AE213),0))</f>
        <v>0.11499999999999999</v>
      </c>
    </row>
    <row r="214" spans="1:32" x14ac:dyDescent="0.25">
      <c r="A214" t="str">
        <f t="shared" si="284"/>
        <v/>
      </c>
      <c r="B214" s="217"/>
      <c r="C214" s="217"/>
      <c r="D214" s="2989" t="str">
        <f t="shared" si="244"/>
        <v/>
      </c>
      <c r="E214" s="2989" t="str">
        <f t="shared" si="264"/>
        <v/>
      </c>
      <c r="F214" s="2989" t="str">
        <f t="shared" si="258"/>
        <v/>
      </c>
      <c r="G214" s="2989" t="str">
        <f t="shared" si="259"/>
        <v/>
      </c>
      <c r="H214" s="2989" cm="1">
        <f t="array" ref="H214">INDEX('각층분기별_유효전력최대(전월)'!$C$4:$C$2020,MATCH(1, ('각층분기별_유효전력최대(전월)'!$A$4:$A$2020='7층~4층_매핑테이블'!D214) * ('각층분기별_유효전력최대(전월)'!$B$4:$B$2020='7층~4층_매핑테이블'!E214),0)) + INDEX('각층분기별_유효전력최대(전월)'!$C$4:$C$2020,MATCH(1, ('각층분기별_유효전력최대(전월)'!$A$4:$A$2020='7층~4층_매핑테이블'!F214) * ('각층분기별_유효전력최대(전월)'!$B$4:$B$2020='7층~4층_매핑테이블'!G214),0))</f>
        <v>0</v>
      </c>
      <c r="I214" t="str">
        <f t="shared" si="276"/>
        <v>5-DaHall 1-PDU-05-30-45-DaHall 1-PDU-06-30-4</v>
      </c>
      <c r="J214" s="217" t="s">
        <v>10514</v>
      </c>
      <c r="K214" s="217" t="s">
        <v>10515</v>
      </c>
      <c r="L214" t="str">
        <f t="shared" si="265"/>
        <v>5-DaHall 1-PDU-05</v>
      </c>
      <c r="M214" t="str">
        <f t="shared" si="261"/>
        <v>[branch#004] [A] W</v>
      </c>
      <c r="N214" t="str">
        <f t="shared" si="277"/>
        <v>5-DaHall 1-PDU-06</v>
      </c>
      <c r="O214" t="str">
        <f t="shared" ref="O214:O254" si="285">IF(IF(LEN((MID(K214,22,2)))=1, "[branch#0"&amp;0&amp;MID(K214,22,2)&amp;"] [A] W", "[branch#0"&amp;MID(K214,22,2)&amp;"] [A] W")="[branch#0] [A] W", "", IF(LEN((MID(K214,22,2)))=1, "[branch#0"&amp;0&amp;MID(K214,22,2)&amp;"] [A] W", "[branch#0"&amp;MID(K214,22,2)&amp;"] [A] W"))</f>
        <v>[branch#004] [A] W</v>
      </c>
      <c r="P214" s="2989" cm="1">
        <f t="array" ref="P214">INDEX('각층분기별_유효전력최대(전월)'!$F$4:$F$2020,MATCH(1, ('각층분기별_유효전력최대(전월)'!$D$4:$D$2020='7층~4층_매핑테이블'!L214) * ('각층분기별_유효전력최대(전월)'!$E$4:$E$2020='7층~4층_매핑테이블'!M214),0)) + INDEX('각층분기별_유효전력최대(전월)'!$F$4:$F$2020,MATCH(1, ('각층분기별_유효전력최대(전월)'!$D$4:$D$2020='7층~4층_매핑테이블'!N214) * ('각층분기별_유효전력최대(전월)'!$E$4:$E$2020='7층~4층_매핑테이블'!O214),0))</f>
        <v>0</v>
      </c>
      <c r="Q214" s="1" t="str">
        <f t="shared" si="279"/>
        <v>6-DaHall 1-PDU-09-30-286-DaHall 1-PDU-10-30-28</v>
      </c>
      <c r="R214" s="217" t="s">
        <v>10516</v>
      </c>
      <c r="S214" s="217" t="s">
        <v>10517</v>
      </c>
      <c r="T214" t="str">
        <f t="shared" si="269"/>
        <v>6-DaHall 1-PDU-09</v>
      </c>
      <c r="U214" t="str">
        <f t="shared" si="280"/>
        <v>[branch#028] [A] W</v>
      </c>
      <c r="V214" t="str">
        <f t="shared" si="281"/>
        <v>6-DaHall 1-PDU-10</v>
      </c>
      <c r="W214" t="str">
        <f t="shared" si="282"/>
        <v>[branch#028] [A] W</v>
      </c>
      <c r="X214" s="2989" cm="1">
        <f t="array" ref="X214">INDEX('각층분기별_유효전력최대(전월)'!$I$4:$I$2020,MATCH(1, ('각층분기별_유효전력최대(전월)'!$G$4:$G$2020='7층~4층_매핑테이블'!T214) * ('각층분기별_유효전력최대(전월)'!$H$4:$H$2020='7층~4층_매핑테이블'!U214),0)) + INDEX('각층분기별_유효전력최대(전월)'!$I$4:$I$2020,MATCH(1, ('각층분기별_유효전력최대(전월)'!$G$4:$G$2020='7층~4층_매핑테이블'!V214) * ('각층분기별_유효전력최대(전월)'!$H$4:$H$2020='7층~4층_매핑테이블'!W214),0))</f>
        <v>0</v>
      </c>
      <c r="Y214" s="3274" t="str">
        <f t="shared" si="278"/>
        <v>7-DaHall 1-RPP-03-50-27-DaHall 1-RPP-04-50-2</v>
      </c>
      <c r="Z214" s="217" t="s">
        <v>10518</v>
      </c>
      <c r="AA214" s="217" t="s">
        <v>10519</v>
      </c>
      <c r="AB214" s="3274" t="str">
        <f t="shared" si="283"/>
        <v>7-DaHall 1-RPP-03</v>
      </c>
      <c r="AC214" t="s">
        <v>9361</v>
      </c>
      <c r="AD214" t="str">
        <f t="shared" si="263"/>
        <v>7-DaHall 1-RPP-04</v>
      </c>
      <c r="AE214" t="s">
        <v>9361</v>
      </c>
      <c r="AF214" s="2989" cm="1">
        <f t="array" ref="AF214">INDEX('각층분기별_유효전력최대(전월)'!$L$4:$L$2020,MATCH(1, ('각층분기별_유효전력최대(전월)'!$J$4:$J$2020='7층~4층_매핑테이블'!AB214) * ('각층분기별_유효전력최대(전월)'!$K$4:$K$2020='7층~4층_매핑테이블'!AC214),0)) + INDEX('각층분기별_유효전력최대(전월)'!$L$4:$L$2020,MATCH(1, ('각층분기별_유효전력최대(전월)'!$J$4:$J$2020='7층~4층_매핑테이블'!AD214) * ('각층분기별_유효전력최대(전월)'!$K$4:$K$2020='7층~4층_매핑테이블'!AE214),0))</f>
        <v>0.64</v>
      </c>
    </row>
    <row r="215" spans="1:32" x14ac:dyDescent="0.25">
      <c r="A215" t="str">
        <f t="shared" si="284"/>
        <v/>
      </c>
      <c r="B215" s="217"/>
      <c r="C215" s="217"/>
      <c r="D215" s="2989" t="str">
        <f t="shared" si="244"/>
        <v/>
      </c>
      <c r="E215" s="2989" t="str">
        <f t="shared" si="264"/>
        <v/>
      </c>
      <c r="F215" s="2989" t="str">
        <f t="shared" si="258"/>
        <v/>
      </c>
      <c r="G215" s="2989" t="str">
        <f t="shared" si="259"/>
        <v/>
      </c>
      <c r="H215" s="2989" cm="1">
        <f t="array" ref="H215">INDEX('각층분기별_유효전력최대(전월)'!$C$4:$C$2020,MATCH(1, ('각층분기별_유효전력최대(전월)'!$A$4:$A$2020='7층~4층_매핑테이블'!D215) * ('각층분기별_유효전력최대(전월)'!$B$4:$B$2020='7층~4층_매핑테이블'!E215),0)) + INDEX('각층분기별_유효전력최대(전월)'!$C$4:$C$2020,MATCH(1, ('각층분기별_유효전력최대(전월)'!$A$4:$A$2020='7층~4층_매핑테이블'!F215) * ('각층분기별_유효전력최대(전월)'!$B$4:$B$2020='7층~4층_매핑테이블'!G215),0))</f>
        <v>0</v>
      </c>
      <c r="I215" t="str">
        <f t="shared" si="276"/>
        <v>5-DaHall 1-PDU-05-30-65-DaHall 1-PDU-06-30-6</v>
      </c>
      <c r="J215" s="217" t="s">
        <v>10520</v>
      </c>
      <c r="K215" s="217" t="s">
        <v>10521</v>
      </c>
      <c r="L215" t="str">
        <f t="shared" si="265"/>
        <v>5-DaHall 1-PDU-05</v>
      </c>
      <c r="M215" t="str">
        <f t="shared" si="261"/>
        <v>[branch#006] [A] W</v>
      </c>
      <c r="N215" t="str">
        <f t="shared" si="277"/>
        <v>5-DaHall 1-PDU-06</v>
      </c>
      <c r="O215" t="str">
        <f t="shared" si="285"/>
        <v>[branch#006] [A] W</v>
      </c>
      <c r="P215" s="2989" cm="1">
        <f t="array" ref="P215">INDEX('각층분기별_유효전력최대(전월)'!$F$4:$F$2020,MATCH(1, ('각층분기별_유효전력최대(전월)'!$D$4:$D$2020='7층~4층_매핑테이블'!L215) * ('각층분기별_유효전력최대(전월)'!$E$4:$E$2020='7층~4층_매핑테이블'!M215),0)) + INDEX('각층분기별_유효전력최대(전월)'!$F$4:$F$2020,MATCH(1, ('각층분기별_유효전력최대(전월)'!$D$4:$D$2020='7층~4층_매핑테이블'!N215) * ('각층분기별_유효전력최대(전월)'!$E$4:$E$2020='7층~4층_매핑테이블'!O215),0))</f>
        <v>0</v>
      </c>
      <c r="Q215" s="1" t="str">
        <f t="shared" si="279"/>
        <v>6-DaHall 1-PDU-09-30-306-DaHall 1-PDU-10-30-30</v>
      </c>
      <c r="R215" s="217" t="s">
        <v>10522</v>
      </c>
      <c r="S215" s="217" t="s">
        <v>10523</v>
      </c>
      <c r="T215" t="str">
        <f t="shared" si="269"/>
        <v>6-DaHall 1-PDU-09</v>
      </c>
      <c r="U215" t="str">
        <f t="shared" si="280"/>
        <v>[branch#030] [A] W</v>
      </c>
      <c r="V215" t="str">
        <f t="shared" si="281"/>
        <v>6-DaHall 1-PDU-10</v>
      </c>
      <c r="W215" t="str">
        <f t="shared" si="282"/>
        <v>[branch#030] [A] W</v>
      </c>
      <c r="X215" s="2989" cm="1">
        <f t="array" ref="X215">INDEX('각층분기별_유효전력최대(전월)'!$I$4:$I$2020,MATCH(1, ('각층분기별_유효전력최대(전월)'!$G$4:$G$2020='7층~4층_매핑테이블'!T215) * ('각층분기별_유효전력최대(전월)'!$H$4:$H$2020='7층~4층_매핑테이블'!U215),0)) + INDEX('각층분기별_유효전력최대(전월)'!$I$4:$I$2020,MATCH(1, ('각층분기별_유효전력최대(전월)'!$G$4:$G$2020='7층~4층_매핑테이블'!V215) * ('각층분기별_유효전력최대(전월)'!$H$4:$H$2020='7층~4층_매핑테이블'!W215),0))</f>
        <v>0</v>
      </c>
      <c r="Y215" s="3274" t="str">
        <f t="shared" si="278"/>
        <v>7-DaHall 1-RPP-02-30-14</v>
      </c>
      <c r="Z215" s="217"/>
      <c r="AA215" s="217" t="s">
        <v>10524</v>
      </c>
      <c r="AB215" s="3274" t="str">
        <f>IF(MID(Z215,16,2)="0","",MID(Z215,1,15)&amp;MID(Z215,16,2))</f>
        <v/>
      </c>
      <c r="AD215" t="str">
        <f t="shared" si="263"/>
        <v>7-DaHall 1-RPP-02</v>
      </c>
      <c r="AE215" t="s">
        <v>9478</v>
      </c>
      <c r="AF215" s="2989" cm="1">
        <f t="array" ref="AF215">INDEX('각층분기별_유효전력최대(전월)'!$L$4:$L$2020,MATCH(1, ('각층분기별_유효전력최대(전월)'!$J$4:$J$2020='7층~4층_매핑테이블'!AB215) * ('각층분기별_유효전력최대(전월)'!$K$4:$K$2020='7층~4층_매핑테이블'!AC215),0)) + INDEX('각층분기별_유효전력최대(전월)'!$L$4:$L$2020,MATCH(1, ('각층분기별_유효전력최대(전월)'!$J$4:$J$2020='7층~4층_매핑테이블'!AD215) * ('각층분기별_유효전력최대(전월)'!$K$4:$K$2020='7층~4층_매핑테이블'!AE215),0))</f>
        <v>3.3119999999999998</v>
      </c>
    </row>
    <row r="216" spans="1:32" x14ac:dyDescent="0.25">
      <c r="A216" t="str">
        <f t="shared" si="284"/>
        <v/>
      </c>
      <c r="B216" s="217"/>
      <c r="C216" s="217"/>
      <c r="D216" s="2989" t="str">
        <f t="shared" si="244"/>
        <v/>
      </c>
      <c r="E216" s="2989" t="str">
        <f t="shared" si="264"/>
        <v/>
      </c>
      <c r="F216" s="2989" t="str">
        <f t="shared" si="258"/>
        <v/>
      </c>
      <c r="G216" s="2989" t="str">
        <f t="shared" si="259"/>
        <v/>
      </c>
      <c r="H216" s="2989" cm="1">
        <f t="array" ref="H216">INDEX('각층분기별_유효전력최대(전월)'!$C$4:$C$2020,MATCH(1, ('각층분기별_유효전력최대(전월)'!$A$4:$A$2020='7층~4층_매핑테이블'!D216) * ('각층분기별_유효전력최대(전월)'!$B$4:$B$2020='7층~4층_매핑테이블'!E216),0)) + INDEX('각층분기별_유효전력최대(전월)'!$C$4:$C$2020,MATCH(1, ('각층분기별_유효전력최대(전월)'!$A$4:$A$2020='7층~4층_매핑테이블'!F216) * ('각층분기별_유효전력최대(전월)'!$B$4:$B$2020='7층~4층_매핑테이블'!G216),0))</f>
        <v>0</v>
      </c>
      <c r="I216" t="str">
        <f t="shared" si="276"/>
        <v>5-DaHall 1-PDU-05-30-85-DaHall 1-PDU-06-30-8</v>
      </c>
      <c r="J216" s="217" t="s">
        <v>10525</v>
      </c>
      <c r="K216" s="217" t="s">
        <v>10526</v>
      </c>
      <c r="L216" t="str">
        <f t="shared" si="265"/>
        <v>5-DaHall 1-PDU-05</v>
      </c>
      <c r="M216" t="str">
        <f t="shared" si="261"/>
        <v>[branch#008] [A] W</v>
      </c>
      <c r="N216" t="str">
        <f t="shared" si="277"/>
        <v>5-DaHall 1-PDU-06</v>
      </c>
      <c r="O216" t="str">
        <f t="shared" si="285"/>
        <v>[branch#008] [A] W</v>
      </c>
      <c r="P216" s="2989" cm="1">
        <f t="array" ref="P216">INDEX('각층분기별_유효전력최대(전월)'!$F$4:$F$2020,MATCH(1, ('각층분기별_유효전력최대(전월)'!$D$4:$D$2020='7층~4층_매핑테이블'!L216) * ('각층분기별_유효전력최대(전월)'!$E$4:$E$2020='7층~4층_매핑테이블'!M216),0)) + INDEX('각층분기별_유효전력최대(전월)'!$F$4:$F$2020,MATCH(1, ('각층분기별_유효전력최대(전월)'!$D$4:$D$2020='7층~4층_매핑테이블'!N216) * ('각층분기별_유효전력최대(전월)'!$E$4:$E$2020='7층~4층_매핑테이블'!O216),0))</f>
        <v>0</v>
      </c>
      <c r="Q216" s="1" t="str">
        <f>R216&amp;S216</f>
        <v>6-DaHall 1-PDU-09-30-326-DaHall 1-PDU-10-30-32</v>
      </c>
      <c r="R216" s="217" t="s">
        <v>10527</v>
      </c>
      <c r="S216" s="217" t="s">
        <v>10528</v>
      </c>
      <c r="T216" t="str">
        <f t="shared" si="269"/>
        <v>6-DaHall 1-PDU-09</v>
      </c>
      <c r="U216" t="str">
        <f t="shared" si="280"/>
        <v>[branch#032] [A] W</v>
      </c>
      <c r="V216" t="str">
        <f>IF(MID(S216,16,2)="0","",MID(S216,1,15)&amp;MID(S216,16,2))</f>
        <v>6-DaHall 1-PDU-10</v>
      </c>
      <c r="W216" t="str">
        <f>IF(IF(LEN((MID(S216,22,2)))=1, "[branch#0"&amp;0&amp;MID(S216,22,2)&amp;"] [A] W", "[branch#0"&amp;MID(S216,22,2)&amp;"] [A] W")="[branch#0] [A] W", "", IF(LEN((MID(S216,22,2)))=1, "[branch#0"&amp;0&amp;MID(S216,22,2)&amp;"] [A] W", "[branch#0"&amp;MID(S216,22,2)&amp;"] [A] W"))</f>
        <v>[branch#032] [A] W</v>
      </c>
      <c r="X216" s="2989" cm="1">
        <f t="array" ref="X216">INDEX('각층분기별_유효전력최대(전월)'!$I$4:$I$2020,MATCH(1, ('각층분기별_유효전력최대(전월)'!$G$4:$G$2020='7층~4층_매핑테이블'!T216) * ('각층분기별_유효전력최대(전월)'!$H$4:$H$2020='7층~4층_매핑테이블'!U216),0)) + INDEX('각층분기별_유효전력최대(전월)'!$I$4:$I$2020,MATCH(1, ('각층분기별_유효전력최대(전월)'!$G$4:$G$2020='7층~4층_매핑테이블'!V216) * ('각층분기별_유효전력최대(전월)'!$H$4:$H$2020='7층~4층_매핑테이블'!W216),0))</f>
        <v>0</v>
      </c>
      <c r="Y216" s="3274" t="str">
        <f>Z216&amp;AA216</f>
        <v/>
      </c>
      <c r="Z216" s="217"/>
      <c r="AA216" s="217"/>
      <c r="AB216" s="3274" t="str">
        <f>IF(MID(Z216,16,2)="0","",MID(Z216,1,15)&amp;MID(Z216,16,2))</f>
        <v/>
      </c>
      <c r="AD216" t="str">
        <f t="shared" si="263"/>
        <v/>
      </c>
      <c r="AF216" s="2989" cm="1">
        <f t="array" ref="AF216">INDEX('각층분기별_유효전력최대(전월)'!$L$4:$L$2020,MATCH(1, ('각층분기별_유효전력최대(전월)'!$J$4:$J$2020='7층~4층_매핑테이블'!AB216) * ('각층분기별_유효전력최대(전월)'!$K$4:$K$2020='7층~4층_매핑테이블'!AC216),0)) + INDEX('각층분기별_유효전력최대(전월)'!$L$4:$L$2020,MATCH(1, ('각층분기별_유효전력최대(전월)'!$J$4:$J$2020='7층~4층_매핑테이블'!AD216) * ('각층분기별_유효전력최대(전월)'!$K$4:$K$2020='7층~4층_매핑테이블'!AE216),0))</f>
        <v>0</v>
      </c>
    </row>
    <row r="217" spans="1:32" x14ac:dyDescent="0.25">
      <c r="A217" t="str">
        <f t="shared" si="284"/>
        <v/>
      </c>
      <c r="B217" s="217"/>
      <c r="C217" s="217"/>
      <c r="D217" s="2989" t="str">
        <f t="shared" si="244"/>
        <v/>
      </c>
      <c r="E217" s="2989" t="str">
        <f t="shared" si="264"/>
        <v/>
      </c>
      <c r="F217" s="2989" t="str">
        <f t="shared" si="258"/>
        <v/>
      </c>
      <c r="G217" s="2989" t="str">
        <f t="shared" si="259"/>
        <v/>
      </c>
      <c r="H217" s="2989" cm="1">
        <f t="array" ref="H217">INDEX('각층분기별_유효전력최대(전월)'!$C$4:$C$2020,MATCH(1, ('각층분기별_유효전력최대(전월)'!$A$4:$A$2020='7층~4층_매핑테이블'!D217) * ('각층분기별_유효전력최대(전월)'!$B$4:$B$2020='7층~4층_매핑테이블'!E217),0)) + INDEX('각층분기별_유효전력최대(전월)'!$C$4:$C$2020,MATCH(1, ('각층분기별_유효전력최대(전월)'!$A$4:$A$2020='7층~4층_매핑테이블'!F217) * ('각층분기별_유효전력최대(전월)'!$B$4:$B$2020='7층~4층_매핑테이블'!G217),0))</f>
        <v>0</v>
      </c>
      <c r="I217" t="str">
        <f t="shared" si="276"/>
        <v>5-DaHall 1-PDU-05-30-105-DaHall 1-PDU-06-30-10</v>
      </c>
      <c r="J217" s="217" t="s">
        <v>10529</v>
      </c>
      <c r="K217" s="217" t="s">
        <v>10530</v>
      </c>
      <c r="L217" t="str">
        <f t="shared" si="265"/>
        <v>5-DaHall 1-PDU-05</v>
      </c>
      <c r="M217" t="str">
        <f t="shared" si="261"/>
        <v>[branch#010] [A] W</v>
      </c>
      <c r="N217" t="str">
        <f t="shared" si="277"/>
        <v>5-DaHall 1-PDU-06</v>
      </c>
      <c r="O217" t="str">
        <f t="shared" si="285"/>
        <v>[branch#010] [A] W</v>
      </c>
      <c r="P217" s="2989" cm="1">
        <f t="array" ref="P217">INDEX('각층분기별_유효전력최대(전월)'!$F$4:$F$2020,MATCH(1, ('각층분기별_유효전력최대(전월)'!$D$4:$D$2020='7층~4층_매핑테이블'!L217) * ('각층분기별_유효전력최대(전월)'!$E$4:$E$2020='7층~4층_매핑테이블'!M217),0)) + INDEX('각층분기별_유효전력최대(전월)'!$F$4:$F$2020,MATCH(1, ('각층분기별_유효전력최대(전월)'!$D$4:$D$2020='7층~4층_매핑테이블'!N217) * ('각층분기별_유효전력최대(전월)'!$E$4:$E$2020='7층~4층_매핑테이블'!O217),0))</f>
        <v>0</v>
      </c>
      <c r="Q217" s="1" t="str">
        <f t="shared" si="279"/>
        <v>6-DaHall 1-PDU-09-30-346-DaHall 1-PDU-10-30-34</v>
      </c>
      <c r="R217" s="217" t="s">
        <v>10531</v>
      </c>
      <c r="S217" s="217" t="s">
        <v>10532</v>
      </c>
      <c r="T217" t="str">
        <f t="shared" si="269"/>
        <v>6-DaHall 1-PDU-09</v>
      </c>
      <c r="U217" t="str">
        <f t="shared" si="280"/>
        <v>[branch#034] [A] W</v>
      </c>
      <c r="V217" t="str">
        <f t="shared" si="281"/>
        <v>6-DaHall 1-PDU-10</v>
      </c>
      <c r="W217" t="str">
        <f t="shared" si="282"/>
        <v>[branch#034] [A] W</v>
      </c>
      <c r="X217" s="2989" cm="1">
        <f t="array" ref="X217">INDEX('각층분기별_유효전력최대(전월)'!$I$4:$I$2020,MATCH(1, ('각층분기별_유효전력최대(전월)'!$G$4:$G$2020='7층~4층_매핑테이블'!T217) * ('각층분기별_유효전력최대(전월)'!$H$4:$H$2020='7층~4층_매핑테이블'!U217),0)) + INDEX('각층분기별_유효전력최대(전월)'!$I$4:$I$2020,MATCH(1, ('각층분기별_유효전력최대(전월)'!$G$4:$G$2020='7층~4층_매핑테이블'!V217) * ('각층분기별_유효전력최대(전월)'!$H$4:$H$2020='7층~4층_매핑테이블'!W217),0))</f>
        <v>0</v>
      </c>
      <c r="Y217" s="3274" t="str">
        <f>Z217&amp;AA217</f>
        <v>7-DaHall 1-PDU-01-30-47-DaHall 1-PDU-02-30-4</v>
      </c>
      <c r="Z217" s="217" t="s">
        <v>10533</v>
      </c>
      <c r="AA217" s="217" t="s">
        <v>10534</v>
      </c>
      <c r="AB217" s="3274" t="str">
        <f>IF(MID(Z217,16,2)="0","",MID(Z217,1,15)&amp;MID(Z217,16,2))</f>
        <v>7-DaHall 1-PDU-01</v>
      </c>
      <c r="AC217" t="s">
        <v>9395</v>
      </c>
      <c r="AD217" t="str">
        <f t="shared" si="263"/>
        <v>7-DaHall 1-PDU-02</v>
      </c>
      <c r="AE217" t="s">
        <v>9395</v>
      </c>
      <c r="AF217" s="2989" cm="1">
        <f t="array" ref="AF217">INDEX('각층분기별_유효전력최대(전월)'!$L$4:$L$2020,MATCH(1, ('각층분기별_유효전력최대(전월)'!$J$4:$J$2020='7층~4층_매핑테이블'!AB217) * ('각층분기별_유효전력최대(전월)'!$K$4:$K$2020='7층~4층_매핑테이블'!AC217),0)) + INDEX('각층분기별_유효전력최대(전월)'!$L$4:$L$2020,MATCH(1, ('각층분기별_유효전력최대(전월)'!$J$4:$J$2020='7층~4층_매핑테이블'!AD217) * ('각층분기별_유효전력최대(전월)'!$K$4:$K$2020='7층~4층_매핑테이블'!AE217),0))</f>
        <v>0</v>
      </c>
    </row>
    <row r="218" spans="1:32" x14ac:dyDescent="0.25">
      <c r="A218" t="str">
        <f t="shared" si="284"/>
        <v/>
      </c>
      <c r="B218" s="217"/>
      <c r="C218" s="217"/>
      <c r="D218" s="2989" t="str">
        <f t="shared" si="244"/>
        <v/>
      </c>
      <c r="E218" s="2989" t="str">
        <f t="shared" si="264"/>
        <v/>
      </c>
      <c r="F218" s="2989" t="str">
        <f t="shared" si="258"/>
        <v/>
      </c>
      <c r="G218" s="2989" t="str">
        <f t="shared" si="259"/>
        <v/>
      </c>
      <c r="H218" s="2989" cm="1">
        <f t="array" ref="H218">INDEX('각층분기별_유효전력최대(전월)'!$C$4:$C$2020,MATCH(1, ('각층분기별_유효전력최대(전월)'!$A$4:$A$2020='7층~4층_매핑테이블'!D218) * ('각층분기별_유효전력최대(전월)'!$B$4:$B$2020='7층~4층_매핑테이블'!E218),0)) + INDEX('각층분기별_유효전력최대(전월)'!$C$4:$C$2020,MATCH(1, ('각층분기별_유효전력최대(전월)'!$A$4:$A$2020='7층~4층_매핑테이블'!F218) * ('각층분기별_유효전력최대(전월)'!$B$4:$B$2020='7층~4층_매핑테이블'!G218),0))</f>
        <v>0</v>
      </c>
      <c r="I218" t="str">
        <f t="shared" si="276"/>
        <v>5-DaHall 1-PDU-05-30-125-DaHall 1-PDU-06-30-12</v>
      </c>
      <c r="J218" s="217" t="s">
        <v>10535</v>
      </c>
      <c r="K218" s="217" t="s">
        <v>10536</v>
      </c>
      <c r="L218" t="str">
        <f t="shared" si="265"/>
        <v>5-DaHall 1-PDU-05</v>
      </c>
      <c r="M218" t="str">
        <f t="shared" si="261"/>
        <v>[branch#012] [A] W</v>
      </c>
      <c r="N218" t="str">
        <f t="shared" si="277"/>
        <v>5-DaHall 1-PDU-06</v>
      </c>
      <c r="O218" t="str">
        <f t="shared" si="285"/>
        <v>[branch#012] [A] W</v>
      </c>
      <c r="P218" s="2989" cm="1">
        <f t="array" ref="P218">INDEX('각층분기별_유효전력최대(전월)'!$F$4:$F$2020,MATCH(1, ('각층분기별_유효전력최대(전월)'!$D$4:$D$2020='7층~4층_매핑테이블'!L218) * ('각층분기별_유효전력최대(전월)'!$E$4:$E$2020='7층~4층_매핑테이블'!M218),0)) + INDEX('각층분기별_유효전력최대(전월)'!$F$4:$F$2020,MATCH(1, ('각층분기별_유효전력최대(전월)'!$D$4:$D$2020='7층~4층_매핑테이블'!N218) * ('각층분기별_유효전력최대(전월)'!$E$4:$E$2020='7층~4층_매핑테이블'!O218),0))</f>
        <v>0</v>
      </c>
      <c r="Q218" s="1" t="str">
        <f t="shared" si="279"/>
        <v>6-DaHall 1-PDU-09-30-366-DaHall 1-PDU-10-30-36</v>
      </c>
      <c r="R218" s="217" t="s">
        <v>10537</v>
      </c>
      <c r="S218" s="217" t="s">
        <v>10538</v>
      </c>
      <c r="T218" t="str">
        <f t="shared" si="269"/>
        <v>6-DaHall 1-PDU-09</v>
      </c>
      <c r="U218" t="str">
        <f t="shared" si="280"/>
        <v>[branch#036] [A] W</v>
      </c>
      <c r="V218" t="str">
        <f t="shared" si="281"/>
        <v>6-DaHall 1-PDU-10</v>
      </c>
      <c r="W218" t="str">
        <f t="shared" si="282"/>
        <v>[branch#036] [A] W</v>
      </c>
      <c r="X218" s="2989" cm="1">
        <f t="array" ref="X218">INDEX('각층분기별_유효전력최대(전월)'!$I$4:$I$2020,MATCH(1, ('각층분기별_유효전력최대(전월)'!$G$4:$G$2020='7층~4층_매핑테이블'!T218) * ('각층분기별_유효전력최대(전월)'!$H$4:$H$2020='7층~4층_매핑테이블'!U218),0)) + INDEX('각층분기별_유효전력최대(전월)'!$I$4:$I$2020,MATCH(1, ('각층분기별_유효전력최대(전월)'!$G$4:$G$2020='7층~4층_매핑테이블'!V218) * ('각층분기별_유효전력최대(전월)'!$H$4:$H$2020='7층~4층_매핑테이블'!W218),0))</f>
        <v>0</v>
      </c>
      <c r="Y218" s="3274" t="str">
        <f>Z218&amp;AA218</f>
        <v/>
      </c>
      <c r="Z218" s="217"/>
      <c r="AA218" s="217"/>
      <c r="AB218" s="3274" t="str">
        <f>IF(MID(Z218,16,2)="0","",MID(Z218,1,15)&amp;MID(Z218,16,2))</f>
        <v/>
      </c>
      <c r="AD218" t="str">
        <f t="shared" si="263"/>
        <v/>
      </c>
      <c r="AF218" s="2989" cm="1">
        <f t="array" ref="AF218">INDEX('각층분기별_유효전력최대(전월)'!$L$4:$L$2020,MATCH(1, ('각층분기별_유효전력최대(전월)'!$J$4:$J$2020='7층~4층_매핑테이블'!AB218) * ('각층분기별_유효전력최대(전월)'!$K$4:$K$2020='7층~4층_매핑테이블'!AC218),0)) + INDEX('각층분기별_유효전력최대(전월)'!$L$4:$L$2020,MATCH(1, ('각층분기별_유효전력최대(전월)'!$J$4:$J$2020='7층~4층_매핑테이블'!AD218) * ('각층분기별_유효전력최대(전월)'!$K$4:$K$2020='7층~4층_매핑테이블'!AE218),0))</f>
        <v>0</v>
      </c>
    </row>
    <row r="219" spans="1:32" x14ac:dyDescent="0.25">
      <c r="A219" t="str">
        <f t="shared" si="284"/>
        <v/>
      </c>
      <c r="B219" s="217"/>
      <c r="C219" s="217"/>
      <c r="D219" s="2989" t="str">
        <f t="shared" si="244"/>
        <v/>
      </c>
      <c r="E219" s="2989" t="str">
        <f t="shared" si="264"/>
        <v/>
      </c>
      <c r="F219" s="2989" t="str">
        <f t="shared" si="258"/>
        <v/>
      </c>
      <c r="G219" s="2989" t="str">
        <f t="shared" si="259"/>
        <v/>
      </c>
      <c r="H219" s="2989" cm="1">
        <f t="array" ref="H219">INDEX('각층분기별_유효전력최대(전월)'!$C$4:$C$2020,MATCH(1, ('각층분기별_유효전력최대(전월)'!$A$4:$A$2020='7층~4층_매핑테이블'!D219) * ('각층분기별_유효전력최대(전월)'!$B$4:$B$2020='7층~4층_매핑테이블'!E219),0)) + INDEX('각층분기별_유효전력최대(전월)'!$C$4:$C$2020,MATCH(1, ('각층분기별_유효전력최대(전월)'!$A$4:$A$2020='7층~4층_매핑테이블'!F219) * ('각층분기별_유효전력최대(전월)'!$B$4:$B$2020='7층~4층_매핑테이블'!G219),0))</f>
        <v>0</v>
      </c>
      <c r="I219" t="str">
        <f t="shared" si="276"/>
        <v>5-DaHall 1-PDU-05-30-145-DaHall 1-PDU-06-30-16</v>
      </c>
      <c r="J219" s="217" t="s">
        <v>10539</v>
      </c>
      <c r="K219" s="217" t="s">
        <v>10540</v>
      </c>
      <c r="L219" t="str">
        <f t="shared" si="265"/>
        <v>5-DaHall 1-PDU-05</v>
      </c>
      <c r="M219" t="str">
        <f t="shared" si="261"/>
        <v>[branch#014] [A] W</v>
      </c>
      <c r="N219" t="str">
        <f t="shared" si="277"/>
        <v>5-DaHall 1-PDU-06</v>
      </c>
      <c r="O219" t="str">
        <f t="shared" si="285"/>
        <v>[branch#016] [A] W</v>
      </c>
      <c r="P219" s="2989" cm="1">
        <f t="array" ref="P219">INDEX('각층분기별_유효전력최대(전월)'!$F$4:$F$2020,MATCH(1, ('각층분기별_유효전력최대(전월)'!$D$4:$D$2020='7층~4층_매핑테이블'!L219) * ('각층분기별_유효전력최대(전월)'!$E$4:$E$2020='7층~4층_매핑테이블'!M219),0)) + INDEX('각층분기별_유효전력최대(전월)'!$F$4:$F$2020,MATCH(1, ('각층분기별_유효전력최대(전월)'!$D$4:$D$2020='7층~4층_매핑테이블'!N219) * ('각층분기별_유효전력최대(전월)'!$E$4:$E$2020='7층~4층_매핑테이블'!O219),0))</f>
        <v>0</v>
      </c>
      <c r="Q219" s="1" t="str">
        <f t="shared" si="279"/>
        <v>6-DaHall 1-PDU-01-30-176-DaHall 1-PDU-02-30-17</v>
      </c>
      <c r="R219" s="217" t="s">
        <v>10541</v>
      </c>
      <c r="S219" s="217" t="s">
        <v>10542</v>
      </c>
      <c r="T219" t="str">
        <f t="shared" si="269"/>
        <v>6-DaHall 1-PDU-01</v>
      </c>
      <c r="U219" t="str">
        <f t="shared" si="280"/>
        <v>[branch#017] [A] W</v>
      </c>
      <c r="V219" t="str">
        <f t="shared" si="281"/>
        <v>6-DaHall 1-PDU-02</v>
      </c>
      <c r="W219" t="str">
        <f t="shared" si="282"/>
        <v>[branch#017] [A] W</v>
      </c>
      <c r="X219" s="2989" cm="1">
        <f t="array" ref="X219">INDEX('각층분기별_유효전력최대(전월)'!$I$4:$I$2020,MATCH(1, ('각층분기별_유효전력최대(전월)'!$G$4:$G$2020='7층~4층_매핑테이블'!T219) * ('각층분기별_유효전력최대(전월)'!$H$4:$H$2020='7층~4층_매핑테이블'!U219),0)) + INDEX('각층분기별_유효전력최대(전월)'!$I$4:$I$2020,MATCH(1, ('각층분기별_유효전력최대(전월)'!$G$4:$G$2020='7층~4층_매핑테이블'!V219) * ('각층분기별_유효전력최대(전월)'!$H$4:$H$2020='7층~4층_매핑테이블'!W219),0))</f>
        <v>0</v>
      </c>
      <c r="Y219" s="3274" t="str">
        <f t="shared" ref="Y219:Y220" si="286">Z219&amp;AA219</f>
        <v/>
      </c>
      <c r="Z219" s="217"/>
      <c r="AA219" s="217"/>
      <c r="AB219" s="3274" t="str">
        <f>IF(MID(Z219,16,2)="0","",MID(Z219,1,15)&amp;MID(Z219,16,2))</f>
        <v/>
      </c>
      <c r="AD219" t="str">
        <f t="shared" si="263"/>
        <v/>
      </c>
      <c r="AF219" s="2989" cm="1">
        <f t="array" ref="AF219">INDEX('각층분기별_유효전력최대(전월)'!$L$4:$L$2020,MATCH(1, ('각층분기별_유효전력최대(전월)'!$J$4:$J$2020='7층~4층_매핑테이블'!AB219) * ('각층분기별_유효전력최대(전월)'!$K$4:$K$2020='7층~4층_매핑테이블'!AC219),0)) + INDEX('각층분기별_유효전력최대(전월)'!$L$4:$L$2020,MATCH(1, ('각층분기별_유효전력최대(전월)'!$J$4:$J$2020='7층~4층_매핑테이블'!AD219) * ('각층분기별_유효전력최대(전월)'!$K$4:$K$2020='7층~4층_매핑테이블'!AE219),0))</f>
        <v>0</v>
      </c>
    </row>
    <row r="220" spans="1:32" x14ac:dyDescent="0.25">
      <c r="A220" t="str">
        <f t="shared" si="284"/>
        <v/>
      </c>
      <c r="B220" s="217"/>
      <c r="C220" s="217"/>
      <c r="D220" s="2989" t="str">
        <f t="shared" si="244"/>
        <v/>
      </c>
      <c r="E220" s="2989" t="str">
        <f t="shared" si="264"/>
        <v/>
      </c>
      <c r="F220" s="2989" t="str">
        <f t="shared" si="258"/>
        <v/>
      </c>
      <c r="G220" s="2989" t="str">
        <f t="shared" si="259"/>
        <v/>
      </c>
      <c r="H220" s="2989" cm="1">
        <f t="array" ref="H220">INDEX('각층분기별_유효전력최대(전월)'!$C$4:$C$2020,MATCH(1, ('각층분기별_유효전력최대(전월)'!$A$4:$A$2020='7층~4층_매핑테이블'!D220) * ('각층분기별_유효전력최대(전월)'!$B$4:$B$2020='7층~4층_매핑테이블'!E220),0)) + INDEX('각층분기별_유효전력최대(전월)'!$C$4:$C$2020,MATCH(1, ('각층분기별_유효전력최대(전월)'!$A$4:$A$2020='7층~4층_매핑테이블'!F220) * ('각층분기별_유효전력최대(전월)'!$B$4:$B$2020='7층~4층_매핑테이블'!G220),0))</f>
        <v>0</v>
      </c>
      <c r="I220" t="str">
        <f t="shared" si="276"/>
        <v>5-DaHall 1-PDU-05-30-165-DaHall 1-PDU-06-30-18</v>
      </c>
      <c r="J220" s="217" t="s">
        <v>10543</v>
      </c>
      <c r="K220" s="217" t="s">
        <v>10544</v>
      </c>
      <c r="L220" t="str">
        <f t="shared" si="265"/>
        <v>5-DaHall 1-PDU-05</v>
      </c>
      <c r="M220" t="str">
        <f t="shared" si="261"/>
        <v>[branch#016] [A] W</v>
      </c>
      <c r="N220" t="str">
        <f t="shared" si="277"/>
        <v>5-DaHall 1-PDU-06</v>
      </c>
      <c r="O220" t="str">
        <f t="shared" si="285"/>
        <v>[branch#018] [A] W</v>
      </c>
      <c r="P220" s="2989" cm="1">
        <f t="array" ref="P220">INDEX('각층분기별_유효전력최대(전월)'!$F$4:$F$2020,MATCH(1, ('각층분기별_유효전력최대(전월)'!$D$4:$D$2020='7층~4층_매핑테이블'!L220) * ('각층분기별_유효전력최대(전월)'!$E$4:$E$2020='7층~4층_매핑테이블'!M220),0)) + INDEX('각층분기별_유효전력최대(전월)'!$F$4:$F$2020,MATCH(1, ('각층분기별_유효전력최대(전월)'!$D$4:$D$2020='7층~4층_매핑테이블'!N220) * ('각층분기별_유효전력최대(전월)'!$E$4:$E$2020='7층~4층_매핑테이블'!O220),0))</f>
        <v>0</v>
      </c>
      <c r="Q220" s="1" t="str">
        <f>R220&amp;S220</f>
        <v>6-DaHall 1-PDU-01-30-156-DaHall 1-PDU-02-30-15</v>
      </c>
      <c r="R220" s="217" t="s">
        <v>10545</v>
      </c>
      <c r="S220" s="217" t="s">
        <v>10546</v>
      </c>
      <c r="T220" t="str">
        <f t="shared" si="269"/>
        <v>6-DaHall 1-PDU-01</v>
      </c>
      <c r="U220" t="str">
        <f t="shared" si="280"/>
        <v>[branch#015] [A] W</v>
      </c>
      <c r="V220" t="str">
        <f>IF(MID(S220,16,2)="0","",MID(S220,1,15)&amp;MID(S220,16,2))</f>
        <v>6-DaHall 1-PDU-02</v>
      </c>
      <c r="W220" t="str">
        <f>IF(IF(LEN((MID(S220,22,2)))=1, "[branch#0"&amp;0&amp;MID(S220,22,2)&amp;"] [A] W", "[branch#0"&amp;MID(S220,22,2)&amp;"] [A] W")="[branch#0] [A] W", "", IF(LEN((MID(S220,22,2)))=1, "[branch#0"&amp;0&amp;MID(S220,22,2)&amp;"] [A] W", "[branch#0"&amp;MID(S220,22,2)&amp;"] [A] W"))</f>
        <v>[branch#015] [A] W</v>
      </c>
      <c r="X220" s="2989" cm="1">
        <f t="array" ref="X220">INDEX('각층분기별_유효전력최대(전월)'!$I$4:$I$2020,MATCH(1, ('각층분기별_유효전력최대(전월)'!$G$4:$G$2020='7층~4층_매핑테이블'!T220) * ('각층분기별_유효전력최대(전월)'!$H$4:$H$2020='7층~4층_매핑테이블'!U220),0)) + INDEX('각층분기별_유효전력최대(전월)'!$I$4:$I$2020,MATCH(1, ('각층분기별_유효전력최대(전월)'!$G$4:$G$2020='7층~4층_매핑테이블'!V220) * ('각층분기별_유효전력최대(전월)'!$H$4:$H$2020='7층~4층_매핑테이블'!W220),0))</f>
        <v>0</v>
      </c>
      <c r="Y220" s="3274" t="str">
        <f t="shared" si="286"/>
        <v/>
      </c>
      <c r="Z220" s="217"/>
      <c r="AA220" s="217"/>
      <c r="AB220" s="3274" t="str">
        <f t="shared" ref="AB220" si="287">IF(MID(Z220,16,2)="0","",MID(Z220,1,15)&amp;MID(Z220,16,2))</f>
        <v/>
      </c>
      <c r="AD220" t="str">
        <f t="shared" si="263"/>
        <v/>
      </c>
      <c r="AF220" s="2989" cm="1">
        <f t="array" ref="AF220">INDEX('각층분기별_유효전력최대(전월)'!$L$4:$L$2020,MATCH(1, ('각층분기별_유효전력최대(전월)'!$J$4:$J$2020='7층~4층_매핑테이블'!AB220) * ('각층분기별_유효전력최대(전월)'!$K$4:$K$2020='7층~4층_매핑테이블'!AC220),0)) + INDEX('각층분기별_유효전력최대(전월)'!$L$4:$L$2020,MATCH(1, ('각층분기별_유효전력최대(전월)'!$J$4:$J$2020='7층~4층_매핑테이블'!AD220) * ('각층분기별_유효전력최대(전월)'!$K$4:$K$2020='7층~4층_매핑테이블'!AE220),0))</f>
        <v>0</v>
      </c>
    </row>
    <row r="221" spans="1:32" x14ac:dyDescent="0.25">
      <c r="A221" t="str">
        <f t="shared" si="284"/>
        <v/>
      </c>
      <c r="B221" s="217"/>
      <c r="C221" s="217"/>
      <c r="D221" s="2989" t="str">
        <f t="shared" si="244"/>
        <v/>
      </c>
      <c r="E221" s="2989" t="str">
        <f t="shared" si="264"/>
        <v/>
      </c>
      <c r="F221" s="2989" t="str">
        <f t="shared" si="258"/>
        <v/>
      </c>
      <c r="G221" s="2989" t="str">
        <f t="shared" si="259"/>
        <v/>
      </c>
      <c r="H221" s="2989" cm="1">
        <f t="array" ref="H221">INDEX('각층분기별_유효전력최대(전월)'!$C$4:$C$2020,MATCH(1, ('각층분기별_유효전력최대(전월)'!$A$4:$A$2020='7층~4층_매핑테이블'!D221) * ('각층분기별_유효전력최대(전월)'!$B$4:$B$2020='7층~4층_매핑테이블'!E221),0)) + INDEX('각층분기별_유효전력최대(전월)'!$C$4:$C$2020,MATCH(1, ('각층분기별_유효전력최대(전월)'!$A$4:$A$2020='7층~4층_매핑테이블'!F221) * ('각층분기별_유효전력최대(전월)'!$B$4:$B$2020='7층~4층_매핑테이블'!G221),0))</f>
        <v>0</v>
      </c>
      <c r="I221" t="str">
        <f t="shared" si="276"/>
        <v/>
      </c>
      <c r="J221" s="217"/>
      <c r="K221" s="217"/>
      <c r="L221" t="str">
        <f t="shared" si="265"/>
        <v/>
      </c>
      <c r="M221" t="str">
        <f>IF(IF(LEN((MID(J221,22,2)))=1, "[branch#0"&amp;0&amp;MID(J221,22,2)&amp;"] [A] W", "[branch#0"&amp;MID(J221,22,2)&amp;"] [A] W")="[branch#0] [A] W", "", IF(LEN((MID(J221,22,2)))=1, "[branch#0"&amp;0&amp;MID(J221,22,2)&amp;"] [A] W", "[branch#0"&amp;MID(J221,22,2)&amp;"] [A] W"))</f>
        <v/>
      </c>
      <c r="N221" t="str">
        <f t="shared" si="277"/>
        <v/>
      </c>
      <c r="O221" t="str">
        <f>IF(IF(LEN((MID(K221,22,2)))=1, "[branch#0"&amp;0&amp;MID(K221,22,2)&amp;"] [A] W", "[branch#0"&amp;MID(K221,22,2)&amp;"] [A] W")="[branch#0] [A] W", "", IF(LEN((MID(K221,22,2)))=1, "[branch#0"&amp;0&amp;MID(K221,22,2)&amp;"] [A] W", "[branch#0"&amp;MID(K221,22,2)&amp;"] [A] W"))</f>
        <v/>
      </c>
      <c r="P221" s="2989" cm="1">
        <f t="array" ref="P221">INDEX('각층분기별_유효전력최대(전월)'!$F$4:$F$2020,MATCH(1, ('각층분기별_유효전력최대(전월)'!$D$4:$D$2020='7층~4층_매핑테이블'!L221) * ('각층분기별_유효전력최대(전월)'!$E$4:$E$2020='7층~4층_매핑테이블'!M221),0)) + INDEX('각층분기별_유효전력최대(전월)'!$F$4:$F$2020,MATCH(1, ('각층분기별_유효전력최대(전월)'!$D$4:$D$2020='7층~4층_매핑테이블'!N221) * ('각층분기별_유효전력최대(전월)'!$E$4:$E$2020='7층~4층_매핑테이블'!O221),0))</f>
        <v>0</v>
      </c>
      <c r="Q221" s="1" t="str">
        <f t="shared" si="279"/>
        <v>6-DaHall 1-PDU-01-30-136-DaHall 1-PDU-02-30-13</v>
      </c>
      <c r="R221" s="217" t="s">
        <v>10547</v>
      </c>
      <c r="S221" s="217" t="s">
        <v>10548</v>
      </c>
      <c r="T221" t="str">
        <f t="shared" si="269"/>
        <v>6-DaHall 1-PDU-01</v>
      </c>
      <c r="U221" t="str">
        <f t="shared" si="280"/>
        <v>[branch#013] [A] W</v>
      </c>
      <c r="V221" t="str">
        <f t="shared" si="281"/>
        <v>6-DaHall 1-PDU-02</v>
      </c>
      <c r="W221" t="str">
        <f t="shared" si="282"/>
        <v>[branch#013] [A] W</v>
      </c>
      <c r="X221" s="2989" cm="1">
        <f t="array" ref="X221">INDEX('각층분기별_유효전력최대(전월)'!$I$4:$I$2020,MATCH(1, ('각층분기별_유효전력최대(전월)'!$G$4:$G$2020='7층~4층_매핑테이블'!T221) * ('각층분기별_유효전력최대(전월)'!$H$4:$H$2020='7층~4층_매핑테이블'!U221),0)) + INDEX('각층분기별_유효전력최대(전월)'!$I$4:$I$2020,MATCH(1, ('각층분기별_유효전력최대(전월)'!$G$4:$G$2020='7층~4층_매핑테이블'!V221) * ('각층분기별_유효전력최대(전월)'!$H$4:$H$2020='7층~4층_매핑테이블'!W221),0))</f>
        <v>0</v>
      </c>
      <c r="Y221" s="3274" t="str">
        <f>Z221&amp;AA221</f>
        <v>7-DaHall 1-RPP-01-20-237-DaHall 1-RPP-02-30-12</v>
      </c>
      <c r="Z221" s="217" t="s">
        <v>10549</v>
      </c>
      <c r="AA221" s="217" t="s">
        <v>10550</v>
      </c>
      <c r="AB221" s="3274" t="str">
        <f>IF(MID(Z221,16,2)="0","",MID(Z221,1,15)&amp;MID(Z221,16,2))</f>
        <v>7-DaHall 1-RPP-01</v>
      </c>
      <c r="AC221" t="s">
        <v>9497</v>
      </c>
      <c r="AD221" t="str">
        <f t="shared" si="263"/>
        <v>7-DaHall 1-RPP-02</v>
      </c>
      <c r="AE221" t="s">
        <v>9509</v>
      </c>
      <c r="AF221" s="2989" cm="1">
        <f t="array" ref="AF221">INDEX('각층분기별_유효전력최대(전월)'!$L$4:$L$2020,MATCH(1, ('각층분기별_유효전력최대(전월)'!$J$4:$J$2020='7층~4층_매핑테이블'!AB221) * ('각층분기별_유효전력최대(전월)'!$K$4:$K$2020='7층~4층_매핑테이블'!AC221),0)) + INDEX('각층분기별_유효전력최대(전월)'!$L$4:$L$2020,MATCH(1, ('각층분기별_유효전력최대(전월)'!$J$4:$J$2020='7층~4층_매핑테이블'!AD221) * ('각층분기별_유효전력최대(전월)'!$K$4:$K$2020='7층~4층_매핑테이블'!AE221),0))</f>
        <v>1.288</v>
      </c>
    </row>
    <row r="222" spans="1:32" x14ac:dyDescent="0.25">
      <c r="A222" t="str">
        <f>B222&amp;C222</f>
        <v/>
      </c>
      <c r="B222" s="217"/>
      <c r="C222" s="217"/>
      <c r="D222" s="2989" t="str">
        <f t="shared" si="244"/>
        <v/>
      </c>
      <c r="E222" s="2989" t="str">
        <f t="shared" si="264"/>
        <v/>
      </c>
      <c r="F222" s="2989" t="str">
        <f>IF(MID(C222,16,2)="0","",MID(C222,1,15)&amp;MID(C222,16,2))</f>
        <v/>
      </c>
      <c r="G222" s="2989" t="str">
        <f>IF(IF(LEN(MID(C222,23,2))=1, "[branch#0"&amp;0&amp;MID(C222,23,2)&amp;"] [A] W", "[branch#0"&amp;MID(C222,23,2)&amp;"] [A] W")="[branch#0] [A] W", "", IF(LEN(MID(C222,23,2))=1, "[branch#0"&amp;0&amp;MID(C222,23,2)&amp;"] [A] W", "[branch#0"&amp;MID(C222,23,2)&amp;"] [A] W"))</f>
        <v/>
      </c>
      <c r="H222" s="2989" cm="1">
        <f t="array" ref="H222">INDEX('각층분기별_유효전력최대(전월)'!$C$4:$C$2020,MATCH(1, ('각층분기별_유효전력최대(전월)'!$A$4:$A$2020='7층~4층_매핑테이블'!D222) * ('각층분기별_유효전력최대(전월)'!$B$4:$B$2020='7층~4층_매핑테이블'!E222),0)) + INDEX('각층분기별_유효전력최대(전월)'!$C$4:$C$2020,MATCH(1, ('각층분기별_유효전력최대(전월)'!$A$4:$A$2020='7층~4층_매핑테이블'!F222) * ('각층분기별_유효전력최대(전월)'!$B$4:$B$2020='7층~4층_매핑테이블'!G222),0))</f>
        <v>0</v>
      </c>
      <c r="I222" t="str">
        <f t="shared" si="276"/>
        <v/>
      </c>
      <c r="J222" s="217"/>
      <c r="K222" s="217"/>
      <c r="L222" t="str">
        <f t="shared" si="265"/>
        <v/>
      </c>
      <c r="M222" t="str">
        <f t="shared" ref="M222" si="288">IF(IF(LEN((MID(J222,22,2)))=1, "[branch#0"&amp;0&amp;MID(J222,22,2)&amp;"] [A] W", "[branch#0"&amp;MID(J222,22,2)&amp;"] [A] W")="[branch#0] [A] W", "", IF(LEN((MID(J222,22,2)))=1, "[branch#0"&amp;0&amp;MID(J222,22,2)&amp;"] [A] W", "[branch#0"&amp;MID(J222,22,2)&amp;"] [A] W"))</f>
        <v/>
      </c>
      <c r="N222" t="str">
        <f t="shared" si="277"/>
        <v/>
      </c>
      <c r="O222" t="str">
        <f t="shared" si="285"/>
        <v/>
      </c>
      <c r="P222" s="2989" cm="1">
        <f t="array" ref="P222">INDEX('각층분기별_유효전력최대(전월)'!$F$4:$F$2020,MATCH(1, ('각층분기별_유효전력최대(전월)'!$D$4:$D$2020='7층~4층_매핑테이블'!L222) * ('각층분기별_유효전력최대(전월)'!$E$4:$E$2020='7층~4층_매핑테이블'!M222),0)) + INDEX('각층분기별_유효전력최대(전월)'!$F$4:$F$2020,MATCH(1, ('각층분기별_유효전력최대(전월)'!$D$4:$D$2020='7층~4층_매핑테이블'!N222) * ('각층분기별_유효전력최대(전월)'!$E$4:$E$2020='7층~4층_매핑테이블'!O222),0))</f>
        <v>0</v>
      </c>
      <c r="Q222" s="1" t="str">
        <f t="shared" si="279"/>
        <v>6-DaHall 1-PDU-01-30-116-DaHall 1-PDU-02-30-11</v>
      </c>
      <c r="R222" s="217" t="s">
        <v>10551</v>
      </c>
      <c r="S222" s="217" t="s">
        <v>10552</v>
      </c>
      <c r="T222" t="str">
        <f t="shared" si="269"/>
        <v>6-DaHall 1-PDU-01</v>
      </c>
      <c r="U222" t="str">
        <f t="shared" si="280"/>
        <v>[branch#011] [A] W</v>
      </c>
      <c r="V222" t="str">
        <f t="shared" si="281"/>
        <v>6-DaHall 1-PDU-02</v>
      </c>
      <c r="W222" t="str">
        <f t="shared" si="282"/>
        <v>[branch#011] [A] W</v>
      </c>
      <c r="X222" s="2989" cm="1">
        <f t="array" ref="X222">INDEX('각층분기별_유효전력최대(전월)'!$I$4:$I$2020,MATCH(1, ('각층분기별_유효전력최대(전월)'!$G$4:$G$2020='7층~4층_매핑테이블'!T222) * ('각층분기별_유효전력최대(전월)'!$H$4:$H$2020='7층~4층_매핑테이블'!U222),0)) + INDEX('각층분기별_유효전력최대(전월)'!$I$4:$I$2020,MATCH(1, ('각층분기별_유효전력최대(전월)'!$G$4:$G$2020='7층~4층_매핑테이블'!V222) * ('각층분기별_유효전력최대(전월)'!$H$4:$H$2020='7층~4층_매핑테이블'!W222),0))</f>
        <v>0</v>
      </c>
      <c r="Y222" s="3274" t="str">
        <f t="shared" ref="Y222:Y224" si="289">Z222&amp;AA222</f>
        <v>7-DaHall 1-RPP-01-20-377-DaHall 1-RPP-02-30-8</v>
      </c>
      <c r="Z222" s="217" t="s">
        <v>10553</v>
      </c>
      <c r="AA222" s="217" t="s">
        <v>10554</v>
      </c>
      <c r="AB222" s="3274" t="str">
        <f>IF(MID(Z222,16,2)="0","",MID(Z222,1,15)&amp;MID(Z222,16,2))</f>
        <v>7-DaHall 1-RPP-01</v>
      </c>
      <c r="AC222" t="s">
        <v>9381</v>
      </c>
      <c r="AD222" t="str">
        <f t="shared" si="263"/>
        <v>7-DaHall 1-RPP-02</v>
      </c>
      <c r="AE222" t="s">
        <v>9492</v>
      </c>
      <c r="AF222" s="2989" cm="1">
        <f t="array" ref="AF222">INDEX('각층분기별_유효전력최대(전월)'!$L$4:$L$2020,MATCH(1, ('각층분기별_유효전력최대(전월)'!$J$4:$J$2020='7층~4층_매핑테이블'!AB222) * ('각층분기별_유효전력최대(전월)'!$K$4:$K$2020='7층~4층_매핑테이블'!AC222),0)) + INDEX('각층분기별_유효전력최대(전월)'!$L$4:$L$2020,MATCH(1, ('각층분기별_유효전력최대(전월)'!$J$4:$J$2020='7층~4층_매핑테이블'!AD222) * ('각층분기별_유효전력최대(전월)'!$K$4:$K$2020='7층~4층_매핑테이블'!AE222),0))</f>
        <v>2.8010000000000002</v>
      </c>
    </row>
    <row r="223" spans="1:32" x14ac:dyDescent="0.25">
      <c r="A223" t="str">
        <f>B223&amp;C223</f>
        <v>4-DaHall 1-PDU-04-100-54-DaHall 1-PDU-03-100-5</v>
      </c>
      <c r="B223" s="217" t="s">
        <v>10555</v>
      </c>
      <c r="C223" s="217" t="s">
        <v>10556</v>
      </c>
      <c r="D223" s="2989" t="str">
        <f t="shared" si="244"/>
        <v>4-DaHall 1-PDU-04</v>
      </c>
      <c r="E223" s="2989" t="str">
        <f t="shared" si="264"/>
        <v>[branch#005] [A] W</v>
      </c>
      <c r="F223" s="2989" t="str">
        <f>IF(MID(C223,16,2)="0","",MID(C223,1,15)&amp;MID(C223,16,2))</f>
        <v>4-DaHall 1-PDU-03</v>
      </c>
      <c r="G223" s="2989" t="str">
        <f>IF(IF(LEN(MID(C223,23,2))=1, "[branch#0"&amp;0&amp;MID(C223,23,2)&amp;"] [A] W", "[branch#0"&amp;MID(C223,23,2)&amp;"] [A] W")="[branch#0] [A] W", "", IF(LEN(MID(C223,23,2))=1, "[branch#0"&amp;0&amp;MID(C223,23,2)&amp;"] [A] W", "[branch#0"&amp;MID(C223,23,2)&amp;"] [A] W"))</f>
        <v>[branch#005] [A] W</v>
      </c>
      <c r="H223" s="2989" cm="1">
        <f t="array" ref="H223">INDEX('각층분기별_유효전력최대(전월)'!$C$4:$C$2020,MATCH(1, ('각층분기별_유효전력최대(전월)'!$A$4:$A$2020='7층~4층_매핑테이블'!D223) * ('각층분기별_유효전력최대(전월)'!$B$4:$B$2020='7층~4층_매핑테이블'!E223),0)) + INDEX('각층분기별_유효전력최대(전월)'!$C$4:$C$2020,MATCH(1, ('각층분기별_유효전력최대(전월)'!$A$4:$A$2020='7층~4층_매핑테이블'!F223) * ('각층분기별_유효전력최대(전월)'!$B$4:$B$2020='7층~4층_매핑테이블'!G223),0))</f>
        <v>3.5090000000000003</v>
      </c>
      <c r="I223" t="str">
        <f t="shared" si="276"/>
        <v>5-DaHall 1-PDU-05-30-185-DaHall 1-PDU-06-30-20</v>
      </c>
      <c r="J223" s="217" t="s">
        <v>10557</v>
      </c>
      <c r="K223" s="217" t="s">
        <v>10558</v>
      </c>
      <c r="L223" t="str">
        <f t="shared" si="265"/>
        <v>5-DaHall 1-PDU-05</v>
      </c>
      <c r="M223" t="str">
        <f>IF(IF(LEN((MID(J223,22,2)))=1, "[branch#0"&amp;0&amp;MID(J223,22,2)&amp;"] [A] W", "[branch#0"&amp;MID(J223,22,2)&amp;"] [A] W")="[branch#0] [A] W", "", IF(LEN((MID(J223,22,2)))=1, "[branch#0"&amp;0&amp;MID(J223,22,2)&amp;"] [A] W", "[branch#0"&amp;MID(J223,22,2)&amp;"] [A] W"))</f>
        <v>[branch#018] [A] W</v>
      </c>
      <c r="N223" t="str">
        <f t="shared" si="277"/>
        <v>5-DaHall 1-PDU-06</v>
      </c>
      <c r="O223" t="str">
        <f>IF(IF(LEN((MID(K223,22,2)))=1, "[branch#0"&amp;0&amp;MID(K223,22,2)&amp;"] [A] W", "[branch#0"&amp;MID(K223,22,2)&amp;"] [A] W")="[branch#0] [A] W", "", IF(LEN((MID(K223,22,2)))=1, "[branch#0"&amp;0&amp;MID(K223,22,2)&amp;"] [A] W", "[branch#0"&amp;MID(K223,22,2)&amp;"] [A] W"))</f>
        <v>[branch#020] [A] W</v>
      </c>
      <c r="P223" s="2989" cm="1">
        <f t="array" ref="P223">INDEX('각층분기별_유효전력최대(전월)'!$F$4:$F$2020,MATCH(1, ('각층분기별_유효전력최대(전월)'!$D$4:$D$2020='7층~4층_매핑테이블'!L223) * ('각층분기별_유효전력최대(전월)'!$E$4:$E$2020='7층~4층_매핑테이블'!M223),0)) + INDEX('각층분기별_유효전력최대(전월)'!$F$4:$F$2020,MATCH(1, ('각층분기별_유효전력최대(전월)'!$D$4:$D$2020='7층~4층_매핑테이블'!N223) * ('각층분기별_유효전력최대(전월)'!$E$4:$E$2020='7층~4층_매핑테이블'!O223),0))</f>
        <v>0</v>
      </c>
      <c r="Q223" s="1" t="str">
        <f t="shared" si="279"/>
        <v>6-DaHall 1-PDU-01-30-96-DaHall 1-PDU-02-30-9</v>
      </c>
      <c r="R223" s="217" t="s">
        <v>10559</v>
      </c>
      <c r="S223" s="217" t="s">
        <v>10560</v>
      </c>
      <c r="T223" t="str">
        <f t="shared" si="269"/>
        <v>6-DaHall 1-PDU-01</v>
      </c>
      <c r="U223" t="str">
        <f t="shared" si="280"/>
        <v>[branch#009] [A] W</v>
      </c>
      <c r="V223" t="str">
        <f t="shared" si="281"/>
        <v>6-DaHall 1-PDU-02</v>
      </c>
      <c r="W223" t="str">
        <f t="shared" si="282"/>
        <v>[branch#009] [A] W</v>
      </c>
      <c r="X223" s="2989" cm="1">
        <f t="array" ref="X223">INDEX('각층분기별_유효전력최대(전월)'!$I$4:$I$2020,MATCH(1, ('각층분기별_유효전력최대(전월)'!$G$4:$G$2020='7층~4층_매핑테이블'!T223) * ('각층분기별_유효전력최대(전월)'!$H$4:$H$2020='7층~4층_매핑테이블'!U223),0)) + INDEX('각층분기별_유효전력최대(전월)'!$I$4:$I$2020,MATCH(1, ('각층분기별_유효전력최대(전월)'!$G$4:$G$2020='7층~4층_매핑테이블'!V223) * ('각층분기별_유효전력최대(전월)'!$H$4:$H$2020='7층~4층_매핑테이블'!W223),0))</f>
        <v>0</v>
      </c>
      <c r="Y223" s="3274" t="str">
        <f t="shared" si="289"/>
        <v>7-DaHall 1-PDU-01-30-107-DaHall 1-PDU-02-30-10</v>
      </c>
      <c r="Z223" s="217" t="s">
        <v>10561</v>
      </c>
      <c r="AA223" s="217" t="s">
        <v>10562</v>
      </c>
      <c r="AB223" s="3274" t="str">
        <f t="shared" ref="AB223:AB224" si="290">IF(MID(Z223,16,2)="0","",MID(Z223,1,15)&amp;MID(Z223,16,2))</f>
        <v>7-DaHall 1-PDU-01</v>
      </c>
      <c r="AC223" t="s">
        <v>9500</v>
      </c>
      <c r="AD223" t="str">
        <f t="shared" si="263"/>
        <v>7-DaHall 1-PDU-02</v>
      </c>
      <c r="AE223" t="s">
        <v>9500</v>
      </c>
      <c r="AF223" s="2989" cm="1">
        <f t="array" ref="AF223">INDEX('각층분기별_유효전력최대(전월)'!$L$4:$L$2020,MATCH(1, ('각층분기별_유효전력최대(전월)'!$J$4:$J$2020='7층~4층_매핑테이블'!AB223) * ('각층분기별_유효전력최대(전월)'!$K$4:$K$2020='7층~4층_매핑테이블'!AC223),0)) + INDEX('각층분기별_유효전력최대(전월)'!$L$4:$L$2020,MATCH(1, ('각층분기별_유효전력최대(전월)'!$J$4:$J$2020='7층~4층_매핑테이블'!AD223) * ('각층분기별_유효전력최대(전월)'!$K$4:$K$2020='7층~4층_매핑테이블'!AE223),0))</f>
        <v>1.4900000000000002</v>
      </c>
    </row>
    <row r="224" spans="1:32" x14ac:dyDescent="0.25">
      <c r="A224" t="str">
        <f t="shared" ref="A224:A287" si="291">B224&amp;C224</f>
        <v/>
      </c>
      <c r="D224" s="2989" t="str">
        <f t="shared" si="244"/>
        <v/>
      </c>
      <c r="E224" s="2989" t="str">
        <f t="shared" si="264"/>
        <v/>
      </c>
      <c r="F224" s="2989" t="str">
        <f t="shared" ref="F224:F287" si="292">IF(MID(C224,16,2)="0","",MID(C224,1,15)&amp;MID(C224,16,2))</f>
        <v/>
      </c>
      <c r="G224" s="2989" t="str">
        <f t="shared" ref="G224:G287" si="293">IF(IF(LEN(MID(C224,23,2))=1, "[branch#0"&amp;0&amp;MID(C224,23,2)&amp;"] [A] W", "[branch#0"&amp;MID(C224,23,2)&amp;"] [A] W")="[branch#0] [A] W", "", IF(LEN(MID(C224,23,2))=1, "[branch#0"&amp;0&amp;MID(C224,23,2)&amp;"] [A] W", "[branch#0"&amp;MID(C224,23,2)&amp;"] [A] W"))</f>
        <v/>
      </c>
      <c r="H224" s="2989" cm="1">
        <f t="array" ref="H224">INDEX('각층분기별_유효전력최대(전월)'!$C$4:$C$2020,MATCH(1, ('각층분기별_유효전력최대(전월)'!$A$4:$A$2020='7층~4층_매핑테이블'!D224) * ('각층분기별_유효전력최대(전월)'!$B$4:$B$2020='7층~4층_매핑테이블'!E224),0)) + INDEX('각층분기별_유효전력최대(전월)'!$C$4:$C$2020,MATCH(1, ('각층분기별_유효전력최대(전월)'!$A$4:$A$2020='7층~4층_매핑테이블'!F224) * ('각층분기별_유효전력최대(전월)'!$B$4:$B$2020='7층~4층_매핑테이블'!G224),0))</f>
        <v>0</v>
      </c>
      <c r="I224" t="str">
        <f t="shared" si="276"/>
        <v>5-DaHall 1-PDU-05-30-205-DaHall 1-PDU-06-30-22</v>
      </c>
      <c r="J224" s="217" t="s">
        <v>10563</v>
      </c>
      <c r="K224" s="217" t="s">
        <v>10564</v>
      </c>
      <c r="L224" t="str">
        <f t="shared" si="265"/>
        <v>5-DaHall 1-PDU-05</v>
      </c>
      <c r="M224" t="str">
        <f t="shared" ref="M224:M230" si="294">IF(IF(LEN((MID(J224,22,2)))=1, "[branch#0"&amp;0&amp;MID(J224,22,2)&amp;"] [A] W", "[branch#0"&amp;MID(J224,22,2)&amp;"] [A] W")="[branch#0] [A] W", "", IF(LEN((MID(J224,22,2)))=1, "[branch#0"&amp;0&amp;MID(J224,22,2)&amp;"] [A] W", "[branch#0"&amp;MID(J224,22,2)&amp;"] [A] W"))</f>
        <v>[branch#020] [A] W</v>
      </c>
      <c r="N224" t="str">
        <f t="shared" si="277"/>
        <v>5-DaHall 1-PDU-06</v>
      </c>
      <c r="O224" t="str">
        <f t="shared" si="285"/>
        <v>[branch#022] [A] W</v>
      </c>
      <c r="P224" s="2989" cm="1">
        <f t="array" ref="P224">INDEX('각층분기별_유효전력최대(전월)'!$F$4:$F$2020,MATCH(1, ('각층분기별_유효전력최대(전월)'!$D$4:$D$2020='7층~4층_매핑테이블'!L224) * ('각층분기별_유효전력최대(전월)'!$E$4:$E$2020='7층~4층_매핑테이블'!M224),0)) + INDEX('각층분기별_유효전력최대(전월)'!$F$4:$F$2020,MATCH(1, ('각층분기별_유효전력최대(전월)'!$D$4:$D$2020='7층~4층_매핑테이블'!N224) * ('각층분기별_유효전력최대(전월)'!$E$4:$E$2020='7층~4층_매핑테이블'!O224),0))</f>
        <v>0</v>
      </c>
      <c r="Q224" s="1" t="str">
        <f t="shared" si="279"/>
        <v>6-DaHall 1-PDU-01-30-76-DaHall 1-PDU-02-30-7</v>
      </c>
      <c r="R224" s="217" t="s">
        <v>10565</v>
      </c>
      <c r="S224" s="217" t="s">
        <v>10566</v>
      </c>
      <c r="T224" t="str">
        <f t="shared" si="269"/>
        <v>6-DaHall 1-PDU-01</v>
      </c>
      <c r="U224" t="str">
        <f t="shared" si="280"/>
        <v>[branch#007] [A] W</v>
      </c>
      <c r="V224" t="str">
        <f t="shared" si="281"/>
        <v>6-DaHall 1-PDU-02</v>
      </c>
      <c r="W224" t="str">
        <f t="shared" si="282"/>
        <v>[branch#007] [A] W</v>
      </c>
      <c r="X224" s="2989" cm="1">
        <f t="array" ref="X224">INDEX('각층분기별_유효전력최대(전월)'!$I$4:$I$2020,MATCH(1, ('각층분기별_유효전력최대(전월)'!$G$4:$G$2020='7층~4층_매핑테이블'!T224) * ('각층분기별_유효전력최대(전월)'!$H$4:$H$2020='7층~4층_매핑테이블'!U224),0)) + INDEX('각층분기별_유효전력최대(전월)'!$I$4:$I$2020,MATCH(1, ('각층분기별_유효전력최대(전월)'!$G$4:$G$2020='7층~4층_매핑테이블'!V224) * ('각층분기별_유효전력최대(전월)'!$H$4:$H$2020='7층~4층_매핑테이블'!W224),0))</f>
        <v>0</v>
      </c>
      <c r="Y224" s="3274" t="str">
        <f t="shared" si="289"/>
        <v>7-DaHall 1-PDU-01-30-427-DaHall 1-PDU-02-30-42</v>
      </c>
      <c r="Z224" s="217" t="s">
        <v>10567</v>
      </c>
      <c r="AA224" s="217" t="s">
        <v>10568</v>
      </c>
      <c r="AB224" s="3274" t="str">
        <f t="shared" si="290"/>
        <v>7-DaHall 1-PDU-01</v>
      </c>
      <c r="AC224" t="s">
        <v>9378</v>
      </c>
      <c r="AD224" t="str">
        <f t="shared" si="263"/>
        <v>7-DaHall 1-PDU-02</v>
      </c>
      <c r="AE224" t="s">
        <v>9378</v>
      </c>
      <c r="AF224" s="2989" cm="1">
        <f t="array" ref="AF224">INDEX('각층분기별_유효전력최대(전월)'!$L$4:$L$2020,MATCH(1, ('각층분기별_유효전력최대(전월)'!$J$4:$J$2020='7층~4층_매핑테이블'!AB224) * ('각층분기별_유효전력최대(전월)'!$K$4:$K$2020='7층~4층_매핑테이블'!AC224),0)) + INDEX('각층분기별_유효전력최대(전월)'!$L$4:$L$2020,MATCH(1, ('각층분기별_유효전력최대(전월)'!$J$4:$J$2020='7층~4층_매핑테이블'!AD224) * ('각층분기별_유효전력최대(전월)'!$K$4:$K$2020='7층~4층_매핑테이블'!AE224),0))</f>
        <v>1.6989999999999998</v>
      </c>
    </row>
    <row r="225" spans="1:32" x14ac:dyDescent="0.25">
      <c r="A225" t="str">
        <f t="shared" si="291"/>
        <v/>
      </c>
      <c r="D225" s="2989" t="str">
        <f t="shared" si="244"/>
        <v/>
      </c>
      <c r="E225" s="2989" t="str">
        <f t="shared" si="264"/>
        <v/>
      </c>
      <c r="F225" s="2989" t="str">
        <f t="shared" si="292"/>
        <v/>
      </c>
      <c r="G225" s="2989" t="str">
        <f t="shared" si="293"/>
        <v/>
      </c>
      <c r="H225" s="2989" cm="1">
        <f t="array" ref="H225">INDEX('각층분기별_유효전력최대(전월)'!$C$4:$C$2020,MATCH(1, ('각층분기별_유효전력최대(전월)'!$A$4:$A$2020='7층~4층_매핑테이블'!D225) * ('각층분기별_유효전력최대(전월)'!$B$4:$B$2020='7층~4층_매핑테이블'!E225),0)) + INDEX('각층분기별_유효전력최대(전월)'!$C$4:$C$2020,MATCH(1, ('각층분기별_유효전력최대(전월)'!$A$4:$A$2020='7층~4층_매핑테이블'!F225) * ('각층분기별_유효전력최대(전월)'!$B$4:$B$2020='7층~4층_매핑테이블'!G225),0))</f>
        <v>0</v>
      </c>
      <c r="I225" t="str">
        <f t="shared" si="276"/>
        <v>5-DaHall 1-PDU-05-30-225-DaHall 1-PDU-06-30-24</v>
      </c>
      <c r="J225" s="217" t="s">
        <v>10569</v>
      </c>
      <c r="K225" s="217" t="s">
        <v>10570</v>
      </c>
      <c r="L225" t="str">
        <f t="shared" si="265"/>
        <v>5-DaHall 1-PDU-05</v>
      </c>
      <c r="M225" t="str">
        <f t="shared" si="294"/>
        <v>[branch#022] [A] W</v>
      </c>
      <c r="N225" t="str">
        <f t="shared" si="277"/>
        <v>5-DaHall 1-PDU-06</v>
      </c>
      <c r="O225" t="str">
        <f t="shared" si="285"/>
        <v>[branch#024] [A] W</v>
      </c>
      <c r="P225" s="2989" cm="1">
        <f t="array" ref="P225">INDEX('각층분기별_유효전력최대(전월)'!$F$4:$F$2020,MATCH(1, ('각층분기별_유효전력최대(전월)'!$D$4:$D$2020='7층~4층_매핑테이블'!L225) * ('각층분기별_유효전력최대(전월)'!$E$4:$E$2020='7층~4층_매핑테이블'!M225),0)) + INDEX('각층분기별_유효전력최대(전월)'!$F$4:$F$2020,MATCH(1, ('각층분기별_유효전력최대(전월)'!$D$4:$D$2020='7층~4층_매핑테이블'!N225) * ('각층분기별_유효전력최대(전월)'!$E$4:$E$2020='7층~4층_매핑테이블'!O225),0))</f>
        <v>0</v>
      </c>
      <c r="Q225" s="1" t="str">
        <f t="shared" si="279"/>
        <v>6-DaHall 1-PDU--30-6-DaHall 1-PDU--30-</v>
      </c>
      <c r="R225" s="217" t="s">
        <v>10571</v>
      </c>
      <c r="S225" s="217" t="s">
        <v>10571</v>
      </c>
      <c r="T225" t="str">
        <f t="shared" si="269"/>
        <v>6-DaHall 1-PDU--3</v>
      </c>
      <c r="U225" t="str">
        <f>IF(IF(LEN((MID(R225,22,2)))=1, "[branch#0"&amp;0&amp;MID(R225,22,2)&amp;"] [A] W", "[branch#0"&amp;MID(R225,22,2)&amp;"] [A] W")="[branch#0] [A] W", "", IF(LEN((MID(R225,22,2)))=1, "[branch#0"&amp;0&amp;MID(R225,22,2)&amp;"] [A] W", "[branch#0"&amp;MID(R225,22,2)&amp;"] [A] W"))</f>
        <v/>
      </c>
      <c r="V225" t="str">
        <f t="shared" si="281"/>
        <v>6-DaHall 1-PDU--3</v>
      </c>
      <c r="W225" t="str">
        <f>IF(IF(LEN((MID(S225,22,2)))=1, "[branch#0"&amp;0&amp;MID(S225,22,2)&amp;"] [A] W", "[branch#0"&amp;MID(S225,22,2)&amp;"] [A] W")="[branch#0] [A] W", "", IF(LEN((MID(S225,22,2)))=1, "[branch#0"&amp;0&amp;MID(S225,22,2)&amp;"] [A] W", "[branch#0"&amp;MID(S225,22,2)&amp;"] [A] W"))</f>
        <v/>
      </c>
      <c r="X225" s="2989" t="e" cm="1">
        <f t="array" ref="X225">INDEX('각층분기별_유효전력최대(전월)'!$I$4:$I$2020,MATCH(1, ('각층분기별_유효전력최대(전월)'!$G$4:$G$2020='7층~4층_매핑테이블'!T225) * ('각층분기별_유효전력최대(전월)'!$H$4:$H$2020='7층~4층_매핑테이블'!U225),0)) + INDEX('각층분기별_유효전력최대(전월)'!$I$4:$I$2020,MATCH(1, ('각층분기별_유효전력최대(전월)'!$G$4:$G$2020='7층~4층_매핑테이블'!V225) * ('각층분기별_유효전력최대(전월)'!$H$4:$H$2020='7층~4층_매핑테이블'!W225),0))</f>
        <v>#N/A</v>
      </c>
      <c r="Y225" s="3274" t="str">
        <f>Z225&amp;AA225</f>
        <v/>
      </c>
      <c r="Z225" s="217"/>
      <c r="AA225" s="217"/>
      <c r="AB225" s="3274" t="str">
        <f>IF(MID(Z225,16,2)="0","",MID(Z225,1,15)&amp;MID(Z225,16,2))</f>
        <v/>
      </c>
      <c r="AD225" t="str">
        <f t="shared" si="263"/>
        <v/>
      </c>
      <c r="AF225" s="2989" cm="1">
        <f t="array" ref="AF225">INDEX('각층분기별_유효전력최대(전월)'!$L$4:$L$2020,MATCH(1, ('각층분기별_유효전력최대(전월)'!$J$4:$J$2020='7층~4층_매핑테이블'!AB225) * ('각층분기별_유효전력최대(전월)'!$K$4:$K$2020='7층~4층_매핑테이블'!AC225),0)) + INDEX('각층분기별_유효전력최대(전월)'!$L$4:$L$2020,MATCH(1, ('각층분기별_유효전력최대(전월)'!$J$4:$J$2020='7층~4층_매핑테이블'!AD225) * ('각층분기별_유효전력최대(전월)'!$K$4:$K$2020='7층~4층_매핑테이블'!AE225),0))</f>
        <v>0</v>
      </c>
    </row>
    <row r="226" spans="1:32" x14ac:dyDescent="0.25">
      <c r="A226" t="str">
        <f t="shared" si="291"/>
        <v/>
      </c>
      <c r="D226" s="2989" t="str">
        <f t="shared" si="244"/>
        <v/>
      </c>
      <c r="E226" s="2989" t="str">
        <f t="shared" si="264"/>
        <v/>
      </c>
      <c r="F226" s="2989" t="str">
        <f t="shared" si="292"/>
        <v/>
      </c>
      <c r="G226" s="2989" t="str">
        <f t="shared" si="293"/>
        <v/>
      </c>
      <c r="H226" s="2989" cm="1">
        <f t="array" ref="H226">INDEX('각층분기별_유효전력최대(전월)'!$C$4:$C$2020,MATCH(1, ('각층분기별_유효전력최대(전월)'!$A$4:$A$2020='7층~4층_매핑테이블'!D226) * ('각층분기별_유효전력최대(전월)'!$B$4:$B$2020='7층~4층_매핑테이블'!E226),0)) + INDEX('각층분기별_유효전력최대(전월)'!$C$4:$C$2020,MATCH(1, ('각층분기별_유효전력최대(전월)'!$A$4:$A$2020='7층~4층_매핑테이블'!F226) * ('각층분기별_유효전력최대(전월)'!$B$4:$B$2020='7층~4층_매핑테이블'!G226),0))</f>
        <v>0</v>
      </c>
      <c r="I226" t="str">
        <f t="shared" si="276"/>
        <v>5-DaHall 1-PDU-05-30-245-DaHall 1-PDU-06-30-26</v>
      </c>
      <c r="J226" s="217" t="s">
        <v>10572</v>
      </c>
      <c r="K226" s="217" t="s">
        <v>10573</v>
      </c>
      <c r="L226" t="str">
        <f t="shared" si="265"/>
        <v>5-DaHall 1-PDU-05</v>
      </c>
      <c r="M226" t="str">
        <f t="shared" si="294"/>
        <v>[branch#024] [A] W</v>
      </c>
      <c r="N226" t="str">
        <f t="shared" si="277"/>
        <v>5-DaHall 1-PDU-06</v>
      </c>
      <c r="O226" t="str">
        <f t="shared" si="285"/>
        <v>[branch#026] [A] W</v>
      </c>
      <c r="P226" s="2989" cm="1">
        <f t="array" ref="P226">INDEX('각층분기별_유효전력최대(전월)'!$F$4:$F$2020,MATCH(1, ('각층분기별_유효전력최대(전월)'!$D$4:$D$2020='7층~4층_매핑테이블'!L226) * ('각층분기별_유효전력최대(전월)'!$E$4:$E$2020='7층~4층_매핑테이블'!M226),0)) + INDEX('각층분기별_유효전력최대(전월)'!$F$4:$F$2020,MATCH(1, ('각층분기별_유효전력최대(전월)'!$D$4:$D$2020='7층~4층_매핑테이블'!N226) * ('각층분기별_유효전력최대(전월)'!$E$4:$E$2020='7층~4층_매핑테이블'!O226),0))</f>
        <v>0</v>
      </c>
      <c r="Q226" s="1" t="str">
        <f>R226&amp;S226</f>
        <v>6-DaHall 1-PDU--30-6-DaHall 1-PDU--30-</v>
      </c>
      <c r="R226" s="217" t="s">
        <v>10571</v>
      </c>
      <c r="S226" s="217" t="s">
        <v>10571</v>
      </c>
      <c r="T226" t="str">
        <f t="shared" si="269"/>
        <v>6-DaHall 1-PDU--3</v>
      </c>
      <c r="U226" t="str">
        <f t="shared" ref="U226:U227" si="295">IF(IF(LEN((MID(R226,22,2)))=1, "[branch#0"&amp;0&amp;MID(R226,22,2)&amp;"] [A] W", "[branch#0"&amp;MID(R226,22,2)&amp;"] [A] W")="[branch#0] [A] W", "", IF(LEN((MID(R226,22,2)))=1, "[branch#0"&amp;0&amp;MID(R226,22,2)&amp;"] [A] W", "[branch#0"&amp;MID(R226,22,2)&amp;"] [A] W"))</f>
        <v/>
      </c>
      <c r="V226" t="str">
        <f>IF(MID(S226,16,2)="0","",MID(S226,1,15)&amp;MID(S226,16,2))</f>
        <v>6-DaHall 1-PDU--3</v>
      </c>
      <c r="W226" t="str">
        <f t="shared" ref="W226:W227" si="296">IF(IF(LEN((MID(S226,22,2)))=1, "[branch#0"&amp;0&amp;MID(S226,22,2)&amp;"] [A] W", "[branch#0"&amp;MID(S226,22,2)&amp;"] [A] W")="[branch#0] [A] W", "", IF(LEN((MID(S226,22,2)))=1, "[branch#0"&amp;0&amp;MID(S226,22,2)&amp;"] [A] W", "[branch#0"&amp;MID(S226,22,2)&amp;"] [A] W"))</f>
        <v/>
      </c>
      <c r="X226" s="2989" t="e" cm="1">
        <f t="array" ref="X226">INDEX('각층분기별_유효전력최대(전월)'!$I$4:$I$2020,MATCH(1, ('각층분기별_유효전력최대(전월)'!$G$4:$G$2020='7층~4층_매핑테이블'!T226) * ('각층분기별_유효전력최대(전월)'!$H$4:$H$2020='7층~4층_매핑테이블'!U226),0)) + INDEX('각층분기별_유효전력최대(전월)'!$I$4:$I$2020,MATCH(1, ('각층분기별_유효전력최대(전월)'!$G$4:$G$2020='7층~4층_매핑테이블'!V226) * ('각층분기별_유효전력최대(전월)'!$H$4:$H$2020='7층~4층_매핑테이블'!W226),0))</f>
        <v>#N/A</v>
      </c>
      <c r="Y226" s="3274" t="str">
        <f t="shared" ref="Y226" si="297">Z226&amp;AA226</f>
        <v/>
      </c>
      <c r="Z226" s="217"/>
      <c r="AA226" s="217"/>
      <c r="AB226" s="3274" t="str">
        <f>IF(MID(Z226,16,2)="0","",MID(Z226,1,15)&amp;MID(Z226,16,2))</f>
        <v/>
      </c>
      <c r="AD226" t="str">
        <f t="shared" si="263"/>
        <v/>
      </c>
      <c r="AF226" s="2989" cm="1">
        <f t="array" ref="AF226">INDEX('각층분기별_유효전력최대(전월)'!$L$4:$L$2020,MATCH(1, ('각층분기별_유효전력최대(전월)'!$J$4:$J$2020='7층~4층_매핑테이블'!AB226) * ('각층분기별_유효전력최대(전월)'!$K$4:$K$2020='7층~4층_매핑테이블'!AC226),0)) + INDEX('각층분기별_유효전력최대(전월)'!$L$4:$L$2020,MATCH(1, ('각층분기별_유효전력최대(전월)'!$J$4:$J$2020='7층~4층_매핑테이블'!AD226) * ('각층분기별_유효전력최대(전월)'!$K$4:$K$2020='7층~4층_매핑테이블'!AE226),0))</f>
        <v>0</v>
      </c>
    </row>
    <row r="227" spans="1:32" x14ac:dyDescent="0.25">
      <c r="A227" t="str">
        <f t="shared" si="291"/>
        <v/>
      </c>
      <c r="D227" s="2989" t="str">
        <f t="shared" si="244"/>
        <v/>
      </c>
      <c r="E227" s="2989" t="str">
        <f t="shared" si="264"/>
        <v/>
      </c>
      <c r="F227" s="2989" t="str">
        <f t="shared" si="292"/>
        <v/>
      </c>
      <c r="G227" s="2989" t="str">
        <f t="shared" si="293"/>
        <v/>
      </c>
      <c r="H227" s="2989" cm="1">
        <f t="array" ref="H227">INDEX('각층분기별_유효전력최대(전월)'!$C$4:$C$2020,MATCH(1, ('각층분기별_유효전력최대(전월)'!$A$4:$A$2020='7층~4층_매핑테이블'!D227) * ('각층분기별_유효전력최대(전월)'!$B$4:$B$2020='7층~4층_매핑테이블'!E227),0)) + INDEX('각층분기별_유효전력최대(전월)'!$C$4:$C$2020,MATCH(1, ('각층분기별_유효전력최대(전월)'!$A$4:$A$2020='7층~4층_매핑테이블'!F227) * ('각층분기별_유효전력최대(전월)'!$B$4:$B$2020='7층~4층_매핑테이블'!G227),0))</f>
        <v>0</v>
      </c>
      <c r="I227" t="str">
        <f t="shared" si="276"/>
        <v>5-DaHall 1-PDU-05-30-265-DaHall 1-PDU-06-30-28</v>
      </c>
      <c r="J227" s="217" t="s">
        <v>10574</v>
      </c>
      <c r="K227" s="217" t="s">
        <v>10575</v>
      </c>
      <c r="L227" t="str">
        <f t="shared" si="265"/>
        <v>5-DaHall 1-PDU-05</v>
      </c>
      <c r="M227" t="str">
        <f t="shared" si="294"/>
        <v>[branch#026] [A] W</v>
      </c>
      <c r="N227" t="str">
        <f t="shared" si="277"/>
        <v>5-DaHall 1-PDU-06</v>
      </c>
      <c r="O227" t="str">
        <f t="shared" si="285"/>
        <v>[branch#028] [A] W</v>
      </c>
      <c r="P227" s="2989" cm="1">
        <f t="array" ref="P227">INDEX('각층분기별_유효전력최대(전월)'!$F$4:$F$2020,MATCH(1, ('각층분기별_유효전력최대(전월)'!$D$4:$D$2020='7층~4층_매핑테이블'!L227) * ('각층분기별_유효전력최대(전월)'!$E$4:$E$2020='7층~4층_매핑테이블'!M227),0)) + INDEX('각층분기별_유효전력최대(전월)'!$F$4:$F$2020,MATCH(1, ('각층분기별_유효전력최대(전월)'!$D$4:$D$2020='7층~4층_매핑테이블'!N227) * ('각층분기별_유효전력최대(전월)'!$E$4:$E$2020='7층~4층_매핑테이블'!O227),0))</f>
        <v>0</v>
      </c>
      <c r="Q227" s="1" t="str">
        <f t="shared" si="279"/>
        <v>6-DaHall 1-PDU--30-6-DaHall 1-PDU--30-</v>
      </c>
      <c r="R227" s="217" t="s">
        <v>10571</v>
      </c>
      <c r="S227" s="217" t="s">
        <v>10571</v>
      </c>
      <c r="T227" t="str">
        <f t="shared" si="269"/>
        <v>6-DaHall 1-PDU--3</v>
      </c>
      <c r="U227" t="str">
        <f t="shared" si="295"/>
        <v/>
      </c>
      <c r="V227" t="str">
        <f t="shared" si="281"/>
        <v>6-DaHall 1-PDU--3</v>
      </c>
      <c r="W227" t="str">
        <f t="shared" si="296"/>
        <v/>
      </c>
      <c r="X227" s="2989" t="e" cm="1">
        <f t="array" ref="X227">INDEX('각층분기별_유효전력최대(전월)'!$I$4:$I$2020,MATCH(1, ('각층분기별_유효전력최대(전월)'!$G$4:$G$2020='7층~4층_매핑테이블'!T227) * ('각층분기별_유효전력최대(전월)'!$H$4:$H$2020='7층~4층_매핑테이블'!U227),0)) + INDEX('각층분기별_유효전력최대(전월)'!$I$4:$I$2020,MATCH(1, ('각층분기별_유효전력최대(전월)'!$G$4:$G$2020='7층~4층_매핑테이블'!V227) * ('각층분기별_유효전력최대(전월)'!$H$4:$H$2020='7층~4층_매핑테이블'!W227),0))</f>
        <v>#N/A</v>
      </c>
      <c r="Y227" s="3274" t="str">
        <f>Z227&amp;AA227</f>
        <v>7-DaHall 1-PDU-01-30-347-DaHall 1-PDU-02-30-34</v>
      </c>
      <c r="Z227" s="217" t="s">
        <v>10576</v>
      </c>
      <c r="AA227" s="217" t="s">
        <v>10577</v>
      </c>
      <c r="AB227" s="3274" t="str">
        <f>IF(MID(Z227,16,2)="0","",MID(Z227,1,15)&amp;MID(Z227,16,2))</f>
        <v>7-DaHall 1-PDU-01</v>
      </c>
      <c r="AC227" t="s">
        <v>9468</v>
      </c>
      <c r="AD227" t="str">
        <f t="shared" si="263"/>
        <v>7-DaHall 1-PDU-02</v>
      </c>
      <c r="AE227" t="s">
        <v>9468</v>
      </c>
      <c r="AF227" s="2989" cm="1">
        <f t="array" ref="AF227">INDEX('각층분기별_유효전력최대(전월)'!$L$4:$L$2020,MATCH(1, ('각층분기별_유효전력최대(전월)'!$J$4:$J$2020='7층~4층_매핑테이블'!AB227) * ('각층분기별_유효전력최대(전월)'!$K$4:$K$2020='7층~4층_매핑테이블'!AC227),0)) + INDEX('각층분기별_유효전력최대(전월)'!$L$4:$L$2020,MATCH(1, ('각층분기별_유효전력최대(전월)'!$J$4:$J$2020='7층~4층_매핑테이블'!AD227) * ('각층분기별_유효전력최대(전월)'!$K$4:$K$2020='7층~4층_매핑테이블'!AE227),0))</f>
        <v>0</v>
      </c>
    </row>
    <row r="228" spans="1:32" x14ac:dyDescent="0.25">
      <c r="A228" t="str">
        <f t="shared" si="291"/>
        <v/>
      </c>
      <c r="D228" s="2989" t="str">
        <f t="shared" si="244"/>
        <v/>
      </c>
      <c r="E228" s="2989" t="str">
        <f t="shared" si="264"/>
        <v/>
      </c>
      <c r="F228" s="2989" t="str">
        <f t="shared" si="292"/>
        <v/>
      </c>
      <c r="G228" s="2989" t="str">
        <f t="shared" si="293"/>
        <v/>
      </c>
      <c r="H228" s="2989" cm="1">
        <f t="array" ref="H228">INDEX('각층분기별_유효전력최대(전월)'!$C$4:$C$2020,MATCH(1, ('각층분기별_유효전력최대(전월)'!$A$4:$A$2020='7층~4층_매핑테이블'!D228) * ('각층분기별_유효전력최대(전월)'!$B$4:$B$2020='7층~4층_매핑테이블'!E228),0)) + INDEX('각층분기별_유효전력최대(전월)'!$C$4:$C$2020,MATCH(1, ('각층분기별_유효전력최대(전월)'!$A$4:$A$2020='7층~4층_매핑테이블'!F228) * ('각층분기별_유효전력최대(전월)'!$B$4:$B$2020='7층~4층_매핑테이블'!G228),0))</f>
        <v>0</v>
      </c>
      <c r="I228" t="str">
        <f t="shared" si="276"/>
        <v>5-DaHall 1-PDU-05-30-285-DaHall 1-PDU-06-30-30</v>
      </c>
      <c r="J228" s="217" t="s">
        <v>10578</v>
      </c>
      <c r="K228" s="217" t="s">
        <v>10579</v>
      </c>
      <c r="L228" t="str">
        <f t="shared" si="265"/>
        <v>5-DaHall 1-PDU-05</v>
      </c>
      <c r="M228" t="str">
        <f t="shared" si="294"/>
        <v>[branch#028] [A] W</v>
      </c>
      <c r="N228" t="str">
        <f t="shared" si="277"/>
        <v>5-DaHall 1-PDU-06</v>
      </c>
      <c r="O228" t="str">
        <f t="shared" si="285"/>
        <v>[branch#030] [A] W</v>
      </c>
      <c r="P228" s="2989" cm="1">
        <f t="array" ref="P228">INDEX('각층분기별_유효전력최대(전월)'!$F$4:$F$2020,MATCH(1, ('각층분기별_유효전력최대(전월)'!$D$4:$D$2020='7층~4층_매핑테이블'!L228) * ('각층분기별_유효전력최대(전월)'!$E$4:$E$2020='7층~4층_매핑테이블'!M228),0)) + INDEX('각층분기별_유효전력최대(전월)'!$F$4:$F$2020,MATCH(1, ('각층분기별_유효전력최대(전월)'!$D$4:$D$2020='7층~4층_매핑테이블'!N228) * ('각층분기별_유효전력최대(전월)'!$E$4:$E$2020='7층~4층_매핑테이블'!O228),0))</f>
        <v>0</v>
      </c>
      <c r="Q228" s="1" t="str">
        <f>R228&amp;S228</f>
        <v>6-DaHall 1-PDU-01-30-26-DaHall 1-PDU-02-30-2</v>
      </c>
      <c r="R228" s="217" t="s">
        <v>10580</v>
      </c>
      <c r="S228" s="217" t="s">
        <v>10581</v>
      </c>
      <c r="T228" t="str">
        <f t="shared" si="269"/>
        <v>6-DaHall 1-PDU-01</v>
      </c>
      <c r="U228" t="str">
        <f>IF(IF(LEN((MID(R228,22,2)))=1, "[branch#0"&amp;0&amp;MID(R228,22,2)&amp;"] [A] W", "[branch#0"&amp;MID(R228,22,2)&amp;"] [A] W")="[branch#0] [A] W", "", IF(LEN((MID(R228,22,2)))=1, "[branch#0"&amp;0&amp;MID(R228,22,2)&amp;"] [A] W", "[branch#0"&amp;MID(R228,22,2)&amp;"] [A] W"))</f>
        <v>[branch#002] [A] W</v>
      </c>
      <c r="V228" t="str">
        <f>IF(MID(S228,16,2)="0","",MID(S228,1,15)&amp;MID(S228,16,2))</f>
        <v>6-DaHall 1-PDU-02</v>
      </c>
      <c r="W228" t="str">
        <f>IF(IF(LEN((MID(S228,22,2)))=1, "[branch#0"&amp;0&amp;MID(S228,22,2)&amp;"] [A] W", "[branch#0"&amp;MID(S228,22,2)&amp;"] [A] W")="[branch#0] [A] W", "", IF(LEN((MID(S228,22,2)))=1, "[branch#0"&amp;0&amp;MID(S228,22,2)&amp;"] [A] W", "[branch#0"&amp;MID(S228,22,2)&amp;"] [A] W"))</f>
        <v>[branch#002] [A] W</v>
      </c>
      <c r="X228" s="2989" cm="1">
        <f t="array" ref="X228">INDEX('각층분기별_유효전력최대(전월)'!$I$4:$I$2020,MATCH(1, ('각층분기별_유효전력최대(전월)'!$G$4:$G$2020='7층~4층_매핑테이블'!T228) * ('각층분기별_유효전력최대(전월)'!$H$4:$H$2020='7층~4층_매핑테이블'!U228),0)) + INDEX('각층분기별_유효전력최대(전월)'!$I$4:$I$2020,MATCH(1, ('각층분기별_유효전력최대(전월)'!$G$4:$G$2020='7층~4층_매핑테이블'!V228) * ('각층분기별_유효전력최대(전월)'!$H$4:$H$2020='7층~4층_매핑테이블'!W228),0))</f>
        <v>0.58200000000000007</v>
      </c>
      <c r="Y228" s="3274" t="str">
        <f t="shared" ref="Y228:Y229" si="298">Z228&amp;AA228</f>
        <v>7-DaHall 1-B-5-100-487-DaHall 1-B-1-100-41</v>
      </c>
      <c r="Z228" s="217" t="s">
        <v>10582</v>
      </c>
      <c r="AA228" s="217" t="s">
        <v>10583</v>
      </c>
      <c r="AB228" s="3274" t="str">
        <f>IF(MID(Z228,16,2)="0","",MID(Z228,1,15)&amp;MID(Z228,16,2))</f>
        <v>7-DaHall 1-B-5-10</v>
      </c>
      <c r="AC228" t="s">
        <v>9524</v>
      </c>
      <c r="AD228" t="str">
        <f t="shared" si="263"/>
        <v>7-DaHall 1-B-1-10</v>
      </c>
      <c r="AE228" t="s">
        <v>9481</v>
      </c>
      <c r="AF228" s="2989" t="e" cm="1">
        <f t="array" ref="AF228">INDEX('각층분기별_유효전력최대(전월)'!$L$4:$L$2020,MATCH(1, ('각층분기별_유효전력최대(전월)'!$J$4:$J$2020='7층~4층_매핑테이블'!AB228) * ('각층분기별_유효전력최대(전월)'!$K$4:$K$2020='7층~4층_매핑테이블'!AC228),0)) + INDEX('각층분기별_유효전력최대(전월)'!$L$4:$L$2020,MATCH(1, ('각층분기별_유효전력최대(전월)'!$J$4:$J$2020='7층~4층_매핑테이블'!AD228) * ('각층분기별_유효전력최대(전월)'!$K$4:$K$2020='7층~4층_매핑테이블'!AE228),0))</f>
        <v>#N/A</v>
      </c>
    </row>
    <row r="229" spans="1:32" x14ac:dyDescent="0.25">
      <c r="A229" t="str">
        <f t="shared" si="291"/>
        <v/>
      </c>
      <c r="D229" s="2989" t="str">
        <f t="shared" si="244"/>
        <v/>
      </c>
      <c r="E229" s="2989" t="str">
        <f t="shared" si="264"/>
        <v/>
      </c>
      <c r="F229" s="2989" t="str">
        <f t="shared" si="292"/>
        <v/>
      </c>
      <c r="G229" s="2989" t="str">
        <f t="shared" si="293"/>
        <v/>
      </c>
      <c r="H229" s="2989" cm="1">
        <f t="array" ref="H229">INDEX('각층분기별_유효전력최대(전월)'!$C$4:$C$2020,MATCH(1, ('각층분기별_유효전력최대(전월)'!$A$4:$A$2020='7층~4층_매핑테이블'!D229) * ('각층분기별_유효전력최대(전월)'!$B$4:$B$2020='7층~4층_매핑테이블'!E229),0)) + INDEX('각층분기별_유효전력최대(전월)'!$C$4:$C$2020,MATCH(1, ('각층분기별_유효전력최대(전월)'!$A$4:$A$2020='7층~4층_매핑테이블'!F229) * ('각층분기별_유효전력최대(전월)'!$B$4:$B$2020='7층~4층_매핑테이블'!G229),0))</f>
        <v>0</v>
      </c>
      <c r="I229" t="str">
        <f t="shared" si="276"/>
        <v>5-DaHall 1-PDU-05-30-305-DaHall 1-PDU-06-30-34</v>
      </c>
      <c r="J229" s="217" t="s">
        <v>10584</v>
      </c>
      <c r="K229" s="217" t="s">
        <v>10585</v>
      </c>
      <c r="L229" t="str">
        <f t="shared" si="265"/>
        <v>5-DaHall 1-PDU-05</v>
      </c>
      <c r="M229" t="str">
        <f t="shared" si="294"/>
        <v>[branch#030] [A] W</v>
      </c>
      <c r="N229" t="str">
        <f t="shared" si="277"/>
        <v>5-DaHall 1-PDU-06</v>
      </c>
      <c r="O229" t="str">
        <f t="shared" si="285"/>
        <v>[branch#034] [A] W</v>
      </c>
      <c r="P229" s="2989" cm="1">
        <f t="array" ref="P229">INDEX('각층분기별_유효전력최대(전월)'!$F$4:$F$2020,MATCH(1, ('각층분기별_유효전력최대(전월)'!$D$4:$D$2020='7층~4층_매핑테이블'!L229) * ('각층분기별_유효전력최대(전월)'!$E$4:$E$2020='7층~4층_매핑테이블'!M229),0)) + INDEX('각층분기별_유효전력최대(전월)'!$F$4:$F$2020,MATCH(1, ('각층분기별_유효전력최대(전월)'!$D$4:$D$2020='7층~4층_매핑테이블'!N229) * ('각층분기별_유효전력최대(전월)'!$E$4:$E$2020='7층~4층_매핑테이블'!O229),0))</f>
        <v>0</v>
      </c>
      <c r="Q229" s="1" t="str">
        <f t="shared" si="279"/>
        <v>6-DaHall 1-PDU-01-30-366-DaHall 1-PDU-02-30-36</v>
      </c>
      <c r="R229" s="217" t="s">
        <v>10586</v>
      </c>
      <c r="S229" s="217" t="s">
        <v>10587</v>
      </c>
      <c r="T229" t="str">
        <f t="shared" si="269"/>
        <v>6-DaHall 1-PDU-01</v>
      </c>
      <c r="U229" t="str">
        <f t="shared" ref="U229:U241" si="299">IF(IF(LEN((MID(R229,22,2)))=1, "[branch#0"&amp;0&amp;MID(R229,22,2)&amp;"] [A] W", "[branch#0"&amp;MID(R229,22,2)&amp;"] [A] W")="[branch#0] [A] W", "", IF(LEN((MID(R229,22,2)))=1, "[branch#0"&amp;0&amp;MID(R229,22,2)&amp;"] [A] W", "[branch#0"&amp;MID(R229,22,2)&amp;"] [A] W"))</f>
        <v>[branch#036] [A] W</v>
      </c>
      <c r="V229" t="str">
        <f t="shared" si="281"/>
        <v>6-DaHall 1-PDU-02</v>
      </c>
      <c r="W229" t="str">
        <f t="shared" ref="W229:W239" si="300">IF(IF(LEN((MID(S229,22,2)))=1, "[branch#0"&amp;0&amp;MID(S229,22,2)&amp;"] [A] W", "[branch#0"&amp;MID(S229,22,2)&amp;"] [A] W")="[branch#0] [A] W", "", IF(LEN((MID(S229,22,2)))=1, "[branch#0"&amp;0&amp;MID(S229,22,2)&amp;"] [A] W", "[branch#0"&amp;MID(S229,22,2)&amp;"] [A] W"))</f>
        <v>[branch#036] [A] W</v>
      </c>
      <c r="X229" s="2989" cm="1">
        <f t="array" ref="X229">INDEX('각층분기별_유효전력최대(전월)'!$I$4:$I$2020,MATCH(1, ('각층분기별_유효전력최대(전월)'!$G$4:$G$2020='7층~4층_매핑테이블'!T229) * ('각층분기별_유효전력최대(전월)'!$H$4:$H$2020='7층~4층_매핑테이블'!U229),0)) + INDEX('각층분기별_유효전력최대(전월)'!$I$4:$I$2020,MATCH(1, ('각층분기별_유효전력최대(전월)'!$G$4:$G$2020='7층~4층_매핑테이블'!V229) * ('각층분기별_유효전력최대(전월)'!$H$4:$H$2020='7층~4층_매핑테이블'!W229),0))</f>
        <v>1.4039999999999999</v>
      </c>
      <c r="Y229" s="3274" t="str">
        <f t="shared" si="298"/>
        <v>7-DaHall 1-PDU-01-30-157-DaHall 1-PDU-02-30-15</v>
      </c>
      <c r="Z229" s="217" t="s">
        <v>10588</v>
      </c>
      <c r="AA229" s="217" t="s">
        <v>10589</v>
      </c>
      <c r="AB229" s="3274" t="str">
        <f t="shared" ref="AB229" si="301">IF(MID(Z229,16,2)="0","",MID(Z229,1,15)&amp;MID(Z229,16,2))</f>
        <v>7-DaHall 1-PDU-01</v>
      </c>
      <c r="AC229" t="s">
        <v>9453</v>
      </c>
      <c r="AD229" t="str">
        <f t="shared" si="263"/>
        <v>7-DaHall 1-PDU-02</v>
      </c>
      <c r="AE229" t="s">
        <v>9453</v>
      </c>
      <c r="AF229" s="2989" cm="1">
        <f t="array" ref="AF229">INDEX('각층분기별_유효전력최대(전월)'!$L$4:$L$2020,MATCH(1, ('각층분기별_유효전력최대(전월)'!$J$4:$J$2020='7층~4층_매핑테이블'!AB229) * ('각층분기별_유효전력최대(전월)'!$K$4:$K$2020='7층~4층_매핑테이블'!AC229),0)) + INDEX('각층분기별_유효전력최대(전월)'!$L$4:$L$2020,MATCH(1, ('각층분기별_유효전력최대(전월)'!$J$4:$J$2020='7층~4층_매핑테이블'!AD229) * ('각층분기별_유효전력최대(전월)'!$K$4:$K$2020='7층~4층_매핑테이블'!AE229),0))</f>
        <v>0.252</v>
      </c>
    </row>
    <row r="230" spans="1:32" x14ac:dyDescent="0.25">
      <c r="A230" t="str">
        <f t="shared" si="291"/>
        <v/>
      </c>
      <c r="D230" s="2989" t="str">
        <f t="shared" si="244"/>
        <v/>
      </c>
      <c r="E230" s="2989" t="str">
        <f t="shared" si="264"/>
        <v/>
      </c>
      <c r="F230" s="2989" t="str">
        <f t="shared" si="292"/>
        <v/>
      </c>
      <c r="G230" s="2989" t="str">
        <f t="shared" si="293"/>
        <v/>
      </c>
      <c r="H230" s="2989" cm="1">
        <f t="array" ref="H230">INDEX('각층분기별_유효전력최대(전월)'!$C$4:$C$2020,MATCH(1, ('각층분기별_유효전력최대(전월)'!$A$4:$A$2020='7층~4층_매핑테이블'!D230) * ('각층분기별_유효전력최대(전월)'!$B$4:$B$2020='7층~4층_매핑테이블'!E230),0)) + INDEX('각층분기별_유효전력최대(전월)'!$C$4:$C$2020,MATCH(1, ('각층분기별_유효전력최대(전월)'!$A$4:$A$2020='7층~4층_매핑테이블'!F230) * ('각층분기별_유효전력최대(전월)'!$B$4:$B$2020='7층~4층_매핑테이블'!G230),0))</f>
        <v>0</v>
      </c>
      <c r="I230" t="str">
        <f t="shared" si="276"/>
        <v>5-DaHall 1-PDU-05-30-325-DaHall 1-PDU-06-30-36</v>
      </c>
      <c r="J230" s="217" t="s">
        <v>10590</v>
      </c>
      <c r="K230" s="217" t="s">
        <v>10591</v>
      </c>
      <c r="L230" t="str">
        <f t="shared" si="265"/>
        <v>5-DaHall 1-PDU-05</v>
      </c>
      <c r="M230" t="str">
        <f t="shared" si="294"/>
        <v>[branch#032] [A] W</v>
      </c>
      <c r="N230" t="str">
        <f t="shared" si="277"/>
        <v>5-DaHall 1-PDU-06</v>
      </c>
      <c r="O230" t="str">
        <f t="shared" si="285"/>
        <v>[branch#036] [A] W</v>
      </c>
      <c r="P230" s="2989" cm="1">
        <f t="array" ref="P230">INDEX('각층분기별_유효전력최대(전월)'!$F$4:$F$2020,MATCH(1, ('각층분기별_유효전력최대(전월)'!$D$4:$D$2020='7층~4층_매핑테이블'!L230) * ('각층분기별_유효전력최대(전월)'!$E$4:$E$2020='7층~4층_매핑테이블'!M230),0)) + INDEX('각층분기별_유효전력최대(전월)'!$F$4:$F$2020,MATCH(1, ('각층분기별_유효전력최대(전월)'!$D$4:$D$2020='7층~4층_매핑테이블'!N230) * ('각층분기별_유효전력최대(전월)'!$E$4:$E$2020='7층~4층_매핑테이블'!O230),0))</f>
        <v>0</v>
      </c>
      <c r="Q230" s="1" t="str">
        <f t="shared" si="279"/>
        <v>6-DaHall 1-PDU-01-30-386-DaHall 1-PDU-02-30-38</v>
      </c>
      <c r="R230" s="217" t="s">
        <v>10592</v>
      </c>
      <c r="S230" s="217" t="s">
        <v>10593</v>
      </c>
      <c r="T230" t="str">
        <f t="shared" si="269"/>
        <v>6-DaHall 1-PDU-01</v>
      </c>
      <c r="U230" t="str">
        <f t="shared" si="299"/>
        <v>[branch#038] [A] W</v>
      </c>
      <c r="V230" t="str">
        <f t="shared" si="281"/>
        <v>6-DaHall 1-PDU-02</v>
      </c>
      <c r="W230" t="str">
        <f t="shared" si="300"/>
        <v>[branch#038] [A] W</v>
      </c>
      <c r="X230" s="2989" cm="1">
        <f t="array" ref="X230">INDEX('각층분기별_유효전력최대(전월)'!$I$4:$I$2020,MATCH(1, ('각층분기별_유효전력최대(전월)'!$G$4:$G$2020='7층~4층_매핑테이블'!T230) * ('각층분기별_유효전력최대(전월)'!$H$4:$H$2020='7층~4층_매핑테이블'!U230),0)) + INDEX('각층분기별_유효전력최대(전월)'!$I$4:$I$2020,MATCH(1, ('각층분기별_유효전력최대(전월)'!$G$4:$G$2020='7층~4층_매핑테이블'!V230) * ('각층분기별_유효전력최대(전월)'!$H$4:$H$2020='7층~4층_매핑테이블'!W230),0))</f>
        <v>0</v>
      </c>
      <c r="Y230" s="3274" t="str">
        <f>Z230&amp;AA230</f>
        <v/>
      </c>
      <c r="Z230" s="217"/>
      <c r="AA230" s="217"/>
      <c r="AB230" s="3274" t="str">
        <f>IF(MID(Z230,16,2)="0","",MID(Z230,1,15)&amp;MID(Z230,16,2))</f>
        <v/>
      </c>
      <c r="AD230" t="str">
        <f t="shared" si="263"/>
        <v/>
      </c>
      <c r="AF230" s="2989" cm="1">
        <f t="array" ref="AF230">INDEX('각층분기별_유효전력최대(전월)'!$L$4:$L$2020,MATCH(1, ('각층분기별_유효전력최대(전월)'!$J$4:$J$2020='7층~4층_매핑테이블'!AB230) * ('각층분기별_유효전력최대(전월)'!$K$4:$K$2020='7층~4층_매핑테이블'!AC230),0)) + INDEX('각층분기별_유효전력최대(전월)'!$L$4:$L$2020,MATCH(1, ('각층분기별_유효전력최대(전월)'!$J$4:$J$2020='7층~4층_매핑테이블'!AD230) * ('각층분기별_유효전력최대(전월)'!$K$4:$K$2020='7층~4층_매핑테이블'!AE230),0))</f>
        <v>0</v>
      </c>
    </row>
    <row r="231" spans="1:32" x14ac:dyDescent="0.25">
      <c r="A231" t="str">
        <f t="shared" si="291"/>
        <v/>
      </c>
      <c r="D231" s="2989" t="str">
        <f t="shared" si="244"/>
        <v/>
      </c>
      <c r="E231" s="2989" t="str">
        <f t="shared" si="264"/>
        <v/>
      </c>
      <c r="F231" s="2989" t="str">
        <f t="shared" si="292"/>
        <v/>
      </c>
      <c r="G231" s="2989" t="str">
        <f t="shared" si="293"/>
        <v/>
      </c>
      <c r="H231" s="2989" cm="1">
        <f t="array" ref="H231">INDEX('각층분기별_유효전력최대(전월)'!$C$4:$C$2020,MATCH(1, ('각층분기별_유효전력최대(전월)'!$A$4:$A$2020='7층~4층_매핑테이블'!D231) * ('각층분기별_유효전력최대(전월)'!$B$4:$B$2020='7층~4층_매핑테이블'!E231),0)) + INDEX('각층분기별_유효전력최대(전월)'!$C$4:$C$2020,MATCH(1, ('각층분기별_유효전력최대(전월)'!$A$4:$A$2020='7층~4층_매핑테이블'!F231) * ('각층분기별_유효전력최대(전월)'!$B$4:$B$2020='7층~4층_매핑테이블'!G231),0))</f>
        <v>0</v>
      </c>
      <c r="I231" t="str">
        <f t="shared" si="276"/>
        <v/>
      </c>
      <c r="J231" s="217"/>
      <c r="K231" s="217"/>
      <c r="L231" t="str">
        <f t="shared" si="265"/>
        <v/>
      </c>
      <c r="M231" t="str">
        <f>IF(IF(LEN((MID(J231,22,2)))=1, "[branch#0"&amp;0&amp;MID(J231,22,2)&amp;"] [A] W", "[branch#0"&amp;MID(J231,22,2)&amp;"] [A] W")="[branch#0] [A] W", "", IF(LEN((MID(J231,22,2)))=1, "[branch#0"&amp;0&amp;MID(J231,22,2)&amp;"] [A] W", "[branch#0"&amp;MID(J231,22,2)&amp;"] [A] W"))</f>
        <v/>
      </c>
      <c r="N231" t="str">
        <f t="shared" si="277"/>
        <v/>
      </c>
      <c r="O231" t="str">
        <f>IF(IF(LEN((MID(K231,22,2)))=1, "[branch#0"&amp;0&amp;MID(K231,22,2)&amp;"] [A] W", "[branch#0"&amp;MID(K231,22,2)&amp;"] [A] W")="[branch#0] [A] W", "", IF(LEN((MID(K231,22,2)))=1, "[branch#0"&amp;0&amp;MID(K231,22,2)&amp;"] [A] W", "[branch#0"&amp;MID(K231,22,2)&amp;"] [A] W"))</f>
        <v/>
      </c>
      <c r="P231" s="2989" cm="1">
        <f t="array" ref="P231">INDEX('각층분기별_유효전력최대(전월)'!$F$4:$F$2020,MATCH(1, ('각층분기별_유효전력최대(전월)'!$D$4:$D$2020='7층~4층_매핑테이블'!L231) * ('각층분기별_유효전력최대(전월)'!$E$4:$E$2020='7층~4층_매핑테이블'!M231),0)) + INDEX('각층분기별_유효전력최대(전월)'!$F$4:$F$2020,MATCH(1, ('각층분기별_유효전력최대(전월)'!$D$4:$D$2020='7층~4층_매핑테이블'!N231) * ('각층분기별_유효전력최대(전월)'!$E$4:$E$2020='7층~4층_매핑테이블'!O231),0))</f>
        <v>0</v>
      </c>
      <c r="Q231" s="1" t="str">
        <f t="shared" si="279"/>
        <v>6-DaHall 1-PDU-01-30-46-DaHall 1-PDU-02-30-4</v>
      </c>
      <c r="R231" s="217" t="s">
        <v>10594</v>
      </c>
      <c r="S231" s="217" t="s">
        <v>10595</v>
      </c>
      <c r="T231" t="str">
        <f t="shared" si="269"/>
        <v>6-DaHall 1-PDU-01</v>
      </c>
      <c r="U231" t="str">
        <f t="shared" si="299"/>
        <v>[branch#004] [A] W</v>
      </c>
      <c r="V231" t="str">
        <f t="shared" si="281"/>
        <v>6-DaHall 1-PDU-02</v>
      </c>
      <c r="W231" t="str">
        <f t="shared" si="300"/>
        <v>[branch#004] [A] W</v>
      </c>
      <c r="X231" s="2989" cm="1">
        <f t="array" ref="X231">INDEX('각층분기별_유효전력최대(전월)'!$I$4:$I$2020,MATCH(1, ('각층분기별_유효전력최대(전월)'!$G$4:$G$2020='7층~4층_매핑테이블'!T231) * ('각층분기별_유효전력최대(전월)'!$H$4:$H$2020='7층~4층_매핑테이블'!U231),0)) + INDEX('각층분기별_유효전력최대(전월)'!$I$4:$I$2020,MATCH(1, ('각층분기별_유효전력최대(전월)'!$G$4:$G$2020='7층~4층_매핑테이블'!V231) * ('각층분기별_유효전력최대(전월)'!$H$4:$H$2020='7층~4층_매핑테이블'!W231),0))</f>
        <v>3.4059999999999997</v>
      </c>
      <c r="Y231" s="3274" t="str">
        <f>Z231&amp;AA231</f>
        <v>7-DaHall 1-PDU-01-30-357-DaHall 1-PDU-02-30-35</v>
      </c>
      <c r="Z231" s="217" t="s">
        <v>10596</v>
      </c>
      <c r="AA231" s="217" t="s">
        <v>10597</v>
      </c>
      <c r="AB231" s="3274" t="str">
        <f>IF(MID(Z231,16,2)="0","",MID(Z231,1,15)&amp;MID(Z231,16,2))</f>
        <v>7-DaHall 1-PDU-01</v>
      </c>
      <c r="AC231" t="s">
        <v>9580</v>
      </c>
      <c r="AD231" t="str">
        <f t="shared" si="263"/>
        <v>7-DaHall 1-PDU-02</v>
      </c>
      <c r="AE231" t="s">
        <v>9580</v>
      </c>
      <c r="AF231" s="2989" cm="1">
        <f t="array" ref="AF231">INDEX('각층분기별_유효전력최대(전월)'!$L$4:$L$2020,MATCH(1, ('각층분기별_유효전력최대(전월)'!$J$4:$J$2020='7층~4층_매핑테이블'!AB231) * ('각층분기별_유효전력최대(전월)'!$K$4:$K$2020='7층~4층_매핑테이블'!AC231),0)) + INDEX('각층분기별_유효전력최대(전월)'!$L$4:$L$2020,MATCH(1, ('각층분기별_유효전력최대(전월)'!$J$4:$J$2020='7층~4층_매핑테이블'!AD231) * ('각층분기별_유효전력최대(전월)'!$K$4:$K$2020='7층~4층_매핑테이블'!AE231),0))</f>
        <v>3.0030000000000001</v>
      </c>
    </row>
    <row r="232" spans="1:32" x14ac:dyDescent="0.25">
      <c r="A232" t="str">
        <f t="shared" si="291"/>
        <v/>
      </c>
      <c r="D232" s="2989" t="str">
        <f t="shared" si="244"/>
        <v/>
      </c>
      <c r="E232" s="2989" t="str">
        <f t="shared" si="264"/>
        <v/>
      </c>
      <c r="F232" s="2989" t="str">
        <f t="shared" si="292"/>
        <v/>
      </c>
      <c r="G232" s="2989" t="str">
        <f t="shared" si="293"/>
        <v/>
      </c>
      <c r="H232" s="2989" cm="1">
        <f t="array" ref="H232">INDEX('각층분기별_유효전력최대(전월)'!$C$4:$C$2020,MATCH(1, ('각층분기별_유효전력최대(전월)'!$A$4:$A$2020='7층~4층_매핑테이블'!D232) * ('각층분기별_유효전력최대(전월)'!$B$4:$B$2020='7층~4층_매핑테이블'!E232),0)) + INDEX('각층분기별_유효전력최대(전월)'!$C$4:$C$2020,MATCH(1, ('각층분기별_유효전력최대(전월)'!$A$4:$A$2020='7층~4층_매핑테이블'!F232) * ('각층분기별_유효전력최대(전월)'!$B$4:$B$2020='7층~4층_매핑테이블'!G232),0))</f>
        <v>0</v>
      </c>
      <c r="I232" t="str">
        <f t="shared" si="276"/>
        <v/>
      </c>
      <c r="J232" s="217"/>
      <c r="K232" s="217"/>
      <c r="L232" t="str">
        <f t="shared" si="265"/>
        <v/>
      </c>
      <c r="M232" t="str">
        <f t="shared" ref="M232" si="302">IF(IF(LEN((MID(J232,22,2)))=1, "[branch#0"&amp;0&amp;MID(J232,22,2)&amp;"] [A] W", "[branch#0"&amp;MID(J232,22,2)&amp;"] [A] W")="[branch#0] [A] W", "", IF(LEN((MID(J232,22,2)))=1, "[branch#0"&amp;0&amp;MID(J232,22,2)&amp;"] [A] W", "[branch#0"&amp;MID(J232,22,2)&amp;"] [A] W"))</f>
        <v/>
      </c>
      <c r="N232" t="str">
        <f t="shared" si="277"/>
        <v/>
      </c>
      <c r="O232" t="str">
        <f t="shared" si="285"/>
        <v/>
      </c>
      <c r="P232" s="2989" cm="1">
        <f t="array" ref="P232">INDEX('각층분기별_유효전력최대(전월)'!$F$4:$F$2020,MATCH(1, ('각층분기별_유효전력최대(전월)'!$D$4:$D$2020='7층~4층_매핑테이블'!L232) * ('각층분기별_유효전력최대(전월)'!$E$4:$E$2020='7층~4층_매핑테이블'!M232),0)) + INDEX('각층분기별_유효전력최대(전월)'!$F$4:$F$2020,MATCH(1, ('각층분기별_유효전력최대(전월)'!$D$4:$D$2020='7층~4층_매핑테이블'!N232) * ('각층분기별_유효전력최대(전월)'!$E$4:$E$2020='7층~4층_매핑테이블'!O232),0))</f>
        <v>0</v>
      </c>
      <c r="Q232" s="1" t="str">
        <f t="shared" si="279"/>
        <v>6-DaHall 1-PDU-01-30-66-DaHall 1-PDU-02-30-6</v>
      </c>
      <c r="R232" s="217" t="s">
        <v>10598</v>
      </c>
      <c r="S232" s="217" t="s">
        <v>10599</v>
      </c>
      <c r="T232" t="str">
        <f t="shared" si="269"/>
        <v>6-DaHall 1-PDU-01</v>
      </c>
      <c r="U232" t="str">
        <f t="shared" si="299"/>
        <v>[branch#006] [A] W</v>
      </c>
      <c r="V232" t="str">
        <f t="shared" si="281"/>
        <v>6-DaHall 1-PDU-02</v>
      </c>
      <c r="W232" t="str">
        <f t="shared" si="300"/>
        <v>[branch#006] [A] W</v>
      </c>
      <c r="X232" s="2989" cm="1">
        <f t="array" ref="X232">INDEX('각층분기별_유효전력최대(전월)'!$I$4:$I$2020,MATCH(1, ('각층분기별_유효전력최대(전월)'!$G$4:$G$2020='7층~4층_매핑테이블'!T232) * ('각층분기별_유효전력최대(전월)'!$H$4:$H$2020='7층~4층_매핑테이블'!U232),0)) + INDEX('각층분기별_유효전력최대(전월)'!$I$4:$I$2020,MATCH(1, ('각층분기별_유효전력최대(전월)'!$G$4:$G$2020='7층~4층_매핑테이블'!V232) * ('각층분기별_유효전력최대(전월)'!$H$4:$H$2020='7층~4층_매핑테이블'!W232),0))</f>
        <v>1.6639999999999999</v>
      </c>
      <c r="Y232" s="3274" t="str">
        <f t="shared" ref="Y232:Y234" si="303">Z232&amp;AA232</f>
        <v>7-DaHall 1-PDU-01-30-337-DaHall 1-PDU-02-30-33</v>
      </c>
      <c r="Z232" s="217" t="s">
        <v>10600</v>
      </c>
      <c r="AA232" s="217" t="s">
        <v>10601</v>
      </c>
      <c r="AB232" s="3274" t="str">
        <f>IF(MID(Z232,16,2)="0","",MID(Z232,1,15)&amp;MID(Z232,16,2))</f>
        <v>7-DaHall 1-PDU-01</v>
      </c>
      <c r="AC232" t="s">
        <v>9571</v>
      </c>
      <c r="AD232" t="str">
        <f t="shared" si="263"/>
        <v>7-DaHall 1-PDU-02</v>
      </c>
      <c r="AE232" t="s">
        <v>9571</v>
      </c>
      <c r="AF232" s="2989" cm="1">
        <f t="array" ref="AF232">INDEX('각층분기별_유효전력최대(전월)'!$L$4:$L$2020,MATCH(1, ('각층분기별_유효전력최대(전월)'!$J$4:$J$2020='7층~4층_매핑테이블'!AB232) * ('각층분기별_유효전력최대(전월)'!$K$4:$K$2020='7층~4층_매핑테이블'!AC232),0)) + INDEX('각층분기별_유효전력최대(전월)'!$L$4:$L$2020,MATCH(1, ('각층분기별_유효전력최대(전월)'!$J$4:$J$2020='7층~4층_매핑테이블'!AD232) * ('각층분기별_유효전력최대(전월)'!$K$4:$K$2020='7층~4층_매핑테이블'!AE232),0))</f>
        <v>3.8090000000000002</v>
      </c>
    </row>
    <row r="233" spans="1:32" x14ac:dyDescent="0.25">
      <c r="A233" t="str">
        <f t="shared" si="291"/>
        <v/>
      </c>
      <c r="D233" s="2989" t="str">
        <f t="shared" si="244"/>
        <v/>
      </c>
      <c r="E233" s="2989" t="str">
        <f t="shared" si="264"/>
        <v/>
      </c>
      <c r="F233" s="2989" t="str">
        <f t="shared" si="292"/>
        <v/>
      </c>
      <c r="G233" s="2989" t="str">
        <f t="shared" si="293"/>
        <v/>
      </c>
      <c r="H233" s="2989" cm="1">
        <f t="array" ref="H233">INDEX('각층분기별_유효전력최대(전월)'!$C$4:$C$2020,MATCH(1, ('각층분기별_유효전력최대(전월)'!$A$4:$A$2020='7층~4층_매핑테이블'!D233) * ('각층분기별_유효전력최대(전월)'!$B$4:$B$2020='7층~4층_매핑테이블'!E233),0)) + INDEX('각층분기별_유효전력최대(전월)'!$C$4:$C$2020,MATCH(1, ('각층분기별_유효전력최대(전월)'!$A$4:$A$2020='7층~4층_매핑테이블'!F233) * ('각층분기별_유효전력최대(전월)'!$B$4:$B$2020='7층~4층_매핑테이블'!G233),0))</f>
        <v>0</v>
      </c>
      <c r="I233" t="str">
        <f t="shared" si="276"/>
        <v>5-DaHall 1-PDU-01-30-15-DaHall 1-PDU-02-30-1</v>
      </c>
      <c r="J233" s="217" t="s">
        <v>10602</v>
      </c>
      <c r="K233" s="217" t="s">
        <v>10603</v>
      </c>
      <c r="L233" t="str">
        <f t="shared" si="265"/>
        <v>5-DaHall 1-PDU-01</v>
      </c>
      <c r="M233" t="str">
        <f>IF(IF(LEN((MID(J233,22,2)))=1, "[branch#0"&amp;0&amp;MID(J233,22,2)&amp;"] [A] W", "[branch#0"&amp;MID(J233,22,2)&amp;"] [A] W")="[branch#0] [A] W", "", IF(LEN((MID(J233,22,2)))=1, "[branch#0"&amp;0&amp;MID(J233,22,2)&amp;"] [A] W", "[branch#0"&amp;MID(J233,22,2)&amp;"] [A] W"))</f>
        <v>[branch#001] [A] W</v>
      </c>
      <c r="N233" t="str">
        <f t="shared" si="277"/>
        <v>5-DaHall 1-PDU-02</v>
      </c>
      <c r="O233" t="str">
        <f t="shared" si="285"/>
        <v>[branch#001] [A] W</v>
      </c>
      <c r="P233" s="2989" cm="1">
        <f t="array" ref="P233">INDEX('각층분기별_유효전력최대(전월)'!$F$4:$F$2020,MATCH(1, ('각층분기별_유효전력최대(전월)'!$D$4:$D$2020='7층~4층_매핑테이블'!L233) * ('각층분기별_유효전력최대(전월)'!$E$4:$E$2020='7층~4층_매핑테이블'!M233),0)) + INDEX('각층분기별_유효전력최대(전월)'!$F$4:$F$2020,MATCH(1, ('각층분기별_유효전력최대(전월)'!$D$4:$D$2020='7층~4층_매핑테이블'!N233) * ('각층분기별_유효전력최대(전월)'!$E$4:$E$2020='7층~4층_매핑테이블'!O233),0))</f>
        <v>0</v>
      </c>
      <c r="Q233" s="1" t="str">
        <f t="shared" si="279"/>
        <v>6-DaHall 1-PDU-01-30-86-DaHall 1-PDU-02-30-8</v>
      </c>
      <c r="R233" s="217" t="s">
        <v>10604</v>
      </c>
      <c r="S233" s="217" t="s">
        <v>10605</v>
      </c>
      <c r="T233" t="str">
        <f t="shared" si="269"/>
        <v>6-DaHall 1-PDU-01</v>
      </c>
      <c r="U233" t="str">
        <f t="shared" si="299"/>
        <v>[branch#008] [A] W</v>
      </c>
      <c r="V233" t="str">
        <f t="shared" si="281"/>
        <v>6-DaHall 1-PDU-02</v>
      </c>
      <c r="W233" t="str">
        <f t="shared" si="300"/>
        <v>[branch#008] [A] W</v>
      </c>
      <c r="X233" s="2989" cm="1">
        <f t="array" ref="X233">INDEX('각층분기별_유효전력최대(전월)'!$I$4:$I$2020,MATCH(1, ('각층분기별_유효전력최대(전월)'!$G$4:$G$2020='7층~4층_매핑테이블'!T233) * ('각층분기별_유효전력최대(전월)'!$H$4:$H$2020='7층~4층_매핑테이블'!U233),0)) + INDEX('각층분기별_유효전력최대(전월)'!$I$4:$I$2020,MATCH(1, ('각층분기별_유효전력최대(전월)'!$G$4:$G$2020='7층~4층_매핑테이블'!V233) * ('각층분기별_유효전력최대(전월)'!$H$4:$H$2020='7층~4층_매핑테이블'!W233),0))</f>
        <v>1.6619999999999999</v>
      </c>
      <c r="Y233" s="3274" t="str">
        <f t="shared" si="303"/>
        <v>7-DaHall 1-PDU-01-30-317-DaHall 1-PDU-02-30-31</v>
      </c>
      <c r="Z233" s="217" t="s">
        <v>10606</v>
      </c>
      <c r="AA233" s="217" t="s">
        <v>10607</v>
      </c>
      <c r="AB233" s="3274" t="str">
        <f t="shared" ref="AB233:AB234" si="304">IF(MID(Z233,16,2)="0","",MID(Z233,1,15)&amp;MID(Z233,16,2))</f>
        <v>7-DaHall 1-PDU-01</v>
      </c>
      <c r="AC233" t="s">
        <v>9443</v>
      </c>
      <c r="AD233" t="str">
        <f t="shared" si="263"/>
        <v>7-DaHall 1-PDU-02</v>
      </c>
      <c r="AE233" t="s">
        <v>9443</v>
      </c>
      <c r="AF233" s="2989" cm="1">
        <f t="array" ref="AF233">INDEX('각층분기별_유효전력최대(전월)'!$L$4:$L$2020,MATCH(1, ('각층분기별_유효전력최대(전월)'!$J$4:$J$2020='7층~4층_매핑테이블'!AB233) * ('각층분기별_유효전력최대(전월)'!$K$4:$K$2020='7층~4층_매핑테이블'!AC233),0)) + INDEX('각층분기별_유효전력최대(전월)'!$L$4:$L$2020,MATCH(1, ('각층분기별_유효전력최대(전월)'!$J$4:$J$2020='7층~4층_매핑테이블'!AD233) * ('각층분기별_유효전력최대(전월)'!$K$4:$K$2020='7층~4층_매핑테이블'!AE233),0))</f>
        <v>1.6709999999999998</v>
      </c>
    </row>
    <row r="234" spans="1:32" x14ac:dyDescent="0.25">
      <c r="A234" t="str">
        <f t="shared" si="291"/>
        <v/>
      </c>
      <c r="D234" s="2989" t="str">
        <f t="shared" si="244"/>
        <v/>
      </c>
      <c r="E234" s="2989" t="str">
        <f t="shared" si="264"/>
        <v/>
      </c>
      <c r="F234" s="2989" t="str">
        <f t="shared" si="292"/>
        <v/>
      </c>
      <c r="G234" s="2989" t="str">
        <f t="shared" si="293"/>
        <v/>
      </c>
      <c r="H234" s="2989" cm="1">
        <f t="array" ref="H234">INDEX('각층분기별_유효전력최대(전월)'!$C$4:$C$2020,MATCH(1, ('각층분기별_유효전력최대(전월)'!$A$4:$A$2020='7층~4층_매핑테이블'!D234) * ('각층분기별_유효전력최대(전월)'!$B$4:$B$2020='7층~4층_매핑테이블'!E234),0)) + INDEX('각층분기별_유효전력최대(전월)'!$C$4:$C$2020,MATCH(1, ('각층분기별_유효전력최대(전월)'!$A$4:$A$2020='7층~4층_매핑테이블'!F234) * ('각층분기별_유효전력최대(전월)'!$B$4:$B$2020='7층~4층_매핑테이블'!G234),0))</f>
        <v>0</v>
      </c>
      <c r="I234" t="str">
        <f t="shared" si="276"/>
        <v>5-DaHall 1-PDU-01-30-35-DaHall 1-PDU-02-30-3</v>
      </c>
      <c r="J234" s="217" t="s">
        <v>10608</v>
      </c>
      <c r="K234" s="217" t="s">
        <v>10609</v>
      </c>
      <c r="L234" t="str">
        <f t="shared" si="265"/>
        <v>5-DaHall 1-PDU-01</v>
      </c>
      <c r="M234" t="str">
        <f t="shared" ref="M234:M259" si="305">IF(IF(LEN((MID(J234,22,2)))=1, "[branch#0"&amp;0&amp;MID(J234,22,2)&amp;"] [A] W", "[branch#0"&amp;MID(J234,22,2)&amp;"] [A] W")="[branch#0] [A] W", "", IF(LEN((MID(J234,22,2)))=1, "[branch#0"&amp;0&amp;MID(J234,22,2)&amp;"] [A] W", "[branch#0"&amp;MID(J234,22,2)&amp;"] [A] W"))</f>
        <v>[branch#003] [A] W</v>
      </c>
      <c r="N234" t="str">
        <f t="shared" si="277"/>
        <v>5-DaHall 1-PDU-02</v>
      </c>
      <c r="O234" t="str">
        <f t="shared" si="285"/>
        <v>[branch#003] [A] W</v>
      </c>
      <c r="P234" s="2989" cm="1">
        <f t="array" ref="P234">INDEX('각층분기별_유효전력최대(전월)'!$F$4:$F$2020,MATCH(1, ('각층분기별_유효전력최대(전월)'!$D$4:$D$2020='7층~4층_매핑테이블'!L234) * ('각층분기별_유효전력최대(전월)'!$E$4:$E$2020='7층~4층_매핑테이블'!M234),0)) + INDEX('각층분기별_유효전력최대(전월)'!$F$4:$F$2020,MATCH(1, ('각층분기별_유효전력최대(전월)'!$D$4:$D$2020='7층~4층_매핑테이블'!N234) * ('각층분기별_유효전력최대(전월)'!$E$4:$E$2020='7층~4층_매핑테이블'!O234),0))</f>
        <v>0</v>
      </c>
      <c r="Q234" s="1" t="str">
        <f>R234&amp;S234</f>
        <v>6-DaHall 1-PDU-01-30-106-DaHall 1-PDU-02-30-10</v>
      </c>
      <c r="R234" s="217" t="s">
        <v>10610</v>
      </c>
      <c r="S234" s="217" t="s">
        <v>10611</v>
      </c>
      <c r="T234" t="str">
        <f t="shared" si="269"/>
        <v>6-DaHall 1-PDU-01</v>
      </c>
      <c r="U234" t="str">
        <f t="shared" si="299"/>
        <v>[branch#010] [A] W</v>
      </c>
      <c r="V234" t="str">
        <f>IF(MID(S234,16,2)="0","",MID(S234,1,15)&amp;MID(S234,16,2))</f>
        <v>6-DaHall 1-PDU-02</v>
      </c>
      <c r="W234" t="str">
        <f>IF(IF(LEN((MID(S234,22,2)))=1, "[branch#0"&amp;0&amp;MID(S234,22,2)&amp;"] [A] W", "[branch#0"&amp;MID(S234,22,2)&amp;"] [A] W")="[branch#0] [A] W", "", IF(LEN((MID(S234,22,2)))=1, "[branch#0"&amp;0&amp;MID(S234,22,2)&amp;"] [A] W", "[branch#0"&amp;MID(S234,22,2)&amp;"] [A] W"))</f>
        <v>[branch#010] [A] W</v>
      </c>
      <c r="X234" s="2989" cm="1">
        <f t="array" ref="X234">INDEX('각층분기별_유효전력최대(전월)'!$I$4:$I$2020,MATCH(1, ('각층분기별_유효전력최대(전월)'!$G$4:$G$2020='7층~4층_매핑테이블'!T234) * ('각층분기별_유효전력최대(전월)'!$H$4:$H$2020='7층~4층_매핑테이블'!U234),0)) + INDEX('각층분기별_유효전력최대(전월)'!$I$4:$I$2020,MATCH(1, ('각층분기별_유효전력최대(전월)'!$G$4:$G$2020='7층~4층_매핑테이블'!V234) * ('각층분기별_유효전력최대(전월)'!$H$4:$H$2020='7층~4층_매핑테이블'!W234),0))</f>
        <v>3.8580000000000001</v>
      </c>
      <c r="Y234" s="3274" t="str">
        <f t="shared" si="303"/>
        <v>7-DaHall 1-PDU-01-30-397-DaHall 1-PDU-02-30-39</v>
      </c>
      <c r="Z234" s="217" t="s">
        <v>10612</v>
      </c>
      <c r="AA234" s="217" t="s">
        <v>10613</v>
      </c>
      <c r="AB234" s="3274" t="str">
        <f t="shared" si="304"/>
        <v>7-DaHall 1-PDU-01</v>
      </c>
      <c r="AC234" t="s">
        <v>9924</v>
      </c>
      <c r="AD234" t="str">
        <f t="shared" si="263"/>
        <v>7-DaHall 1-PDU-02</v>
      </c>
      <c r="AE234" t="s">
        <v>9924</v>
      </c>
      <c r="AF234" s="2989" cm="1">
        <f t="array" ref="AF234">INDEX('각층분기별_유효전력최대(전월)'!$L$4:$L$2020,MATCH(1, ('각층분기별_유효전력최대(전월)'!$J$4:$J$2020='7층~4층_매핑테이블'!AB234) * ('각층분기별_유효전력최대(전월)'!$K$4:$K$2020='7층~4층_매핑테이블'!AC234),0)) + INDEX('각층분기별_유효전력최대(전월)'!$L$4:$L$2020,MATCH(1, ('각층분기별_유효전력최대(전월)'!$J$4:$J$2020='7층~4층_매핑테이블'!AD234) * ('각층분기별_유효전력최대(전월)'!$K$4:$K$2020='7층~4층_매핑테이블'!AE234),0))</f>
        <v>0.56800000000000006</v>
      </c>
    </row>
    <row r="235" spans="1:32" x14ac:dyDescent="0.25">
      <c r="A235" t="str">
        <f t="shared" si="291"/>
        <v/>
      </c>
      <c r="D235" s="2989" t="str">
        <f t="shared" si="244"/>
        <v/>
      </c>
      <c r="E235" s="2989" t="str">
        <f t="shared" si="264"/>
        <v/>
      </c>
      <c r="F235" s="2989" t="str">
        <f t="shared" si="292"/>
        <v/>
      </c>
      <c r="G235" s="2989" t="str">
        <f t="shared" si="293"/>
        <v/>
      </c>
      <c r="H235" s="2989" cm="1">
        <f t="array" ref="H235">INDEX('각층분기별_유효전력최대(전월)'!$C$4:$C$2020,MATCH(1, ('각층분기별_유효전력최대(전월)'!$A$4:$A$2020='7층~4층_매핑테이블'!D235) * ('각층분기별_유효전력최대(전월)'!$B$4:$B$2020='7층~4층_매핑테이블'!E235),0)) + INDEX('각층분기별_유효전력최대(전월)'!$C$4:$C$2020,MATCH(1, ('각층분기별_유효전력최대(전월)'!$A$4:$A$2020='7층~4층_매핑테이블'!F235) * ('각층분기별_유효전력최대(전월)'!$B$4:$B$2020='7층~4층_매핑테이블'!G235),0))</f>
        <v>0</v>
      </c>
      <c r="I235" t="str">
        <f t="shared" si="276"/>
        <v>5-DaHall 1-PDU-01-30-55-DaHall 1-PDU-02-30-5</v>
      </c>
      <c r="J235" s="217" t="s">
        <v>10614</v>
      </c>
      <c r="K235" s="217" t="s">
        <v>10615</v>
      </c>
      <c r="L235" t="str">
        <f t="shared" si="265"/>
        <v>5-DaHall 1-PDU-01</v>
      </c>
      <c r="M235" t="str">
        <f t="shared" si="305"/>
        <v>[branch#005] [A] W</v>
      </c>
      <c r="N235" t="str">
        <f t="shared" si="277"/>
        <v>5-DaHall 1-PDU-02</v>
      </c>
      <c r="O235" t="str">
        <f t="shared" si="285"/>
        <v>[branch#005] [A] W</v>
      </c>
      <c r="P235" s="2989" cm="1">
        <f t="array" ref="P235">INDEX('각층분기별_유효전력최대(전월)'!$F$4:$F$2020,MATCH(1, ('각층분기별_유효전력최대(전월)'!$D$4:$D$2020='7층~4층_매핑테이블'!L235) * ('각층분기별_유효전력최대(전월)'!$E$4:$E$2020='7층~4층_매핑테이블'!M235),0)) + INDEX('각층분기별_유효전력최대(전월)'!$F$4:$F$2020,MATCH(1, ('각층분기별_유효전력최대(전월)'!$D$4:$D$2020='7층~4층_매핑테이블'!N235) * ('각층분기별_유효전력최대(전월)'!$E$4:$E$2020='7층~4층_매핑테이블'!O235),0))</f>
        <v>0</v>
      </c>
      <c r="Q235" s="1" t="str">
        <f t="shared" si="279"/>
        <v>6-DaHall 1-PDU-01-30-126-DaHall 1-PDU-02-30-12</v>
      </c>
      <c r="R235" s="217" t="s">
        <v>10616</v>
      </c>
      <c r="S235" s="217" t="s">
        <v>10617</v>
      </c>
      <c r="T235" t="str">
        <f t="shared" si="269"/>
        <v>6-DaHall 1-PDU-01</v>
      </c>
      <c r="U235" t="str">
        <f t="shared" si="299"/>
        <v>[branch#012] [A] W</v>
      </c>
      <c r="V235" t="str">
        <f t="shared" si="281"/>
        <v>6-DaHall 1-PDU-02</v>
      </c>
      <c r="W235" t="str">
        <f t="shared" si="300"/>
        <v>[branch#012] [A] W</v>
      </c>
      <c r="X235" s="2989" cm="1">
        <f t="array" ref="X235">INDEX('각층분기별_유효전력최대(전월)'!$I$4:$I$2020,MATCH(1, ('각층분기별_유효전력최대(전월)'!$G$4:$G$2020='7층~4층_매핑테이블'!T235) * ('각층분기별_유효전력최대(전월)'!$H$4:$H$2020='7층~4층_매핑테이블'!U235),0)) + INDEX('각층분기별_유효전력최대(전월)'!$I$4:$I$2020,MATCH(1, ('각층분기별_유효전력최대(전월)'!$G$4:$G$2020='7층~4층_매핑테이블'!V235) * ('각층분기별_유효전력최대(전월)'!$H$4:$H$2020='7층~4층_매핑테이블'!W235),0))</f>
        <v>4.1319999999999997</v>
      </c>
      <c r="Y235" s="3274" t="str">
        <f>Z235&amp;AA235</f>
        <v/>
      </c>
      <c r="Z235" s="217"/>
      <c r="AA235" s="217"/>
      <c r="AB235" s="3274" t="str">
        <f>IF(MID(Z235,16,2)="0","",MID(Z235,1,15)&amp;MID(Z235,16,2))</f>
        <v/>
      </c>
      <c r="AD235" t="str">
        <f t="shared" si="263"/>
        <v/>
      </c>
      <c r="AF235" s="2989" cm="1">
        <f t="array" ref="AF235">INDEX('각층분기별_유효전력최대(전월)'!$L$4:$L$2020,MATCH(1, ('각층분기별_유효전력최대(전월)'!$J$4:$J$2020='7층~4층_매핑테이블'!AB235) * ('각층분기별_유효전력최대(전월)'!$K$4:$K$2020='7층~4층_매핑테이블'!AC235),0)) + INDEX('각층분기별_유효전력최대(전월)'!$L$4:$L$2020,MATCH(1, ('각층분기별_유효전력최대(전월)'!$J$4:$J$2020='7층~4층_매핑테이블'!AD235) * ('각층분기별_유효전력최대(전월)'!$K$4:$K$2020='7층~4층_매핑테이블'!AE235),0))</f>
        <v>0</v>
      </c>
    </row>
    <row r="236" spans="1:32" x14ac:dyDescent="0.25">
      <c r="A236" t="str">
        <f t="shared" si="291"/>
        <v/>
      </c>
      <c r="D236" s="2989" t="str">
        <f t="shared" si="244"/>
        <v/>
      </c>
      <c r="E236" s="2989" t="str">
        <f t="shared" si="264"/>
        <v/>
      </c>
      <c r="F236" s="2989" t="str">
        <f t="shared" si="292"/>
        <v/>
      </c>
      <c r="G236" s="2989" t="str">
        <f t="shared" si="293"/>
        <v/>
      </c>
      <c r="H236" s="2989" cm="1">
        <f t="array" ref="H236">INDEX('각층분기별_유효전력최대(전월)'!$C$4:$C$2020,MATCH(1, ('각층분기별_유효전력최대(전월)'!$A$4:$A$2020='7층~4층_매핑테이블'!D236) * ('각층분기별_유효전력최대(전월)'!$B$4:$B$2020='7층~4층_매핑테이블'!E236),0)) + INDEX('각층분기별_유효전력최대(전월)'!$C$4:$C$2020,MATCH(1, ('각층분기별_유효전력최대(전월)'!$A$4:$A$2020='7층~4층_매핑테이블'!F236) * ('각층분기별_유효전력최대(전월)'!$B$4:$B$2020='7층~4층_매핑테이블'!G236),0))</f>
        <v>0</v>
      </c>
      <c r="I236" t="str">
        <f t="shared" si="276"/>
        <v>5-DaHall 1-PDU-01-30-75-DaHall 1-PDU-02-30-7</v>
      </c>
      <c r="J236" s="217" t="s">
        <v>10618</v>
      </c>
      <c r="K236" s="217" t="s">
        <v>10619</v>
      </c>
      <c r="L236" t="str">
        <f t="shared" si="265"/>
        <v>5-DaHall 1-PDU-01</v>
      </c>
      <c r="M236" t="str">
        <f t="shared" si="305"/>
        <v>[branch#007] [A] W</v>
      </c>
      <c r="N236" t="str">
        <f t="shared" si="277"/>
        <v>5-DaHall 1-PDU-02</v>
      </c>
      <c r="O236" t="str">
        <f t="shared" si="285"/>
        <v>[branch#007] [A] W</v>
      </c>
      <c r="P236" s="2989" cm="1">
        <f t="array" ref="P236">INDEX('각층분기별_유효전력최대(전월)'!$F$4:$F$2020,MATCH(1, ('각층분기별_유효전력최대(전월)'!$D$4:$D$2020='7층~4층_매핑테이블'!L236) * ('각층분기별_유효전력최대(전월)'!$E$4:$E$2020='7층~4층_매핑테이블'!M236),0)) + INDEX('각층분기별_유효전력최대(전월)'!$F$4:$F$2020,MATCH(1, ('각층분기별_유효전력최대(전월)'!$D$4:$D$2020='7층~4층_매핑테이블'!N236) * ('각층분기별_유효전력최대(전월)'!$E$4:$E$2020='7층~4층_매핑테이블'!O236),0))</f>
        <v>5.6820000000000004</v>
      </c>
      <c r="Q236" s="1" t="str">
        <f>R236&amp;S236</f>
        <v>6-DaHall 1-PDU-01-30-146-DaHall 1-PDU-02-30-14</v>
      </c>
      <c r="R236" s="217" t="s">
        <v>10620</v>
      </c>
      <c r="S236" s="217" t="s">
        <v>10621</v>
      </c>
      <c r="T236" t="str">
        <f t="shared" si="269"/>
        <v>6-DaHall 1-PDU-01</v>
      </c>
      <c r="U236" t="str">
        <f t="shared" si="299"/>
        <v>[branch#014] [A] W</v>
      </c>
      <c r="V236" t="str">
        <f>IF(MID(S236,16,2)="0","",MID(S236,1,15)&amp;MID(S236,16,2))</f>
        <v>6-DaHall 1-PDU-02</v>
      </c>
      <c r="W236" t="str">
        <f t="shared" si="300"/>
        <v>[branch#014] [A] W</v>
      </c>
      <c r="X236" s="2989" cm="1">
        <f t="array" ref="X236">INDEX('각층분기별_유효전력최대(전월)'!$I$4:$I$2020,MATCH(1, ('각층분기별_유효전력최대(전월)'!$G$4:$G$2020='7층~4층_매핑테이블'!T236) * ('각층분기별_유효전력최대(전월)'!$H$4:$H$2020='7층~4층_매핑테이블'!U236),0)) + INDEX('각층분기별_유효전력최대(전월)'!$I$4:$I$2020,MATCH(1, ('각층분기별_유효전력최대(전월)'!$G$4:$G$2020='7층~4층_매핑테이블'!V236) * ('각층분기별_유효전력최대(전월)'!$H$4:$H$2020='7층~4층_매핑테이블'!W236),0))</f>
        <v>3.2909999999999999</v>
      </c>
      <c r="Y236" s="3274" t="str">
        <f t="shared" ref="Y236:Y239" si="306">Z236&amp;AA236</f>
        <v/>
      </c>
      <c r="Z236" s="217"/>
      <c r="AA236" s="217"/>
      <c r="AB236" s="3274" t="str">
        <f>IF(MID(Z236,16,2)="0","",MID(Z236,1,15)&amp;MID(Z236,16,2))</f>
        <v/>
      </c>
      <c r="AD236" t="str">
        <f t="shared" si="263"/>
        <v/>
      </c>
      <c r="AF236" s="2989" cm="1">
        <f t="array" ref="AF236">INDEX('각층분기별_유효전력최대(전월)'!$L$4:$L$2020,MATCH(1, ('각층분기별_유효전력최대(전월)'!$J$4:$J$2020='7층~4층_매핑테이블'!AB236) * ('각층분기별_유효전력최대(전월)'!$K$4:$K$2020='7층~4층_매핑테이블'!AC236),0)) + INDEX('각층분기별_유효전력최대(전월)'!$L$4:$L$2020,MATCH(1, ('각층분기별_유효전력최대(전월)'!$J$4:$J$2020='7층~4층_매핑테이블'!AD236) * ('각층분기별_유효전력최대(전월)'!$K$4:$K$2020='7층~4층_매핑테이블'!AE236),0))</f>
        <v>0</v>
      </c>
    </row>
    <row r="237" spans="1:32" x14ac:dyDescent="0.25">
      <c r="A237" t="str">
        <f t="shared" si="291"/>
        <v/>
      </c>
      <c r="D237" s="2989" t="str">
        <f t="shared" si="244"/>
        <v/>
      </c>
      <c r="E237" s="2989" t="str">
        <f t="shared" si="264"/>
        <v/>
      </c>
      <c r="F237" s="2989" t="str">
        <f t="shared" si="292"/>
        <v/>
      </c>
      <c r="G237" s="2989" t="str">
        <f t="shared" si="293"/>
        <v/>
      </c>
      <c r="H237" s="2989" cm="1">
        <f t="array" ref="H237">INDEX('각층분기별_유효전력최대(전월)'!$C$4:$C$2020,MATCH(1, ('각층분기별_유효전력최대(전월)'!$A$4:$A$2020='7층~4층_매핑테이블'!D237) * ('각층분기별_유효전력최대(전월)'!$B$4:$B$2020='7층~4층_매핑테이블'!E237),0)) + INDEX('각층분기별_유효전력최대(전월)'!$C$4:$C$2020,MATCH(1, ('각층분기별_유효전력최대(전월)'!$A$4:$A$2020='7층~4층_매핑테이블'!F237) * ('각층분기별_유효전력최대(전월)'!$B$4:$B$2020='7층~4층_매핑테이블'!G237),0))</f>
        <v>0</v>
      </c>
      <c r="I237" t="str">
        <f t="shared" si="276"/>
        <v>5-DaHall 1-PDU-01-30-95-DaHall 1-PDU-02-30-9</v>
      </c>
      <c r="J237" s="217" t="s">
        <v>10622</v>
      </c>
      <c r="K237" s="217" t="s">
        <v>10623</v>
      </c>
      <c r="L237" t="str">
        <f t="shared" si="265"/>
        <v>5-DaHall 1-PDU-01</v>
      </c>
      <c r="M237" t="str">
        <f t="shared" si="305"/>
        <v>[branch#009] [A] W</v>
      </c>
      <c r="N237" t="str">
        <f t="shared" si="277"/>
        <v>5-DaHall 1-PDU-02</v>
      </c>
      <c r="O237" t="str">
        <f t="shared" si="285"/>
        <v>[branch#009] [A] W</v>
      </c>
      <c r="P237" s="2989" cm="1">
        <f t="array" ref="P237">INDEX('각층분기별_유효전력최대(전월)'!$F$4:$F$2020,MATCH(1, ('각층분기별_유효전력최대(전월)'!$D$4:$D$2020='7층~4층_매핑테이블'!L237) * ('각층분기별_유효전력최대(전월)'!$E$4:$E$2020='7층~4층_매핑테이블'!M237),0)) + INDEX('각층분기별_유효전력최대(전월)'!$F$4:$F$2020,MATCH(1, ('각층분기별_유효전력최대(전월)'!$D$4:$D$2020='7층~4층_매핑테이블'!N237) * ('각층분기별_유효전력최대(전월)'!$E$4:$E$2020='7층~4층_매핑테이블'!O237),0))</f>
        <v>2.8740000000000001</v>
      </c>
      <c r="Q237" s="1" t="str">
        <f t="shared" si="279"/>
        <v>6-DaHall 1-PDU-01-30-166-DaHall 1-PDU-02-30-16</v>
      </c>
      <c r="R237" s="217" t="s">
        <v>10624</v>
      </c>
      <c r="S237" s="217" t="s">
        <v>10625</v>
      </c>
      <c r="T237" t="str">
        <f t="shared" si="269"/>
        <v>6-DaHall 1-PDU-01</v>
      </c>
      <c r="U237" t="str">
        <f t="shared" si="299"/>
        <v>[branch#016] [A] W</v>
      </c>
      <c r="V237" t="str">
        <f t="shared" si="281"/>
        <v>6-DaHall 1-PDU-02</v>
      </c>
      <c r="W237" t="str">
        <f t="shared" si="300"/>
        <v>[branch#016] [A] W</v>
      </c>
      <c r="X237" s="2989" cm="1">
        <f t="array" ref="X237">INDEX('각층분기별_유효전력최대(전월)'!$I$4:$I$2020,MATCH(1, ('각층분기별_유효전력최대(전월)'!$G$4:$G$2020='7층~4층_매핑테이블'!T237) * ('각층분기별_유효전력최대(전월)'!$H$4:$H$2020='7층~4층_매핑테이블'!U237),0)) + INDEX('각층분기별_유효전력최대(전월)'!$I$4:$I$2020,MATCH(1, ('각층분기별_유효전력최대(전월)'!$G$4:$G$2020='7층~4층_매핑테이블'!V237) * ('각층분기별_유효전력최대(전월)'!$H$4:$H$2020='7층~4층_매핑테이블'!W237),0))</f>
        <v>2.613</v>
      </c>
      <c r="Y237" s="3274" t="str">
        <f t="shared" si="306"/>
        <v/>
      </c>
      <c r="Z237" s="217"/>
      <c r="AA237" s="217"/>
      <c r="AB237" s="3274" t="str">
        <f t="shared" ref="AB237:AB239" si="307">IF(MID(Z237,16,2)="0","",MID(Z237,1,15)&amp;MID(Z237,16,2))</f>
        <v/>
      </c>
      <c r="AD237" t="str">
        <f t="shared" si="263"/>
        <v/>
      </c>
      <c r="AF237" s="2989" cm="1">
        <f t="array" ref="AF237">INDEX('각층분기별_유효전력최대(전월)'!$L$4:$L$2020,MATCH(1, ('각층분기별_유효전력최대(전월)'!$J$4:$J$2020='7층~4층_매핑테이블'!AB237) * ('각층분기별_유효전력최대(전월)'!$K$4:$K$2020='7층~4층_매핑테이블'!AC237),0)) + INDEX('각층분기별_유효전력최대(전월)'!$L$4:$L$2020,MATCH(1, ('각층분기별_유효전력최대(전월)'!$J$4:$J$2020='7층~4층_매핑테이블'!AD237) * ('각층분기별_유효전력최대(전월)'!$K$4:$K$2020='7층~4층_매핑테이블'!AE237),0))</f>
        <v>0</v>
      </c>
    </row>
    <row r="238" spans="1:32" x14ac:dyDescent="0.25">
      <c r="A238" t="str">
        <f t="shared" si="291"/>
        <v/>
      </c>
      <c r="D238" s="2989" t="str">
        <f t="shared" si="244"/>
        <v/>
      </c>
      <c r="E238" s="2989" t="str">
        <f t="shared" si="264"/>
        <v/>
      </c>
      <c r="F238" s="2989" t="str">
        <f t="shared" si="292"/>
        <v/>
      </c>
      <c r="G238" s="2989" t="str">
        <f t="shared" si="293"/>
        <v/>
      </c>
      <c r="H238" s="2989" cm="1">
        <f t="array" ref="H238">INDEX('각층분기별_유효전력최대(전월)'!$C$4:$C$2020,MATCH(1, ('각층분기별_유효전력최대(전월)'!$A$4:$A$2020='7층~4층_매핑테이블'!D238) * ('각층분기별_유효전력최대(전월)'!$B$4:$B$2020='7층~4층_매핑테이블'!E238),0)) + INDEX('각층분기별_유효전력최대(전월)'!$C$4:$C$2020,MATCH(1, ('각층분기별_유효전력최대(전월)'!$A$4:$A$2020='7층~4층_매핑테이블'!F238) * ('각층분기별_유효전력최대(전월)'!$B$4:$B$2020='7층~4층_매핑테이블'!G238),0))</f>
        <v>0</v>
      </c>
      <c r="I238" t="str">
        <f t="shared" si="276"/>
        <v>5-DaHall 1-PDU-01-30-115-DaHall 1-PDU-02-30-11</v>
      </c>
      <c r="J238" s="217" t="s">
        <v>10626</v>
      </c>
      <c r="K238" s="217" t="s">
        <v>10627</v>
      </c>
      <c r="L238" t="str">
        <f t="shared" si="265"/>
        <v>5-DaHall 1-PDU-01</v>
      </c>
      <c r="M238" t="str">
        <f t="shared" si="305"/>
        <v>[branch#011] [A] W</v>
      </c>
      <c r="N238" t="str">
        <f t="shared" si="277"/>
        <v>5-DaHall 1-PDU-02</v>
      </c>
      <c r="O238" t="str">
        <f t="shared" si="285"/>
        <v>[branch#011] [A] W</v>
      </c>
      <c r="P238" s="2989" cm="1">
        <f t="array" ref="P238">INDEX('각층분기별_유효전력최대(전월)'!$F$4:$F$2020,MATCH(1, ('각층분기별_유효전력최대(전월)'!$D$4:$D$2020='7층~4층_매핑테이블'!L238) * ('각층분기별_유효전력최대(전월)'!$E$4:$E$2020='7층~4층_매핑테이블'!M238),0)) + INDEX('각층분기별_유효전력최대(전월)'!$F$4:$F$2020,MATCH(1, ('각층분기별_유효전력최대(전월)'!$D$4:$D$2020='7층~4층_매핑테이블'!N238) * ('각층분기별_유효전력최대(전월)'!$E$4:$E$2020='7층~4층_매핑테이블'!O238),0))</f>
        <v>0.18</v>
      </c>
      <c r="Q238" s="1" t="str">
        <f t="shared" si="279"/>
        <v>6-DaHall 1-PDU-11-30-196-DaHall 1-PDU-12-30-19</v>
      </c>
      <c r="R238" s="217" t="s">
        <v>10628</v>
      </c>
      <c r="S238" s="217" t="s">
        <v>10629</v>
      </c>
      <c r="T238" t="str">
        <f t="shared" si="269"/>
        <v>6-DaHall 1-PDU-11</v>
      </c>
      <c r="U238" t="str">
        <f t="shared" si="299"/>
        <v>[branch#019] [A] W</v>
      </c>
      <c r="V238" t="str">
        <f t="shared" si="281"/>
        <v>6-DaHall 1-PDU-12</v>
      </c>
      <c r="W238" t="str">
        <f>IF(IF(LEN((MID(S238,22,2)))=1, "[branch#0"&amp;0&amp;MID(S238,22,2)&amp;"] [A] W", "[branch#0"&amp;MID(S238,22,2)&amp;"] [A] W")="[branch#0] [A] W", "", IF(LEN((MID(S238,22,2)))=1, "[branch#0"&amp;0&amp;MID(S238,22,2)&amp;"] [A] W", "[branch#0"&amp;MID(S238,22,2)&amp;"] [A] W"))</f>
        <v>[branch#019] [A] W</v>
      </c>
      <c r="X238" s="2989" cm="1">
        <f t="array" ref="X238">INDEX('각층분기별_유효전력최대(전월)'!$I$4:$I$2020,MATCH(1, ('각층분기별_유효전력최대(전월)'!$G$4:$G$2020='7층~4층_매핑테이블'!T238) * ('각층분기별_유효전력최대(전월)'!$H$4:$H$2020='7층~4층_매핑테이블'!U238),0)) + INDEX('각층분기별_유효전력최대(전월)'!$I$4:$I$2020,MATCH(1, ('각층분기별_유효전력최대(전월)'!$G$4:$G$2020='7층~4층_매핑테이블'!V238) * ('각층분기별_유효전력최대(전월)'!$H$4:$H$2020='7층~4층_매핑테이블'!W238),0))</f>
        <v>2.585</v>
      </c>
      <c r="Y238" s="3274" t="str">
        <f t="shared" si="306"/>
        <v/>
      </c>
      <c r="Z238" s="217"/>
      <c r="AA238" s="217"/>
      <c r="AB238" s="3274" t="str">
        <f t="shared" si="307"/>
        <v/>
      </c>
      <c r="AD238" t="str">
        <f t="shared" si="263"/>
        <v/>
      </c>
      <c r="AF238" s="2989" cm="1">
        <f t="array" ref="AF238">INDEX('각층분기별_유효전력최대(전월)'!$L$4:$L$2020,MATCH(1, ('각층분기별_유효전력최대(전월)'!$J$4:$J$2020='7층~4층_매핑테이블'!AB238) * ('각층분기별_유효전력최대(전월)'!$K$4:$K$2020='7층~4층_매핑테이블'!AC238),0)) + INDEX('각층분기별_유효전력최대(전월)'!$L$4:$L$2020,MATCH(1, ('각층분기별_유효전력최대(전월)'!$J$4:$J$2020='7층~4층_매핑테이블'!AD238) * ('각층분기별_유효전력최대(전월)'!$K$4:$K$2020='7층~4층_매핑테이블'!AE238),0))</f>
        <v>0</v>
      </c>
    </row>
    <row r="239" spans="1:32" x14ac:dyDescent="0.25">
      <c r="A239" t="str">
        <f t="shared" si="291"/>
        <v/>
      </c>
      <c r="D239" s="2989" t="str">
        <f t="shared" si="244"/>
        <v/>
      </c>
      <c r="E239" s="2989" t="str">
        <f t="shared" si="264"/>
        <v/>
      </c>
      <c r="F239" s="2989" t="str">
        <f t="shared" si="292"/>
        <v/>
      </c>
      <c r="G239" s="2989" t="str">
        <f t="shared" si="293"/>
        <v/>
      </c>
      <c r="H239" s="2989" cm="1">
        <f t="array" ref="H239">INDEX('각층분기별_유효전력최대(전월)'!$C$4:$C$2020,MATCH(1, ('각층분기별_유효전력최대(전월)'!$A$4:$A$2020='7층~4층_매핑테이블'!D239) * ('각층분기별_유효전력최대(전월)'!$B$4:$B$2020='7층~4층_매핑테이블'!E239),0)) + INDEX('각층분기별_유효전력최대(전월)'!$C$4:$C$2020,MATCH(1, ('각층분기별_유효전력최대(전월)'!$A$4:$A$2020='7층~4층_매핑테이블'!F239) * ('각층분기별_유효전력최대(전월)'!$B$4:$B$2020='7층~4층_매핑테이블'!G239),0))</f>
        <v>0</v>
      </c>
      <c r="I239" t="str">
        <f t="shared" si="276"/>
        <v>5-DaHall 1-PDU-01-30-135-DaHall 1-PDU-02-30-13</v>
      </c>
      <c r="J239" s="217" t="s">
        <v>10630</v>
      </c>
      <c r="K239" s="217" t="s">
        <v>10631</v>
      </c>
      <c r="L239" t="str">
        <f t="shared" si="265"/>
        <v>5-DaHall 1-PDU-01</v>
      </c>
      <c r="M239" t="str">
        <f t="shared" si="305"/>
        <v>[branch#013] [A] W</v>
      </c>
      <c r="N239" t="str">
        <f t="shared" si="277"/>
        <v>5-DaHall 1-PDU-02</v>
      </c>
      <c r="O239" t="str">
        <f t="shared" si="285"/>
        <v>[branch#013] [A] W</v>
      </c>
      <c r="P239" s="2989" cm="1">
        <f t="array" ref="P239">INDEX('각층분기별_유효전력최대(전월)'!$F$4:$F$2020,MATCH(1, ('각층분기별_유효전력최대(전월)'!$D$4:$D$2020='7층~4층_매핑테이블'!L239) * ('각층분기별_유효전력최대(전월)'!$E$4:$E$2020='7층~4층_매핑테이블'!M239),0)) + INDEX('각층분기별_유효전력최대(전월)'!$F$4:$F$2020,MATCH(1, ('각층분기별_유효전력최대(전월)'!$D$4:$D$2020='7층~4층_매핑테이블'!N239) * ('각층분기별_유효전력최대(전월)'!$E$4:$E$2020='7층~4층_매핑테이블'!O239),0))</f>
        <v>0.60400000000000009</v>
      </c>
      <c r="Q239" s="1" t="str">
        <f t="shared" si="279"/>
        <v>6-DaHall 1-PDU-11-30-446-DaHall 1-PDU-12-30-44</v>
      </c>
      <c r="R239" s="217" t="s">
        <v>10632</v>
      </c>
      <c r="S239" s="217" t="s">
        <v>10633</v>
      </c>
      <c r="T239" t="str">
        <f t="shared" si="269"/>
        <v>6-DaHall 1-PDU-11</v>
      </c>
      <c r="U239" t="str">
        <f t="shared" si="299"/>
        <v>[branch#044] [A] W</v>
      </c>
      <c r="V239" t="str">
        <f t="shared" si="281"/>
        <v>6-DaHall 1-PDU-12</v>
      </c>
      <c r="W239" t="str">
        <f t="shared" si="300"/>
        <v>[branch#044] [A] W</v>
      </c>
      <c r="X239" s="2989" cm="1">
        <f t="array" ref="X239">INDEX('각층분기별_유효전력최대(전월)'!$I$4:$I$2020,MATCH(1, ('각층분기별_유효전력최대(전월)'!$G$4:$G$2020='7층~4층_매핑테이블'!T239) * ('각층분기별_유효전력최대(전월)'!$H$4:$H$2020='7층~4층_매핑테이블'!U239),0)) + INDEX('각층분기별_유효전력최대(전월)'!$I$4:$I$2020,MATCH(1, ('각층분기별_유효전력최대(전월)'!$G$4:$G$2020='7층~4층_매핑테이블'!V239) * ('각층분기별_유효전력최대(전월)'!$H$4:$H$2020='7층~4층_매핑테이블'!W239),0))</f>
        <v>0</v>
      </c>
      <c r="Y239" s="3274" t="str">
        <f t="shared" si="306"/>
        <v/>
      </c>
      <c r="Z239" s="217"/>
      <c r="AA239" s="217"/>
      <c r="AB239" s="3274" t="str">
        <f t="shared" si="307"/>
        <v/>
      </c>
      <c r="AD239" t="str">
        <f t="shared" si="263"/>
        <v/>
      </c>
      <c r="AF239" s="2989" cm="1">
        <f t="array" ref="AF239">INDEX('각층분기별_유효전력최대(전월)'!$L$4:$L$2020,MATCH(1, ('각층분기별_유효전력최대(전월)'!$J$4:$J$2020='7층~4층_매핑테이블'!AB239) * ('각층분기별_유효전력최대(전월)'!$K$4:$K$2020='7층~4층_매핑테이블'!AC239),0)) + INDEX('각층분기별_유효전력최대(전월)'!$L$4:$L$2020,MATCH(1, ('각층분기별_유효전력최대(전월)'!$J$4:$J$2020='7층~4층_매핑테이블'!AD239) * ('각층분기별_유효전력최대(전월)'!$K$4:$K$2020='7층~4층_매핑테이블'!AE239),0))</f>
        <v>0</v>
      </c>
    </row>
    <row r="240" spans="1:32" x14ac:dyDescent="0.25">
      <c r="A240" t="str">
        <f t="shared" si="291"/>
        <v/>
      </c>
      <c r="D240" s="2989" t="str">
        <f t="shared" si="244"/>
        <v/>
      </c>
      <c r="E240" s="2989" t="str">
        <f t="shared" si="264"/>
        <v/>
      </c>
      <c r="F240" s="2989" t="str">
        <f t="shared" si="292"/>
        <v/>
      </c>
      <c r="G240" s="2989" t="str">
        <f t="shared" si="293"/>
        <v/>
      </c>
      <c r="H240" s="2989" cm="1">
        <f t="array" ref="H240">INDEX('각층분기별_유효전력최대(전월)'!$C$4:$C$2020,MATCH(1, ('각층분기별_유효전력최대(전월)'!$A$4:$A$2020='7층~4층_매핑테이블'!D240) * ('각층분기별_유효전력최대(전월)'!$B$4:$B$2020='7층~4층_매핑테이블'!E240),0)) + INDEX('각층분기별_유효전력최대(전월)'!$C$4:$C$2020,MATCH(1, ('각층분기별_유효전력최대(전월)'!$A$4:$A$2020='7층~4층_매핑테이블'!F240) * ('각층분기별_유효전력최대(전월)'!$B$4:$B$2020='7층~4층_매핑테이블'!G240),0))</f>
        <v>0</v>
      </c>
      <c r="I240" t="str">
        <f t="shared" si="276"/>
        <v>5-DaHall 1-PDU-01-30-155-DaHall 1-PDU-02-30-15</v>
      </c>
      <c r="J240" s="217" t="s">
        <v>10634</v>
      </c>
      <c r="K240" s="217" t="s">
        <v>10635</v>
      </c>
      <c r="L240" t="str">
        <f t="shared" si="265"/>
        <v>5-DaHall 1-PDU-01</v>
      </c>
      <c r="M240" t="str">
        <f t="shared" si="305"/>
        <v>[branch#015] [A] W</v>
      </c>
      <c r="N240" t="str">
        <f t="shared" si="277"/>
        <v>5-DaHall 1-PDU-02</v>
      </c>
      <c r="O240" t="str">
        <f t="shared" si="285"/>
        <v>[branch#015] [A] W</v>
      </c>
      <c r="P240" s="2989" cm="1">
        <f t="array" ref="P240">INDEX('각층분기별_유효전력최대(전월)'!$F$4:$F$2020,MATCH(1, ('각층분기별_유효전력최대(전월)'!$D$4:$D$2020='7층~4층_매핑테이블'!L240) * ('각층분기별_유효전력최대(전월)'!$E$4:$E$2020='7층~4층_매핑테이블'!M240),0)) + INDEX('각층분기별_유효전력최대(전월)'!$F$4:$F$2020,MATCH(1, ('각층분기별_유효전력최대(전월)'!$D$4:$D$2020='7층~4층_매핑테이블'!N240) * ('각층분기별_유효전력최대(전월)'!$E$4:$E$2020='7층~4층_매핑테이블'!O240),0))</f>
        <v>0</v>
      </c>
      <c r="Q240" s="1" t="str">
        <f t="shared" si="279"/>
        <v>6-DaHall 1-PDU-13-30-2</v>
      </c>
      <c r="R240" s="217" t="s">
        <v>10636</v>
      </c>
      <c r="S240" s="217"/>
      <c r="T240" t="str">
        <f t="shared" si="269"/>
        <v>6-DaHall 1-PDU-13</v>
      </c>
      <c r="U240" t="str">
        <f t="shared" si="299"/>
        <v>[branch#002] [A] W</v>
      </c>
      <c r="V240" t="str">
        <f>IF(MID(S240,16,2)="0","",MID(S240,1,15)&amp;MID(S240,16,2))</f>
        <v/>
      </c>
      <c r="W240" t="str">
        <f>IF(IF(LEN((MID(S240,22,2)))=1, "[branch#0"&amp;0&amp;MID(S240,22,2)&amp;"] [A] W", "[branch#0"&amp;MID(S240,22,2)&amp;"] [A] W")="[branch#0] [A] W", "", IF(LEN((MID(S240,22,2)))=1, "[branch#0"&amp;0&amp;MID(S240,22,2)&amp;"] [A] W", "[branch#0"&amp;MID(S240,22,2)&amp;"] [A] W"))</f>
        <v/>
      </c>
      <c r="X240" s="2989" cm="1">
        <f t="array" ref="X240">INDEX('각층분기별_유효전력최대(전월)'!$I$4:$I$2020,MATCH(1, ('각층분기별_유효전력최대(전월)'!$G$4:$G$2020='7층~4층_매핑테이블'!T240) * ('각층분기별_유효전력최대(전월)'!$H$4:$H$2020='7층~4층_매핑테이블'!U240),0)) + INDEX('각층분기별_유효전력최대(전월)'!$I$4:$I$2020,MATCH(1, ('각층분기별_유효전력최대(전월)'!$G$4:$G$2020='7층~4층_매핑테이블'!V240) * ('각층분기별_유효전력최대(전월)'!$H$4:$H$2020='7층~4층_매핑테이블'!W240),0))</f>
        <v>0</v>
      </c>
      <c r="Y240" s="3274" t="str">
        <f>Z240&amp;AA240</f>
        <v>7-DaHall 1-RPP-03-50-87-DaHall 1-RPP-04-50-8</v>
      </c>
      <c r="Z240" s="217" t="s">
        <v>10637</v>
      </c>
      <c r="AA240" s="217" t="s">
        <v>10638</v>
      </c>
      <c r="AB240" s="3274" t="str">
        <f>IF(MID(Z240,16,2)="0","",MID(Z240,1,15)&amp;MID(Z240,16,2))</f>
        <v>7-DaHall 1-RPP-03</v>
      </c>
      <c r="AC240" t="s">
        <v>9492</v>
      </c>
      <c r="AD240" t="str">
        <f t="shared" si="263"/>
        <v>7-DaHall 1-RPP-04</v>
      </c>
      <c r="AE240" t="s">
        <v>9492</v>
      </c>
      <c r="AF240" s="2989" cm="1">
        <f t="array" ref="AF240">INDEX('각층분기별_유효전력최대(전월)'!$L$4:$L$2020,MATCH(1, ('각층분기별_유효전력최대(전월)'!$J$4:$J$2020='7층~4층_매핑테이블'!AB240) * ('각층분기별_유효전력최대(전월)'!$K$4:$K$2020='7층~4층_매핑테이블'!AC240),0)) + INDEX('각층분기별_유효전력최대(전월)'!$L$4:$L$2020,MATCH(1, ('각층분기별_유효전력최대(전월)'!$J$4:$J$2020='7층~4층_매핑테이블'!AD240) * ('각층분기별_유효전력최대(전월)'!$K$4:$K$2020='7층~4층_매핑테이블'!AE240),0))</f>
        <v>0.87</v>
      </c>
    </row>
    <row r="241" spans="1:32" x14ac:dyDescent="0.25">
      <c r="A241" t="str">
        <f t="shared" si="291"/>
        <v/>
      </c>
      <c r="D241" s="2989" t="str">
        <f t="shared" si="244"/>
        <v/>
      </c>
      <c r="E241" s="2989" t="str">
        <f t="shared" si="264"/>
        <v/>
      </c>
      <c r="F241" s="2989" t="str">
        <f t="shared" si="292"/>
        <v/>
      </c>
      <c r="G241" s="2989" t="str">
        <f t="shared" si="293"/>
        <v/>
      </c>
      <c r="H241" s="2989" cm="1">
        <f t="array" ref="H241">INDEX('각층분기별_유효전력최대(전월)'!$C$4:$C$2020,MATCH(1, ('각층분기별_유효전력최대(전월)'!$A$4:$A$2020='7층~4층_매핑테이블'!D241) * ('각층분기별_유효전력최대(전월)'!$B$4:$B$2020='7층~4층_매핑테이블'!E241),0)) + INDEX('각층분기별_유효전력최대(전월)'!$C$4:$C$2020,MATCH(1, ('각층분기별_유효전력최대(전월)'!$A$4:$A$2020='7층~4층_매핑테이블'!F241) * ('각층분기별_유효전력최대(전월)'!$B$4:$B$2020='7층~4층_매핑테이블'!G241),0))</f>
        <v>0</v>
      </c>
      <c r="I241" t="str">
        <f t="shared" si="276"/>
        <v>5-DaHall 1-PDU-01-30-175-DaHall 1-PDU-02-30-17</v>
      </c>
      <c r="J241" s="217" t="s">
        <v>10639</v>
      </c>
      <c r="K241" s="217" t="s">
        <v>10640</v>
      </c>
      <c r="L241" t="str">
        <f t="shared" si="265"/>
        <v>5-DaHall 1-PDU-01</v>
      </c>
      <c r="M241" t="str">
        <f t="shared" si="305"/>
        <v>[branch#017] [A] W</v>
      </c>
      <c r="N241" t="str">
        <f t="shared" si="277"/>
        <v>5-DaHall 1-PDU-02</v>
      </c>
      <c r="O241" t="str">
        <f t="shared" si="285"/>
        <v>[branch#017] [A] W</v>
      </c>
      <c r="P241" s="2989" cm="1">
        <f t="array" ref="P241">INDEX('각층분기별_유효전력최대(전월)'!$F$4:$F$2020,MATCH(1, ('각층분기별_유효전력최대(전월)'!$D$4:$D$2020='7층~4층_매핑테이블'!L241) * ('각층분기별_유효전력최대(전월)'!$E$4:$E$2020='7층~4층_매핑테이블'!M241),0)) + INDEX('각층분기별_유효전력최대(전월)'!$F$4:$F$2020,MATCH(1, ('각층분기별_유효전력최대(전월)'!$D$4:$D$2020='7층~4층_매핑테이블'!N241) * ('각층분기별_유효전력최대(전월)'!$E$4:$E$2020='7층~4층_매핑테이블'!O241),0))</f>
        <v>5.4809999999999999</v>
      </c>
      <c r="Q241" s="1" t="str">
        <f t="shared" si="279"/>
        <v>6-DaHall 1-PDU-13-30-4</v>
      </c>
      <c r="R241" s="217" t="s">
        <v>10641</v>
      </c>
      <c r="S241" s="217"/>
      <c r="T241" t="str">
        <f t="shared" si="269"/>
        <v>6-DaHall 1-PDU-13</v>
      </c>
      <c r="U241" t="str">
        <f t="shared" si="299"/>
        <v>[branch#004] [A] W</v>
      </c>
      <c r="V241" t="str">
        <f t="shared" ref="V241" si="308">IF(MID(S241,16,2)="0","",MID(S241,1,15)&amp;MID(S241,16,2))</f>
        <v/>
      </c>
      <c r="W241" t="str">
        <f t="shared" ref="W241" si="309">IF(IF(LEN((MID(S241,22,2)))=1, "[branch#0"&amp;0&amp;MID(S241,22,2)&amp;"] [A] W", "[branch#0"&amp;MID(S241,22,2)&amp;"] [A] W")="[branch#0] [A] W", "", IF(LEN((MID(S241,22,2)))=1, "[branch#0"&amp;0&amp;MID(S241,22,2)&amp;"] [A] W", "[branch#0"&amp;MID(S241,22,2)&amp;"] [A] W"))</f>
        <v/>
      </c>
      <c r="X241" s="2989" cm="1">
        <f t="array" ref="X241">INDEX('각층분기별_유효전력최대(전월)'!$I$4:$I$2020,MATCH(1, ('각층분기별_유효전력최대(전월)'!$G$4:$G$2020='7층~4층_매핑테이블'!T241) * ('각층분기별_유효전력최대(전월)'!$H$4:$H$2020='7층~4층_매핑테이블'!U241),0)) + INDEX('각층분기별_유효전력최대(전월)'!$I$4:$I$2020,MATCH(1, ('각층분기별_유효전력최대(전월)'!$G$4:$G$2020='7층~4층_매핑테이블'!V241) * ('각층분기별_유효전력최대(전월)'!$H$4:$H$2020='7층~4층_매핑테이블'!W241),0))</f>
        <v>0</v>
      </c>
      <c r="Y241" s="3274" t="str">
        <f t="shared" ref="Y241:Y249" si="310">Z241&amp;AA241</f>
        <v>7-DaHall 1-RPP-03-50-67-DaHall 1-RPP-04-50-6</v>
      </c>
      <c r="Z241" s="217" t="s">
        <v>10642</v>
      </c>
      <c r="AA241" s="217" t="s">
        <v>10643</v>
      </c>
      <c r="AB241" s="3274" t="str">
        <f>IF(MID(Z241,16,2)="0","",MID(Z241,1,15)&amp;MID(Z241,16,2))</f>
        <v>7-DaHall 1-RPP-03</v>
      </c>
      <c r="AC241" t="s">
        <v>9351</v>
      </c>
      <c r="AD241" t="str">
        <f t="shared" si="263"/>
        <v>7-DaHall 1-RPP-04</v>
      </c>
      <c r="AE241" t="s">
        <v>9351</v>
      </c>
      <c r="AF241" s="2989" cm="1">
        <f t="array" ref="AF241">INDEX('각층분기별_유효전력최대(전월)'!$L$4:$L$2020,MATCH(1, ('각층분기별_유효전력최대(전월)'!$J$4:$J$2020='7층~4층_매핑테이블'!AB241) * ('각층분기별_유효전력최대(전월)'!$K$4:$K$2020='7층~4층_매핑테이블'!AC241),0)) + INDEX('각층분기별_유효전력최대(전월)'!$L$4:$L$2020,MATCH(1, ('각층분기별_유효전력최대(전월)'!$J$4:$J$2020='7층~4층_매핑테이블'!AD241) * ('각층분기별_유효전력최대(전월)'!$K$4:$K$2020='7층~4층_매핑테이블'!AE241),0))</f>
        <v>0.63300000000000001</v>
      </c>
    </row>
    <row r="242" spans="1:32" x14ac:dyDescent="0.25">
      <c r="A242" t="str">
        <f t="shared" si="291"/>
        <v/>
      </c>
      <c r="D242" s="2989" t="str">
        <f t="shared" si="244"/>
        <v/>
      </c>
      <c r="E242" s="2989" t="str">
        <f t="shared" si="264"/>
        <v/>
      </c>
      <c r="F242" s="2989" t="str">
        <f t="shared" si="292"/>
        <v/>
      </c>
      <c r="G242" s="2989" t="str">
        <f t="shared" si="293"/>
        <v/>
      </c>
      <c r="H242" s="2989" cm="1">
        <f t="array" ref="H242">INDEX('각층분기별_유효전력최대(전월)'!$C$4:$C$2020,MATCH(1, ('각층분기별_유효전력최대(전월)'!$A$4:$A$2020='7층~4층_매핑테이블'!D242) * ('각층분기별_유효전력최대(전월)'!$B$4:$B$2020='7층~4층_매핑테이블'!E242),0)) + INDEX('각층분기별_유효전력최대(전월)'!$C$4:$C$2020,MATCH(1, ('각층분기별_유효전력최대(전월)'!$A$4:$A$2020='7층~4층_매핑테이블'!F242) * ('각층분기별_유효전력최대(전월)'!$B$4:$B$2020='7층~4층_매핑테이블'!G242),0))</f>
        <v>0</v>
      </c>
      <c r="I242" t="str">
        <f t="shared" si="276"/>
        <v>5-DaHall 1-PDU-01-30-315-DaHall 1-PDU-02-30-31</v>
      </c>
      <c r="J242" s="217" t="s">
        <v>10644</v>
      </c>
      <c r="K242" s="217" t="s">
        <v>10645</v>
      </c>
      <c r="L242" t="str">
        <f t="shared" si="265"/>
        <v>5-DaHall 1-PDU-01</v>
      </c>
      <c r="M242" t="str">
        <f t="shared" si="305"/>
        <v>[branch#031] [A] W</v>
      </c>
      <c r="N242" t="str">
        <f t="shared" si="277"/>
        <v>5-DaHall 1-PDU-02</v>
      </c>
      <c r="O242" t="str">
        <f t="shared" si="285"/>
        <v>[branch#031] [A] W</v>
      </c>
      <c r="P242" s="2989" t="e" cm="1">
        <f t="array" ref="P242">INDEX('각층분기별_유효전력최대(전월)'!$F$4:$F$2020,MATCH(1, ('각층분기별_유효전력최대(전월)'!$D$4:$D$2020='7층~4층_매핑테이블'!L242) * ('각층분기별_유효전력최대(전월)'!$E$4:$E$2020='7층~4층_매핑테이블'!M242),0)) + INDEX('각층분기별_유효전력최대(전월)'!$F$4:$F$2020,MATCH(1, ('각층분기별_유효전력최대(전월)'!$D$4:$D$2020='7층~4층_매핑테이블'!N242) * ('각층분기별_유효전력최대(전월)'!$E$4:$E$2020='7층~4층_매핑테이블'!O242),0))</f>
        <v>#N/A</v>
      </c>
      <c r="Q242" s="1" t="str">
        <f>R242&amp;S242</f>
        <v>6-DaHall 1-PDU-14-30-2</v>
      </c>
      <c r="R242" s="217"/>
      <c r="S242" s="217" t="s">
        <v>10646</v>
      </c>
      <c r="T242" t="str">
        <f t="shared" si="269"/>
        <v/>
      </c>
      <c r="U242" t="str">
        <f>IF(IF(LEN((MID(R242,22,2)))=1, "[branch#0"&amp;0&amp;MID(R242,22,2)&amp;"] [A] W", "[branch#0"&amp;MID(R242,22,2)&amp;"] [A] W")="[branch#0] [A] W", "", IF(LEN((MID(R242,22,2)))=1, "[branch#0"&amp;0&amp;MID(R242,22,2)&amp;"] [A] W", "[branch#0"&amp;MID(R242,22,2)&amp;"] [A] W"))</f>
        <v/>
      </c>
      <c r="V242" t="str">
        <f>IF(MID(S242,16,2)="0","",MID(S242,1,15)&amp;MID(S242,16,2))</f>
        <v>6-DaHall 1-PDU-14</v>
      </c>
      <c r="W242" t="str">
        <f>IF(IF(LEN((MID(S242,22,2)))=1, "[branch#0"&amp;0&amp;MID(S242,22,2)&amp;"] [A] W", "[branch#0"&amp;MID(S242,22,2)&amp;"] [A] W")="[branch#0] [A] W", "", IF(LEN((MID(S242,22,2)))=1, "[branch#0"&amp;0&amp;MID(S242,22,2)&amp;"] [A] W", "[branch#0"&amp;MID(S242,22,2)&amp;"] [A] W"))</f>
        <v>[branch#002] [A] W</v>
      </c>
      <c r="X242" s="2989" cm="1">
        <f t="array" ref="X242">INDEX('각층분기별_유효전력최대(전월)'!$I$4:$I$2020,MATCH(1, ('각층분기별_유효전력최대(전월)'!$G$4:$G$2020='7층~4층_매핑테이블'!T242) * ('각층분기별_유효전력최대(전월)'!$H$4:$H$2020='7층~4층_매핑테이블'!U242),0)) + INDEX('각층분기별_유효전력최대(전월)'!$I$4:$I$2020,MATCH(1, ('각층분기별_유효전력최대(전월)'!$G$4:$G$2020='7층~4층_매핑테이블'!V242) * ('각층분기별_유효전력최대(전월)'!$H$4:$H$2020='7층~4층_매핑테이블'!W242),0))</f>
        <v>0</v>
      </c>
      <c r="Y242" s="3274" t="str">
        <f t="shared" si="310"/>
        <v>7-DaHall 1-RPP-03-50-107-DaHall 1-RPP-04-50-10</v>
      </c>
      <c r="Z242" s="217" t="s">
        <v>10647</v>
      </c>
      <c r="AA242" s="217" t="s">
        <v>10648</v>
      </c>
      <c r="AB242" s="3274" t="str">
        <f t="shared" ref="AB242:AB247" si="311">IF(MID(Z242,16,2)="0","",MID(Z242,1,15)&amp;MID(Z242,16,2))</f>
        <v>7-DaHall 1-RPP-03</v>
      </c>
      <c r="AC242" t="s">
        <v>9500</v>
      </c>
      <c r="AD242" t="str">
        <f t="shared" si="263"/>
        <v>7-DaHall 1-RPP-04</v>
      </c>
      <c r="AE242" t="s">
        <v>9500</v>
      </c>
      <c r="AF242" s="2989" cm="1">
        <f t="array" ref="AF242">INDEX('각층분기별_유효전력최대(전월)'!$L$4:$L$2020,MATCH(1, ('각층분기별_유효전력최대(전월)'!$J$4:$J$2020='7층~4층_매핑테이블'!AB242) * ('각층분기별_유효전력최대(전월)'!$K$4:$K$2020='7층~4층_매핑테이블'!AC242),0)) + INDEX('각층분기별_유효전력최대(전월)'!$L$4:$L$2020,MATCH(1, ('각층분기별_유효전력최대(전월)'!$J$4:$J$2020='7층~4층_매핑테이블'!AD242) * ('각층분기별_유효전력최대(전월)'!$K$4:$K$2020='7층~4층_매핑테이블'!AE242),0))</f>
        <v>1.0720000000000001</v>
      </c>
    </row>
    <row r="243" spans="1:32" x14ac:dyDescent="0.25">
      <c r="A243" t="str">
        <f t="shared" si="291"/>
        <v/>
      </c>
      <c r="D243" s="2989" t="str">
        <f t="shared" ref="D243:D295" si="312">IF(MID(B243,16,2)="0","",MID(B243,1,15)&amp;MID(B243,16,2))</f>
        <v/>
      </c>
      <c r="E243" s="2989" t="str">
        <f t="shared" si="264"/>
        <v/>
      </c>
      <c r="F243" s="2989" t="str">
        <f t="shared" si="292"/>
        <v/>
      </c>
      <c r="G243" s="2989" t="str">
        <f t="shared" si="293"/>
        <v/>
      </c>
      <c r="H243" s="2989" cm="1">
        <f t="array" ref="H243">INDEX('각층분기별_유효전력최대(전월)'!$C$4:$C$2020,MATCH(1, ('각층분기별_유효전력최대(전월)'!$A$4:$A$2020='7층~4층_매핑테이블'!D243) * ('각층분기별_유효전력최대(전월)'!$B$4:$B$2020='7층~4층_매핑테이블'!E243),0)) + INDEX('각층분기별_유효전력최대(전월)'!$C$4:$C$2020,MATCH(1, ('각층분기별_유효전력최대(전월)'!$A$4:$A$2020='7층~4층_매핑테이블'!F243) * ('각층분기별_유효전력최대(전월)'!$B$4:$B$2020='7층~4층_매핑테이블'!G243),0))</f>
        <v>0</v>
      </c>
      <c r="I243" t="str">
        <f t="shared" si="276"/>
        <v>5-DaHall 1-PDU-01-30-335-DaHall 1-PDU-02-30-33</v>
      </c>
      <c r="J243" s="217" t="s">
        <v>10649</v>
      </c>
      <c r="K243" s="217" t="s">
        <v>10650</v>
      </c>
      <c r="L243" t="str">
        <f t="shared" si="265"/>
        <v>5-DaHall 1-PDU-01</v>
      </c>
      <c r="M243" t="str">
        <f t="shared" si="305"/>
        <v>[branch#033] [A] W</v>
      </c>
      <c r="N243" t="str">
        <f t="shared" si="277"/>
        <v>5-DaHall 1-PDU-02</v>
      </c>
      <c r="O243" t="str">
        <f t="shared" si="285"/>
        <v>[branch#033] [A] W</v>
      </c>
      <c r="P243" s="2989" t="e" cm="1">
        <f t="array" ref="P243">INDEX('각층분기별_유효전력최대(전월)'!$F$4:$F$2020,MATCH(1, ('각층분기별_유효전력최대(전월)'!$D$4:$D$2020='7층~4층_매핑테이블'!L243) * ('각층분기별_유효전력최대(전월)'!$E$4:$E$2020='7층~4층_매핑테이블'!M243),0)) + INDEX('각층분기별_유효전력최대(전월)'!$F$4:$F$2020,MATCH(1, ('각층분기별_유효전력최대(전월)'!$D$4:$D$2020='7층~4층_매핑테이블'!N243) * ('각층분기별_유효전력최대(전월)'!$E$4:$E$2020='7층~4층_매핑테이블'!O243),0))</f>
        <v>#N/A</v>
      </c>
      <c r="Q243" s="1" t="str">
        <f>R243&amp;S243</f>
        <v>6-DaHall 1-PDU-14-30-4</v>
      </c>
      <c r="R243" s="217"/>
      <c r="S243" s="217" t="s">
        <v>10651</v>
      </c>
      <c r="T243" t="str">
        <f t="shared" si="269"/>
        <v/>
      </c>
      <c r="U243" t="str">
        <f t="shared" ref="U243:U244" si="313">IF(IF(LEN((MID(R243,22,2)))=1, "[branch#0"&amp;0&amp;MID(R243,22,2)&amp;"] [A] W", "[branch#0"&amp;MID(R243,22,2)&amp;"] [A] W")="[branch#0] [A] W", "", IF(LEN((MID(R243,22,2)))=1, "[branch#0"&amp;0&amp;MID(R243,22,2)&amp;"] [A] W", "[branch#0"&amp;MID(R243,22,2)&amp;"] [A] W"))</f>
        <v/>
      </c>
      <c r="V243" t="str">
        <f t="shared" ref="V243:V244" si="314">IF(MID(S243,16,2)="0","",MID(S243,1,15)&amp;MID(S243,16,2))</f>
        <v>6-DaHall 1-PDU-14</v>
      </c>
      <c r="W243" t="str">
        <f t="shared" ref="W243:W244" si="315">IF(IF(LEN((MID(S243,22,2)))=1, "[branch#0"&amp;0&amp;MID(S243,22,2)&amp;"] [A] W", "[branch#0"&amp;MID(S243,22,2)&amp;"] [A] W")="[branch#0] [A] W", "", IF(LEN((MID(S243,22,2)))=1, "[branch#0"&amp;0&amp;MID(S243,22,2)&amp;"] [A] W", "[branch#0"&amp;MID(S243,22,2)&amp;"] [A] W"))</f>
        <v>[branch#004] [A] W</v>
      </c>
      <c r="X243" s="2989" cm="1">
        <f t="array" ref="X243">INDEX('각층분기별_유효전력최대(전월)'!$I$4:$I$2020,MATCH(1, ('각층분기별_유효전력최대(전월)'!$G$4:$G$2020='7층~4층_매핑테이블'!T243) * ('각층분기별_유효전력최대(전월)'!$H$4:$H$2020='7층~4층_매핑테이블'!U243),0)) + INDEX('각층분기별_유효전력최대(전월)'!$I$4:$I$2020,MATCH(1, ('각층분기별_유효전력최대(전월)'!$G$4:$G$2020='7층~4층_매핑테이블'!V243) * ('각층분기별_유효전력최대(전월)'!$H$4:$H$2020='7층~4층_매핑테이블'!W243),0))</f>
        <v>0</v>
      </c>
      <c r="Y243" s="3274" t="str">
        <f t="shared" si="310"/>
        <v>7-DaHall 1-RPP-03-50-97-DaHall 1-RPP-04-50-9</v>
      </c>
      <c r="Z243" s="217" t="s">
        <v>10652</v>
      </c>
      <c r="AA243" s="217" t="s">
        <v>10653</v>
      </c>
      <c r="AB243" s="3274" t="str">
        <f t="shared" si="311"/>
        <v>7-DaHall 1-RPP-03</v>
      </c>
      <c r="AC243" t="s">
        <v>9364</v>
      </c>
      <c r="AD243" t="str">
        <f t="shared" si="263"/>
        <v>7-DaHall 1-RPP-04</v>
      </c>
      <c r="AE243" t="s">
        <v>9364</v>
      </c>
      <c r="AF243" s="2989" cm="1">
        <f t="array" ref="AF243">INDEX('각층분기별_유효전력최대(전월)'!$L$4:$L$2020,MATCH(1, ('각층분기별_유효전력최대(전월)'!$J$4:$J$2020='7층~4층_매핑테이블'!AB243) * ('각층분기별_유효전력최대(전월)'!$K$4:$K$2020='7층~4층_매핑테이블'!AC243),0)) + INDEX('각층분기별_유효전력최대(전월)'!$L$4:$L$2020,MATCH(1, ('각층분기별_유효전력최대(전월)'!$J$4:$J$2020='7층~4층_매핑테이블'!AD243) * ('각층분기별_유효전력최대(전월)'!$K$4:$K$2020='7층~4층_매핑테이블'!AE243),0))</f>
        <v>0.94299999999999995</v>
      </c>
    </row>
    <row r="244" spans="1:32" x14ac:dyDescent="0.25">
      <c r="A244" t="str">
        <f t="shared" si="291"/>
        <v/>
      </c>
      <c r="D244" s="2989" t="str">
        <f t="shared" si="312"/>
        <v/>
      </c>
      <c r="E244" s="2989" t="str">
        <f t="shared" si="264"/>
        <v/>
      </c>
      <c r="F244" s="2989" t="str">
        <f t="shared" si="292"/>
        <v/>
      </c>
      <c r="G244" s="2989" t="str">
        <f t="shared" si="293"/>
        <v/>
      </c>
      <c r="H244" s="2989" cm="1">
        <f t="array" ref="H244">INDEX('각층분기별_유효전력최대(전월)'!$C$4:$C$2020,MATCH(1, ('각층분기별_유효전력최대(전월)'!$A$4:$A$2020='7층~4층_매핑테이블'!D244) * ('각층분기별_유효전력최대(전월)'!$B$4:$B$2020='7층~4층_매핑테이블'!E244),0)) + INDEX('각층분기별_유효전력최대(전월)'!$C$4:$C$2020,MATCH(1, ('각층분기별_유효전력최대(전월)'!$A$4:$A$2020='7층~4층_매핑테이블'!F244) * ('각층분기별_유효전력최대(전월)'!$B$4:$B$2020='7층~4층_매핑테이블'!G244),0))</f>
        <v>0</v>
      </c>
      <c r="I244" t="str">
        <f t="shared" si="276"/>
        <v>5-DaHall 1-PDU-01-30-355-DaHall 1-PDU-02-30-35</v>
      </c>
      <c r="J244" s="217" t="s">
        <v>10654</v>
      </c>
      <c r="K244" s="217" t="s">
        <v>10655</v>
      </c>
      <c r="L244" t="str">
        <f t="shared" si="265"/>
        <v>5-DaHall 1-PDU-01</v>
      </c>
      <c r="M244" t="str">
        <f t="shared" si="305"/>
        <v>[branch#035] [A] W</v>
      </c>
      <c r="N244" t="str">
        <f t="shared" si="277"/>
        <v>5-DaHall 1-PDU-02</v>
      </c>
      <c r="O244" t="str">
        <f t="shared" si="285"/>
        <v>[branch#035] [A] W</v>
      </c>
      <c r="P244" s="2989" t="e" cm="1">
        <f t="array" ref="P244">INDEX('각층분기별_유효전력최대(전월)'!$F$4:$F$2020,MATCH(1, ('각층분기별_유효전력최대(전월)'!$D$4:$D$2020='7층~4층_매핑테이블'!L244) * ('각층분기별_유효전력최대(전월)'!$E$4:$E$2020='7층~4층_매핑테이블'!M244),0)) + INDEX('각층분기별_유효전력최대(전월)'!$F$4:$F$2020,MATCH(1, ('각층분기별_유효전력최대(전월)'!$D$4:$D$2020='7층~4층_매핑테이블'!N244) * ('각층분기별_유효전력최대(전월)'!$E$4:$E$2020='7층~4층_매핑테이블'!O244),0))</f>
        <v>#N/A</v>
      </c>
      <c r="Q244" s="1" t="str">
        <f t="shared" ref="Q244:Q247" si="316">R244&amp;S244</f>
        <v>6-DaHall 1-PDU-14-30-20</v>
      </c>
      <c r="R244" s="217"/>
      <c r="S244" s="217" t="s">
        <v>10656</v>
      </c>
      <c r="T244" t="str">
        <f t="shared" si="269"/>
        <v/>
      </c>
      <c r="U244" t="str">
        <f t="shared" si="313"/>
        <v/>
      </c>
      <c r="V244" t="str">
        <f t="shared" si="314"/>
        <v>6-DaHall 1-PDU-14</v>
      </c>
      <c r="W244" t="str">
        <f t="shared" si="315"/>
        <v>[branch#020] [A] W</v>
      </c>
      <c r="X244" s="2989" cm="1">
        <f t="array" ref="X244">INDEX('각층분기별_유효전력최대(전월)'!$I$4:$I$2020,MATCH(1, ('각층분기별_유효전력최대(전월)'!$G$4:$G$2020='7층~4층_매핑테이블'!T244) * ('각층분기별_유효전력최대(전월)'!$H$4:$H$2020='7층~4층_매핑테이블'!U244),0)) + INDEX('각층분기별_유효전력최대(전월)'!$I$4:$I$2020,MATCH(1, ('각층분기별_유효전력최대(전월)'!$G$4:$G$2020='7층~4층_매핑테이블'!V244) * ('각층분기별_유효전력최대(전월)'!$H$4:$H$2020='7층~4층_매핑테이블'!W244),0))</f>
        <v>0</v>
      </c>
      <c r="Y244" s="3274" t="str">
        <f t="shared" si="310"/>
        <v>7-DaHall 1-B-5-35-427-DaHall 1-A-5-35-42</v>
      </c>
      <c r="Z244" s="217" t="s">
        <v>10657</v>
      </c>
      <c r="AA244" s="217" t="s">
        <v>10658</v>
      </c>
      <c r="AB244" s="3274" t="str">
        <f t="shared" si="311"/>
        <v>7-DaHall 1-B-5-35</v>
      </c>
      <c r="AC244" t="s">
        <v>9378</v>
      </c>
      <c r="AD244" t="str">
        <f t="shared" si="263"/>
        <v>7-DaHall 1-A-5-35</v>
      </c>
      <c r="AE244" t="s">
        <v>9378</v>
      </c>
      <c r="AF244" s="2989" t="e" cm="1">
        <f t="array" ref="AF244">INDEX('각층분기별_유효전력최대(전월)'!$L$4:$L$2020,MATCH(1, ('각층분기별_유효전력최대(전월)'!$J$4:$J$2020='7층~4층_매핑테이블'!AB244) * ('각층분기별_유효전력최대(전월)'!$K$4:$K$2020='7층~4층_매핑테이블'!AC244),0)) + INDEX('각층분기별_유효전력최대(전월)'!$L$4:$L$2020,MATCH(1, ('각층분기별_유효전력최대(전월)'!$J$4:$J$2020='7층~4층_매핑테이블'!AD244) * ('각층분기별_유효전력최대(전월)'!$K$4:$K$2020='7층~4층_매핑테이블'!AE244),0))</f>
        <v>#N/A</v>
      </c>
    </row>
    <row r="245" spans="1:32" x14ac:dyDescent="0.25">
      <c r="A245" t="str">
        <f t="shared" si="291"/>
        <v/>
      </c>
      <c r="D245" s="2989" t="str">
        <f t="shared" si="312"/>
        <v/>
      </c>
      <c r="E245" s="2989" t="str">
        <f t="shared" si="264"/>
        <v/>
      </c>
      <c r="F245" s="2989" t="str">
        <f t="shared" si="292"/>
        <v/>
      </c>
      <c r="G245" s="2989" t="str">
        <f t="shared" si="293"/>
        <v/>
      </c>
      <c r="H245" s="2989" cm="1">
        <f t="array" ref="H245">INDEX('각층분기별_유효전력최대(전월)'!$C$4:$C$2020,MATCH(1, ('각층분기별_유효전력최대(전월)'!$A$4:$A$2020='7층~4층_매핑테이블'!D245) * ('각층분기별_유효전력최대(전월)'!$B$4:$B$2020='7층~4층_매핑테이블'!E245),0)) + INDEX('각층분기별_유효전력최대(전월)'!$C$4:$C$2020,MATCH(1, ('각층분기별_유효전력최대(전월)'!$A$4:$A$2020='7층~4층_매핑테이블'!F245) * ('각층분기별_유효전력최대(전월)'!$B$4:$B$2020='7층~4층_매핑테이블'!G245),0))</f>
        <v>0</v>
      </c>
      <c r="I245" t="str">
        <f t="shared" si="276"/>
        <v>5-DaHall 1-PDU-01-30-375-DaHall 1-PDU-02-30-37</v>
      </c>
      <c r="J245" s="217" t="s">
        <v>10659</v>
      </c>
      <c r="K245" s="217" t="s">
        <v>10660</v>
      </c>
      <c r="L245" t="str">
        <f t="shared" si="265"/>
        <v>5-DaHall 1-PDU-01</v>
      </c>
      <c r="M245" t="str">
        <f t="shared" si="305"/>
        <v>[branch#037] [A] W</v>
      </c>
      <c r="N245" t="str">
        <f t="shared" si="277"/>
        <v>5-DaHall 1-PDU-02</v>
      </c>
      <c r="O245" t="str">
        <f t="shared" si="285"/>
        <v>[branch#037] [A] W</v>
      </c>
      <c r="P245" s="2989" t="e" cm="1">
        <f t="array" ref="P245">INDEX('각층분기별_유효전력최대(전월)'!$F$4:$F$2020,MATCH(1, ('각층분기별_유효전력최대(전월)'!$D$4:$D$2020='7층~4층_매핑테이블'!L245) * ('각층분기별_유효전력최대(전월)'!$E$4:$E$2020='7층~4층_매핑테이블'!M245),0)) + INDEX('각층분기별_유효전력최대(전월)'!$F$4:$F$2020,MATCH(1, ('각층분기별_유효전력최대(전월)'!$D$4:$D$2020='7층~4층_매핑테이블'!N245) * ('각층분기별_유효전력최대(전월)'!$E$4:$E$2020='7층~4층_매핑테이블'!O245),0))</f>
        <v>#N/A</v>
      </c>
      <c r="Q245" s="1" t="str">
        <f t="shared" si="316"/>
        <v>6-DaHall 1-PDU-13-30-40</v>
      </c>
      <c r="R245" s="217" t="s">
        <v>10661</v>
      </c>
      <c r="S245" s="217"/>
      <c r="T245" t="str">
        <f t="shared" si="269"/>
        <v>6-DaHall 1-PDU-13</v>
      </c>
      <c r="U245" t="str">
        <f>IF(IF(LEN((MID(R245,22,2)))=1, "[branch#0"&amp;0&amp;MID(R245,22,2)&amp;"] [A] W", "[branch#0"&amp;MID(R245,22,2)&amp;"] [A] W")="[branch#0] [A] W", "", IF(LEN((MID(R245,22,2)))=1, "[branch#0"&amp;0&amp;MID(R245,22,2)&amp;"] [A] W", "[branch#0"&amp;MID(R245,22,2)&amp;"] [A] W"))</f>
        <v>[branch#040] [A] W</v>
      </c>
      <c r="V245" t="str">
        <f>IF(MID(S245,16,2)="0","",MID(S245,1,15)&amp;MID(S245,16,2))</f>
        <v/>
      </c>
      <c r="W245" t="str">
        <f>IF(IF(LEN((MID(S245,22,2)))=1, "[branch#0"&amp;0&amp;MID(S245,22,2)&amp;"] [A] W", "[branch#0"&amp;MID(S245,22,2)&amp;"] [A] W")="[branch#0] [A] W", "", IF(LEN((MID(S245,22,2)))=1, "[branch#0"&amp;0&amp;MID(S245,22,2)&amp;"] [A] W", "[branch#0"&amp;MID(S245,22,2)&amp;"] [A] W"))</f>
        <v/>
      </c>
      <c r="X245" s="2989" cm="1">
        <f t="array" ref="X245">INDEX('각층분기별_유효전력최대(전월)'!$I$4:$I$2020,MATCH(1, ('각층분기별_유효전력최대(전월)'!$G$4:$G$2020='7층~4층_매핑테이블'!T245) * ('각층분기별_유효전력최대(전월)'!$H$4:$H$2020='7층~4층_매핑테이블'!U245),0)) + INDEX('각층분기별_유효전력최대(전월)'!$I$4:$I$2020,MATCH(1, ('각층분기별_유효전력최대(전월)'!$G$4:$G$2020='7층~4층_매핑테이블'!V245) * ('각층분기별_유효전력최대(전월)'!$H$4:$H$2020='7층~4층_매핑테이블'!W245),0))</f>
        <v>0</v>
      </c>
      <c r="Y245" s="3274" t="str">
        <f t="shared" si="310"/>
        <v>7-DaHall 1-B-5-35-437-DaHall 1-A-5-35-43</v>
      </c>
      <c r="Z245" s="217" t="s">
        <v>10662</v>
      </c>
      <c r="AA245" s="217" t="s">
        <v>10663</v>
      </c>
      <c r="AB245" s="3274" t="str">
        <f t="shared" si="311"/>
        <v>7-DaHall 1-B-5-35</v>
      </c>
      <c r="AC245" t="s">
        <v>9527</v>
      </c>
      <c r="AD245" t="str">
        <f t="shared" si="263"/>
        <v>7-DaHall 1-A-5-35</v>
      </c>
      <c r="AE245" t="s">
        <v>9527</v>
      </c>
      <c r="AF245" s="2989" t="e" cm="1">
        <f t="array" ref="AF245">INDEX('각층분기별_유효전력최대(전월)'!$L$4:$L$2020,MATCH(1, ('각층분기별_유효전력최대(전월)'!$J$4:$J$2020='7층~4층_매핑테이블'!AB245) * ('각층분기별_유효전력최대(전월)'!$K$4:$K$2020='7층~4층_매핑테이블'!AC245),0)) + INDEX('각층분기별_유효전력최대(전월)'!$L$4:$L$2020,MATCH(1, ('각층분기별_유효전력최대(전월)'!$J$4:$J$2020='7층~4층_매핑테이블'!AD245) * ('각층분기별_유효전력최대(전월)'!$K$4:$K$2020='7층~4층_매핑테이블'!AE245),0))</f>
        <v>#N/A</v>
      </c>
    </row>
    <row r="246" spans="1:32" x14ac:dyDescent="0.25">
      <c r="A246" t="str">
        <f t="shared" si="291"/>
        <v/>
      </c>
      <c r="D246" s="2989" t="str">
        <f t="shared" si="312"/>
        <v/>
      </c>
      <c r="E246" s="2989" t="str">
        <f t="shared" si="264"/>
        <v/>
      </c>
      <c r="F246" s="2989" t="str">
        <f t="shared" si="292"/>
        <v/>
      </c>
      <c r="G246" s="2989" t="str">
        <f t="shared" si="293"/>
        <v/>
      </c>
      <c r="H246" s="2989" cm="1">
        <f t="array" ref="H246">INDEX('각층분기별_유효전력최대(전월)'!$C$4:$C$2020,MATCH(1, ('각층분기별_유효전력최대(전월)'!$A$4:$A$2020='7층~4층_매핑테이블'!D246) * ('각층분기별_유효전력최대(전월)'!$B$4:$B$2020='7층~4층_매핑테이블'!E246),0)) + INDEX('각층분기별_유효전력최대(전월)'!$C$4:$C$2020,MATCH(1, ('각층분기별_유효전력최대(전월)'!$A$4:$A$2020='7층~4층_매핑테이블'!F246) * ('각층분기별_유효전력최대(전월)'!$B$4:$B$2020='7층~4층_매핑테이블'!G246),0))</f>
        <v>0</v>
      </c>
      <c r="I246" t="str">
        <f t="shared" si="276"/>
        <v>5-DaHall 1-PDU-01-30-395-DaHall 1-PDU-02-30-39</v>
      </c>
      <c r="J246" s="217" t="s">
        <v>10664</v>
      </c>
      <c r="K246" s="217" t="s">
        <v>10665</v>
      </c>
      <c r="L246" t="str">
        <f t="shared" si="265"/>
        <v>5-DaHall 1-PDU-01</v>
      </c>
      <c r="M246" t="str">
        <f t="shared" si="305"/>
        <v>[branch#039] [A] W</v>
      </c>
      <c r="N246" t="str">
        <f t="shared" si="277"/>
        <v>5-DaHall 1-PDU-02</v>
      </c>
      <c r="O246" t="str">
        <f t="shared" si="285"/>
        <v>[branch#039] [A] W</v>
      </c>
      <c r="P246" s="2989" t="e" cm="1">
        <f t="array" ref="P246">INDEX('각층분기별_유효전력최대(전월)'!$F$4:$F$2020,MATCH(1, ('각층분기별_유효전력최대(전월)'!$D$4:$D$2020='7층~4층_매핑테이블'!L246) * ('각층분기별_유효전력최대(전월)'!$E$4:$E$2020='7층~4층_매핑테이블'!M246),0)) + INDEX('각층분기별_유효전력최대(전월)'!$F$4:$F$2020,MATCH(1, ('각층분기별_유효전력최대(전월)'!$D$4:$D$2020='7층~4층_매핑테이블'!N246) * ('각층분기별_유효전력최대(전월)'!$E$4:$E$2020='7층~4층_매핑테이블'!O246),0))</f>
        <v>#N/A</v>
      </c>
      <c r="Q246" s="1" t="str">
        <f t="shared" si="316"/>
        <v>6-DaHall 1-PDU-01-30-50</v>
      </c>
      <c r="R246" s="217" t="s">
        <v>10666</v>
      </c>
      <c r="S246" s="217"/>
      <c r="T246" t="str">
        <f t="shared" si="269"/>
        <v>6-DaHall 1-PDU-01</v>
      </c>
      <c r="U246" t="str">
        <f t="shared" ref="U246:U247" si="317">IF(IF(LEN((MID(R246,22,2)))=1, "[branch#0"&amp;0&amp;MID(R246,22,2)&amp;"] [A] W", "[branch#0"&amp;MID(R246,22,2)&amp;"] [A] W")="[branch#0] [A] W", "", IF(LEN((MID(R246,22,2)))=1, "[branch#0"&amp;0&amp;MID(R246,22,2)&amp;"] [A] W", "[branch#0"&amp;MID(R246,22,2)&amp;"] [A] W"))</f>
        <v>[branch#050] [A] W</v>
      </c>
      <c r="V246" t="str">
        <f t="shared" ref="V246:V276" si="318">IF(MID(S246,16,2)="0","",MID(S246,1,15)&amp;MID(S246,16,2))</f>
        <v/>
      </c>
      <c r="W246" t="str">
        <f t="shared" ref="W246:W276" si="319">IF(IF(LEN((MID(S246,22,2)))=1, "[branch#0"&amp;0&amp;MID(S246,22,2)&amp;"] [A] W", "[branch#0"&amp;MID(S246,22,2)&amp;"] [A] W")="[branch#0] [A] W", "", IF(LEN((MID(S246,22,2)))=1, "[branch#0"&amp;0&amp;MID(S246,22,2)&amp;"] [A] W", "[branch#0"&amp;MID(S246,22,2)&amp;"] [A] W"))</f>
        <v/>
      </c>
      <c r="X246" s="2989" cm="1">
        <f t="array" ref="X246">INDEX('각층분기별_유효전력최대(전월)'!$I$4:$I$2020,MATCH(1, ('각층분기별_유효전력최대(전월)'!$G$4:$G$2020='7층~4층_매핑테이블'!T246) * ('각층분기별_유효전력최대(전월)'!$H$4:$H$2020='7층~4층_매핑테이블'!U246),0)) + INDEX('각층분기별_유효전력최대(전월)'!$I$4:$I$2020,MATCH(1, ('각층분기별_유효전력최대(전월)'!$G$4:$G$2020='7층~4층_매핑테이블'!V246) * ('각층분기별_유효전력최대(전월)'!$H$4:$H$2020='7층~4층_매핑테이블'!W246),0))</f>
        <v>0</v>
      </c>
      <c r="Y246" s="3274" t="str">
        <f t="shared" si="310"/>
        <v>7-DaHall 1-RPP-03-50-77-DaHall 1-RPP-04-50-7</v>
      </c>
      <c r="Z246" s="217" t="s">
        <v>10667</v>
      </c>
      <c r="AA246" s="217" t="s">
        <v>10668</v>
      </c>
      <c r="AB246" s="3274" t="str">
        <f t="shared" si="311"/>
        <v>7-DaHall 1-RPP-03</v>
      </c>
      <c r="AC246" t="s">
        <v>9409</v>
      </c>
      <c r="AD246" t="str">
        <f t="shared" si="263"/>
        <v>7-DaHall 1-RPP-04</v>
      </c>
      <c r="AE246" t="s">
        <v>9409</v>
      </c>
      <c r="AF246" s="2989" cm="1">
        <f t="array" ref="AF246">INDEX('각층분기별_유효전력최대(전월)'!$L$4:$L$2020,MATCH(1, ('각층분기별_유효전력최대(전월)'!$J$4:$J$2020='7층~4층_매핑테이블'!AB246) * ('각층분기별_유효전력최대(전월)'!$K$4:$K$2020='7층~4층_매핑테이블'!AC246),0)) + INDEX('각층분기별_유효전력최대(전월)'!$L$4:$L$2020,MATCH(1, ('각층분기별_유효전력최대(전월)'!$J$4:$J$2020='7층~4층_매핑테이블'!AD246) * ('각층분기별_유효전력최대(전월)'!$K$4:$K$2020='7층~4층_매핑테이블'!AE246),0))</f>
        <v>1.4470000000000001</v>
      </c>
    </row>
    <row r="247" spans="1:32" x14ac:dyDescent="0.25">
      <c r="A247" t="str">
        <f t="shared" si="291"/>
        <v/>
      </c>
      <c r="D247" s="2989" t="str">
        <f t="shared" si="312"/>
        <v/>
      </c>
      <c r="E247" s="2989" t="str">
        <f t="shared" si="264"/>
        <v/>
      </c>
      <c r="F247" s="2989" t="str">
        <f t="shared" si="292"/>
        <v/>
      </c>
      <c r="G247" s="2989" t="str">
        <f t="shared" si="293"/>
        <v/>
      </c>
      <c r="H247" s="2989" cm="1">
        <f t="array" ref="H247">INDEX('각층분기별_유효전력최대(전월)'!$C$4:$C$2020,MATCH(1, ('각층분기별_유효전력최대(전월)'!$A$4:$A$2020='7층~4층_매핑테이블'!D247) * ('각층분기별_유효전력최대(전월)'!$B$4:$B$2020='7층~4층_매핑테이블'!E247),0)) + INDEX('각층분기별_유효전력최대(전월)'!$C$4:$C$2020,MATCH(1, ('각층분기별_유효전력최대(전월)'!$A$4:$A$2020='7층~4층_매핑테이블'!F247) * ('각층분기별_유효전력최대(전월)'!$B$4:$B$2020='7층~4층_매핑테이블'!G247),0))</f>
        <v>0</v>
      </c>
      <c r="I247" t="str">
        <f t="shared" si="276"/>
        <v>5-DaHall 1-PDU-01-30-415-DaHall 1-PDU-02-30-41</v>
      </c>
      <c r="J247" s="217" t="s">
        <v>10669</v>
      </c>
      <c r="K247" s="217" t="s">
        <v>10670</v>
      </c>
      <c r="L247" t="str">
        <f t="shared" si="265"/>
        <v>5-DaHall 1-PDU-01</v>
      </c>
      <c r="M247" t="str">
        <f t="shared" si="305"/>
        <v>[branch#041] [A] W</v>
      </c>
      <c r="N247" t="str">
        <f t="shared" si="277"/>
        <v>5-DaHall 1-PDU-02</v>
      </c>
      <c r="O247" t="str">
        <f t="shared" si="285"/>
        <v>[branch#041] [A] W</v>
      </c>
      <c r="P247" s="2989" t="e" cm="1">
        <f t="array" ref="P247">INDEX('각층분기별_유효전력최대(전월)'!$F$4:$F$2020,MATCH(1, ('각층분기별_유효전력최대(전월)'!$D$4:$D$2020='7층~4층_매핑테이블'!L247) * ('각층분기별_유효전력최대(전월)'!$E$4:$E$2020='7층~4층_매핑테이블'!M247),0)) + INDEX('각층분기별_유효전력최대(전월)'!$F$4:$F$2020,MATCH(1, ('각층분기별_유효전력최대(전월)'!$D$4:$D$2020='7층~4층_매핑테이블'!N247) * ('각층분기별_유효전력최대(전월)'!$E$4:$E$2020='7층~4층_매핑테이블'!O247),0))</f>
        <v>#N/A</v>
      </c>
      <c r="Q247" s="1" t="str">
        <f t="shared" si="316"/>
        <v>6-DaHall 1-PDU-01-30-46</v>
      </c>
      <c r="R247" s="217" t="s">
        <v>10671</v>
      </c>
      <c r="S247" s="217"/>
      <c r="T247" t="str">
        <f t="shared" si="269"/>
        <v>6-DaHall 1-PDU-01</v>
      </c>
      <c r="U247" t="str">
        <f t="shared" si="317"/>
        <v>[branch#046] [A] W</v>
      </c>
      <c r="V247" t="str">
        <f t="shared" si="318"/>
        <v/>
      </c>
      <c r="W247" t="str">
        <f t="shared" si="319"/>
        <v/>
      </c>
      <c r="X247" s="2989" cm="1">
        <f t="array" ref="X247">INDEX('각층분기별_유효전력최대(전월)'!$I$4:$I$2020,MATCH(1, ('각층분기별_유효전력최대(전월)'!$G$4:$G$2020='7층~4층_매핑테이블'!T247) * ('각층분기별_유효전력최대(전월)'!$H$4:$H$2020='7층~4층_매핑테이블'!U247),0)) + INDEX('각층분기별_유효전력최대(전월)'!$I$4:$I$2020,MATCH(1, ('각층분기별_유효전력최대(전월)'!$G$4:$G$2020='7층~4층_매핑테이블'!V247) * ('각층분기별_유효전력최대(전월)'!$H$4:$H$2020='7층~4층_매핑테이블'!W247),0))</f>
        <v>0.129</v>
      </c>
      <c r="Y247" s="3274" t="str">
        <f t="shared" si="310"/>
        <v>7-DaHall 1-RPP-03-50-57-DaHall 1-RPP-04-50-5</v>
      </c>
      <c r="Z247" s="217" t="s">
        <v>10672</v>
      </c>
      <c r="AA247" s="217" t="s">
        <v>10673</v>
      </c>
      <c r="AB247" s="3274" t="str">
        <f t="shared" si="311"/>
        <v>7-DaHall 1-RPP-03</v>
      </c>
      <c r="AC247" t="s">
        <v>9355</v>
      </c>
      <c r="AD247" t="str">
        <f t="shared" si="263"/>
        <v>7-DaHall 1-RPP-04</v>
      </c>
      <c r="AE247" t="s">
        <v>9355</v>
      </c>
      <c r="AF247" s="2989" cm="1">
        <f t="array" ref="AF247">INDEX('각층분기별_유효전력최대(전월)'!$L$4:$L$2020,MATCH(1, ('각층분기별_유효전력최대(전월)'!$J$4:$J$2020='7층~4층_매핑테이블'!AB247) * ('각층분기별_유효전력최대(전월)'!$K$4:$K$2020='7층~4층_매핑테이블'!AC247),0)) + INDEX('각층분기별_유효전력최대(전월)'!$L$4:$L$2020,MATCH(1, ('각층분기별_유효전력최대(전월)'!$J$4:$J$2020='7층~4층_매핑테이블'!AD247) * ('각층분기별_유효전력최대(전월)'!$K$4:$K$2020='7층~4층_매핑테이블'!AE247),0))</f>
        <v>1.649</v>
      </c>
    </row>
    <row r="248" spans="1:32" x14ac:dyDescent="0.25">
      <c r="A248" t="str">
        <f t="shared" si="291"/>
        <v/>
      </c>
      <c r="D248" s="2989" t="str">
        <f t="shared" si="312"/>
        <v/>
      </c>
      <c r="E248" s="2989" t="str">
        <f t="shared" si="264"/>
        <v/>
      </c>
      <c r="F248" s="2989" t="str">
        <f t="shared" si="292"/>
        <v/>
      </c>
      <c r="G248" s="2989" t="str">
        <f t="shared" si="293"/>
        <v/>
      </c>
      <c r="H248" s="2989" cm="1">
        <f t="array" ref="H248">INDEX('각층분기별_유효전력최대(전월)'!$C$4:$C$2020,MATCH(1, ('각층분기별_유효전력최대(전월)'!$A$4:$A$2020='7층~4층_매핑테이블'!D248) * ('각층분기별_유효전력최대(전월)'!$B$4:$B$2020='7층~4층_매핑테이블'!E248),0)) + INDEX('각층분기별_유효전력최대(전월)'!$C$4:$C$2020,MATCH(1, ('각층분기별_유효전력최대(전월)'!$A$4:$A$2020='7층~4층_매핑테이블'!F248) * ('각층분기별_유효전력최대(전월)'!$B$4:$B$2020='7층~4층_매핑테이블'!G248),0))</f>
        <v>0</v>
      </c>
      <c r="I248" t="str">
        <f t="shared" si="276"/>
        <v>5-DaHall 1-PDU-01-30-435-DaHall 1-PDU-02-30-43</v>
      </c>
      <c r="J248" s="217" t="s">
        <v>10674</v>
      </c>
      <c r="K248" s="217" t="s">
        <v>10675</v>
      </c>
      <c r="L248" t="str">
        <f t="shared" si="265"/>
        <v>5-DaHall 1-PDU-01</v>
      </c>
      <c r="M248" t="str">
        <f t="shared" si="305"/>
        <v>[branch#043] [A] W</v>
      </c>
      <c r="N248" t="str">
        <f t="shared" si="277"/>
        <v>5-DaHall 1-PDU-02</v>
      </c>
      <c r="O248" t="str">
        <f t="shared" si="285"/>
        <v>[branch#043] [A] W</v>
      </c>
      <c r="P248" s="2989" t="e" cm="1">
        <f t="array" ref="P248">INDEX('각층분기별_유효전력최대(전월)'!$F$4:$F$2020,MATCH(1, ('각층분기별_유효전력최대(전월)'!$D$4:$D$2020='7층~4층_매핑테이블'!L248) * ('각층분기별_유효전력최대(전월)'!$E$4:$E$2020='7층~4층_매핑테이블'!M248),0)) + INDEX('각층분기별_유효전력최대(전월)'!$F$4:$F$2020,MATCH(1, ('각층분기별_유효전력최대(전월)'!$D$4:$D$2020='7층~4층_매핑테이블'!N248) * ('각층분기별_유효전력최대(전월)'!$E$4:$E$2020='7층~4층_매핑테이블'!O248),0))</f>
        <v>#N/A</v>
      </c>
      <c r="Q248" s="1" t="str">
        <f>R248&amp;S248</f>
        <v/>
      </c>
      <c r="V248" t="str">
        <f t="shared" si="318"/>
        <v/>
      </c>
      <c r="W248" t="str">
        <f t="shared" si="319"/>
        <v/>
      </c>
      <c r="X248" s="2989" cm="1">
        <f t="array" ref="X248">INDEX('각층분기별_유효전력최대(전월)'!$I$4:$I$2020,MATCH(1, ('각층분기별_유효전력최대(전월)'!$G$4:$G$2020='7층~4층_매핑테이블'!T248) * ('각층분기별_유효전력최대(전월)'!$H$4:$H$2020='7층~4층_매핑테이블'!U248),0)) + INDEX('각층분기별_유효전력최대(전월)'!$I$4:$I$2020,MATCH(1, ('각층분기별_유효전력최대(전월)'!$G$4:$G$2020='7층~4층_매핑테이블'!V248) * ('각층분기별_유효전력최대(전월)'!$H$4:$H$2020='7층~4층_매핑테이블'!W248),0))</f>
        <v>0</v>
      </c>
      <c r="Y248" s="3274" t="str">
        <f>Z248&amp;AA248</f>
        <v>7-DaHall 1-RPP-03-50-37-DaHall 1-RPP-04-50-3</v>
      </c>
      <c r="Z248" s="217" t="s">
        <v>10676</v>
      </c>
      <c r="AA248" s="217" t="s">
        <v>10677</v>
      </c>
      <c r="AB248" s="3274" t="str">
        <f>IF(MID(Z248,16,2)="0","",MID(Z248,1,15)&amp;MID(Z248,16,2))</f>
        <v>7-DaHall 1-RPP-03</v>
      </c>
      <c r="AC248" t="s">
        <v>9315</v>
      </c>
      <c r="AD248" t="str">
        <f t="shared" si="263"/>
        <v>7-DaHall 1-RPP-04</v>
      </c>
      <c r="AE248" t="s">
        <v>9315</v>
      </c>
      <c r="AF248" s="2989" cm="1">
        <f t="array" ref="AF248">INDEX('각층분기별_유효전력최대(전월)'!$L$4:$L$2020,MATCH(1, ('각층분기별_유효전력최대(전월)'!$J$4:$J$2020='7층~4층_매핑테이블'!AB248) * ('각층분기별_유효전력최대(전월)'!$K$4:$K$2020='7층~4층_매핑테이블'!AC248),0)) + INDEX('각층분기별_유효전력최대(전월)'!$L$4:$L$2020,MATCH(1, ('각층분기별_유효전력최대(전월)'!$J$4:$J$2020='7층~4층_매핑테이블'!AD248) * ('각층분기별_유효전력최대(전월)'!$K$4:$K$2020='7층~4층_매핑테이블'!AE248),0))</f>
        <v>1.2389999999999999</v>
      </c>
    </row>
    <row r="249" spans="1:32" x14ac:dyDescent="0.25">
      <c r="A249" t="str">
        <f t="shared" si="291"/>
        <v/>
      </c>
      <c r="D249" s="2989" t="str">
        <f t="shared" si="312"/>
        <v/>
      </c>
      <c r="E249" s="2989" t="str">
        <f t="shared" si="264"/>
        <v/>
      </c>
      <c r="F249" s="2989" t="str">
        <f t="shared" si="292"/>
        <v/>
      </c>
      <c r="G249" s="2989" t="str">
        <f t="shared" si="293"/>
        <v/>
      </c>
      <c r="H249" s="2989" cm="1">
        <f t="array" ref="H249">INDEX('각층분기별_유효전력최대(전월)'!$C$4:$C$2020,MATCH(1, ('각층분기별_유효전력최대(전월)'!$A$4:$A$2020='7층~4층_매핑테이블'!D249) * ('각층분기별_유효전력최대(전월)'!$B$4:$B$2020='7층~4층_매핑테이블'!E249),0)) + INDEX('각층분기별_유효전력최대(전월)'!$C$4:$C$2020,MATCH(1, ('각층분기별_유효전력최대(전월)'!$A$4:$A$2020='7층~4층_매핑테이블'!F249) * ('각층분기별_유효전력최대(전월)'!$B$4:$B$2020='7층~4층_매핑테이블'!G249),0))</f>
        <v>0</v>
      </c>
      <c r="I249" t="str">
        <f t="shared" si="276"/>
        <v>5-DaHall 1-PDU-01-30-455-DaHall 1-PDU-02-30-45</v>
      </c>
      <c r="J249" s="217" t="s">
        <v>10678</v>
      </c>
      <c r="K249" s="217" t="s">
        <v>10679</v>
      </c>
      <c r="L249" t="str">
        <f t="shared" si="265"/>
        <v>5-DaHall 1-PDU-01</v>
      </c>
      <c r="M249" t="str">
        <f t="shared" si="305"/>
        <v>[branch#045] [A] W</v>
      </c>
      <c r="N249" t="str">
        <f t="shared" si="277"/>
        <v>5-DaHall 1-PDU-02</v>
      </c>
      <c r="O249" t="str">
        <f t="shared" si="285"/>
        <v>[branch#045] [A] W</v>
      </c>
      <c r="P249" s="2989" t="e" cm="1">
        <f t="array" ref="P249">INDEX('각층분기별_유효전력최대(전월)'!$F$4:$F$2020,MATCH(1, ('각층분기별_유효전력최대(전월)'!$D$4:$D$2020='7층~4층_매핑테이블'!L249) * ('각층분기별_유효전력최대(전월)'!$E$4:$E$2020='7층~4층_매핑테이블'!M249),0)) + INDEX('각층분기별_유효전력최대(전월)'!$F$4:$F$2020,MATCH(1, ('각층분기별_유효전력최대(전월)'!$D$4:$D$2020='7층~4층_매핑테이블'!N249) * ('각층분기별_유효전력최대(전월)'!$E$4:$E$2020='7층~4층_매핑테이블'!O249),0))</f>
        <v>#N/A</v>
      </c>
      <c r="Q249" s="1" t="str">
        <f t="shared" ref="Q249:Q279" si="320">R249&amp;S249</f>
        <v/>
      </c>
      <c r="V249" t="str">
        <f t="shared" si="318"/>
        <v/>
      </c>
      <c r="W249" t="str">
        <f t="shared" si="319"/>
        <v/>
      </c>
      <c r="X249" s="2989" cm="1">
        <f t="array" ref="X249">INDEX('각층분기별_유효전력최대(전월)'!$I$4:$I$2020,MATCH(1, ('각층분기별_유효전력최대(전월)'!$G$4:$G$2020='7층~4층_매핑테이블'!T249) * ('각층분기별_유효전력최대(전월)'!$H$4:$H$2020='7층~4층_매핑테이블'!U249),0)) + INDEX('각층분기별_유효전력최대(전월)'!$I$4:$I$2020,MATCH(1, ('각층분기별_유효전력최대(전월)'!$G$4:$G$2020='7층~4층_매핑테이블'!V249) * ('각층분기별_유효전력최대(전월)'!$H$4:$H$2020='7층~4층_매핑테이블'!W249),0))</f>
        <v>0</v>
      </c>
      <c r="Y249" s="3274" t="str">
        <f t="shared" si="310"/>
        <v>7-DaHall 1-RPP-03-50-17-DaHall 1-RPP-04-50-1</v>
      </c>
      <c r="Z249" s="217" t="s">
        <v>10680</v>
      </c>
      <c r="AA249" s="217" t="s">
        <v>10681</v>
      </c>
      <c r="AB249" s="3274" t="str">
        <f>IF(MID(Z249,16,2)="0","",MID(Z249,1,15)&amp;MID(Z249,16,2))</f>
        <v>7-DaHall 1-RPP-03</v>
      </c>
      <c r="AC249" t="s">
        <v>9344</v>
      </c>
      <c r="AD249" t="str">
        <f t="shared" si="263"/>
        <v>7-DaHall 1-RPP-04</v>
      </c>
      <c r="AE249" t="s">
        <v>9344</v>
      </c>
      <c r="AF249" s="2989" cm="1">
        <f t="array" ref="AF249">INDEX('각층분기별_유효전력최대(전월)'!$L$4:$L$2020,MATCH(1, ('각층분기별_유효전력최대(전월)'!$J$4:$J$2020='7층~4층_매핑테이블'!AB249) * ('각층분기별_유효전력최대(전월)'!$K$4:$K$2020='7층~4층_매핑테이블'!AC249),0)) + INDEX('각층분기별_유효전력최대(전월)'!$L$4:$L$2020,MATCH(1, ('각층분기별_유효전력최대(전월)'!$J$4:$J$2020='7층~4층_매핑테이블'!AD249) * ('각층분기별_유효전력최대(전월)'!$K$4:$K$2020='7층~4층_매핑테이블'!AE249),0))</f>
        <v>1.3460000000000001</v>
      </c>
    </row>
    <row r="250" spans="1:32" x14ac:dyDescent="0.25">
      <c r="A250" t="str">
        <f t="shared" si="291"/>
        <v/>
      </c>
      <c r="D250" s="2989" t="str">
        <f t="shared" si="312"/>
        <v/>
      </c>
      <c r="E250" s="2989" t="str">
        <f t="shared" si="264"/>
        <v/>
      </c>
      <c r="F250" s="2989" t="str">
        <f t="shared" si="292"/>
        <v/>
      </c>
      <c r="G250" s="2989" t="str">
        <f t="shared" si="293"/>
        <v/>
      </c>
      <c r="H250" s="2989" cm="1">
        <f t="array" ref="H250">INDEX('각층분기별_유효전력최대(전월)'!$C$4:$C$2020,MATCH(1, ('각층분기별_유효전력최대(전월)'!$A$4:$A$2020='7층~4층_매핑테이블'!D250) * ('각층분기별_유효전력최대(전월)'!$B$4:$B$2020='7층~4층_매핑테이블'!E250),0)) + INDEX('각층분기별_유효전력최대(전월)'!$C$4:$C$2020,MATCH(1, ('각층분기별_유효전력최대(전월)'!$A$4:$A$2020='7층~4층_매핑테이블'!F250) * ('각층분기별_유효전력최대(전월)'!$B$4:$B$2020='7층~4층_매핑테이블'!G250),0))</f>
        <v>0</v>
      </c>
      <c r="I250" t="str">
        <f t="shared" si="276"/>
        <v>5-DaHall 1-PDU-01-30-475-DaHall 1-PDU-02-30-47</v>
      </c>
      <c r="J250" s="217" t="s">
        <v>10682</v>
      </c>
      <c r="K250" s="217" t="s">
        <v>10683</v>
      </c>
      <c r="L250" t="str">
        <f t="shared" si="265"/>
        <v>5-DaHall 1-PDU-01</v>
      </c>
      <c r="M250" t="str">
        <f t="shared" si="305"/>
        <v>[branch#047] [A] W</v>
      </c>
      <c r="N250" t="str">
        <f t="shared" si="277"/>
        <v>5-DaHall 1-PDU-02</v>
      </c>
      <c r="O250" t="str">
        <f t="shared" si="285"/>
        <v>[branch#047] [A] W</v>
      </c>
      <c r="P250" s="2989" t="e" cm="1">
        <f t="array" ref="P250">INDEX('각층분기별_유효전력최대(전월)'!$F$4:$F$2020,MATCH(1, ('각층분기별_유효전력최대(전월)'!$D$4:$D$2020='7층~4층_매핑테이블'!L250) * ('각층분기별_유효전력최대(전월)'!$E$4:$E$2020='7층~4층_매핑테이블'!M250),0)) + INDEX('각층분기별_유효전력최대(전월)'!$F$4:$F$2020,MATCH(1, ('각층분기별_유효전력최대(전월)'!$D$4:$D$2020='7층~4층_매핑테이블'!N250) * ('각층분기별_유효전력최대(전월)'!$E$4:$E$2020='7층~4층_매핑테이블'!O250),0))</f>
        <v>#N/A</v>
      </c>
      <c r="Q250" s="1" t="str">
        <f t="shared" si="320"/>
        <v/>
      </c>
      <c r="V250" t="str">
        <f t="shared" si="318"/>
        <v/>
      </c>
      <c r="W250" t="str">
        <f t="shared" si="319"/>
        <v/>
      </c>
      <c r="X250" s="2989" cm="1">
        <f t="array" ref="X250">INDEX('각층분기별_유효전력최대(전월)'!$I$4:$I$2020,MATCH(1, ('각층분기별_유효전력최대(전월)'!$G$4:$G$2020='7층~4층_매핑테이블'!T250) * ('각층분기별_유효전력최대(전월)'!$H$4:$H$2020='7층~4층_매핑테이블'!U250),0)) + INDEX('각층분기별_유효전력최대(전월)'!$I$4:$I$2020,MATCH(1, ('각층분기별_유효전력최대(전월)'!$G$4:$G$2020='7층~4층_매핑테이블'!V250) * ('각층분기별_유효전력최대(전월)'!$H$4:$H$2020='7층~4층_매핑테이블'!W250),0))</f>
        <v>0</v>
      </c>
      <c r="Y250" s="3274" t="str">
        <f>Z250&amp;AA250</f>
        <v/>
      </c>
      <c r="Z250" s="217"/>
      <c r="AA250" s="217"/>
      <c r="AB250" s="3274" t="str">
        <f>IF(MID(Z250,16,2)="0","",MID(Z250,1,15)&amp;MID(Z250,16,2))</f>
        <v/>
      </c>
      <c r="AD250" t="str">
        <f t="shared" si="263"/>
        <v/>
      </c>
      <c r="AF250" s="2989" cm="1">
        <f t="array" ref="AF250">INDEX('각층분기별_유효전력최대(전월)'!$L$4:$L$2020,MATCH(1, ('각층분기별_유효전력최대(전월)'!$J$4:$J$2020='7층~4층_매핑테이블'!AB250) * ('각층분기별_유효전력최대(전월)'!$K$4:$K$2020='7층~4층_매핑테이블'!AC250),0)) + INDEX('각층분기별_유효전력최대(전월)'!$L$4:$L$2020,MATCH(1, ('각층분기별_유효전력최대(전월)'!$J$4:$J$2020='7층~4층_매핑테이블'!AD250) * ('각층분기별_유효전력최대(전월)'!$K$4:$K$2020='7층~4층_매핑테이블'!AE250),0))</f>
        <v>0</v>
      </c>
    </row>
    <row r="251" spans="1:32" x14ac:dyDescent="0.25">
      <c r="A251" t="str">
        <f t="shared" si="291"/>
        <v/>
      </c>
      <c r="D251" s="2989" t="str">
        <f t="shared" si="312"/>
        <v/>
      </c>
      <c r="E251" s="2989" t="str">
        <f t="shared" si="264"/>
        <v/>
      </c>
      <c r="F251" s="2989" t="str">
        <f t="shared" si="292"/>
        <v/>
      </c>
      <c r="G251" s="2989" t="str">
        <f t="shared" si="293"/>
        <v/>
      </c>
      <c r="H251" s="2989" cm="1">
        <f t="array" ref="H251">INDEX('각층분기별_유효전력최대(전월)'!$C$4:$C$2020,MATCH(1, ('각층분기별_유효전력최대(전월)'!$A$4:$A$2020='7층~4층_매핑테이블'!D251) * ('각층분기별_유효전력최대(전월)'!$B$4:$B$2020='7층~4층_매핑테이블'!E251),0)) + INDEX('각층분기별_유효전력최대(전월)'!$C$4:$C$2020,MATCH(1, ('각층분기별_유효전력최대(전월)'!$A$4:$A$2020='7층~4층_매핑테이블'!F251) * ('각층분기별_유효전력최대(전월)'!$B$4:$B$2020='7층~4층_매핑테이블'!G251),0))</f>
        <v>0</v>
      </c>
      <c r="I251" t="str">
        <f t="shared" si="276"/>
        <v>5-DaHall 1-PDU-01-30-195-DaHall 1-PDU-02-30-19</v>
      </c>
      <c r="J251" s="217" t="s">
        <v>10684</v>
      </c>
      <c r="K251" s="217" t="s">
        <v>10685</v>
      </c>
      <c r="L251" t="str">
        <f t="shared" si="265"/>
        <v>5-DaHall 1-PDU-01</v>
      </c>
      <c r="M251" t="str">
        <f t="shared" si="305"/>
        <v>[branch#019] [A] W</v>
      </c>
      <c r="N251" t="str">
        <f t="shared" si="277"/>
        <v>5-DaHall 1-PDU-02</v>
      </c>
      <c r="O251" t="str">
        <f t="shared" si="285"/>
        <v>[branch#019] [A] W</v>
      </c>
      <c r="P251" s="2989" cm="1">
        <f t="array" ref="P251">INDEX('각층분기별_유효전력최대(전월)'!$F$4:$F$2020,MATCH(1, ('각층분기별_유효전력최대(전월)'!$D$4:$D$2020='7층~4층_매핑테이블'!L251) * ('각층분기별_유효전력최대(전월)'!$E$4:$E$2020='7층~4층_매핑테이블'!M251),0)) + INDEX('각층분기별_유효전력최대(전월)'!$F$4:$F$2020,MATCH(1, ('각층분기별_유효전력최대(전월)'!$D$4:$D$2020='7층~4층_매핑테이블'!N251) * ('각층분기별_유효전력최대(전월)'!$E$4:$E$2020='7층~4층_매핑테이블'!O251),0))</f>
        <v>5.1709999999999994</v>
      </c>
      <c r="Q251" s="1" t="str">
        <f t="shared" si="320"/>
        <v/>
      </c>
      <c r="V251" t="str">
        <f>IF(MID(S251,16,2)="0","",MID(S251,1,15)&amp;MID(S251,16,2))</f>
        <v/>
      </c>
      <c r="W251" t="str">
        <f>IF(IF(LEN((MID(S251,22,2)))=1, "[branch#0"&amp;0&amp;MID(S251,22,2)&amp;"] [A] W", "[branch#0"&amp;MID(S251,22,2)&amp;"] [A] W")="[branch#0] [A] W", "", IF(LEN((MID(S251,22,2)))=1, "[branch#0"&amp;0&amp;MID(S251,22,2)&amp;"] [A] W", "[branch#0"&amp;MID(S251,22,2)&amp;"] [A] W"))</f>
        <v/>
      </c>
      <c r="X251" s="2989" cm="1">
        <f t="array" ref="X251">INDEX('각층분기별_유효전력최대(전월)'!$I$4:$I$2020,MATCH(1, ('각층분기별_유효전력최대(전월)'!$G$4:$G$2020='7층~4층_매핑테이블'!T251) * ('각층분기별_유효전력최대(전월)'!$H$4:$H$2020='7층~4층_매핑테이블'!U251),0)) + INDEX('각층분기별_유효전력최대(전월)'!$I$4:$I$2020,MATCH(1, ('각층분기별_유효전력최대(전월)'!$G$4:$G$2020='7층~4층_매핑테이블'!V251) * ('각층분기별_유효전력최대(전월)'!$H$4:$H$2020='7층~4층_매핑테이블'!W251),0))</f>
        <v>0</v>
      </c>
      <c r="Y251" s="3274" t="str">
        <f t="shared" ref="Y251" si="321">Z251&amp;AA251</f>
        <v/>
      </c>
      <c r="Z251" s="217"/>
      <c r="AA251" s="217"/>
      <c r="AB251" s="3274" t="str">
        <f>IF(MID(Z251,16,2)="0","",MID(Z251,1,15)&amp;MID(Z251,16,2))</f>
        <v/>
      </c>
      <c r="AD251" t="str">
        <f t="shared" si="263"/>
        <v/>
      </c>
      <c r="AF251" s="2989" cm="1">
        <f t="array" ref="AF251">INDEX('각층분기별_유효전력최대(전월)'!$L$4:$L$2020,MATCH(1, ('각층분기별_유효전력최대(전월)'!$J$4:$J$2020='7층~4층_매핑테이블'!AB251) * ('각층분기별_유효전력최대(전월)'!$K$4:$K$2020='7층~4층_매핑테이블'!AC251),0)) + INDEX('각층분기별_유효전력최대(전월)'!$L$4:$L$2020,MATCH(1, ('각층분기별_유효전력최대(전월)'!$J$4:$J$2020='7층~4층_매핑테이블'!AD251) * ('각층분기별_유효전력최대(전월)'!$K$4:$K$2020='7층~4층_매핑테이블'!AE251),0))</f>
        <v>0</v>
      </c>
    </row>
    <row r="252" spans="1:32" x14ac:dyDescent="0.25">
      <c r="A252" t="str">
        <f t="shared" si="291"/>
        <v/>
      </c>
      <c r="D252" s="2989" t="str">
        <f t="shared" si="312"/>
        <v/>
      </c>
      <c r="E252" s="2989" t="str">
        <f t="shared" si="264"/>
        <v/>
      </c>
      <c r="F252" s="2989" t="str">
        <f t="shared" si="292"/>
        <v/>
      </c>
      <c r="G252" s="2989" t="str">
        <f t="shared" si="293"/>
        <v/>
      </c>
      <c r="H252" s="2989" cm="1">
        <f t="array" ref="H252">INDEX('각층분기별_유효전력최대(전월)'!$C$4:$C$2020,MATCH(1, ('각층분기별_유효전력최대(전월)'!$A$4:$A$2020='7층~4층_매핑테이블'!D252) * ('각층분기별_유효전력최대(전월)'!$B$4:$B$2020='7층~4층_매핑테이블'!E252),0)) + INDEX('각층분기별_유효전력최대(전월)'!$C$4:$C$2020,MATCH(1, ('각층분기별_유효전력최대(전월)'!$A$4:$A$2020='7층~4층_매핑테이블'!F252) * ('각층분기별_유효전력최대(전월)'!$B$4:$B$2020='7층~4층_매핑테이블'!G252),0))</f>
        <v>0</v>
      </c>
      <c r="I252" t="str">
        <f t="shared" si="276"/>
        <v>5-DaHall 1-PDU-01-30-215-DaHall 1-PDU-02-30-21</v>
      </c>
      <c r="J252" s="217" t="s">
        <v>10686</v>
      </c>
      <c r="K252" s="217" t="s">
        <v>10687</v>
      </c>
      <c r="L252" t="str">
        <f t="shared" si="265"/>
        <v>5-DaHall 1-PDU-01</v>
      </c>
      <c r="M252" t="str">
        <f t="shared" si="305"/>
        <v>[branch#021] [A] W</v>
      </c>
      <c r="N252" t="str">
        <f t="shared" si="277"/>
        <v>5-DaHall 1-PDU-02</v>
      </c>
      <c r="O252" t="str">
        <f t="shared" si="285"/>
        <v>[branch#021] [A] W</v>
      </c>
      <c r="P252" s="2989" cm="1">
        <f t="array" ref="P252">INDEX('각층분기별_유효전력최대(전월)'!$F$4:$F$2020,MATCH(1, ('각층분기별_유효전력최대(전월)'!$D$4:$D$2020='7층~4층_매핑테이블'!L252) * ('각층분기별_유효전력최대(전월)'!$E$4:$E$2020='7층~4층_매핑테이블'!M252),0)) + INDEX('각층분기별_유효전력최대(전월)'!$F$4:$F$2020,MATCH(1, ('각층분기별_유효전력최대(전월)'!$D$4:$D$2020='7층~4층_매핑테이블'!N252) * ('각층분기별_유효전력최대(전월)'!$E$4:$E$2020='7층~4층_매핑테이블'!O252),0))</f>
        <v>4.9860000000000007</v>
      </c>
      <c r="Q252" s="1" t="str">
        <f t="shared" si="320"/>
        <v/>
      </c>
      <c r="V252" t="str">
        <f t="shared" si="318"/>
        <v/>
      </c>
      <c r="W252" t="str">
        <f t="shared" si="319"/>
        <v/>
      </c>
      <c r="X252" s="2989" cm="1">
        <f t="array" ref="X252">INDEX('각층분기별_유효전력최대(전월)'!$I$4:$I$2020,MATCH(1, ('각층분기별_유효전력최대(전월)'!$G$4:$G$2020='7층~4층_매핑테이블'!T252) * ('각층분기별_유효전력최대(전월)'!$H$4:$H$2020='7층~4층_매핑테이블'!U252),0)) + INDEX('각층분기별_유효전력최대(전월)'!$I$4:$I$2020,MATCH(1, ('각층분기별_유효전력최대(전월)'!$G$4:$G$2020='7층~4층_매핑테이블'!V252) * ('각층분기별_유효전력최대(전월)'!$H$4:$H$2020='7층~4층_매핑테이블'!W252),0))</f>
        <v>0</v>
      </c>
      <c r="Y252" s="3274" t="str">
        <f>Z252&amp;AA252</f>
        <v>7-DaHall 1-PDU-02-30-49</v>
      </c>
      <c r="Z252" s="217"/>
      <c r="AA252" s="217" t="s">
        <v>10688</v>
      </c>
      <c r="AB252" s="3274" t="str">
        <f t="shared" ref="AB252:AB253" si="322">IF(MID(Z252,16,2)="0","",MID(Z252,1,15)&amp;MID(Z252,16,2))</f>
        <v/>
      </c>
      <c r="AD252" t="str">
        <f t="shared" si="263"/>
        <v>7-DaHall 1-PDU-02</v>
      </c>
      <c r="AE252" t="s">
        <v>9456</v>
      </c>
      <c r="AF252" s="2989" cm="1">
        <f t="array" ref="AF252">INDEX('각층분기별_유효전력최대(전월)'!$L$4:$L$2020,MATCH(1, ('각층분기별_유효전력최대(전월)'!$J$4:$J$2020='7층~4층_매핑테이블'!AB252) * ('각층분기별_유효전력최대(전월)'!$K$4:$K$2020='7층~4층_매핑테이블'!AC252),0)) + INDEX('각층분기별_유효전력최대(전월)'!$L$4:$L$2020,MATCH(1, ('각층분기별_유효전력최대(전월)'!$J$4:$J$2020='7층~4층_매핑테이블'!AD252) * ('각층분기별_유효전력최대(전월)'!$K$4:$K$2020='7층~4층_매핑테이블'!AE252),0))</f>
        <v>0.158</v>
      </c>
    </row>
    <row r="253" spans="1:32" x14ac:dyDescent="0.25">
      <c r="A253" t="str">
        <f t="shared" si="291"/>
        <v/>
      </c>
      <c r="D253" s="2989" t="str">
        <f t="shared" si="312"/>
        <v/>
      </c>
      <c r="E253" s="2989" t="str">
        <f t="shared" si="264"/>
        <v/>
      </c>
      <c r="F253" s="2989" t="str">
        <f t="shared" si="292"/>
        <v/>
      </c>
      <c r="G253" s="2989" t="str">
        <f t="shared" si="293"/>
        <v/>
      </c>
      <c r="H253" s="2989" cm="1">
        <f t="array" ref="H253">INDEX('각층분기별_유효전력최대(전월)'!$C$4:$C$2020,MATCH(1, ('각층분기별_유효전력최대(전월)'!$A$4:$A$2020='7층~4층_매핑테이블'!D253) * ('각층분기별_유효전력최대(전월)'!$B$4:$B$2020='7층~4층_매핑테이블'!E253),0)) + INDEX('각층분기별_유효전력최대(전월)'!$C$4:$C$2020,MATCH(1, ('각층분기별_유효전력최대(전월)'!$A$4:$A$2020='7층~4층_매핑테이블'!F253) * ('각층분기별_유효전력최대(전월)'!$B$4:$B$2020='7층~4층_매핑테이블'!G253),0))</f>
        <v>0</v>
      </c>
      <c r="I253" t="str">
        <f t="shared" si="276"/>
        <v>5-DaHall 1-PDU-01-30-235-DaHall 1-PDU-02-30-23</v>
      </c>
      <c r="J253" s="217" t="s">
        <v>10689</v>
      </c>
      <c r="K253" s="217" t="s">
        <v>10690</v>
      </c>
      <c r="L253" t="str">
        <f t="shared" si="265"/>
        <v>5-DaHall 1-PDU-01</v>
      </c>
      <c r="M253" t="str">
        <f t="shared" si="305"/>
        <v>[branch#023] [A] W</v>
      </c>
      <c r="N253" t="str">
        <f t="shared" si="277"/>
        <v>5-DaHall 1-PDU-02</v>
      </c>
      <c r="O253" t="str">
        <f t="shared" si="285"/>
        <v>[branch#023] [A] W</v>
      </c>
      <c r="P253" s="2989" cm="1">
        <f t="array" ref="P253">INDEX('각층분기별_유효전력최대(전월)'!$F$4:$F$2020,MATCH(1, ('각층분기별_유효전력최대(전월)'!$D$4:$D$2020='7층~4층_매핑테이블'!L253) * ('각층분기별_유효전력최대(전월)'!$E$4:$E$2020='7층~4층_매핑테이블'!M253),0)) + INDEX('각층분기별_유효전력최대(전월)'!$F$4:$F$2020,MATCH(1, ('각층분기별_유효전력최대(전월)'!$D$4:$D$2020='7층~4층_매핑테이블'!N253) * ('각층분기별_유효전력최대(전월)'!$E$4:$E$2020='7층~4층_매핑테이블'!O253),0))</f>
        <v>0</v>
      </c>
      <c r="Q253" s="1" t="str">
        <f t="shared" si="320"/>
        <v/>
      </c>
      <c r="V253" t="str">
        <f t="shared" si="318"/>
        <v/>
      </c>
      <c r="W253" t="str">
        <f t="shared" si="319"/>
        <v/>
      </c>
      <c r="X253" s="2989" cm="1">
        <f t="array" ref="X253">INDEX('각층분기별_유효전력최대(전월)'!$I$4:$I$2020,MATCH(1, ('각층분기별_유효전력최대(전월)'!$G$4:$G$2020='7층~4층_매핑테이블'!T253) * ('각층분기별_유효전력최대(전월)'!$H$4:$H$2020='7층~4층_매핑테이블'!U253),0)) + INDEX('각층분기별_유효전력최대(전월)'!$I$4:$I$2020,MATCH(1, ('각층분기별_유효전력최대(전월)'!$G$4:$G$2020='7층~4층_매핑테이블'!V253) * ('각층분기별_유효전력최대(전월)'!$H$4:$H$2020='7층~4층_매핑테이블'!W253),0))</f>
        <v>0</v>
      </c>
      <c r="Y253" s="3274" t="str">
        <f t="shared" ref="Y253:Y268" si="323">Z253&amp;AA253</f>
        <v>7-DaHall 1-PDU-02-30-51</v>
      </c>
      <c r="Z253" s="217"/>
      <c r="AA253" s="217" t="s">
        <v>10691</v>
      </c>
      <c r="AB253" s="3274" t="str">
        <f t="shared" si="322"/>
        <v/>
      </c>
      <c r="AD253" t="str">
        <f t="shared" si="263"/>
        <v>7-DaHall 1-PDU-02</v>
      </c>
      <c r="AE253" t="s">
        <v>9448</v>
      </c>
      <c r="AF253" s="2989" cm="1">
        <f t="array" ref="AF253">INDEX('각층분기별_유효전력최대(전월)'!$L$4:$L$2020,MATCH(1, ('각층분기별_유효전력최대(전월)'!$J$4:$J$2020='7층~4층_매핑테이블'!AB253) * ('각층분기별_유효전력최대(전월)'!$K$4:$K$2020='7층~4층_매핑테이블'!AC253),0)) + INDEX('각층분기별_유효전력최대(전월)'!$L$4:$L$2020,MATCH(1, ('각층분기별_유효전력최대(전월)'!$J$4:$J$2020='7층~4층_매핑테이블'!AD253) * ('각층분기별_유효전력최대(전월)'!$K$4:$K$2020='7층~4층_매핑테이블'!AE253),0))</f>
        <v>0.108</v>
      </c>
    </row>
    <row r="254" spans="1:32" x14ac:dyDescent="0.25">
      <c r="A254" t="str">
        <f t="shared" si="291"/>
        <v/>
      </c>
      <c r="D254" s="2989" t="str">
        <f t="shared" si="312"/>
        <v/>
      </c>
      <c r="E254" s="2989" t="str">
        <f t="shared" si="264"/>
        <v/>
      </c>
      <c r="F254" s="2989" t="str">
        <f t="shared" si="292"/>
        <v/>
      </c>
      <c r="G254" s="2989" t="str">
        <f t="shared" si="293"/>
        <v/>
      </c>
      <c r="H254" s="2989" cm="1">
        <f t="array" ref="H254">INDEX('각층분기별_유효전력최대(전월)'!$C$4:$C$2020,MATCH(1, ('각층분기별_유효전력최대(전월)'!$A$4:$A$2020='7층~4층_매핑테이블'!D254) * ('각층분기별_유효전력최대(전월)'!$B$4:$B$2020='7층~4층_매핑테이블'!E254),0)) + INDEX('각층분기별_유효전력최대(전월)'!$C$4:$C$2020,MATCH(1, ('각층분기별_유효전력최대(전월)'!$A$4:$A$2020='7층~4층_매핑테이블'!F254) * ('각층분기별_유효전력최대(전월)'!$B$4:$B$2020='7층~4층_매핑테이블'!G254),0))</f>
        <v>0</v>
      </c>
      <c r="I254" t="str">
        <f t="shared" si="276"/>
        <v>5-DaHall 1-PDU-01-30-255-DaHall 1-PDU-02-30-25</v>
      </c>
      <c r="J254" s="217" t="s">
        <v>10692</v>
      </c>
      <c r="K254" s="217" t="s">
        <v>10693</v>
      </c>
      <c r="L254" t="str">
        <f t="shared" si="265"/>
        <v>5-DaHall 1-PDU-01</v>
      </c>
      <c r="M254" t="str">
        <f t="shared" si="305"/>
        <v>[branch#025] [A] W</v>
      </c>
      <c r="N254" t="str">
        <f t="shared" si="277"/>
        <v>5-DaHall 1-PDU-02</v>
      </c>
      <c r="O254" t="str">
        <f t="shared" si="285"/>
        <v>[branch#025] [A] W</v>
      </c>
      <c r="P254" s="2989" cm="1">
        <f t="array" ref="P254">INDEX('각층분기별_유효전력최대(전월)'!$F$4:$F$2020,MATCH(1, ('각층분기별_유효전력최대(전월)'!$D$4:$D$2020='7층~4층_매핑테이블'!L254) * ('각층분기별_유효전력최대(전월)'!$E$4:$E$2020='7층~4층_매핑테이블'!M254),0)) + INDEX('각층분기별_유효전력최대(전월)'!$F$4:$F$2020,MATCH(1, ('각층분기별_유효전력최대(전월)'!$D$4:$D$2020='7층~4층_매핑테이블'!N254) * ('각층분기별_유효전력최대(전월)'!$E$4:$E$2020='7층~4층_매핑테이블'!O254),0))</f>
        <v>0</v>
      </c>
      <c r="Q254" s="1" t="str">
        <f>R254&amp;S254</f>
        <v/>
      </c>
      <c r="V254" t="str">
        <f t="shared" si="318"/>
        <v/>
      </c>
      <c r="W254" t="str">
        <f t="shared" si="319"/>
        <v/>
      </c>
      <c r="X254" s="2989" cm="1">
        <f t="array" ref="X254">INDEX('각층분기별_유효전력최대(전월)'!$I$4:$I$2020,MATCH(1, ('각층분기별_유효전력최대(전월)'!$G$4:$G$2020='7층~4층_매핑테이블'!T254) * ('각층분기별_유효전력최대(전월)'!$H$4:$H$2020='7층~4층_매핑테이블'!U254),0)) + INDEX('각층분기별_유효전력최대(전월)'!$I$4:$I$2020,MATCH(1, ('각층분기별_유효전력최대(전월)'!$G$4:$G$2020='7층~4층_매핑테이블'!V254) * ('각층분기별_유효전력최대(전월)'!$H$4:$H$2020='7층~4층_매핑테이블'!W254),0))</f>
        <v>0</v>
      </c>
      <c r="Y254" s="3274" t="str">
        <f t="shared" si="323"/>
        <v>7-DaHall 1-PDU-03-225-2</v>
      </c>
      <c r="Z254" s="217" t="s">
        <v>10694</v>
      </c>
      <c r="AA254" s="217"/>
      <c r="AB254" s="3274" t="str">
        <f>IF(MID(Z254,16,2)="0","",MID(Z254,1,15)&amp;MID(Z254,16,2))</f>
        <v>7-DaHall 1-PDU-03</v>
      </c>
      <c r="AC254" t="s">
        <v>9361</v>
      </c>
      <c r="AD254" t="str">
        <f t="shared" si="263"/>
        <v/>
      </c>
      <c r="AF254" s="2989" cm="1">
        <f t="array" ref="AF254">INDEX('각층분기별_유효전력최대(전월)'!$L$4:$L$2020,MATCH(1, ('각층분기별_유효전력최대(전월)'!$J$4:$J$2020='7층~4층_매핑테이블'!AB254) * ('각층분기별_유효전력최대(전월)'!$K$4:$K$2020='7층~4층_매핑테이블'!AC254),0)) + INDEX('각층분기별_유효전력최대(전월)'!$L$4:$L$2020,MATCH(1, ('각층분기별_유효전력최대(전월)'!$J$4:$J$2020='7층~4층_매핑테이블'!AD254) * ('각층분기별_유효전력최대(전월)'!$K$4:$K$2020='7층~4층_매핑테이블'!AE254),0))</f>
        <v>3.02</v>
      </c>
    </row>
    <row r="255" spans="1:32" x14ac:dyDescent="0.25">
      <c r="A255" t="str">
        <f t="shared" si="291"/>
        <v/>
      </c>
      <c r="D255" s="2989" t="str">
        <f t="shared" si="312"/>
        <v/>
      </c>
      <c r="E255" s="2989" t="str">
        <f t="shared" si="264"/>
        <v/>
      </c>
      <c r="F255" s="2989" t="str">
        <f t="shared" si="292"/>
        <v/>
      </c>
      <c r="G255" s="2989" t="str">
        <f t="shared" si="293"/>
        <v/>
      </c>
      <c r="H255" s="2989" cm="1">
        <f t="array" ref="H255">INDEX('각층분기별_유효전력최대(전월)'!$C$4:$C$2020,MATCH(1, ('각층분기별_유효전력최대(전월)'!$A$4:$A$2020='7층~4층_매핑테이블'!D255) * ('각층분기별_유효전력최대(전월)'!$B$4:$B$2020='7층~4층_매핑테이블'!E255),0)) + INDEX('각층분기별_유효전력최대(전월)'!$C$4:$C$2020,MATCH(1, ('각층분기별_유효전력최대(전월)'!$A$4:$A$2020='7층~4층_매핑테이블'!F255) * ('각층분기별_유효전력최대(전월)'!$B$4:$B$2020='7층~4층_매핑테이블'!G255),0))</f>
        <v>0</v>
      </c>
      <c r="I255" t="str">
        <f t="shared" si="276"/>
        <v>5-DaHall 1-PDU-01-30-42</v>
      </c>
      <c r="J255" s="217" t="s">
        <v>10695</v>
      </c>
      <c r="K255" s="217"/>
      <c r="L255" t="str">
        <f t="shared" si="265"/>
        <v>5-DaHall 1-PDU-01</v>
      </c>
      <c r="M255" t="str">
        <f t="shared" si="305"/>
        <v>[branch#042] [A] W</v>
      </c>
      <c r="N255" t="str">
        <f t="shared" si="277"/>
        <v/>
      </c>
      <c r="O255" t="str">
        <f>IF(IF(LEN((MID(K255,22,2)))=1, "[branch#0"&amp;0&amp;MID(K255,22,2)&amp;"] [A] W", "[branch#0"&amp;MID(K255,22,2)&amp;"] [A] W")="[branch#0] [A] W", "", IF(LEN((MID(K255,22,2)))=1, "[branch#0"&amp;0&amp;MID(K255,22,2)&amp;"] [A] W", "[branch#0"&amp;MID(K255,22,2)&amp;"] [A] W"))</f>
        <v/>
      </c>
      <c r="P255" s="2989" t="e" cm="1">
        <f t="array" ref="P255">INDEX('각층분기별_유효전력최대(전월)'!$F$4:$F$2020,MATCH(1, ('각층분기별_유효전력최대(전월)'!$D$4:$D$2020='7층~4층_매핑테이블'!L255) * ('각층분기별_유효전력최대(전월)'!$E$4:$E$2020='7층~4층_매핑테이블'!M255),0)) + INDEX('각층분기별_유효전력최대(전월)'!$F$4:$F$2020,MATCH(1, ('각층분기별_유효전력최대(전월)'!$D$4:$D$2020='7층~4층_매핑테이블'!N255) * ('각층분기별_유효전력최대(전월)'!$E$4:$E$2020='7층~4층_매핑테이블'!O255),0))</f>
        <v>#N/A</v>
      </c>
      <c r="Q255" s="1" t="str">
        <f t="shared" si="320"/>
        <v/>
      </c>
      <c r="V255" t="str">
        <f>IF(MID(S255,16,2)="0","",MID(S255,1,15)&amp;MID(S255,16,2))</f>
        <v/>
      </c>
      <c r="W255" t="str">
        <f>IF(IF(LEN((MID(S255,22,2)))=1, "[branch#0"&amp;0&amp;MID(S255,22,2)&amp;"] [A] W", "[branch#0"&amp;MID(S255,22,2)&amp;"] [A] W")="[branch#0] [A] W", "", IF(LEN((MID(S255,22,2)))=1, "[branch#0"&amp;0&amp;MID(S255,22,2)&amp;"] [A] W", "[branch#0"&amp;MID(S255,22,2)&amp;"] [A] W"))</f>
        <v/>
      </c>
      <c r="X255" s="2989" cm="1">
        <f t="array" ref="X255">INDEX('각층분기별_유효전력최대(전월)'!$I$4:$I$2020,MATCH(1, ('각층분기별_유효전력최대(전월)'!$G$4:$G$2020='7층~4층_매핑테이블'!T255) * ('각층분기별_유효전력최대(전월)'!$H$4:$H$2020='7층~4층_매핑테이블'!U255),0)) + INDEX('각층분기별_유효전력최대(전월)'!$I$4:$I$2020,MATCH(1, ('각층분기별_유효전력최대(전월)'!$G$4:$G$2020='7층~4층_매핑테이블'!V255) * ('각층분기별_유효전력최대(전월)'!$H$4:$H$2020='7층~4층_매핑테이블'!W255),0))</f>
        <v>0</v>
      </c>
      <c r="Y255" s="3274" t="str">
        <f t="shared" si="323"/>
        <v>7-DaHall 1-RPP-01-20-1</v>
      </c>
      <c r="Z255" s="217" t="s">
        <v>10696</v>
      </c>
      <c r="AA255" s="217"/>
      <c r="AB255" s="3274" t="str">
        <f>IF(MID(Z255,16,2)="0","",MID(Z255,1,15)&amp;MID(Z255,16,2))</f>
        <v>7-DaHall 1-RPP-01</v>
      </c>
      <c r="AC255" t="s">
        <v>9344</v>
      </c>
      <c r="AD255" t="str">
        <f t="shared" si="263"/>
        <v/>
      </c>
      <c r="AF255" s="2989" cm="1">
        <f t="array" ref="AF255">INDEX('각층분기별_유효전력최대(전월)'!$L$4:$L$2020,MATCH(1, ('각층분기별_유효전력최대(전월)'!$J$4:$J$2020='7층~4층_매핑테이블'!AB255) * ('각층분기별_유효전력최대(전월)'!$K$4:$K$2020='7층~4층_매핑테이블'!AC255),0)) + INDEX('각층분기별_유효전력최대(전월)'!$L$4:$L$2020,MATCH(1, ('각층분기별_유효전력최대(전월)'!$J$4:$J$2020='7층~4층_매핑테이블'!AD255) * ('각층분기별_유효전력최대(전월)'!$K$4:$K$2020='7층~4층_매핑테이블'!AE255),0))</f>
        <v>0</v>
      </c>
    </row>
    <row r="256" spans="1:32" x14ac:dyDescent="0.25">
      <c r="A256" t="str">
        <f t="shared" si="291"/>
        <v/>
      </c>
      <c r="D256" s="2989" t="str">
        <f t="shared" si="312"/>
        <v/>
      </c>
      <c r="E256" s="2989" t="str">
        <f t="shared" si="264"/>
        <v/>
      </c>
      <c r="F256" s="2989" t="str">
        <f t="shared" si="292"/>
        <v/>
      </c>
      <c r="G256" s="2989" t="str">
        <f t="shared" si="293"/>
        <v/>
      </c>
      <c r="H256" s="2989" cm="1">
        <f t="array" ref="H256">INDEX('각층분기별_유효전력최대(전월)'!$C$4:$C$2020,MATCH(1, ('각층분기별_유효전력최대(전월)'!$A$4:$A$2020='7층~4층_매핑테이블'!D256) * ('각층분기별_유효전력최대(전월)'!$B$4:$B$2020='7층~4층_매핑테이블'!E256),0)) + INDEX('각층분기별_유효전력최대(전월)'!$C$4:$C$2020,MATCH(1, ('각층분기별_유효전력최대(전월)'!$A$4:$A$2020='7층~4층_매핑테이블'!F256) * ('각층분기별_유효전력최대(전월)'!$B$4:$B$2020='7층~4층_매핑테이블'!G256),0))</f>
        <v>0</v>
      </c>
      <c r="I256" t="str">
        <f t="shared" si="276"/>
        <v>5-DaHall 1-PDU-01-30-445-DaHall 1-PDU-02-30-44</v>
      </c>
      <c r="J256" s="217" t="s">
        <v>10697</v>
      </c>
      <c r="K256" s="217" t="s">
        <v>10698</v>
      </c>
      <c r="L256" t="str">
        <f t="shared" si="265"/>
        <v>5-DaHall 1-PDU-01</v>
      </c>
      <c r="M256" t="str">
        <f t="shared" si="305"/>
        <v>[branch#044] [A] W</v>
      </c>
      <c r="N256" t="str">
        <f t="shared" si="277"/>
        <v>5-DaHall 1-PDU-02</v>
      </c>
      <c r="O256" t="str">
        <f>IF(IF(LEN((MID(K256,22,2)))=1, "[branch#0"&amp;0&amp;MID(K256,22,2)&amp;"] [A] W", "[branch#0"&amp;MID(K256,22,2)&amp;"] [A] W")="[branch#0] [A] W", "", IF(LEN((MID(K256,22,2)))=1, "[branch#0"&amp;0&amp;MID(K256,22,2)&amp;"] [A] W", "[branch#0"&amp;MID(K256,22,2)&amp;"] [A] W"))</f>
        <v>[branch#044] [A] W</v>
      </c>
      <c r="P256" s="2989" t="e" cm="1">
        <f t="array" ref="P256">INDEX('각층분기별_유효전력최대(전월)'!$F$4:$F$2020,MATCH(1, ('각층분기별_유효전력최대(전월)'!$D$4:$D$2020='7층~4층_매핑테이블'!L256) * ('각층분기별_유효전력최대(전월)'!$E$4:$E$2020='7층~4층_매핑테이블'!M256),0)) + INDEX('각층분기별_유효전력최대(전월)'!$F$4:$F$2020,MATCH(1, ('각층분기별_유효전력최대(전월)'!$D$4:$D$2020='7층~4층_매핑테이블'!N256) * ('각층분기별_유효전력최대(전월)'!$E$4:$E$2020='7층~4층_매핑테이블'!O256),0))</f>
        <v>#N/A</v>
      </c>
      <c r="Q256" s="1" t="str">
        <f t="shared" si="320"/>
        <v/>
      </c>
      <c r="V256" t="str">
        <f t="shared" si="318"/>
        <v/>
      </c>
      <c r="W256" t="str">
        <f t="shared" si="319"/>
        <v/>
      </c>
      <c r="X256" s="2989" cm="1">
        <f t="array" ref="X256">INDEX('각층분기별_유효전력최대(전월)'!$I$4:$I$2020,MATCH(1, ('각층분기별_유효전력최대(전월)'!$G$4:$G$2020='7층~4층_매핑테이블'!T256) * ('각층분기별_유효전력최대(전월)'!$H$4:$H$2020='7층~4층_매핑테이블'!U256),0)) + INDEX('각층분기별_유효전력최대(전월)'!$I$4:$I$2020,MATCH(1, ('각층분기별_유효전력최대(전월)'!$G$4:$G$2020='7층~4층_매핑테이블'!V256) * ('각층분기별_유효전력최대(전월)'!$H$4:$H$2020='7층~4층_매핑테이블'!W256),0))</f>
        <v>0</v>
      </c>
      <c r="Y256" s="3274" t="str">
        <f t="shared" si="323"/>
        <v>7-DaHall 1-RPP-01-30-2</v>
      </c>
      <c r="Z256" s="217" t="s">
        <v>10699</v>
      </c>
      <c r="AA256" s="217"/>
      <c r="AB256" s="3274" t="str">
        <f t="shared" ref="AB256:AB261" si="324">IF(MID(Z256,16,2)="0","",MID(Z256,1,15)&amp;MID(Z256,16,2))</f>
        <v>7-DaHall 1-RPP-01</v>
      </c>
      <c r="AC256" t="s">
        <v>9361</v>
      </c>
      <c r="AD256" t="str">
        <f t="shared" si="263"/>
        <v/>
      </c>
      <c r="AF256" s="2989" cm="1">
        <f t="array" ref="AF256">INDEX('각층분기별_유효전력최대(전월)'!$L$4:$L$2020,MATCH(1, ('각층분기별_유효전력최대(전월)'!$J$4:$J$2020='7층~4층_매핑테이블'!AB256) * ('각층분기별_유효전력최대(전월)'!$K$4:$K$2020='7층~4층_매핑테이블'!AC256),0)) + INDEX('각층분기별_유효전력최대(전월)'!$L$4:$L$2020,MATCH(1, ('각층분기별_유효전력최대(전월)'!$J$4:$J$2020='7층~4층_매핑테이블'!AD256) * ('각층분기별_유효전력최대(전월)'!$K$4:$K$2020='7층~4층_매핑테이블'!AE256),0))</f>
        <v>0</v>
      </c>
    </row>
    <row r="257" spans="1:32" x14ac:dyDescent="0.25">
      <c r="A257" t="str">
        <f t="shared" si="291"/>
        <v/>
      </c>
      <c r="D257" s="2989" t="str">
        <f t="shared" si="312"/>
        <v/>
      </c>
      <c r="E257" s="2989" t="str">
        <f t="shared" si="264"/>
        <v/>
      </c>
      <c r="F257" s="2989" t="str">
        <f t="shared" si="292"/>
        <v/>
      </c>
      <c r="G257" s="2989" t="str">
        <f t="shared" si="293"/>
        <v/>
      </c>
      <c r="H257" s="2989" cm="1">
        <f t="array" ref="H257">INDEX('각층분기별_유효전력최대(전월)'!$C$4:$C$2020,MATCH(1, ('각층분기별_유효전력최대(전월)'!$A$4:$A$2020='7층~4층_매핑테이블'!D257) * ('각층분기별_유효전력최대(전월)'!$B$4:$B$2020='7층~4층_매핑테이블'!E257),0)) + INDEX('각층분기별_유효전력최대(전월)'!$C$4:$C$2020,MATCH(1, ('각층분기별_유효전력최대(전월)'!$A$4:$A$2020='7층~4층_매핑테이블'!F257) * ('각층분기별_유효전력최대(전월)'!$B$4:$B$2020='7층~4층_매핑테이블'!G257),0))</f>
        <v>0</v>
      </c>
      <c r="I257" t="str">
        <f t="shared" si="276"/>
        <v>5-DaHall 1-PDU-01-30-45-DaHall 1-PDU-02-30-4</v>
      </c>
      <c r="J257" s="217" t="s">
        <v>10700</v>
      </c>
      <c r="K257" s="217" t="s">
        <v>10701</v>
      </c>
      <c r="L257" t="str">
        <f t="shared" si="265"/>
        <v>5-DaHall 1-PDU-01</v>
      </c>
      <c r="M257" t="str">
        <f t="shared" si="305"/>
        <v>[branch#004] [A] W</v>
      </c>
      <c r="N257" t="str">
        <f t="shared" si="277"/>
        <v>5-DaHall 1-PDU-02</v>
      </c>
      <c r="O257" t="str">
        <f t="shared" ref="O257:O258" si="325">IF(IF(LEN((MID(K257,22,2)))=1, "[branch#0"&amp;0&amp;MID(K257,22,2)&amp;"] [A] W", "[branch#0"&amp;MID(K257,22,2)&amp;"] [A] W")="[branch#0] [A] W", "", IF(LEN((MID(K257,22,2)))=1, "[branch#0"&amp;0&amp;MID(K257,22,2)&amp;"] [A] W", "[branch#0"&amp;MID(K257,22,2)&amp;"] [A] W"))</f>
        <v>[branch#004] [A] W</v>
      </c>
      <c r="P257" s="2989" cm="1">
        <f t="array" ref="P257">INDEX('각층분기별_유효전력최대(전월)'!$F$4:$F$2020,MATCH(1, ('각층분기별_유효전력최대(전월)'!$D$4:$D$2020='7층~4층_매핑테이블'!L257) * ('각층분기별_유효전력최대(전월)'!$E$4:$E$2020='7층~4층_매핑테이블'!M257),0)) + INDEX('각층분기별_유효전력최대(전월)'!$F$4:$F$2020,MATCH(1, ('각층분기별_유효전력최대(전월)'!$D$4:$D$2020='7층~4층_매핑테이블'!N257) * ('각층분기별_유효전력최대(전월)'!$E$4:$E$2020='7층~4층_매핑테이블'!O257),0))</f>
        <v>0</v>
      </c>
      <c r="Q257" s="1" t="str">
        <f t="shared" si="320"/>
        <v/>
      </c>
      <c r="V257" t="str">
        <f t="shared" si="318"/>
        <v/>
      </c>
      <c r="W257" t="str">
        <f t="shared" si="319"/>
        <v/>
      </c>
      <c r="X257" s="2989" cm="1">
        <f t="array" ref="X257">INDEX('각층분기별_유효전력최대(전월)'!$I$4:$I$2020,MATCH(1, ('각층분기별_유효전력최대(전월)'!$G$4:$G$2020='7층~4층_매핑테이블'!T257) * ('각층분기별_유효전력최대(전월)'!$H$4:$H$2020='7층~4층_매핑테이블'!U257),0)) + INDEX('각층분기별_유효전력최대(전월)'!$I$4:$I$2020,MATCH(1, ('각층분기별_유효전력최대(전월)'!$G$4:$G$2020='7층~4층_매핑테이블'!V257) * ('각층분기별_유효전력최대(전월)'!$H$4:$H$2020='7층~4층_매핑테이블'!W257),0))</f>
        <v>0</v>
      </c>
      <c r="Y257" s="3274" t="str">
        <f t="shared" si="323"/>
        <v>7-DaHall 1-RPP-01-20-3</v>
      </c>
      <c r="Z257" s="217" t="s">
        <v>10702</v>
      </c>
      <c r="AA257" s="217"/>
      <c r="AB257" s="3274" t="str">
        <f t="shared" si="324"/>
        <v>7-DaHall 1-RPP-01</v>
      </c>
      <c r="AC257" t="s">
        <v>9315</v>
      </c>
      <c r="AD257" t="str">
        <f t="shared" si="263"/>
        <v/>
      </c>
      <c r="AF257" s="2989" cm="1">
        <f t="array" ref="AF257">INDEX('각층분기별_유효전력최대(전월)'!$L$4:$L$2020,MATCH(1, ('각층분기별_유효전력최대(전월)'!$J$4:$J$2020='7층~4층_매핑테이블'!AB257) * ('각층분기별_유효전력최대(전월)'!$K$4:$K$2020='7층~4층_매핑테이블'!AC257),0)) + INDEX('각층분기별_유효전력최대(전월)'!$L$4:$L$2020,MATCH(1, ('각층분기별_유효전력최대(전월)'!$J$4:$J$2020='7층~4층_매핑테이블'!AD257) * ('각층분기별_유효전력최대(전월)'!$K$4:$K$2020='7층~4층_매핑테이블'!AE257),0))</f>
        <v>0</v>
      </c>
    </row>
    <row r="258" spans="1:32" x14ac:dyDescent="0.25">
      <c r="A258" t="str">
        <f t="shared" si="291"/>
        <v/>
      </c>
      <c r="D258" s="2989" t="str">
        <f t="shared" si="312"/>
        <v/>
      </c>
      <c r="E258" s="2989" t="str">
        <f t="shared" si="264"/>
        <v/>
      </c>
      <c r="F258" s="2989" t="str">
        <f t="shared" si="292"/>
        <v/>
      </c>
      <c r="G258" s="2989" t="str">
        <f t="shared" si="293"/>
        <v/>
      </c>
      <c r="H258" s="2989" cm="1">
        <f t="array" ref="H258">INDEX('각층분기별_유효전력최대(전월)'!$C$4:$C$2020,MATCH(1, ('각층분기별_유효전력최대(전월)'!$A$4:$A$2020='7층~4층_매핑테이블'!D258) * ('각층분기별_유효전력최대(전월)'!$B$4:$B$2020='7층~4층_매핑테이블'!E258),0)) + INDEX('각층분기별_유효전력최대(전월)'!$C$4:$C$2020,MATCH(1, ('각층분기별_유효전력최대(전월)'!$A$4:$A$2020='7층~4층_매핑테이블'!F258) * ('각층분기별_유효전력최대(전월)'!$B$4:$B$2020='7층~4층_매핑테이블'!G258),0))</f>
        <v>0</v>
      </c>
      <c r="I258" t="str">
        <f t="shared" si="276"/>
        <v>5-DaHall 1-PDU-01-30-65-DaHall 1-PDU-02-30-6</v>
      </c>
      <c r="J258" s="217" t="s">
        <v>10703</v>
      </c>
      <c r="K258" s="217" t="s">
        <v>10704</v>
      </c>
      <c r="L258" t="str">
        <f t="shared" si="265"/>
        <v>5-DaHall 1-PDU-01</v>
      </c>
      <c r="M258" t="str">
        <f t="shared" si="305"/>
        <v>[branch#006] [A] W</v>
      </c>
      <c r="N258" t="str">
        <f t="shared" si="277"/>
        <v>5-DaHall 1-PDU-02</v>
      </c>
      <c r="O258" t="str">
        <f t="shared" si="325"/>
        <v>[branch#006] [A] W</v>
      </c>
      <c r="P258" s="2989" cm="1">
        <f t="array" ref="P258">INDEX('각층분기별_유효전력최대(전월)'!$F$4:$F$2020,MATCH(1, ('각층분기별_유효전력최대(전월)'!$D$4:$D$2020='7층~4층_매핑테이블'!L258) * ('각층분기별_유효전력최대(전월)'!$E$4:$E$2020='7층~4층_매핑테이블'!M258),0)) + INDEX('각층분기별_유효전력최대(전월)'!$F$4:$F$2020,MATCH(1, ('각층분기별_유효전력최대(전월)'!$D$4:$D$2020='7층~4층_매핑테이블'!N258) * ('각층분기별_유효전력최대(전월)'!$E$4:$E$2020='7층~4층_매핑테이블'!O258),0))</f>
        <v>5.5310000000000006</v>
      </c>
      <c r="Q258" s="1" t="str">
        <f>R258&amp;S258</f>
        <v/>
      </c>
      <c r="V258" t="str">
        <f t="shared" si="318"/>
        <v/>
      </c>
      <c r="W258" t="str">
        <f t="shared" si="319"/>
        <v/>
      </c>
      <c r="X258" s="2989" cm="1">
        <f t="array" ref="X258">INDEX('각층분기별_유효전력최대(전월)'!$I$4:$I$2020,MATCH(1, ('각층분기별_유효전력최대(전월)'!$G$4:$G$2020='7층~4층_매핑테이블'!T258) * ('각층분기별_유효전력최대(전월)'!$H$4:$H$2020='7층~4층_매핑테이블'!U258),0)) + INDEX('각층분기별_유효전력최대(전월)'!$I$4:$I$2020,MATCH(1, ('각층분기별_유효전력최대(전월)'!$G$4:$G$2020='7층~4층_매핑테이블'!V258) * ('각층분기별_유효전력최대(전월)'!$H$4:$H$2020='7층~4층_매핑테이블'!W258),0))</f>
        <v>0</v>
      </c>
      <c r="Y258" s="3274" t="str">
        <f t="shared" si="323"/>
        <v>7-DaHall 1-RPP-01-20-5</v>
      </c>
      <c r="Z258" s="217" t="s">
        <v>10705</v>
      </c>
      <c r="AA258" s="217"/>
      <c r="AB258" s="3274" t="str">
        <f t="shared" si="324"/>
        <v>7-DaHall 1-RPP-01</v>
      </c>
      <c r="AC258" t="s">
        <v>9355</v>
      </c>
      <c r="AD258" t="str">
        <f t="shared" si="263"/>
        <v/>
      </c>
      <c r="AF258" s="2989" cm="1">
        <f t="array" ref="AF258">INDEX('각층분기별_유효전력최대(전월)'!$L$4:$L$2020,MATCH(1, ('각층분기별_유효전력최대(전월)'!$J$4:$J$2020='7층~4층_매핑테이블'!AB258) * ('각층분기별_유효전력최대(전월)'!$K$4:$K$2020='7층~4층_매핑테이블'!AC258),0)) + INDEX('각층분기별_유효전력최대(전월)'!$L$4:$L$2020,MATCH(1, ('각층분기별_유효전력최대(전월)'!$J$4:$J$2020='7층~4층_매핑테이블'!AD258) * ('각층분기별_유효전력최대(전월)'!$K$4:$K$2020='7층~4층_매핑테이블'!AE258),0))</f>
        <v>0</v>
      </c>
    </row>
    <row r="259" spans="1:32" x14ac:dyDescent="0.25">
      <c r="A259" t="str">
        <f t="shared" si="291"/>
        <v/>
      </c>
      <c r="D259" s="2989" t="str">
        <f t="shared" si="312"/>
        <v/>
      </c>
      <c r="E259" s="2989" t="str">
        <f t="shared" si="264"/>
        <v/>
      </c>
      <c r="F259" s="2989" t="str">
        <f t="shared" si="292"/>
        <v/>
      </c>
      <c r="G259" s="2989" t="str">
        <f t="shared" si="293"/>
        <v/>
      </c>
      <c r="H259" s="2989" cm="1">
        <f t="array" ref="H259">INDEX('각층분기별_유효전력최대(전월)'!$C$4:$C$2020,MATCH(1, ('각층분기별_유효전력최대(전월)'!$A$4:$A$2020='7층~4층_매핑테이블'!D259) * ('각층분기별_유효전력최대(전월)'!$B$4:$B$2020='7층~4층_매핑테이블'!E259),0)) + INDEX('각층분기별_유효전력최대(전월)'!$C$4:$C$2020,MATCH(1, ('각층분기별_유효전력최대(전월)'!$A$4:$A$2020='7층~4층_매핑테이블'!F259) * ('각층분기별_유효전력최대(전월)'!$B$4:$B$2020='7층~4층_매핑테이블'!G259),0))</f>
        <v>0</v>
      </c>
      <c r="I259" t="str">
        <f t="shared" si="276"/>
        <v>5-DaHall 1-PDU-01-30-10</v>
      </c>
      <c r="J259" s="217" t="s">
        <v>10706</v>
      </c>
      <c r="K259" s="217"/>
      <c r="L259" t="str">
        <f t="shared" si="265"/>
        <v>5-DaHall 1-PDU-01</v>
      </c>
      <c r="M259" t="str">
        <f t="shared" si="305"/>
        <v>[branch#010] [A] W</v>
      </c>
      <c r="N259" t="str">
        <f t="shared" si="277"/>
        <v/>
      </c>
      <c r="O259" t="str">
        <f>IF(IF(LEN((MID(K259,22,2)))=1, "[branch#0"&amp;0&amp;MID(K259,22,2)&amp;"] [A] W", "[branch#0"&amp;MID(K259,22,2)&amp;"] [A] W")="[branch#0] [A] W", "", IF(LEN((MID(K259,22,2)))=1, "[branch#0"&amp;0&amp;MID(K259,22,2)&amp;"] [A] W", "[branch#0"&amp;MID(K259,22,2)&amp;"] [A] W"))</f>
        <v/>
      </c>
      <c r="P259" s="2989" cm="1">
        <f t="array" ref="P259">INDEX('각층분기별_유효전력최대(전월)'!$F$4:$F$2020,MATCH(1, ('각층분기별_유효전력최대(전월)'!$D$4:$D$2020='7층~4층_매핑테이블'!L259) * ('각층분기별_유효전력최대(전월)'!$E$4:$E$2020='7층~4층_매핑테이블'!M259),0)) + INDEX('각층분기별_유효전력최대(전월)'!$F$4:$F$2020,MATCH(1, ('각층분기별_유효전력최대(전월)'!$D$4:$D$2020='7층~4층_매핑테이블'!N259) * ('각층분기별_유효전력최대(전월)'!$E$4:$E$2020='7층~4층_매핑테이블'!O259),0))</f>
        <v>0</v>
      </c>
      <c r="Q259" s="1" t="str">
        <f t="shared" si="320"/>
        <v/>
      </c>
      <c r="V259" t="str">
        <f t="shared" si="318"/>
        <v/>
      </c>
      <c r="W259" t="str">
        <f t="shared" si="319"/>
        <v/>
      </c>
      <c r="X259" s="2989" cm="1">
        <f t="array" ref="X259">INDEX('각층분기별_유효전력최대(전월)'!$I$4:$I$2020,MATCH(1, ('각층분기별_유효전력최대(전월)'!$G$4:$G$2020='7층~4층_매핑테이블'!T259) * ('각층분기별_유효전력최대(전월)'!$H$4:$H$2020='7층~4층_매핑테이블'!U259),0)) + INDEX('각층분기별_유효전력최대(전월)'!$I$4:$I$2020,MATCH(1, ('각층분기별_유효전력최대(전월)'!$G$4:$G$2020='7층~4층_매핑테이블'!V259) * ('각층분기별_유효전력최대(전월)'!$H$4:$H$2020='7층~4층_매핑테이블'!W259),0))</f>
        <v>0</v>
      </c>
      <c r="Y259" s="3274" t="str">
        <f t="shared" si="323"/>
        <v>7-DaHall 1-RPP-01-20-9</v>
      </c>
      <c r="Z259" s="217" t="s">
        <v>10707</v>
      </c>
      <c r="AA259" s="217"/>
      <c r="AB259" s="3274" t="str">
        <f t="shared" si="324"/>
        <v>7-DaHall 1-RPP-01</v>
      </c>
      <c r="AC259" t="s">
        <v>9364</v>
      </c>
      <c r="AD259" t="str">
        <f t="shared" si="263"/>
        <v/>
      </c>
      <c r="AF259" s="2989" cm="1">
        <f t="array" ref="AF259">INDEX('각층분기별_유효전력최대(전월)'!$L$4:$L$2020,MATCH(1, ('각층분기별_유효전력최대(전월)'!$J$4:$J$2020='7층~4층_매핑테이블'!AB259) * ('각층분기별_유효전력최대(전월)'!$K$4:$K$2020='7층~4층_매핑테이블'!AC259),0)) + INDEX('각층분기별_유효전력최대(전월)'!$L$4:$L$2020,MATCH(1, ('각층분기별_유효전력최대(전월)'!$J$4:$J$2020='7층~4층_매핑테이블'!AD259) * ('각층분기별_유효전력최대(전월)'!$K$4:$K$2020='7층~4층_매핑테이블'!AE259),0))</f>
        <v>0</v>
      </c>
    </row>
    <row r="260" spans="1:32" x14ac:dyDescent="0.25">
      <c r="A260" t="str">
        <f t="shared" si="291"/>
        <v/>
      </c>
      <c r="D260" s="2989" t="str">
        <f t="shared" si="312"/>
        <v/>
      </c>
      <c r="E260" s="2989" t="str">
        <f t="shared" si="264"/>
        <v/>
      </c>
      <c r="F260" s="2989" t="str">
        <f t="shared" si="292"/>
        <v/>
      </c>
      <c r="G260" s="2989" t="str">
        <f t="shared" si="293"/>
        <v/>
      </c>
      <c r="H260" s="2989" cm="1">
        <f t="array" ref="H260">INDEX('각층분기별_유효전력최대(전월)'!$C$4:$C$2020,MATCH(1, ('각층분기별_유효전력최대(전월)'!$A$4:$A$2020='7층~4층_매핑테이블'!D260) * ('각층분기별_유효전력최대(전월)'!$B$4:$B$2020='7층~4층_매핑테이블'!E260),0)) + INDEX('각층분기별_유효전력최대(전월)'!$C$4:$C$2020,MATCH(1, ('각층분기별_유효전력최대(전월)'!$A$4:$A$2020='7층~4층_매핑테이블'!F260) * ('각층분기별_유효전력최대(전월)'!$B$4:$B$2020='7층~4층_매핑테이블'!G260),0))</f>
        <v>0</v>
      </c>
      <c r="I260" t="str">
        <f t="shared" si="276"/>
        <v>5-DaHall 1-PDU-02-30-10</v>
      </c>
      <c r="J260" s="217"/>
      <c r="K260" s="217" t="s">
        <v>10708</v>
      </c>
      <c r="L260" t="str">
        <f t="shared" si="265"/>
        <v/>
      </c>
      <c r="M260" t="str">
        <f>IF(IF(LEN((MID(J260,22,2)))=1, "[branch#0"&amp;0&amp;MID(J260,22,2)&amp;"] [A] W", "[branch#0"&amp;MID(J260,22,2)&amp;"] [A] W")="[branch#0] [A] W", "", IF(LEN((MID(J260,22,2)))=1, "[branch#0"&amp;0&amp;MID(J260,22,2)&amp;"] [A] W", "[branch#0"&amp;MID(J260,22,2)&amp;"] [A] W"))</f>
        <v/>
      </c>
      <c r="N260" t="str">
        <f t="shared" si="277"/>
        <v>5-DaHall 1-PDU-02</v>
      </c>
      <c r="O260" t="str">
        <f>IF(IF(LEN((MID(K260,22,2)))=1, "[branch#0"&amp;0&amp;MID(K260,22,2)&amp;"] [A] W", "[branch#0"&amp;MID(K260,22,2)&amp;"] [A] W")="[branch#0] [A] W", "", IF(LEN((MID(K260,22,2)))=1, "[branch#0"&amp;0&amp;MID(K260,22,2)&amp;"] [A] W", "[branch#0"&amp;MID(K260,22,2)&amp;"] [A] W"))</f>
        <v>[branch#010] [A] W</v>
      </c>
      <c r="P260" s="2989" cm="1">
        <f t="array" ref="P260">INDEX('각층분기별_유효전력최대(전월)'!$F$4:$F$2020,MATCH(1, ('각층분기별_유효전력최대(전월)'!$D$4:$D$2020='7층~4층_매핑테이블'!L260) * ('각층분기별_유효전력최대(전월)'!$E$4:$E$2020='7층~4층_매핑테이블'!M260),0)) + INDEX('각층분기별_유효전력최대(전월)'!$F$4:$F$2020,MATCH(1, ('각층분기별_유효전력최대(전월)'!$D$4:$D$2020='7층~4층_매핑테이블'!N260) * ('각층분기별_유효전력최대(전월)'!$E$4:$E$2020='7층~4층_매핑테이블'!O260),0))</f>
        <v>1.347</v>
      </c>
      <c r="Q260" s="1" t="str">
        <f t="shared" si="320"/>
        <v/>
      </c>
      <c r="V260" t="str">
        <f t="shared" si="318"/>
        <v/>
      </c>
      <c r="W260" t="str">
        <f t="shared" si="319"/>
        <v/>
      </c>
      <c r="X260" s="2989" cm="1">
        <f t="array" ref="X260">INDEX('각층분기별_유효전력최대(전월)'!$I$4:$I$2020,MATCH(1, ('각층분기별_유효전력최대(전월)'!$G$4:$G$2020='7층~4층_매핑테이블'!T260) * ('각층분기별_유효전력최대(전월)'!$H$4:$H$2020='7층~4층_매핑테이블'!U260),0)) + INDEX('각층분기별_유효전력최대(전월)'!$I$4:$I$2020,MATCH(1, ('각층분기별_유효전력최대(전월)'!$G$4:$G$2020='7층~4층_매핑테이블'!V260) * ('각층분기별_유효전력최대(전월)'!$H$4:$H$2020='7층~4층_매핑테이블'!W260),0))</f>
        <v>0</v>
      </c>
      <c r="Y260" s="3274" t="str">
        <f>Z260&amp;AA260</f>
        <v>7-DaHall 1-RPP-01-20-13</v>
      </c>
      <c r="Z260" s="217" t="s">
        <v>10709</v>
      </c>
      <c r="AA260" s="217"/>
      <c r="AB260" s="3274" t="str">
        <f t="shared" si="324"/>
        <v>7-DaHall 1-RPP-01</v>
      </c>
      <c r="AC260" t="s">
        <v>9398</v>
      </c>
      <c r="AD260" t="str">
        <f t="shared" si="263"/>
        <v/>
      </c>
      <c r="AF260" s="2989" cm="1">
        <f t="array" ref="AF260">INDEX('각층분기별_유효전력최대(전월)'!$L$4:$L$2020,MATCH(1, ('각층분기별_유효전력최대(전월)'!$J$4:$J$2020='7층~4층_매핑테이블'!AB260) * ('각층분기별_유효전력최대(전월)'!$K$4:$K$2020='7층~4층_매핑테이블'!AC260),0)) + INDEX('각층분기별_유효전력최대(전월)'!$L$4:$L$2020,MATCH(1, ('각층분기별_유효전력최대(전월)'!$J$4:$J$2020='7층~4층_매핑테이블'!AD260) * ('각층분기별_유효전력최대(전월)'!$K$4:$K$2020='7층~4층_매핑테이블'!AE260),0))</f>
        <v>0</v>
      </c>
    </row>
    <row r="261" spans="1:32" x14ac:dyDescent="0.25">
      <c r="A261" t="str">
        <f t="shared" si="291"/>
        <v/>
      </c>
      <c r="D261" s="2989" t="str">
        <f t="shared" si="312"/>
        <v/>
      </c>
      <c r="E261" s="2989" t="str">
        <f t="shared" si="264"/>
        <v/>
      </c>
      <c r="F261" s="2989" t="str">
        <f t="shared" si="292"/>
        <v/>
      </c>
      <c r="G261" s="2989" t="str">
        <f t="shared" si="293"/>
        <v/>
      </c>
      <c r="H261" s="2989" cm="1">
        <f t="array" ref="H261">INDEX('각층분기별_유효전력최대(전월)'!$C$4:$C$2020,MATCH(1, ('각층분기별_유효전력최대(전월)'!$A$4:$A$2020='7층~4층_매핑테이블'!D261) * ('각층분기별_유효전력최대(전월)'!$B$4:$B$2020='7층~4층_매핑테이블'!E261),0)) + INDEX('각층분기별_유효전력최대(전월)'!$C$4:$C$2020,MATCH(1, ('각층분기별_유효전력최대(전월)'!$A$4:$A$2020='7층~4층_매핑테이블'!F261) * ('각층분기별_유효전력최대(전월)'!$B$4:$B$2020='7층~4층_매핑테이블'!G261),0))</f>
        <v>0</v>
      </c>
      <c r="I261" t="str">
        <f t="shared" si="276"/>
        <v/>
      </c>
      <c r="J261" s="217"/>
      <c r="K261" s="217"/>
      <c r="L261" t="str">
        <f t="shared" si="265"/>
        <v/>
      </c>
      <c r="M261" t="str">
        <f t="shared" ref="M261" si="326">IF(IF(LEN((MID(J261,22,2)))=1, "[branch#0"&amp;0&amp;MID(J261,22,2)&amp;"] [A] W", "[branch#0"&amp;MID(J261,22,2)&amp;"] [A] W")="[branch#0] [A] W", "", IF(LEN((MID(J261,22,2)))=1, "[branch#0"&amp;0&amp;MID(J261,22,2)&amp;"] [A] W", "[branch#0"&amp;MID(J261,22,2)&amp;"] [A] W"))</f>
        <v/>
      </c>
      <c r="N261" t="str">
        <f t="shared" si="277"/>
        <v/>
      </c>
      <c r="O261" t="str">
        <f>IF(IF(LEN((MID(K261,22,2)))=1, "[branch#0"&amp;0&amp;MID(K261,22,2)&amp;"] [A] W", "[branch#0"&amp;MID(K261,22,2)&amp;"] [A] W")="[branch#0] [A] W", "", IF(LEN((MID(K261,22,2)))=1, "[branch#0"&amp;0&amp;MID(K261,22,2)&amp;"] [A] W", "[branch#0"&amp;MID(K261,22,2)&amp;"] [A] W"))</f>
        <v/>
      </c>
      <c r="P261" s="2989" cm="1">
        <f t="array" ref="P261">INDEX('각층분기별_유효전력최대(전월)'!$F$4:$F$2020,MATCH(1, ('각층분기별_유효전력최대(전월)'!$D$4:$D$2020='7층~4층_매핑테이블'!L261) * ('각층분기별_유효전력최대(전월)'!$E$4:$E$2020='7층~4층_매핑테이블'!M261),0)) + INDEX('각층분기별_유효전력최대(전월)'!$F$4:$F$2020,MATCH(1, ('각층분기별_유효전력최대(전월)'!$D$4:$D$2020='7층~4층_매핑테이블'!N261) * ('각층분기별_유효전력최대(전월)'!$E$4:$E$2020='7층~4층_매핑테이블'!O261),0))</f>
        <v>0</v>
      </c>
      <c r="Q261" s="1" t="str">
        <f t="shared" si="320"/>
        <v/>
      </c>
      <c r="V261" t="str">
        <f>IF(MID(S261,16,2)="0","",MID(S261,1,15)&amp;MID(S261,16,2))</f>
        <v/>
      </c>
      <c r="W261" t="str">
        <f>IF(IF(LEN((MID(S261,22,2)))=1, "[branch#0"&amp;0&amp;MID(S261,22,2)&amp;"] [A] W", "[branch#0"&amp;MID(S261,22,2)&amp;"] [A] W")="[branch#0] [A] W", "", IF(LEN((MID(S261,22,2)))=1, "[branch#0"&amp;0&amp;MID(S261,22,2)&amp;"] [A] W", "[branch#0"&amp;MID(S261,22,2)&amp;"] [A] W"))</f>
        <v/>
      </c>
      <c r="X261" s="2989" cm="1">
        <f t="array" ref="X261">INDEX('각층분기별_유효전력최대(전월)'!$I$4:$I$2020,MATCH(1, ('각층분기별_유효전력최대(전월)'!$G$4:$G$2020='7층~4층_매핑테이블'!T261) * ('각층분기별_유효전력최대(전월)'!$H$4:$H$2020='7층~4층_매핑테이블'!U261),0)) + INDEX('각층분기별_유효전력최대(전월)'!$I$4:$I$2020,MATCH(1, ('각층분기별_유효전력최대(전월)'!$G$4:$G$2020='7층~4층_매핑테이블'!V261) * ('각층분기별_유효전력최대(전월)'!$H$4:$H$2020='7층~4층_매핑테이블'!W261),0))</f>
        <v>0</v>
      </c>
      <c r="Y261" s="3274" t="str">
        <f t="shared" si="323"/>
        <v>7-DaHall 1-RPP-01-20-15</v>
      </c>
      <c r="Z261" s="217" t="s">
        <v>10710</v>
      </c>
      <c r="AA261" s="217"/>
      <c r="AB261" s="3274" t="str">
        <f t="shared" si="324"/>
        <v>7-DaHall 1-RPP-01</v>
      </c>
      <c r="AC261" t="s">
        <v>9453</v>
      </c>
      <c r="AD261" t="str">
        <f t="shared" si="263"/>
        <v/>
      </c>
      <c r="AF261" s="2989" cm="1">
        <f t="array" ref="AF261">INDEX('각층분기별_유효전력최대(전월)'!$L$4:$L$2020,MATCH(1, ('각층분기별_유효전력최대(전월)'!$J$4:$J$2020='7층~4층_매핑테이블'!AB261) * ('각층분기별_유효전력최대(전월)'!$K$4:$K$2020='7층~4층_매핑테이블'!AC261),0)) + INDEX('각층분기별_유효전력최대(전월)'!$L$4:$L$2020,MATCH(1, ('각층분기별_유효전력최대(전월)'!$J$4:$J$2020='7층~4층_매핑테이블'!AD261) * ('각층분기별_유효전력최대(전월)'!$K$4:$K$2020='7층~4층_매핑테이블'!AE261),0))</f>
        <v>0</v>
      </c>
    </row>
    <row r="262" spans="1:32" x14ac:dyDescent="0.25">
      <c r="A262" t="str">
        <f t="shared" si="291"/>
        <v/>
      </c>
      <c r="D262" s="2989" t="str">
        <f t="shared" si="312"/>
        <v/>
      </c>
      <c r="E262" s="2989" t="str">
        <f t="shared" si="264"/>
        <v/>
      </c>
      <c r="F262" s="2989" t="str">
        <f t="shared" si="292"/>
        <v/>
      </c>
      <c r="G262" s="2989" t="str">
        <f t="shared" si="293"/>
        <v/>
      </c>
      <c r="H262" s="2989" cm="1">
        <f t="array" ref="H262">INDEX('각층분기별_유효전력최대(전월)'!$C$4:$C$2020,MATCH(1, ('각층분기별_유효전력최대(전월)'!$A$4:$A$2020='7층~4층_매핑테이블'!D262) * ('각층분기별_유효전력최대(전월)'!$B$4:$B$2020='7층~4층_매핑테이블'!E262),0)) + INDEX('각층분기별_유효전력최대(전월)'!$C$4:$C$2020,MATCH(1, ('각층분기별_유효전력최대(전월)'!$A$4:$A$2020='7층~4층_매핑테이블'!F262) * ('각층분기별_유효전력최대(전월)'!$B$4:$B$2020='7층~4층_매핑테이블'!G262),0))</f>
        <v>0</v>
      </c>
      <c r="I262" t="str">
        <f t="shared" si="276"/>
        <v>5-DaHall 1-PDU-01-30-505-DaHall 1-PDU-02-30-50</v>
      </c>
      <c r="J262" s="217" t="s">
        <v>10711</v>
      </c>
      <c r="K262" s="217" t="s">
        <v>10712</v>
      </c>
      <c r="L262" t="str">
        <f t="shared" si="265"/>
        <v>5-DaHall 1-PDU-01</v>
      </c>
      <c r="M262" t="str">
        <f>IF(IF(LEN((MID(J262,22,2)))=1, "[branch#0"&amp;0&amp;MID(J262,22,2)&amp;"] [A] W", "[branch#0"&amp;MID(J262,22,2)&amp;"] [A] W")="[branch#0] [A] W", "", IF(LEN((MID(J262,22,2)))=1, "[branch#0"&amp;0&amp;MID(J262,22,2)&amp;"] [A] W", "[branch#0"&amp;MID(J262,22,2)&amp;"] [A] W"))</f>
        <v>[branch#050] [A] W</v>
      </c>
      <c r="N262" t="str">
        <f t="shared" si="277"/>
        <v>5-DaHall 1-PDU-02</v>
      </c>
      <c r="O262" t="str">
        <f>IF(IF(LEN((MID(K262,22,2)))=1, "[branch#0"&amp;0&amp;MID(K262,22,2)&amp;"] [A] W", "[branch#0"&amp;MID(K262,22,2)&amp;"] [A] W")="[branch#0] [A] W", "", IF(LEN((MID(K262,22,2)))=1, "[branch#0"&amp;0&amp;MID(K262,22,2)&amp;"] [A] W", "[branch#0"&amp;MID(K262,22,2)&amp;"] [A] W"))</f>
        <v>[branch#050] [A] W</v>
      </c>
      <c r="P262" s="2989" t="e" cm="1">
        <f t="array" ref="P262">INDEX('각층분기별_유효전력최대(전월)'!$F$4:$F$2020,MATCH(1, ('각층분기별_유효전력최대(전월)'!$D$4:$D$2020='7층~4층_매핑테이블'!L262) * ('각층분기별_유효전력최대(전월)'!$E$4:$E$2020='7층~4층_매핑테이블'!M262),0)) + INDEX('각층분기별_유효전력최대(전월)'!$F$4:$F$2020,MATCH(1, ('각층분기별_유효전력최대(전월)'!$D$4:$D$2020='7층~4층_매핑테이블'!N262) * ('각층분기별_유효전력최대(전월)'!$E$4:$E$2020='7층~4층_매핑테이블'!O262),0))</f>
        <v>#N/A</v>
      </c>
      <c r="Q262" s="1" t="str">
        <f t="shared" si="320"/>
        <v/>
      </c>
      <c r="V262" t="str">
        <f t="shared" si="318"/>
        <v/>
      </c>
      <c r="W262" t="str">
        <f t="shared" si="319"/>
        <v/>
      </c>
      <c r="X262" s="2989" cm="1">
        <f t="array" ref="X262">INDEX('각층분기별_유효전력최대(전월)'!$I$4:$I$2020,MATCH(1, ('각층분기별_유효전력최대(전월)'!$G$4:$G$2020='7층~4층_매핑테이블'!T262) * ('각층분기별_유효전력최대(전월)'!$H$4:$H$2020='7층~4층_매핑테이블'!U262),0)) + INDEX('각층분기별_유효전력최대(전월)'!$I$4:$I$2020,MATCH(1, ('각층분기별_유효전력최대(전월)'!$G$4:$G$2020='7층~4층_매핑테이블'!V262) * ('각층분기별_유효전력최대(전월)'!$H$4:$H$2020='7층~4층_매핑테이블'!W262),0))</f>
        <v>0</v>
      </c>
      <c r="Y262" s="3274" t="str">
        <f t="shared" si="323"/>
        <v>7-DaHall 1-RPP-01-20-17</v>
      </c>
      <c r="Z262" s="217" t="s">
        <v>10713</v>
      </c>
      <c r="AA262" s="217"/>
      <c r="AB262" s="3274" t="str">
        <f>IF(MID(Z262,16,2)="0","",MID(Z262,1,15)&amp;MID(Z262,16,2))</f>
        <v>7-DaHall 1-RPP-01</v>
      </c>
      <c r="AC262" t="s">
        <v>9462</v>
      </c>
      <c r="AD262" t="str">
        <f t="shared" si="263"/>
        <v/>
      </c>
      <c r="AF262" s="2989" cm="1">
        <f t="array" ref="AF262">INDEX('각층분기별_유효전력최대(전월)'!$L$4:$L$2020,MATCH(1, ('각층분기별_유효전력최대(전월)'!$J$4:$J$2020='7층~4층_매핑테이블'!AB262) * ('각층분기별_유효전력최대(전월)'!$K$4:$K$2020='7층~4층_매핑테이블'!AC262),0)) + INDEX('각층분기별_유효전력최대(전월)'!$L$4:$L$2020,MATCH(1, ('각층분기별_유효전력최대(전월)'!$J$4:$J$2020='7층~4층_매핑테이블'!AD262) * ('각층분기별_유효전력최대(전월)'!$K$4:$K$2020='7층~4층_매핑테이블'!AE262),0))</f>
        <v>0</v>
      </c>
    </row>
    <row r="263" spans="1:32" x14ac:dyDescent="0.25">
      <c r="A263" t="str">
        <f t="shared" si="291"/>
        <v/>
      </c>
      <c r="D263" s="2989" t="str">
        <f t="shared" si="312"/>
        <v/>
      </c>
      <c r="E263" s="2989" t="str">
        <f t="shared" si="264"/>
        <v/>
      </c>
      <c r="F263" s="2989" t="str">
        <f t="shared" si="292"/>
        <v/>
      </c>
      <c r="G263" s="2989" t="str">
        <f t="shared" si="293"/>
        <v/>
      </c>
      <c r="H263" s="2989" cm="1">
        <f t="array" ref="H263">INDEX('각층분기별_유효전력최대(전월)'!$C$4:$C$2020,MATCH(1, ('각층분기별_유효전력최대(전월)'!$A$4:$A$2020='7층~4층_매핑테이블'!D263) * ('각층분기별_유효전력최대(전월)'!$B$4:$B$2020='7층~4층_매핑테이블'!E263),0)) + INDEX('각층분기별_유효전력최대(전월)'!$C$4:$C$2020,MATCH(1, ('각층분기별_유효전력최대(전월)'!$A$4:$A$2020='7층~4층_매핑테이블'!F263) * ('각층분기별_유효전력최대(전월)'!$B$4:$B$2020='7층~4층_매핑테이블'!G263),0))</f>
        <v>0</v>
      </c>
      <c r="I263" t="str">
        <f t="shared" si="276"/>
        <v>5-DaHall 1-PDU-01-60-25-DaHall 1-PDU-02-60-2</v>
      </c>
      <c r="J263" s="217" t="s">
        <v>10714</v>
      </c>
      <c r="K263" s="217" t="s">
        <v>10715</v>
      </c>
      <c r="L263" t="str">
        <f t="shared" si="265"/>
        <v>5-DaHall 1-PDU-01</v>
      </c>
      <c r="M263" t="str">
        <f t="shared" ref="M263:M287" si="327">IF(IF(LEN((MID(J263,22,2)))=1, "[branch#0"&amp;0&amp;MID(J263,22,2)&amp;"] [A] W", "[branch#0"&amp;MID(J263,22,2)&amp;"] [A] W")="[branch#0] [A] W", "", IF(LEN((MID(J263,22,2)))=1, "[branch#0"&amp;0&amp;MID(J263,22,2)&amp;"] [A] W", "[branch#0"&amp;MID(J263,22,2)&amp;"] [A] W"))</f>
        <v>[branch#002] [A] W</v>
      </c>
      <c r="N263" t="str">
        <f t="shared" si="277"/>
        <v>5-DaHall 1-PDU-02</v>
      </c>
      <c r="O263" t="str">
        <f t="shared" ref="O263:O294" si="328">IF(IF(LEN((MID(K263,22,2)))=1, "[branch#0"&amp;0&amp;MID(K263,22,2)&amp;"] [A] W", "[branch#0"&amp;MID(K263,22,2)&amp;"] [A] W")="[branch#0] [A] W", "", IF(LEN((MID(K263,22,2)))=1, "[branch#0"&amp;0&amp;MID(K263,22,2)&amp;"] [A] W", "[branch#0"&amp;MID(K263,22,2)&amp;"] [A] W"))</f>
        <v>[branch#002] [A] W</v>
      </c>
      <c r="P263" s="2989" cm="1">
        <f t="array" ref="P263">INDEX('각층분기별_유효전력최대(전월)'!$F$4:$F$2020,MATCH(1, ('각층분기별_유효전력최대(전월)'!$D$4:$D$2020='7층~4층_매핑테이블'!L263) * ('각층분기별_유효전력최대(전월)'!$E$4:$E$2020='7층~4층_매핑테이블'!M263),0)) + INDEX('각층분기별_유효전력최대(전월)'!$F$4:$F$2020,MATCH(1, ('각층분기별_유효전력최대(전월)'!$D$4:$D$2020='7층~4층_매핑테이블'!N263) * ('각층분기별_유효전력최대(전월)'!$E$4:$E$2020='7층~4층_매핑테이블'!O263),0))</f>
        <v>0</v>
      </c>
      <c r="Q263" s="1" t="str">
        <f t="shared" si="320"/>
        <v/>
      </c>
      <c r="V263" t="str">
        <f>IF(MID(S263,16,2)="0","",MID(S263,1,15)&amp;MID(S263,16,2))</f>
        <v/>
      </c>
      <c r="W263" t="str">
        <f>IF(IF(LEN((MID(S263,22,2)))=1, "[branch#0"&amp;0&amp;MID(S263,22,2)&amp;"] [A] W", "[branch#0"&amp;MID(S263,22,2)&amp;"] [A] W")="[branch#0] [A] W", "", IF(LEN((MID(S263,22,2)))=1, "[branch#0"&amp;0&amp;MID(S263,22,2)&amp;"] [A] W", "[branch#0"&amp;MID(S263,22,2)&amp;"] [A] W"))</f>
        <v/>
      </c>
      <c r="X263" s="2989" cm="1">
        <f t="array" ref="X263">INDEX('각층분기별_유효전력최대(전월)'!$I$4:$I$2020,MATCH(1, ('각층분기별_유효전력최대(전월)'!$G$4:$G$2020='7층~4층_매핑테이블'!T263) * ('각층분기별_유효전력최대(전월)'!$H$4:$H$2020='7층~4층_매핑테이블'!U263),0)) + INDEX('각층분기별_유효전력최대(전월)'!$I$4:$I$2020,MATCH(1, ('각층분기별_유효전력최대(전월)'!$G$4:$G$2020='7층~4층_매핑테이블'!V263) * ('각층분기별_유효전력최대(전월)'!$H$4:$H$2020='7층~4층_매핑테이블'!W263),0))</f>
        <v>0</v>
      </c>
      <c r="Y263" s="3274" t="str">
        <f>Z263&amp;AA263</f>
        <v>7-DaHall 1-RPP-01-20-27</v>
      </c>
      <c r="Z263" s="217" t="s">
        <v>10716</v>
      </c>
      <c r="AA263" s="217"/>
      <c r="AB263" s="3274" t="str">
        <f>IF(MID(Z263,16,2)="0","",MID(Z263,1,15)&amp;MID(Z263,16,2))</f>
        <v>7-DaHall 1-RPP-01</v>
      </c>
      <c r="AC263" t="s">
        <v>9521</v>
      </c>
      <c r="AD263" t="str">
        <f t="shared" ref="AD263:AD283" si="329">IF(MID(AA263,16,2)="0","",MID(AA263,1,15)&amp;MID(AA263,16,2))</f>
        <v/>
      </c>
      <c r="AF263" s="2989" cm="1">
        <f t="array" ref="AF263">INDEX('각층분기별_유효전력최대(전월)'!$L$4:$L$2020,MATCH(1, ('각층분기별_유효전력최대(전월)'!$J$4:$J$2020='7층~4층_매핑테이블'!AB263) * ('각층분기별_유효전력최대(전월)'!$K$4:$K$2020='7층~4층_매핑테이블'!AC263),0)) + INDEX('각층분기별_유효전력최대(전월)'!$L$4:$L$2020,MATCH(1, ('각층분기별_유효전력최대(전월)'!$J$4:$J$2020='7층~4층_매핑테이블'!AD263) * ('각층분기별_유효전력최대(전월)'!$K$4:$K$2020='7층~4층_매핑테이블'!AE263),0))</f>
        <v>0.61899999999999999</v>
      </c>
    </row>
    <row r="264" spans="1:32" x14ac:dyDescent="0.25">
      <c r="A264" t="str">
        <f t="shared" si="291"/>
        <v/>
      </c>
      <c r="D264" s="2989" t="str">
        <f t="shared" si="312"/>
        <v/>
      </c>
      <c r="E264" s="2989" t="str">
        <f t="shared" ref="E264:E295" si="330">IF(IF(LEN(MID(B264,23,2))=1, "[branch#0"&amp;0&amp;MID(B264,23,2)&amp;"] [A] W", "[branch#0"&amp;MID(B264,23,2)&amp;"] [A] W")="[branch#0] [A] W", "", IF(LEN(MID(B264,23,2))=1, "[branch#0"&amp;0&amp;MID(B264,23,2)&amp;"] [A] W", "[branch#0"&amp;MID(B264,23,2)&amp;"] [A] W"))</f>
        <v/>
      </c>
      <c r="F264" s="2989" t="str">
        <f t="shared" si="292"/>
        <v/>
      </c>
      <c r="G264" s="2989" t="str">
        <f t="shared" si="293"/>
        <v/>
      </c>
      <c r="H264" s="2989" cm="1">
        <f t="array" ref="H264">INDEX('각층분기별_유효전력최대(전월)'!$C$4:$C$2020,MATCH(1, ('각층분기별_유효전력최대(전월)'!$A$4:$A$2020='7층~4층_매핑테이블'!D264) * ('각층분기별_유효전력최대(전월)'!$B$4:$B$2020='7층~4층_매핑테이블'!E264),0)) + INDEX('각층분기별_유효전력최대(전월)'!$C$4:$C$2020,MATCH(1, ('각층분기별_유효전력최대(전월)'!$A$4:$A$2020='7층~4층_매핑테이블'!F264) * ('각층분기별_유효전력최대(전월)'!$B$4:$B$2020='7층~4층_매핑테이블'!G264),0))</f>
        <v>0</v>
      </c>
      <c r="I264" t="str">
        <f t="shared" si="276"/>
        <v>5-DaHall 1-PDU-01-30-485-DaHall 1-PDU-02-30-48</v>
      </c>
      <c r="J264" s="217" t="s">
        <v>10717</v>
      </c>
      <c r="K264" s="217" t="s">
        <v>10718</v>
      </c>
      <c r="L264" t="str">
        <f t="shared" ref="L264:L317" si="331">IF(MID(J264,16,2)="0","",MID(J264,1,15)&amp;MID(J264,16,2))</f>
        <v>5-DaHall 1-PDU-01</v>
      </c>
      <c r="M264" t="str">
        <f t="shared" si="327"/>
        <v>[branch#048] [A] W</v>
      </c>
      <c r="N264" t="str">
        <f t="shared" si="277"/>
        <v>5-DaHall 1-PDU-02</v>
      </c>
      <c r="O264" t="str">
        <f t="shared" si="328"/>
        <v>[branch#048] [A] W</v>
      </c>
      <c r="P264" s="2989" t="e" cm="1">
        <f t="array" ref="P264">INDEX('각층분기별_유효전력최대(전월)'!$F$4:$F$2020,MATCH(1, ('각층분기별_유효전력최대(전월)'!$D$4:$D$2020='7층~4층_매핑테이블'!L264) * ('각층분기별_유효전력최대(전월)'!$E$4:$E$2020='7층~4층_매핑테이블'!M264),0)) + INDEX('각층분기별_유효전력최대(전월)'!$F$4:$F$2020,MATCH(1, ('각층분기별_유효전력최대(전월)'!$D$4:$D$2020='7층~4층_매핑테이블'!N264) * ('각층분기별_유효전력최대(전월)'!$E$4:$E$2020='7층~4층_매핑테이블'!O264),0))</f>
        <v>#N/A</v>
      </c>
      <c r="Q264" s="1" t="str">
        <f>R264&amp;S264</f>
        <v/>
      </c>
      <c r="V264" t="str">
        <f t="shared" si="318"/>
        <v/>
      </c>
      <c r="W264" t="str">
        <f t="shared" si="319"/>
        <v/>
      </c>
      <c r="X264" s="2989" cm="1">
        <f t="array" ref="X264">INDEX('각층분기별_유효전력최대(전월)'!$I$4:$I$2020,MATCH(1, ('각층분기별_유효전력최대(전월)'!$G$4:$G$2020='7층~4층_매핑테이블'!T264) * ('각층분기별_유효전력최대(전월)'!$H$4:$H$2020='7층~4층_매핑테이블'!U264),0)) + INDEX('각층분기별_유효전력최대(전월)'!$I$4:$I$2020,MATCH(1, ('각층분기별_유효전력최대(전월)'!$G$4:$G$2020='7층~4층_매핑테이블'!V264) * ('각층분기별_유효전력최대(전월)'!$H$4:$H$2020='7층~4층_매핑테이블'!W264),0))</f>
        <v>0</v>
      </c>
      <c r="Y264" s="3274" t="str">
        <f t="shared" si="323"/>
        <v>7-DaHall 1-RPP-01-30-28</v>
      </c>
      <c r="Z264" s="217" t="s">
        <v>10719</v>
      </c>
      <c r="AA264" s="217"/>
      <c r="AB264" s="3274" t="str">
        <f t="shared" ref="AB264" si="332">IF(MID(Z264,16,2)="0","",MID(Z264,1,15)&amp;MID(Z264,16,2))</f>
        <v>7-DaHall 1-RPP-01</v>
      </c>
      <c r="AC264" t="s">
        <v>9430</v>
      </c>
      <c r="AD264" t="str">
        <f t="shared" si="329"/>
        <v/>
      </c>
      <c r="AF264" s="2989" cm="1">
        <f t="array" ref="AF264">INDEX('각층분기별_유효전력최대(전월)'!$L$4:$L$2020,MATCH(1, ('각층분기별_유효전력최대(전월)'!$J$4:$J$2020='7층~4층_매핑테이블'!AB264) * ('각층분기별_유효전력최대(전월)'!$K$4:$K$2020='7층~4층_매핑테이블'!AC264),0)) + INDEX('각층분기별_유효전력최대(전월)'!$L$4:$L$2020,MATCH(1, ('각층분기별_유효전력최대(전월)'!$J$4:$J$2020='7층~4층_매핑테이블'!AD264) * ('각층분기별_유효전력최대(전월)'!$K$4:$K$2020='7층~4층_매핑테이블'!AE264),0))</f>
        <v>0.55400000000000005</v>
      </c>
    </row>
    <row r="265" spans="1:32" x14ac:dyDescent="0.25">
      <c r="A265" t="str">
        <f t="shared" si="291"/>
        <v/>
      </c>
      <c r="D265" s="2989" t="str">
        <f t="shared" si="312"/>
        <v/>
      </c>
      <c r="E265" s="2989" t="str">
        <f t="shared" si="330"/>
        <v/>
      </c>
      <c r="F265" s="2989" t="str">
        <f t="shared" si="292"/>
        <v/>
      </c>
      <c r="G265" s="2989" t="str">
        <f t="shared" si="293"/>
        <v/>
      </c>
      <c r="H265" s="2989" cm="1">
        <f t="array" ref="H265">INDEX('각층분기별_유효전력최대(전월)'!$C$4:$C$2020,MATCH(1, ('각층분기별_유효전력최대(전월)'!$A$4:$A$2020='7층~4층_매핑테이블'!D265) * ('각층분기별_유효전력최대(전월)'!$B$4:$B$2020='7층~4층_매핑테이블'!E265),0)) + INDEX('각층분기별_유효전력최대(전월)'!$C$4:$C$2020,MATCH(1, ('각층분기별_유효전력최대(전월)'!$A$4:$A$2020='7층~4층_매핑테이블'!F265) * ('각층분기별_유효전력최대(전월)'!$B$4:$B$2020='7층~4층_매핑테이블'!G265),0))</f>
        <v>0</v>
      </c>
      <c r="I265" t="str">
        <f t="shared" si="276"/>
        <v>5-DaHall 1-PDU-03-30-215-DaHall 1-PDU-04-30-21</v>
      </c>
      <c r="J265" s="217" t="s">
        <v>10720</v>
      </c>
      <c r="K265" s="217" t="s">
        <v>10721</v>
      </c>
      <c r="L265" t="str">
        <f t="shared" si="331"/>
        <v>5-DaHall 1-PDU-03</v>
      </c>
      <c r="M265" t="str">
        <f t="shared" si="327"/>
        <v>[branch#021] [A] W</v>
      </c>
      <c r="N265" t="str">
        <f t="shared" si="277"/>
        <v>5-DaHall 1-PDU-04</v>
      </c>
      <c r="O265" t="str">
        <f t="shared" si="328"/>
        <v>[branch#021] [A] W</v>
      </c>
      <c r="P265" s="2989" cm="1">
        <f t="array" ref="P265">INDEX('각층분기별_유효전력최대(전월)'!$F$4:$F$2020,MATCH(1, ('각층분기별_유효전력최대(전월)'!$D$4:$D$2020='7층~4층_매핑테이블'!L265) * ('각층분기별_유효전력최대(전월)'!$E$4:$E$2020='7층~4층_매핑테이블'!M265),0)) + INDEX('각층분기별_유효전력최대(전월)'!$F$4:$F$2020,MATCH(1, ('각층분기별_유효전력최대(전월)'!$D$4:$D$2020='7층~4층_매핑테이블'!N265) * ('각층분기별_유효전력최대(전월)'!$E$4:$E$2020='7층~4층_매핑테이블'!O265),0))</f>
        <v>0.748</v>
      </c>
      <c r="Q265" s="1" t="str">
        <f t="shared" si="320"/>
        <v/>
      </c>
      <c r="V265" t="str">
        <f t="shared" si="318"/>
        <v/>
      </c>
      <c r="W265" t="str">
        <f t="shared" si="319"/>
        <v/>
      </c>
      <c r="X265" s="2989" cm="1">
        <f t="array" ref="X265">INDEX('각층분기별_유효전력최대(전월)'!$I$4:$I$2020,MATCH(1, ('각층분기별_유효전력최대(전월)'!$G$4:$G$2020='7층~4층_매핑테이블'!T265) * ('각층분기별_유효전력최대(전월)'!$H$4:$H$2020='7층~4층_매핑테이블'!U265),0)) + INDEX('각층분기별_유효전력최대(전월)'!$I$4:$I$2020,MATCH(1, ('각층분기별_유효전력최대(전월)'!$G$4:$G$2020='7층~4층_매핑테이블'!V265) * ('각층분기별_유효전력최대(전월)'!$H$4:$H$2020='7층~4층_매핑테이블'!W265),0))</f>
        <v>0</v>
      </c>
      <c r="Y265" s="3274" t="str">
        <f t="shared" si="323"/>
        <v>7-DaHall 1-RPP-01-20-29</v>
      </c>
      <c r="Z265" s="217" t="s">
        <v>10722</v>
      </c>
      <c r="AA265" s="217"/>
      <c r="AB265" s="3274" t="str">
        <f>IF(MID(Z265,16,2)="0","",MID(Z265,1,15)&amp;MID(Z265,16,2))</f>
        <v>7-DaHall 1-RPP-01</v>
      </c>
      <c r="AC265" t="s">
        <v>9459</v>
      </c>
      <c r="AD265" t="str">
        <f t="shared" si="329"/>
        <v/>
      </c>
      <c r="AF265" s="2989" cm="1">
        <f t="array" ref="AF265">INDEX('각층분기별_유효전력최대(전월)'!$L$4:$L$2020,MATCH(1, ('각층분기별_유효전력최대(전월)'!$J$4:$J$2020='7층~4층_매핑테이블'!AB265) * ('각층분기별_유효전력최대(전월)'!$K$4:$K$2020='7층~4층_매핑테이블'!AC265),0)) + INDEX('각층분기별_유효전력최대(전월)'!$L$4:$L$2020,MATCH(1, ('각층분기별_유효전력최대(전월)'!$J$4:$J$2020='7층~4층_매핑테이블'!AD265) * ('각층분기별_유효전력최대(전월)'!$K$4:$K$2020='7층~4층_매핑테이블'!AE265),0))</f>
        <v>0.71299999999999997</v>
      </c>
    </row>
    <row r="266" spans="1:32" x14ac:dyDescent="0.25">
      <c r="A266" t="str">
        <f t="shared" si="291"/>
        <v/>
      </c>
      <c r="D266" s="2989" t="str">
        <f t="shared" si="312"/>
        <v/>
      </c>
      <c r="E266" s="2989" t="str">
        <f t="shared" si="330"/>
        <v/>
      </c>
      <c r="F266" s="2989" t="str">
        <f t="shared" si="292"/>
        <v/>
      </c>
      <c r="G266" s="2989" t="str">
        <f t="shared" si="293"/>
        <v/>
      </c>
      <c r="H266" s="2989" cm="1">
        <f t="array" ref="H266">INDEX('각층분기별_유효전력최대(전월)'!$C$4:$C$2020,MATCH(1, ('각층분기별_유효전력최대(전월)'!$A$4:$A$2020='7층~4층_매핑테이블'!D266) * ('각층분기별_유효전력최대(전월)'!$B$4:$B$2020='7층~4층_매핑테이블'!E266),0)) + INDEX('각층분기별_유효전력최대(전월)'!$C$4:$C$2020,MATCH(1, ('각층분기별_유효전력최대(전월)'!$A$4:$A$2020='7층~4층_매핑테이블'!F266) * ('각층분기별_유효전력최대(전월)'!$B$4:$B$2020='7층~4층_매핑테이블'!G266),0))</f>
        <v>0</v>
      </c>
      <c r="I266" t="str">
        <f t="shared" si="276"/>
        <v>5-DaHall 1-PDU-03-30-235-DaHall 1-PDU-04-30-23</v>
      </c>
      <c r="J266" s="217" t="s">
        <v>10723</v>
      </c>
      <c r="K266" s="217" t="s">
        <v>10724</v>
      </c>
      <c r="L266" t="str">
        <f t="shared" si="331"/>
        <v>5-DaHall 1-PDU-03</v>
      </c>
      <c r="M266" t="str">
        <f t="shared" si="327"/>
        <v>[branch#023] [A] W</v>
      </c>
      <c r="N266" t="str">
        <f t="shared" si="277"/>
        <v>5-DaHall 1-PDU-04</v>
      </c>
      <c r="O266" t="str">
        <f t="shared" si="328"/>
        <v>[branch#023] [A] W</v>
      </c>
      <c r="P266" s="2989" cm="1">
        <f t="array" ref="P266">INDEX('각층분기별_유효전력최대(전월)'!$F$4:$F$2020,MATCH(1, ('각층분기별_유효전력최대(전월)'!$D$4:$D$2020='7층~4층_매핑테이블'!L266) * ('각층분기별_유효전력최대(전월)'!$E$4:$E$2020='7층~4층_매핑테이블'!M266),0)) + INDEX('각층분기별_유효전력최대(전월)'!$F$4:$F$2020,MATCH(1, ('각층분기별_유효전력최대(전월)'!$D$4:$D$2020='7층~4층_매핑테이블'!N266) * ('각층분기별_유효전력최대(전월)'!$E$4:$E$2020='7층~4층_매핑테이블'!O266),0))</f>
        <v>1.4179999999999999</v>
      </c>
      <c r="Q266" s="1" t="str">
        <f>R266&amp;S266</f>
        <v/>
      </c>
      <c r="V266" t="str">
        <f t="shared" si="318"/>
        <v/>
      </c>
      <c r="W266" t="str">
        <f t="shared" si="319"/>
        <v/>
      </c>
      <c r="X266" s="2989" cm="1">
        <f t="array" ref="X266">INDEX('각층분기별_유효전력최대(전월)'!$I$4:$I$2020,MATCH(1, ('각층분기별_유효전력최대(전월)'!$G$4:$G$2020='7층~4층_매핑테이블'!T266) * ('각층분기별_유효전력최대(전월)'!$H$4:$H$2020='7층~4층_매핑테이블'!U266),0)) + INDEX('각층분기별_유효전력최대(전월)'!$I$4:$I$2020,MATCH(1, ('각층분기별_유효전력최대(전월)'!$G$4:$G$2020='7층~4층_매핑테이블'!V266) * ('각층분기별_유효전력최대(전월)'!$H$4:$H$2020='7층~4층_매핑테이블'!W266),0))</f>
        <v>0</v>
      </c>
      <c r="Y266" s="3274" t="str">
        <f t="shared" si="323"/>
        <v>7-DaHall 1-RPP-01-30-30</v>
      </c>
      <c r="Z266" s="217" t="s">
        <v>10725</v>
      </c>
      <c r="AA266" s="217"/>
      <c r="AB266" s="3274" t="str">
        <f>IF(MID(Z266,16,2)="0","",MID(Z266,1,15)&amp;MID(Z266,16,2))</f>
        <v>7-DaHall 1-RPP-01</v>
      </c>
      <c r="AC266" t="s">
        <v>9375</v>
      </c>
      <c r="AD266" t="str">
        <f t="shared" si="329"/>
        <v/>
      </c>
      <c r="AF266" s="2989" cm="1">
        <f t="array" ref="AF266">INDEX('각층분기별_유효전력최대(전월)'!$L$4:$L$2020,MATCH(1, ('각층분기별_유효전력최대(전월)'!$J$4:$J$2020='7층~4층_매핑테이블'!AB266) * ('각층분기별_유효전력최대(전월)'!$K$4:$K$2020='7층~4층_매핑테이블'!AC266),0)) + INDEX('각층분기별_유효전력최대(전월)'!$L$4:$L$2020,MATCH(1, ('각층분기별_유효전력최대(전월)'!$J$4:$J$2020='7층~4층_매핑테이블'!AD266) * ('각층분기별_유효전력최대(전월)'!$K$4:$K$2020='7층~4층_매핑테이블'!AE266),0))</f>
        <v>0.97199999999999998</v>
      </c>
    </row>
    <row r="267" spans="1:32" x14ac:dyDescent="0.25">
      <c r="A267" t="str">
        <f t="shared" si="291"/>
        <v/>
      </c>
      <c r="D267" s="2989" t="str">
        <f t="shared" si="312"/>
        <v/>
      </c>
      <c r="E267" s="2989" t="str">
        <f t="shared" si="330"/>
        <v/>
      </c>
      <c r="F267" s="2989" t="str">
        <f t="shared" si="292"/>
        <v/>
      </c>
      <c r="G267" s="2989" t="str">
        <f t="shared" si="293"/>
        <v/>
      </c>
      <c r="H267" s="2989" cm="1">
        <f t="array" ref="H267">INDEX('각층분기별_유효전력최대(전월)'!$C$4:$C$2020,MATCH(1, ('각층분기별_유효전력최대(전월)'!$A$4:$A$2020='7층~4층_매핑테이블'!D267) * ('각층분기별_유효전력최대(전월)'!$B$4:$B$2020='7층~4층_매핑테이블'!E267),0)) + INDEX('각층분기별_유효전력최대(전월)'!$C$4:$C$2020,MATCH(1, ('각층분기별_유효전력최대(전월)'!$A$4:$A$2020='7층~4층_매핑테이블'!F267) * ('각층분기별_유효전력최대(전월)'!$B$4:$B$2020='7층~4층_매핑테이블'!G267),0))</f>
        <v>0</v>
      </c>
      <c r="I267" t="str">
        <f t="shared" si="276"/>
        <v>5-DaHall 1-PDU-03-30-255-DaHall 1-PDU-04-30-25</v>
      </c>
      <c r="J267" s="217" t="s">
        <v>10726</v>
      </c>
      <c r="K267" s="217" t="s">
        <v>10727</v>
      </c>
      <c r="L267" t="str">
        <f t="shared" si="331"/>
        <v>5-DaHall 1-PDU-03</v>
      </c>
      <c r="M267" t="str">
        <f t="shared" si="327"/>
        <v>[branch#025] [A] W</v>
      </c>
      <c r="N267" t="str">
        <f t="shared" si="277"/>
        <v>5-DaHall 1-PDU-04</v>
      </c>
      <c r="O267" t="str">
        <f t="shared" si="328"/>
        <v>[branch#025] [A] W</v>
      </c>
      <c r="P267" s="2989" cm="1">
        <f t="array" ref="P267">INDEX('각층분기별_유효전력최대(전월)'!$F$4:$F$2020,MATCH(1, ('각층분기별_유효전력최대(전월)'!$D$4:$D$2020='7층~4층_매핑테이블'!L267) * ('각층분기별_유효전력최대(전월)'!$E$4:$E$2020='7층~4층_매핑테이블'!M267),0)) + INDEX('각층분기별_유효전력최대(전월)'!$F$4:$F$2020,MATCH(1, ('각층분기별_유효전력최대(전월)'!$D$4:$D$2020='7층~4층_매핑테이블'!N267) * ('각층분기별_유효전력최대(전월)'!$E$4:$E$2020='7층~4층_매핑테이블'!O267),0))</f>
        <v>1.9449999999999998</v>
      </c>
      <c r="Q267" s="1" t="str">
        <f t="shared" si="320"/>
        <v/>
      </c>
      <c r="V267" t="str">
        <f t="shared" si="318"/>
        <v/>
      </c>
      <c r="W267" t="str">
        <f t="shared" si="319"/>
        <v/>
      </c>
      <c r="X267" s="2989" cm="1">
        <f t="array" ref="X267">INDEX('각층분기별_유효전력최대(전월)'!$I$4:$I$2020,MATCH(1, ('각층분기별_유효전력최대(전월)'!$G$4:$G$2020='7층~4층_매핑테이블'!T267) * ('각층분기별_유효전력최대(전월)'!$H$4:$H$2020='7층~4층_매핑테이블'!U267),0)) + INDEX('각층분기별_유효전력최대(전월)'!$I$4:$I$2020,MATCH(1, ('각층분기별_유효전력최대(전월)'!$G$4:$G$2020='7층~4층_매핑테이블'!V267) * ('각층분기별_유효전력최대(전월)'!$H$4:$H$2020='7층~4층_매핑테이블'!W267),0))</f>
        <v>0</v>
      </c>
      <c r="Y267" s="3274" t="str">
        <f t="shared" si="323"/>
        <v>7-DaHall 1-RPP-01-20-31</v>
      </c>
      <c r="Z267" s="217" t="s">
        <v>10728</v>
      </c>
      <c r="AA267" s="217"/>
      <c r="AB267" s="3274" t="str">
        <f t="shared" ref="AB267" si="333">IF(MID(Z267,16,2)="0","",MID(Z267,1,15)&amp;MID(Z267,16,2))</f>
        <v>7-DaHall 1-RPP-01</v>
      </c>
      <c r="AC267" t="s">
        <v>9443</v>
      </c>
      <c r="AD267" t="str">
        <f t="shared" si="329"/>
        <v/>
      </c>
      <c r="AF267" s="2989" cm="1">
        <f t="array" ref="AF267">INDEX('각층분기별_유효전력최대(전월)'!$L$4:$L$2020,MATCH(1, ('각층분기별_유효전력최대(전월)'!$J$4:$J$2020='7층~4층_매핑테이블'!AB267) * ('각층분기별_유효전력최대(전월)'!$K$4:$K$2020='7층~4층_매핑테이블'!AC267),0)) + INDEX('각층분기별_유효전력최대(전월)'!$L$4:$L$2020,MATCH(1, ('각층분기별_유효전력최대(전월)'!$J$4:$J$2020='7층~4층_매핑테이블'!AD267) * ('각층분기별_유효전력최대(전월)'!$K$4:$K$2020='7층~4층_매핑테이블'!AE267),0))</f>
        <v>0.92900000000000005</v>
      </c>
    </row>
    <row r="268" spans="1:32" x14ac:dyDescent="0.25">
      <c r="A268" t="str">
        <f t="shared" si="291"/>
        <v/>
      </c>
      <c r="D268" s="2989" t="str">
        <f t="shared" si="312"/>
        <v/>
      </c>
      <c r="E268" s="2989" t="str">
        <f t="shared" si="330"/>
        <v/>
      </c>
      <c r="F268" s="2989" t="str">
        <f t="shared" si="292"/>
        <v/>
      </c>
      <c r="G268" s="2989" t="str">
        <f t="shared" si="293"/>
        <v/>
      </c>
      <c r="H268" s="2989" cm="1">
        <f t="array" ref="H268">INDEX('각층분기별_유효전력최대(전월)'!$C$4:$C$2020,MATCH(1, ('각층분기별_유효전력최대(전월)'!$A$4:$A$2020='7층~4층_매핑테이블'!D268) * ('각층분기별_유효전력최대(전월)'!$B$4:$B$2020='7층~4층_매핑테이블'!E268),0)) + INDEX('각층분기별_유효전력최대(전월)'!$C$4:$C$2020,MATCH(1, ('각층분기별_유효전력최대(전월)'!$A$4:$A$2020='7층~4층_매핑테이블'!F268) * ('각층분기별_유효전력최대(전월)'!$B$4:$B$2020='7층~4층_매핑테이블'!G268),0))</f>
        <v>0</v>
      </c>
      <c r="I268" t="str">
        <f t="shared" si="276"/>
        <v>5-DaHall 1-PDU-03-30-275-DaHall 1-PDU-04-30-27</v>
      </c>
      <c r="J268" s="217" t="s">
        <v>10729</v>
      </c>
      <c r="K268" s="217" t="s">
        <v>10730</v>
      </c>
      <c r="L268" t="str">
        <f t="shared" si="331"/>
        <v>5-DaHall 1-PDU-03</v>
      </c>
      <c r="M268" t="str">
        <f t="shared" si="327"/>
        <v>[branch#027] [A] W</v>
      </c>
      <c r="N268" t="str">
        <f t="shared" si="277"/>
        <v>5-DaHall 1-PDU-04</v>
      </c>
      <c r="O268" t="str">
        <f t="shared" si="328"/>
        <v>[branch#027] [A] W</v>
      </c>
      <c r="P268" s="2989" t="e" cm="1">
        <f t="array" ref="P268">INDEX('각층분기별_유효전력최대(전월)'!$F$4:$F$2020,MATCH(1, ('각층분기별_유효전력최대(전월)'!$D$4:$D$2020='7층~4층_매핑테이블'!L268) * ('각층분기별_유효전력최대(전월)'!$E$4:$E$2020='7층~4층_매핑테이블'!M268),0)) + INDEX('각층분기별_유효전력최대(전월)'!$F$4:$F$2020,MATCH(1, ('각층분기별_유효전력최대(전월)'!$D$4:$D$2020='7층~4층_매핑테이블'!N268) * ('각층분기별_유효전력최대(전월)'!$E$4:$E$2020='7층~4층_매핑테이블'!O268),0))</f>
        <v>#N/A</v>
      </c>
      <c r="Q268" s="1" t="str">
        <f t="shared" si="320"/>
        <v/>
      </c>
      <c r="V268" t="str">
        <f t="shared" si="318"/>
        <v/>
      </c>
      <c r="W268" t="str">
        <f t="shared" si="319"/>
        <v/>
      </c>
      <c r="X268" s="2989" cm="1">
        <f t="array" ref="X268">INDEX('각층분기별_유효전력최대(전월)'!$I$4:$I$2020,MATCH(1, ('각층분기별_유효전력최대(전월)'!$G$4:$G$2020='7층~4층_매핑테이블'!T268) * ('각층분기별_유효전력최대(전월)'!$H$4:$H$2020='7층~4층_매핑테이블'!U268),0)) + INDEX('각층분기별_유효전력최대(전월)'!$I$4:$I$2020,MATCH(1, ('각층분기별_유효전력최대(전월)'!$G$4:$G$2020='7층~4층_매핑테이블'!V268) * ('각층분기별_유효전력최대(전월)'!$H$4:$H$2020='7층~4층_매핑테이블'!W268),0))</f>
        <v>0</v>
      </c>
      <c r="Y268" s="3274" t="str">
        <f t="shared" si="323"/>
        <v>7-DaHall 1-PDU-02-30-50</v>
      </c>
      <c r="Z268" s="217"/>
      <c r="AA268" s="217" t="s">
        <v>10731</v>
      </c>
      <c r="AB268" s="3274" t="str">
        <f>IF(MID(Z268,16,2)="0","",MID(Z268,1,15)&amp;MID(Z268,16,2))</f>
        <v/>
      </c>
      <c r="AD268" t="str">
        <f t="shared" si="329"/>
        <v>7-DaHall 1-PDU-02</v>
      </c>
      <c r="AE268" t="s">
        <v>9533</v>
      </c>
      <c r="AF268" s="2989" cm="1">
        <f t="array" ref="AF268">INDEX('각층분기별_유효전력최대(전월)'!$L$4:$L$2020,MATCH(1, ('각층분기별_유효전력최대(전월)'!$J$4:$J$2020='7층~4층_매핑테이블'!AB268) * ('각층분기별_유효전력최대(전월)'!$K$4:$K$2020='7층~4층_매핑테이블'!AC268),0)) + INDEX('각층분기별_유효전력최대(전월)'!$L$4:$L$2020,MATCH(1, ('각층분기별_유효전력최대(전월)'!$J$4:$J$2020='7층~4층_매핑테이블'!AD268) * ('각층분기별_유효전력최대(전월)'!$K$4:$K$2020='7층~4층_매핑테이블'!AE268),0))</f>
        <v>0.53200000000000003</v>
      </c>
    </row>
    <row r="269" spans="1:32" x14ac:dyDescent="0.25">
      <c r="A269" t="str">
        <f t="shared" si="291"/>
        <v/>
      </c>
      <c r="D269" s="2989" t="str">
        <f t="shared" si="312"/>
        <v/>
      </c>
      <c r="E269" s="2989" t="str">
        <f t="shared" si="330"/>
        <v/>
      </c>
      <c r="F269" s="2989" t="str">
        <f t="shared" si="292"/>
        <v/>
      </c>
      <c r="G269" s="2989" t="str">
        <f t="shared" si="293"/>
        <v/>
      </c>
      <c r="H269" s="2989" cm="1">
        <f t="array" ref="H269">INDEX('각층분기별_유효전력최대(전월)'!$C$4:$C$2020,MATCH(1, ('각층분기별_유효전력최대(전월)'!$A$4:$A$2020='7층~4층_매핑테이블'!D269) * ('각층분기별_유효전력최대(전월)'!$B$4:$B$2020='7층~4층_매핑테이블'!E269),0)) + INDEX('각층분기별_유효전력최대(전월)'!$C$4:$C$2020,MATCH(1, ('각층분기별_유효전력최대(전월)'!$A$4:$A$2020='7층~4층_매핑테이블'!F269) * ('각층분기별_유효전력최대(전월)'!$B$4:$B$2020='7층~4층_매핑테이블'!G269),0))</f>
        <v>0</v>
      </c>
      <c r="I269" t="str">
        <f t="shared" si="276"/>
        <v>5-DaHall 1-PDU-03-30-295-DaHall 1-PDU-04-30-29</v>
      </c>
      <c r="J269" s="217" t="s">
        <v>10732</v>
      </c>
      <c r="K269" s="217" t="s">
        <v>10733</v>
      </c>
      <c r="L269" t="str">
        <f t="shared" si="331"/>
        <v>5-DaHall 1-PDU-03</v>
      </c>
      <c r="M269" t="str">
        <f t="shared" si="327"/>
        <v>[branch#029] [A] W</v>
      </c>
      <c r="N269" t="str">
        <f t="shared" si="277"/>
        <v>5-DaHall 1-PDU-04</v>
      </c>
      <c r="O269" t="str">
        <f t="shared" si="328"/>
        <v>[branch#029] [A] W</v>
      </c>
      <c r="P269" s="2989" t="e" cm="1">
        <f t="array" ref="P269">INDEX('각층분기별_유효전력최대(전월)'!$F$4:$F$2020,MATCH(1, ('각층분기별_유효전력최대(전월)'!$D$4:$D$2020='7층~4층_매핑테이블'!L269) * ('각층분기별_유효전력최대(전월)'!$E$4:$E$2020='7층~4층_매핑테이블'!M269),0)) + INDEX('각층분기별_유효전력최대(전월)'!$F$4:$F$2020,MATCH(1, ('각층분기별_유효전력최대(전월)'!$D$4:$D$2020='7층~4층_매핑테이블'!N269) * ('각층분기별_유효전력최대(전월)'!$E$4:$E$2020='7층~4층_매핑테이블'!O269),0))</f>
        <v>#N/A</v>
      </c>
      <c r="Q269" s="1" t="str">
        <f t="shared" si="320"/>
        <v/>
      </c>
      <c r="V269" t="str">
        <f>IF(MID(S269,16,2)="0","",MID(S269,1,15)&amp;MID(S269,16,2))</f>
        <v/>
      </c>
      <c r="W269" t="str">
        <f>IF(IF(LEN((MID(S269,22,2)))=1, "[branch#0"&amp;0&amp;MID(S269,22,2)&amp;"] [A] W", "[branch#0"&amp;MID(S269,22,2)&amp;"] [A] W")="[branch#0] [A] W", "", IF(LEN((MID(S269,22,2)))=1, "[branch#0"&amp;0&amp;MID(S269,22,2)&amp;"] [A] W", "[branch#0"&amp;MID(S269,22,2)&amp;"] [A] W"))</f>
        <v/>
      </c>
      <c r="X269" s="2989" cm="1">
        <f t="array" ref="X269">INDEX('각층분기별_유효전력최대(전월)'!$I$4:$I$2020,MATCH(1, ('각층분기별_유효전력최대(전월)'!$G$4:$G$2020='7층~4층_매핑테이블'!T269) * ('각층분기별_유효전력최대(전월)'!$H$4:$H$2020='7층~4층_매핑테이블'!U269),0)) + INDEX('각층분기별_유효전력최대(전월)'!$I$4:$I$2020,MATCH(1, ('각층분기별_유효전력최대(전월)'!$G$4:$G$2020='7층~4층_매핑테이블'!V269) * ('각층분기별_유효전력최대(전월)'!$H$4:$H$2020='7층~4층_매핑테이블'!W269),0))</f>
        <v>0</v>
      </c>
      <c r="Y269" s="3274" t="str">
        <f>Z269&amp;AA269</f>
        <v>7-DaHall 1-PDU-02-30-52</v>
      </c>
      <c r="Z269" s="217"/>
      <c r="AA269" s="217" t="s">
        <v>10734</v>
      </c>
      <c r="AB269" s="3274" t="str">
        <f>IF(MID(Z269,16,2)="0","",MID(Z269,1,15)&amp;MID(Z269,16,2))</f>
        <v/>
      </c>
      <c r="AD269" t="str">
        <f t="shared" si="329"/>
        <v>7-DaHall 1-PDU-02</v>
      </c>
      <c r="AE269" t="s">
        <v>9635</v>
      </c>
      <c r="AF269" s="2989" cm="1">
        <f t="array" ref="AF269">INDEX('각층분기별_유효전력최대(전월)'!$L$4:$L$2020,MATCH(1, ('각층분기별_유효전력최대(전월)'!$J$4:$J$2020='7층~4층_매핑테이블'!AB269) * ('각층분기별_유효전력최대(전월)'!$K$4:$K$2020='7층~4층_매핑테이블'!AC269),0)) + INDEX('각층분기별_유효전력최대(전월)'!$L$4:$L$2020,MATCH(1, ('각층분기별_유효전력최대(전월)'!$J$4:$J$2020='7층~4층_매핑테이블'!AD269) * ('각층분기별_유효전력최대(전월)'!$K$4:$K$2020='7층~4층_매핑테이블'!AE269),0))</f>
        <v>0</v>
      </c>
    </row>
    <row r="270" spans="1:32" x14ac:dyDescent="0.25">
      <c r="A270" t="str">
        <f t="shared" si="291"/>
        <v/>
      </c>
      <c r="D270" s="2989" t="str">
        <f t="shared" si="312"/>
        <v/>
      </c>
      <c r="E270" s="2989" t="str">
        <f t="shared" si="330"/>
        <v/>
      </c>
      <c r="F270" s="2989" t="str">
        <f t="shared" si="292"/>
        <v/>
      </c>
      <c r="G270" s="2989" t="str">
        <f t="shared" si="293"/>
        <v/>
      </c>
      <c r="H270" s="2989" cm="1">
        <f t="array" ref="H270">INDEX('각층분기별_유효전력최대(전월)'!$C$4:$C$2020,MATCH(1, ('각층분기별_유효전력최대(전월)'!$A$4:$A$2020='7층~4층_매핑테이블'!D270) * ('각층분기별_유효전력최대(전월)'!$B$4:$B$2020='7층~4층_매핑테이블'!E270),0)) + INDEX('각층분기별_유효전력최대(전월)'!$C$4:$C$2020,MATCH(1, ('각층분기별_유효전력최대(전월)'!$A$4:$A$2020='7층~4층_매핑테이블'!F270) * ('각층분기별_유효전력최대(전월)'!$B$4:$B$2020='7층~4층_매핑테이블'!G270),0))</f>
        <v>0</v>
      </c>
      <c r="I270" t="str">
        <f t="shared" si="276"/>
        <v>5-DaHall 1-PDU-03-30-315-DaHall 1-PDU-04-30-31</v>
      </c>
      <c r="J270" s="217" t="s">
        <v>10735</v>
      </c>
      <c r="K270" s="217" t="s">
        <v>10736</v>
      </c>
      <c r="L270" t="str">
        <f t="shared" si="331"/>
        <v>5-DaHall 1-PDU-03</v>
      </c>
      <c r="M270" t="str">
        <f t="shared" si="327"/>
        <v>[branch#031] [A] W</v>
      </c>
      <c r="N270" t="str">
        <f t="shared" si="277"/>
        <v>5-DaHall 1-PDU-04</v>
      </c>
      <c r="O270" t="str">
        <f>IF(IF(LEN((MID(K270,22,2)))=1, "[branch#0"&amp;0&amp;MID(K270,22,2)&amp;"] [A] W", "[branch#0"&amp;MID(K270,22,2)&amp;"] [A] W")="[branch#0] [A] W", "", IF(LEN((MID(K270,22,2)))=1, "[branch#0"&amp;0&amp;MID(K270,22,2)&amp;"] [A] W", "[branch#0"&amp;MID(K270,22,2)&amp;"] [A] W"))</f>
        <v>[branch#031] [A] W</v>
      </c>
      <c r="P270" s="2989" t="e" cm="1">
        <f t="array" ref="P270">INDEX('각층분기별_유효전력최대(전월)'!$F$4:$F$2020,MATCH(1, ('각층분기별_유효전력최대(전월)'!$D$4:$D$2020='7층~4층_매핑테이블'!L270) * ('각층분기별_유효전력최대(전월)'!$E$4:$E$2020='7층~4층_매핑테이블'!M270),0)) + INDEX('각층분기별_유효전력최대(전월)'!$F$4:$F$2020,MATCH(1, ('각층분기별_유효전력최대(전월)'!$D$4:$D$2020='7층~4층_매핑테이블'!N270) * ('각층분기별_유효전력최대(전월)'!$E$4:$E$2020='7층~4층_매핑테이블'!O270),0))</f>
        <v>#N/A</v>
      </c>
      <c r="Q270" s="1" t="str">
        <f t="shared" si="320"/>
        <v/>
      </c>
      <c r="V270" t="str">
        <f t="shared" si="318"/>
        <v/>
      </c>
      <c r="W270" t="str">
        <f t="shared" si="319"/>
        <v/>
      </c>
      <c r="X270" s="2989" cm="1">
        <f t="array" ref="X270">INDEX('각층분기별_유효전력최대(전월)'!$I$4:$I$2020,MATCH(1, ('각층분기별_유효전력최대(전월)'!$G$4:$G$2020='7층~4층_매핑테이블'!T270) * ('각층분기별_유효전력최대(전월)'!$H$4:$H$2020='7층~4층_매핑테이블'!U270),0)) + INDEX('각층분기별_유효전력최대(전월)'!$I$4:$I$2020,MATCH(1, ('각층분기별_유효전력최대(전월)'!$G$4:$G$2020='7층~4층_매핑테이블'!V270) * ('각층분기별_유효전력최대(전월)'!$H$4:$H$2020='7층~4층_매핑테이블'!W270),0))</f>
        <v>0</v>
      </c>
      <c r="Y270" s="3274" t="str">
        <f>Z270&amp;AA270</f>
        <v>7-DaHall 1-PDU-02-30-54</v>
      </c>
      <c r="Z270" s="217"/>
      <c r="AA270" s="217" t="s">
        <v>10737</v>
      </c>
      <c r="AB270" s="3274" t="str">
        <f t="shared" ref="AB270" si="334">IF(MID(Z270,16,2)="0","",MID(Z270,1,15)&amp;MID(Z270,16,2))</f>
        <v/>
      </c>
      <c r="AD270" t="str">
        <f t="shared" si="329"/>
        <v>7-DaHall 1-PDU-02</v>
      </c>
      <c r="AE270" t="s">
        <v>9433</v>
      </c>
      <c r="AF270" s="2989" cm="1">
        <f t="array" ref="AF270">INDEX('각층분기별_유효전력최대(전월)'!$L$4:$L$2020,MATCH(1, ('각층분기별_유효전력최대(전월)'!$J$4:$J$2020='7층~4층_매핑테이블'!AB270) * ('각층분기별_유효전력최대(전월)'!$K$4:$K$2020='7층~4층_매핑테이블'!AC270),0)) + INDEX('각층분기별_유효전력최대(전월)'!$L$4:$L$2020,MATCH(1, ('각층분기별_유효전력최대(전월)'!$J$4:$J$2020='7층~4층_매핑테이블'!AD270) * ('각층분기별_유효전력최대(전월)'!$K$4:$K$2020='7층~4층_매핑테이블'!AE270),0))</f>
        <v>0</v>
      </c>
    </row>
    <row r="271" spans="1:32" x14ac:dyDescent="0.25">
      <c r="A271" t="str">
        <f t="shared" si="291"/>
        <v/>
      </c>
      <c r="D271" s="2989" t="str">
        <f t="shared" si="312"/>
        <v/>
      </c>
      <c r="E271" s="2989" t="str">
        <f t="shared" si="330"/>
        <v/>
      </c>
      <c r="F271" s="2989" t="str">
        <f t="shared" si="292"/>
        <v/>
      </c>
      <c r="G271" s="2989" t="str">
        <f t="shared" si="293"/>
        <v/>
      </c>
      <c r="H271" s="2989" cm="1">
        <f t="array" ref="H271">INDEX('각층분기별_유효전력최대(전월)'!$C$4:$C$2020,MATCH(1, ('각층분기별_유효전력최대(전월)'!$A$4:$A$2020='7층~4층_매핑테이블'!D271) * ('각층분기별_유효전력최대(전월)'!$B$4:$B$2020='7층~4층_매핑테이블'!E271),0)) + INDEX('각층분기별_유효전력최대(전월)'!$C$4:$C$2020,MATCH(1, ('각층분기별_유효전력최대(전월)'!$A$4:$A$2020='7층~4층_매핑테이블'!F271) * ('각층분기별_유효전력최대(전월)'!$B$4:$B$2020='7층~4층_매핑테이블'!G271),0))</f>
        <v>0</v>
      </c>
      <c r="I271" t="str">
        <f t="shared" si="276"/>
        <v>5-DaHall 1-PDU-03-30-335-DaHall 1-PDU-04-30-33</v>
      </c>
      <c r="J271" s="217" t="s">
        <v>10738</v>
      </c>
      <c r="K271" s="217" t="s">
        <v>10739</v>
      </c>
      <c r="L271" t="str">
        <f t="shared" si="331"/>
        <v>5-DaHall 1-PDU-03</v>
      </c>
      <c r="M271" t="str">
        <f t="shared" si="327"/>
        <v>[branch#033] [A] W</v>
      </c>
      <c r="N271" t="str">
        <f t="shared" si="277"/>
        <v>5-DaHall 1-PDU-04</v>
      </c>
      <c r="O271" t="str">
        <f t="shared" si="328"/>
        <v>[branch#033] [A] W</v>
      </c>
      <c r="P271" s="2989" t="e" cm="1">
        <f t="array" ref="P271">INDEX('각층분기별_유효전력최대(전월)'!$F$4:$F$2020,MATCH(1, ('각층분기별_유효전력최대(전월)'!$D$4:$D$2020='7층~4층_매핑테이블'!L271) * ('각층분기별_유효전력최대(전월)'!$E$4:$E$2020='7층~4층_매핑테이블'!M271),0)) + INDEX('각층분기별_유효전력최대(전월)'!$F$4:$F$2020,MATCH(1, ('각층분기별_유효전력최대(전월)'!$D$4:$D$2020='7층~4층_매핑테이블'!N271) * ('각층분기별_유효전력최대(전월)'!$E$4:$E$2020='7층~4층_매핑테이블'!O271),0))</f>
        <v>#N/A</v>
      </c>
      <c r="Q271" s="1" t="str">
        <f t="shared" si="320"/>
        <v/>
      </c>
      <c r="V271" t="str">
        <f>IF(MID(S271,16,2)="0","",MID(S271,1,15)&amp;MID(S271,16,2))</f>
        <v/>
      </c>
      <c r="W271" t="str">
        <f>IF(IF(LEN((MID(S271,22,2)))=1, "[branch#0"&amp;0&amp;MID(S271,22,2)&amp;"] [A] W", "[branch#0"&amp;MID(S271,22,2)&amp;"] [A] W")="[branch#0] [A] W", "", IF(LEN((MID(S271,22,2)))=1, "[branch#0"&amp;0&amp;MID(S271,22,2)&amp;"] [A] W", "[branch#0"&amp;MID(S271,22,2)&amp;"] [A] W"))</f>
        <v/>
      </c>
      <c r="X271" s="2989" cm="1">
        <f t="array" ref="X271">INDEX('각층분기별_유효전력최대(전월)'!$I$4:$I$2020,MATCH(1, ('각층분기별_유효전력최대(전월)'!$G$4:$G$2020='7층~4층_매핑테이블'!T271) * ('각층분기별_유효전력최대(전월)'!$H$4:$H$2020='7층~4층_매핑테이블'!U271),0)) + INDEX('각층분기별_유효전력최대(전월)'!$I$4:$I$2020,MATCH(1, ('각층분기별_유효전력최대(전월)'!$G$4:$G$2020='7층~4층_매핑테이블'!V271) * ('각층분기별_유효전력최대(전월)'!$H$4:$H$2020='7층~4층_매핑테이블'!W271),0))</f>
        <v>0</v>
      </c>
      <c r="Y271" s="3274" t="str">
        <f t="shared" ref="Y271:Y274" si="335">Z271&amp;AA271</f>
        <v>7-DaHall 1-PDU-01-30-52</v>
      </c>
      <c r="Z271" s="217" t="s">
        <v>10740</v>
      </c>
      <c r="AA271" s="217"/>
      <c r="AB271" s="3274" t="str">
        <f>IF(MID(Z271,16,2)="0","",MID(Z271,1,15)&amp;MID(Z271,16,2))</f>
        <v>7-DaHall 1-PDU-01</v>
      </c>
      <c r="AC271" t="s">
        <v>9635</v>
      </c>
      <c r="AD271" t="str">
        <f t="shared" si="329"/>
        <v/>
      </c>
      <c r="AF271" s="2989" cm="1">
        <f t="array" ref="AF271">INDEX('각층분기별_유효전력최대(전월)'!$L$4:$L$2020,MATCH(1, ('각층분기별_유효전력최대(전월)'!$J$4:$J$2020='7층~4층_매핑테이블'!AB271) * ('각층분기별_유효전력최대(전월)'!$K$4:$K$2020='7층~4층_매핑테이블'!AC271),0)) + INDEX('각층분기별_유효전력최대(전월)'!$L$4:$L$2020,MATCH(1, ('각층분기별_유효전력최대(전월)'!$J$4:$J$2020='7층~4층_매핑테이블'!AD271) * ('각층분기별_유효전력최대(전월)'!$K$4:$K$2020='7층~4층_매핑테이블'!AE271),0))</f>
        <v>0</v>
      </c>
    </row>
    <row r="272" spans="1:32" x14ac:dyDescent="0.25">
      <c r="A272" t="str">
        <f t="shared" si="291"/>
        <v/>
      </c>
      <c r="D272" s="2989" t="str">
        <f t="shared" si="312"/>
        <v/>
      </c>
      <c r="E272" s="2989" t="str">
        <f t="shared" si="330"/>
        <v/>
      </c>
      <c r="F272" s="2989" t="str">
        <f t="shared" si="292"/>
        <v/>
      </c>
      <c r="G272" s="2989" t="str">
        <f t="shared" si="293"/>
        <v/>
      </c>
      <c r="H272" s="2989" cm="1">
        <f t="array" ref="H272">INDEX('각층분기별_유효전력최대(전월)'!$C$4:$C$2020,MATCH(1, ('각층분기별_유효전력최대(전월)'!$A$4:$A$2020='7층~4층_매핑테이블'!D272) * ('각층분기별_유효전력최대(전월)'!$B$4:$B$2020='7층~4층_매핑테이블'!E272),0)) + INDEX('각층분기별_유효전력최대(전월)'!$C$4:$C$2020,MATCH(1, ('각층분기별_유효전력최대(전월)'!$A$4:$A$2020='7층~4층_매핑테이블'!F272) * ('각층분기별_유효전력최대(전월)'!$B$4:$B$2020='7층~4층_매핑테이블'!G272),0))</f>
        <v>0</v>
      </c>
      <c r="I272" t="str">
        <f t="shared" si="276"/>
        <v>5-DaHall 1-PDU-03-30-15-DaHall 1-PDU-04-30-1</v>
      </c>
      <c r="J272" s="217" t="s">
        <v>10741</v>
      </c>
      <c r="K272" s="217" t="s">
        <v>10742</v>
      </c>
      <c r="L272" t="str">
        <f t="shared" si="331"/>
        <v>5-DaHall 1-PDU-03</v>
      </c>
      <c r="M272" t="str">
        <f t="shared" si="327"/>
        <v>[branch#001] [A] W</v>
      </c>
      <c r="N272" t="str">
        <f t="shared" si="277"/>
        <v>5-DaHall 1-PDU-04</v>
      </c>
      <c r="O272" t="str">
        <f>IF(IF(LEN((MID(K272,22,2)))=1, "[branch#0"&amp;0&amp;MID(K272,22,2)&amp;"] [A] W", "[branch#0"&amp;MID(K272,22,2)&amp;"] [A] W")="[branch#0] [A] W", "", IF(LEN((MID(K272,22,2)))=1, "[branch#0"&amp;0&amp;MID(K272,22,2)&amp;"] [A] W", "[branch#0"&amp;MID(K272,22,2)&amp;"] [A] W"))</f>
        <v>[branch#001] [A] W</v>
      </c>
      <c r="P272" s="2989" cm="1">
        <f t="array" ref="P272">INDEX('각층분기별_유효전력최대(전월)'!$F$4:$F$2020,MATCH(1, ('각층분기별_유효전력최대(전월)'!$D$4:$D$2020='7층~4층_매핑테이블'!L272) * ('각층분기별_유효전력최대(전월)'!$E$4:$E$2020='7층~4층_매핑테이블'!M272),0)) + INDEX('각층분기별_유효전력최대(전월)'!$F$4:$F$2020,MATCH(1, ('각층분기별_유효전력최대(전월)'!$D$4:$D$2020='7층~4층_매핑테이블'!N272) * ('각층분기별_유효전력최대(전월)'!$E$4:$E$2020='7층~4층_매핑테이블'!O272),0))</f>
        <v>0</v>
      </c>
      <c r="Q272" s="1" t="str">
        <f>R272&amp;S272</f>
        <v/>
      </c>
      <c r="V272" t="str">
        <f t="shared" si="318"/>
        <v/>
      </c>
      <c r="W272" t="str">
        <f t="shared" si="319"/>
        <v/>
      </c>
      <c r="X272" s="2989" cm="1">
        <f t="array" ref="X272">INDEX('각층분기별_유효전력최대(전월)'!$I$4:$I$2020,MATCH(1, ('각층분기별_유효전력최대(전월)'!$G$4:$G$2020='7층~4층_매핑테이블'!T272) * ('각층분기별_유효전력최대(전월)'!$H$4:$H$2020='7층~4층_매핑테이블'!U272),0)) + INDEX('각층분기별_유효전력최대(전월)'!$I$4:$I$2020,MATCH(1, ('각층분기별_유효전력최대(전월)'!$G$4:$G$2020='7층~4층_매핑테이블'!V272) * ('각층분기별_유효전력최대(전월)'!$H$4:$H$2020='7층~4층_매핑테이블'!W272),0))</f>
        <v>0</v>
      </c>
      <c r="Y272" s="3274" t="str">
        <f t="shared" si="335"/>
        <v>7-DaHall 1-RPP-02-20-1</v>
      </c>
      <c r="Z272" s="217"/>
      <c r="AA272" s="217" t="s">
        <v>10743</v>
      </c>
      <c r="AB272" s="3274" t="str">
        <f>IF(MID(Z272,16,2)="0","",MID(Z272,1,15)&amp;MID(Z272,16,2))</f>
        <v/>
      </c>
      <c r="AD272" t="str">
        <f t="shared" si="329"/>
        <v>7-DaHall 1-RPP-02</v>
      </c>
      <c r="AE272" t="s">
        <v>9344</v>
      </c>
      <c r="AF272" s="2989" cm="1">
        <f t="array" ref="AF272">INDEX('각층분기별_유효전력최대(전월)'!$L$4:$L$2020,MATCH(1, ('각층분기별_유효전력최대(전월)'!$J$4:$J$2020='7층~4층_매핑테이블'!AB272) * ('각층분기별_유효전력최대(전월)'!$K$4:$K$2020='7층~4층_매핑테이블'!AC272),0)) + INDEX('각층분기별_유효전력최대(전월)'!$L$4:$L$2020,MATCH(1, ('각층분기별_유효전력최대(전월)'!$J$4:$J$2020='7층~4층_매핑테이블'!AD272) * ('각층분기별_유효전력최대(전월)'!$K$4:$K$2020='7층~4층_매핑테이블'!AE272),0))</f>
        <v>0.216</v>
      </c>
    </row>
    <row r="273" spans="1:32" x14ac:dyDescent="0.25">
      <c r="A273" t="str">
        <f t="shared" si="291"/>
        <v/>
      </c>
      <c r="D273" s="2989" t="str">
        <f t="shared" si="312"/>
        <v/>
      </c>
      <c r="E273" s="2989" t="str">
        <f t="shared" si="330"/>
        <v/>
      </c>
      <c r="F273" s="2989" t="str">
        <f t="shared" si="292"/>
        <v/>
      </c>
      <c r="G273" s="2989" t="str">
        <f t="shared" si="293"/>
        <v/>
      </c>
      <c r="H273" s="2989" cm="1">
        <f t="array" ref="H273">INDEX('각층분기별_유효전력최대(전월)'!$C$4:$C$2020,MATCH(1, ('각층분기별_유효전력최대(전월)'!$A$4:$A$2020='7층~4층_매핑테이블'!D273) * ('각층분기별_유효전력최대(전월)'!$B$4:$B$2020='7층~4층_매핑테이블'!E273),0)) + INDEX('각층분기별_유효전력최대(전월)'!$C$4:$C$2020,MATCH(1, ('각층분기별_유효전력최대(전월)'!$A$4:$A$2020='7층~4층_매핑테이블'!F273) * ('각층분기별_유효전력최대(전월)'!$B$4:$B$2020='7층~4층_매핑테이블'!G273),0))</f>
        <v>0</v>
      </c>
      <c r="I273" t="str">
        <f t="shared" si="276"/>
        <v>5-DaHall 1-PDU-03-30-35-DaHall 1-PDU-04-30-3</v>
      </c>
      <c r="J273" s="217" t="s">
        <v>10744</v>
      </c>
      <c r="K273" s="217" t="s">
        <v>10745</v>
      </c>
      <c r="L273" t="str">
        <f t="shared" si="331"/>
        <v>5-DaHall 1-PDU-03</v>
      </c>
      <c r="M273" t="str">
        <f t="shared" si="327"/>
        <v>[branch#003] [A] W</v>
      </c>
      <c r="N273" t="str">
        <f t="shared" si="277"/>
        <v>5-DaHall 1-PDU-04</v>
      </c>
      <c r="O273" t="str">
        <f t="shared" si="328"/>
        <v>[branch#003] [A] W</v>
      </c>
      <c r="P273" s="2989" cm="1">
        <f t="array" ref="P273">INDEX('각층분기별_유효전력최대(전월)'!$F$4:$F$2020,MATCH(1, ('각층분기별_유효전력최대(전월)'!$D$4:$D$2020='7층~4층_매핑테이블'!L273) * ('각층분기별_유효전력최대(전월)'!$E$4:$E$2020='7층~4층_매핑테이블'!M273),0)) + INDEX('각층분기별_유효전력최대(전월)'!$F$4:$F$2020,MATCH(1, ('각층분기별_유효전력최대(전월)'!$D$4:$D$2020='7층~4층_매핑테이블'!N273) * ('각층분기별_유효전력최대(전월)'!$E$4:$E$2020='7층~4층_매핑테이블'!O273),0))</f>
        <v>0</v>
      </c>
      <c r="Q273" s="1" t="str">
        <f t="shared" si="320"/>
        <v/>
      </c>
      <c r="V273" t="str">
        <f t="shared" si="318"/>
        <v/>
      </c>
      <c r="W273" t="str">
        <f t="shared" si="319"/>
        <v/>
      </c>
      <c r="X273" s="2989" cm="1">
        <f t="array" ref="X273">INDEX('각층분기별_유효전력최대(전월)'!$I$4:$I$2020,MATCH(1, ('각층분기별_유효전력최대(전월)'!$G$4:$G$2020='7층~4층_매핑테이블'!T273) * ('각층분기별_유효전력최대(전월)'!$H$4:$H$2020='7층~4층_매핑테이블'!U273),0)) + INDEX('각층분기별_유효전력최대(전월)'!$I$4:$I$2020,MATCH(1, ('각층분기별_유효전력최대(전월)'!$G$4:$G$2020='7층~4층_매핑테이블'!V273) * ('각층분기별_유효전력최대(전월)'!$H$4:$H$2020='7층~4층_매핑테이블'!W273),0))</f>
        <v>0</v>
      </c>
      <c r="Y273" s="3274" t="str">
        <f t="shared" si="335"/>
        <v>7-DaHall 1-RPP-02-30-2</v>
      </c>
      <c r="Z273" s="217"/>
      <c r="AA273" s="217" t="s">
        <v>10746</v>
      </c>
      <c r="AB273" s="3274" t="str">
        <f>IF(MID(Z273,16,2)="0","",MID(Z273,1,15)&amp;MID(Z273,16,2))</f>
        <v/>
      </c>
      <c r="AD273" t="str">
        <f t="shared" si="329"/>
        <v>7-DaHall 1-RPP-02</v>
      </c>
      <c r="AE273" t="s">
        <v>9361</v>
      </c>
      <c r="AF273" s="2989" cm="1">
        <f t="array" ref="AF273">INDEX('각층분기별_유효전력최대(전월)'!$L$4:$L$2020,MATCH(1, ('각층분기별_유효전력최대(전월)'!$J$4:$J$2020='7층~4층_매핑테이블'!AB273) * ('각층분기별_유효전력최대(전월)'!$K$4:$K$2020='7층~4층_매핑테이블'!AC273),0)) + INDEX('각층분기별_유효전력최대(전월)'!$L$4:$L$2020,MATCH(1, ('각층분기별_유효전력최대(전월)'!$J$4:$J$2020='7층~4층_매핑테이블'!AD273) * ('각층분기별_유효전력최대(전월)'!$K$4:$K$2020='7층~4층_매핑테이블'!AE273),0))</f>
        <v>3.573</v>
      </c>
    </row>
    <row r="274" spans="1:32" x14ac:dyDescent="0.25">
      <c r="A274" t="str">
        <f t="shared" si="291"/>
        <v/>
      </c>
      <c r="D274" s="2989" t="str">
        <f t="shared" si="312"/>
        <v/>
      </c>
      <c r="E274" s="2989" t="str">
        <f t="shared" si="330"/>
        <v/>
      </c>
      <c r="F274" s="2989" t="str">
        <f t="shared" si="292"/>
        <v/>
      </c>
      <c r="G274" s="2989" t="str">
        <f t="shared" si="293"/>
        <v/>
      </c>
      <c r="H274" s="2989" cm="1">
        <f t="array" ref="H274">INDEX('각층분기별_유효전력최대(전월)'!$C$4:$C$2020,MATCH(1, ('각층분기별_유효전력최대(전월)'!$A$4:$A$2020='7층~4층_매핑테이블'!D274) * ('각층분기별_유효전력최대(전월)'!$B$4:$B$2020='7층~4층_매핑테이블'!E274),0)) + INDEX('각층분기별_유효전력최대(전월)'!$C$4:$C$2020,MATCH(1, ('각층분기별_유효전력최대(전월)'!$A$4:$A$2020='7층~4층_매핑테이블'!F274) * ('각층분기별_유효전력최대(전월)'!$B$4:$B$2020='7층~4층_매핑테이블'!G274),0))</f>
        <v>0</v>
      </c>
      <c r="I274" t="str">
        <f t="shared" ref="I274:I317" si="336">J274&amp;K274</f>
        <v>5-DaHall 1-PDU-01-30-125-DaHall 1-PDU-02-30-12</v>
      </c>
      <c r="J274" s="217" t="s">
        <v>10747</v>
      </c>
      <c r="K274" s="217" t="s">
        <v>10748</v>
      </c>
      <c r="L274" t="str">
        <f t="shared" si="331"/>
        <v>5-DaHall 1-PDU-01</v>
      </c>
      <c r="M274" t="str">
        <f t="shared" si="327"/>
        <v>[branch#012] [A] W</v>
      </c>
      <c r="N274" t="str">
        <f t="shared" ref="N274:N317" si="337">IF(MID(K274,16,2)="0","",MID(K274,1,15)&amp;MID(K274,16,2))</f>
        <v>5-DaHall 1-PDU-02</v>
      </c>
      <c r="O274" t="str">
        <f t="shared" si="328"/>
        <v>[branch#012] [A] W</v>
      </c>
      <c r="P274" s="2989" cm="1">
        <f t="array" ref="P274">INDEX('각층분기별_유효전력최대(전월)'!$F$4:$F$2020,MATCH(1, ('각층분기별_유효전력최대(전월)'!$D$4:$D$2020='7층~4층_매핑테이블'!L274) * ('각층분기별_유효전력최대(전월)'!$E$4:$E$2020='7층~4층_매핑테이블'!M274),0)) + INDEX('각층분기별_유효전력최대(전월)'!$F$4:$F$2020,MATCH(1, ('각층분기별_유효전력최대(전월)'!$D$4:$D$2020='7층~4층_매핑테이블'!N274) * ('각층분기별_유효전력최대(전월)'!$E$4:$E$2020='7층~4층_매핑테이블'!O274),0))</f>
        <v>0.60400000000000009</v>
      </c>
      <c r="Q274" s="1" t="str">
        <f>R274&amp;S274</f>
        <v/>
      </c>
      <c r="V274" t="str">
        <f t="shared" si="318"/>
        <v/>
      </c>
      <c r="W274" t="str">
        <f t="shared" si="319"/>
        <v/>
      </c>
      <c r="X274" s="2989" cm="1">
        <f t="array" ref="X274">INDEX('각층분기별_유효전력최대(전월)'!$I$4:$I$2020,MATCH(1, ('각층분기별_유효전력최대(전월)'!$G$4:$G$2020='7층~4층_매핑테이블'!T274) * ('각층분기별_유효전력최대(전월)'!$H$4:$H$2020='7층~4층_매핑테이블'!U274),0)) + INDEX('각층분기별_유효전력최대(전월)'!$I$4:$I$2020,MATCH(1, ('각층분기별_유효전력최대(전월)'!$G$4:$G$2020='7층~4층_매핑테이블'!V274) * ('각층분기별_유효전력최대(전월)'!$H$4:$H$2020='7층~4층_매핑테이블'!W274),0))</f>
        <v>0</v>
      </c>
      <c r="Y274" s="3274" t="str">
        <f t="shared" si="335"/>
        <v>7-DaHall 1-RPP-02-20-3</v>
      </c>
      <c r="Z274" s="217"/>
      <c r="AA274" s="217" t="s">
        <v>10749</v>
      </c>
      <c r="AB274" s="3274" t="str">
        <f t="shared" ref="AB274:AB279" si="338">IF(MID(Z274,16,2)="0","",MID(Z274,1,15)&amp;MID(Z274,16,2))</f>
        <v/>
      </c>
      <c r="AD274" t="str">
        <f t="shared" si="329"/>
        <v>7-DaHall 1-RPP-02</v>
      </c>
      <c r="AE274" t="s">
        <v>9315</v>
      </c>
      <c r="AF274" s="2989" cm="1">
        <f t="array" ref="AF274">INDEX('각층분기별_유효전력최대(전월)'!$L$4:$L$2020,MATCH(1, ('각층분기별_유효전력최대(전월)'!$J$4:$J$2020='7층~4층_매핑테이블'!AB274) * ('각층분기별_유효전력최대(전월)'!$K$4:$K$2020='7층~4층_매핑테이블'!AC274),0)) + INDEX('각층분기별_유효전력최대(전월)'!$L$4:$L$2020,MATCH(1, ('각층분기별_유효전력최대(전월)'!$J$4:$J$2020='7층~4층_매핑테이블'!AD274) * ('각층분기별_유효전력최대(전월)'!$K$4:$K$2020='7층~4층_매핑테이블'!AE274),0))</f>
        <v>0.129</v>
      </c>
    </row>
    <row r="275" spans="1:32" x14ac:dyDescent="0.25">
      <c r="A275" t="str">
        <f t="shared" si="291"/>
        <v/>
      </c>
      <c r="D275" s="2989" t="str">
        <f t="shared" si="312"/>
        <v/>
      </c>
      <c r="E275" s="2989" t="str">
        <f t="shared" si="330"/>
        <v/>
      </c>
      <c r="F275" s="2989" t="str">
        <f t="shared" si="292"/>
        <v/>
      </c>
      <c r="G275" s="2989" t="str">
        <f t="shared" si="293"/>
        <v/>
      </c>
      <c r="H275" s="2989" cm="1">
        <f t="array" ref="H275">INDEX('각층분기별_유효전력최대(전월)'!$C$4:$C$2020,MATCH(1, ('각층분기별_유효전력최대(전월)'!$A$4:$A$2020='7층~4층_매핑테이블'!D275) * ('각층분기별_유효전력최대(전월)'!$B$4:$B$2020='7층~4층_매핑테이블'!E275),0)) + INDEX('각층분기별_유효전력최대(전월)'!$C$4:$C$2020,MATCH(1, ('각층분기별_유효전력최대(전월)'!$A$4:$A$2020='7층~4층_매핑테이블'!F275) * ('각층분기별_유효전력최대(전월)'!$B$4:$B$2020='7층~4층_매핑테이블'!G275),0))</f>
        <v>0</v>
      </c>
      <c r="I275" t="str">
        <f t="shared" si="336"/>
        <v>5-DaHall 1-PDU-01-30-145-DaHall 1-PDU-02-30-14</v>
      </c>
      <c r="J275" s="217" t="s">
        <v>10750</v>
      </c>
      <c r="K275" s="217" t="s">
        <v>10751</v>
      </c>
      <c r="L275" t="str">
        <f t="shared" si="331"/>
        <v>5-DaHall 1-PDU-01</v>
      </c>
      <c r="M275" t="str">
        <f t="shared" si="327"/>
        <v>[branch#014] [A] W</v>
      </c>
      <c r="N275" t="str">
        <f t="shared" si="337"/>
        <v>5-DaHall 1-PDU-02</v>
      </c>
      <c r="O275" t="str">
        <f t="shared" si="328"/>
        <v>[branch#014] [A] W</v>
      </c>
      <c r="P275" s="2989" cm="1">
        <f t="array" ref="P275">INDEX('각층분기별_유효전력최대(전월)'!$F$4:$F$2020,MATCH(1, ('각층분기별_유효전력최대(전월)'!$D$4:$D$2020='7층~4층_매핑테이블'!L275) * ('각층분기별_유효전력최대(전월)'!$E$4:$E$2020='7층~4층_매핑테이블'!M275),0)) + INDEX('각층분기별_유효전력최대(전월)'!$F$4:$F$2020,MATCH(1, ('각층분기별_유효전력최대(전월)'!$D$4:$D$2020='7층~4층_매핑테이블'!N275) * ('각층분기별_유효전력최대(전월)'!$E$4:$E$2020='7층~4층_매핑테이블'!O275),0))</f>
        <v>0</v>
      </c>
      <c r="Q275" s="1" t="str">
        <f t="shared" si="320"/>
        <v/>
      </c>
      <c r="V275" t="str">
        <f t="shared" si="318"/>
        <v/>
      </c>
      <c r="W275" t="str">
        <f t="shared" si="319"/>
        <v/>
      </c>
      <c r="X275" s="2989" cm="1">
        <f t="array" ref="X275">INDEX('각층분기별_유효전력최대(전월)'!$I$4:$I$2020,MATCH(1, ('각층분기별_유효전력최대(전월)'!$G$4:$G$2020='7층~4층_매핑테이블'!T275) * ('각층분기별_유효전력최대(전월)'!$H$4:$H$2020='7층~4층_매핑테이블'!U275),0)) + INDEX('각층분기별_유효전력최대(전월)'!$I$4:$I$2020,MATCH(1, ('각층분기별_유효전력최대(전월)'!$G$4:$G$2020='7층~4층_매핑테이블'!V275) * ('각층분기별_유효전력최대(전월)'!$H$4:$H$2020='7층~4층_매핑테이블'!W275),0))</f>
        <v>0</v>
      </c>
      <c r="Y275" s="3274" t="str">
        <f>Z275&amp;AA275</f>
        <v>7-DaHall 1-RPP-02-30-6</v>
      </c>
      <c r="Z275" s="217"/>
      <c r="AA275" s="217" t="s">
        <v>10752</v>
      </c>
      <c r="AB275" s="3274" t="str">
        <f t="shared" si="338"/>
        <v/>
      </c>
      <c r="AD275" t="str">
        <f t="shared" si="329"/>
        <v>7-DaHall 1-RPP-02</v>
      </c>
      <c r="AE275" t="s">
        <v>9351</v>
      </c>
      <c r="AF275" s="2989" cm="1">
        <f t="array" ref="AF275">INDEX('각층분기별_유효전력최대(전월)'!$L$4:$L$2020,MATCH(1, ('각층분기별_유효전력최대(전월)'!$J$4:$J$2020='7층~4층_매핑테이블'!AB275) * ('각층분기별_유효전력최대(전월)'!$K$4:$K$2020='7층~4층_매핑테이블'!AC275),0)) + INDEX('각층분기별_유효전력최대(전월)'!$L$4:$L$2020,MATCH(1, ('각층분기별_유효전력최대(전월)'!$J$4:$J$2020='7층~4층_매핑테이블'!AD275) * ('각층분기별_유효전력최대(전월)'!$K$4:$K$2020='7층~4층_매핑테이블'!AE275),0))</f>
        <v>0</v>
      </c>
    </row>
    <row r="276" spans="1:32" x14ac:dyDescent="0.25">
      <c r="A276" t="str">
        <f t="shared" si="291"/>
        <v/>
      </c>
      <c r="D276" s="2989" t="str">
        <f t="shared" si="312"/>
        <v/>
      </c>
      <c r="E276" s="2989" t="str">
        <f t="shared" si="330"/>
        <v/>
      </c>
      <c r="F276" s="2989" t="str">
        <f t="shared" si="292"/>
        <v/>
      </c>
      <c r="G276" s="2989" t="str">
        <f t="shared" si="293"/>
        <v/>
      </c>
      <c r="H276" s="2989" cm="1">
        <f t="array" ref="H276">INDEX('각층분기별_유효전력최대(전월)'!$C$4:$C$2020,MATCH(1, ('각층분기별_유효전력최대(전월)'!$A$4:$A$2020='7층~4층_매핑테이블'!D276) * ('각층분기별_유효전력최대(전월)'!$B$4:$B$2020='7층~4층_매핑테이블'!E276),0)) + INDEX('각층분기별_유효전력최대(전월)'!$C$4:$C$2020,MATCH(1, ('각층분기별_유효전력최대(전월)'!$A$4:$A$2020='7층~4층_매핑테이블'!F276) * ('각층분기별_유효전력최대(전월)'!$B$4:$B$2020='7층~4층_매핑테이블'!G276),0))</f>
        <v>0</v>
      </c>
      <c r="I276" t="str">
        <f t="shared" si="336"/>
        <v>5-DaHall 1-PDU-01-30-165-DaHall 1-PDU-02-30-16</v>
      </c>
      <c r="J276" s="217" t="s">
        <v>10753</v>
      </c>
      <c r="K276" s="217" t="s">
        <v>10754</v>
      </c>
      <c r="L276" t="str">
        <f t="shared" si="331"/>
        <v>5-DaHall 1-PDU-01</v>
      </c>
      <c r="M276" t="str">
        <f t="shared" si="327"/>
        <v>[branch#016] [A] W</v>
      </c>
      <c r="N276" t="str">
        <f t="shared" si="337"/>
        <v>5-DaHall 1-PDU-02</v>
      </c>
      <c r="O276" t="str">
        <f t="shared" si="328"/>
        <v>[branch#016] [A] W</v>
      </c>
      <c r="P276" s="2989" cm="1">
        <f t="array" ref="P276">INDEX('각층분기별_유효전력최대(전월)'!$F$4:$F$2020,MATCH(1, ('각층분기별_유효전력최대(전월)'!$D$4:$D$2020='7층~4층_매핑테이블'!L276) * ('각층분기별_유효전력최대(전월)'!$E$4:$E$2020='7층~4층_매핑테이블'!M276),0)) + INDEX('각층분기별_유효전력최대(전월)'!$F$4:$F$2020,MATCH(1, ('각층분기별_유효전력최대(전월)'!$D$4:$D$2020='7층~4층_매핑테이블'!N276) * ('각층분기별_유효전력최대(전월)'!$E$4:$E$2020='7층~4층_매핑테이블'!O276),0))</f>
        <v>0</v>
      </c>
      <c r="Q276" s="1" t="str">
        <f t="shared" si="320"/>
        <v/>
      </c>
      <c r="V276" t="str">
        <f t="shared" si="318"/>
        <v/>
      </c>
      <c r="W276" t="str">
        <f t="shared" si="319"/>
        <v/>
      </c>
      <c r="X276" s="2989" cm="1">
        <f t="array" ref="X276">INDEX('각층분기별_유효전력최대(전월)'!$I$4:$I$2020,MATCH(1, ('각층분기별_유효전력최대(전월)'!$G$4:$G$2020='7층~4층_매핑테이블'!T276) * ('각층분기별_유효전력최대(전월)'!$H$4:$H$2020='7층~4층_매핑테이블'!U276),0)) + INDEX('각층분기별_유효전력최대(전월)'!$I$4:$I$2020,MATCH(1, ('각층분기별_유효전력최대(전월)'!$G$4:$G$2020='7층~4층_매핑테이블'!V276) * ('각층분기별_유효전력최대(전월)'!$H$4:$H$2020='7층~4층_매핑테이블'!W276),0))</f>
        <v>0</v>
      </c>
      <c r="Y276" s="3274" t="str">
        <f>Z276&amp;AA276</f>
        <v>7-DaHall 1-RPP-02-20-7</v>
      </c>
      <c r="Z276" s="217"/>
      <c r="AA276" s="217" t="s">
        <v>10755</v>
      </c>
      <c r="AB276" s="3274" t="str">
        <f t="shared" si="338"/>
        <v/>
      </c>
      <c r="AD276" t="str">
        <f t="shared" si="329"/>
        <v>7-DaHall 1-RPP-02</v>
      </c>
      <c r="AE276" t="s">
        <v>9409</v>
      </c>
      <c r="AF276" s="2989" cm="1">
        <f t="array" ref="AF276">INDEX('각층분기별_유효전력최대(전월)'!$L$4:$L$2020,MATCH(1, ('각층분기별_유효전력최대(전월)'!$J$4:$J$2020='7층~4층_매핑테이블'!AB276) * ('각층분기별_유효전력최대(전월)'!$K$4:$K$2020='7층~4층_매핑테이블'!AC276),0)) + INDEX('각층분기별_유효전력최대(전월)'!$L$4:$L$2020,MATCH(1, ('각층분기별_유효전력최대(전월)'!$J$4:$J$2020='7층~4층_매핑테이블'!AD276) * ('각층분기별_유효전력최대(전월)'!$K$4:$K$2020='7층~4층_매핑테이블'!AE276),0))</f>
        <v>0.223</v>
      </c>
    </row>
    <row r="277" spans="1:32" x14ac:dyDescent="0.25">
      <c r="A277" t="str">
        <f t="shared" si="291"/>
        <v/>
      </c>
      <c r="D277" s="2989" t="str">
        <f t="shared" si="312"/>
        <v/>
      </c>
      <c r="E277" s="2989" t="str">
        <f t="shared" si="330"/>
        <v/>
      </c>
      <c r="F277" s="2989" t="str">
        <f t="shared" si="292"/>
        <v/>
      </c>
      <c r="G277" s="2989" t="str">
        <f t="shared" si="293"/>
        <v/>
      </c>
      <c r="H277" s="2989" cm="1">
        <f t="array" ref="H277">INDEX('각층분기별_유효전력최대(전월)'!$C$4:$C$2020,MATCH(1, ('각층분기별_유효전력최대(전월)'!$A$4:$A$2020='7층~4층_매핑테이블'!D277) * ('각층분기별_유효전력최대(전월)'!$B$4:$B$2020='7층~4층_매핑테이블'!E277),0)) + INDEX('각층분기별_유효전력최대(전월)'!$C$4:$C$2020,MATCH(1, ('각층분기별_유효전력최대(전월)'!$A$4:$A$2020='7층~4층_매핑테이블'!F277) * ('각층분기별_유효전력최대(전월)'!$B$4:$B$2020='7층~4층_매핑테이블'!G277),0))</f>
        <v>0</v>
      </c>
      <c r="I277" t="str">
        <f t="shared" si="336"/>
        <v>5-DaHall 1-PDU-01-30-185-DaHall 1-PDU-02-30-18</v>
      </c>
      <c r="J277" s="217" t="s">
        <v>10756</v>
      </c>
      <c r="K277" s="217" t="s">
        <v>10757</v>
      </c>
      <c r="L277" t="str">
        <f t="shared" si="331"/>
        <v>5-DaHall 1-PDU-01</v>
      </c>
      <c r="M277" t="str">
        <f t="shared" si="327"/>
        <v>[branch#018] [A] W</v>
      </c>
      <c r="N277" t="str">
        <f t="shared" si="337"/>
        <v>5-DaHall 1-PDU-02</v>
      </c>
      <c r="O277" t="str">
        <f t="shared" si="328"/>
        <v>[branch#018] [A] W</v>
      </c>
      <c r="P277" s="2989" cm="1">
        <f t="array" ref="P277">INDEX('각층분기별_유효전력최대(전월)'!$F$4:$F$2020,MATCH(1, ('각층분기별_유효전력최대(전월)'!$D$4:$D$2020='7층~4층_매핑테이블'!L277) * ('각층분기별_유효전력최대(전월)'!$E$4:$E$2020='7층~4층_매핑테이블'!M277),0)) + INDEX('각층분기별_유효전력최대(전월)'!$F$4:$F$2020,MATCH(1, ('각층분기별_유효전력최대(전월)'!$D$4:$D$2020='7층~4층_매핑테이블'!N277) * ('각층분기별_유효전력최대(전월)'!$E$4:$E$2020='7층~4층_매핑테이블'!O277),0))</f>
        <v>5.1859999999999999</v>
      </c>
      <c r="Q277" s="1" t="str">
        <f t="shared" si="320"/>
        <v/>
      </c>
      <c r="V277" t="str">
        <f>IF(MID(S277,16,2)="0","",MID(S277,1,15)&amp;MID(S277,16,2))</f>
        <v/>
      </c>
      <c r="W277" t="str">
        <f>IF(IF(LEN((MID(S277,22,2)))=1, "[branch#0"&amp;0&amp;MID(S277,22,2)&amp;"] [A] W", "[branch#0"&amp;MID(S277,22,2)&amp;"] [A] W")="[branch#0] [A] W", "", IF(LEN((MID(S277,22,2)))=1, "[branch#0"&amp;0&amp;MID(S277,22,2)&amp;"] [A] W", "[branch#0"&amp;MID(S277,22,2)&amp;"] [A] W"))</f>
        <v/>
      </c>
      <c r="X277" s="2989" cm="1">
        <f t="array" ref="X277">INDEX('각층분기별_유효전력최대(전월)'!$I$4:$I$2020,MATCH(1, ('각층분기별_유효전력최대(전월)'!$G$4:$G$2020='7층~4층_매핑테이블'!T277) * ('각층분기별_유효전력최대(전월)'!$H$4:$H$2020='7층~4층_매핑테이블'!U277),0)) + INDEX('각층분기별_유효전력최대(전월)'!$I$4:$I$2020,MATCH(1, ('각층분기별_유효전력최대(전월)'!$G$4:$G$2020='7층~4층_매핑테이블'!V277) * ('각층분기별_유효전력최대(전월)'!$H$4:$H$2020='7층~4층_매핑테이블'!W277),0))</f>
        <v>0</v>
      </c>
      <c r="Y277" s="3274" t="str">
        <f t="shared" ref="Y277:Y283" si="339">Z277&amp;AA277</f>
        <v>7-DaHall 1-RPP-02-20-11</v>
      </c>
      <c r="Z277" s="217"/>
      <c r="AA277" s="217" t="s">
        <v>10758</v>
      </c>
      <c r="AB277" s="3274" t="str">
        <f t="shared" si="338"/>
        <v/>
      </c>
      <c r="AD277" t="str">
        <f t="shared" si="329"/>
        <v>7-DaHall 1-RPP-02</v>
      </c>
      <c r="AE277" t="s">
        <v>9386</v>
      </c>
      <c r="AF277" s="2989" cm="1">
        <f t="array" ref="AF277">INDEX('각층분기별_유효전력최대(전월)'!$L$4:$L$2020,MATCH(1, ('각층분기별_유효전력최대(전월)'!$J$4:$J$2020='7층~4층_매핑테이블'!AB277) * ('각층분기별_유효전력최대(전월)'!$K$4:$K$2020='7층~4층_매핑테이블'!AC277),0)) + INDEX('각층분기별_유효전력최대(전월)'!$L$4:$L$2020,MATCH(1, ('각층분기별_유효전력최대(전월)'!$J$4:$J$2020='7층~4층_매핑테이블'!AD277) * ('각층분기별_유효전력최대(전월)'!$K$4:$K$2020='7층~4층_매핑테이블'!AE277),0))</f>
        <v>0</v>
      </c>
    </row>
    <row r="278" spans="1:32" x14ac:dyDescent="0.25">
      <c r="A278" t="str">
        <f t="shared" si="291"/>
        <v/>
      </c>
      <c r="D278" s="2989" t="str">
        <f t="shared" si="312"/>
        <v/>
      </c>
      <c r="E278" s="2989" t="str">
        <f t="shared" si="330"/>
        <v/>
      </c>
      <c r="F278" s="2989" t="str">
        <f t="shared" si="292"/>
        <v/>
      </c>
      <c r="G278" s="2989" t="str">
        <f t="shared" si="293"/>
        <v/>
      </c>
      <c r="H278" s="2989" cm="1">
        <f t="array" ref="H278">INDEX('각층분기별_유효전력최대(전월)'!$C$4:$C$2020,MATCH(1, ('각층분기별_유효전력최대(전월)'!$A$4:$A$2020='7층~4층_매핑테이블'!D278) * ('각층분기별_유효전력최대(전월)'!$B$4:$B$2020='7층~4층_매핑테이블'!E278),0)) + INDEX('각층분기별_유효전력최대(전월)'!$C$4:$C$2020,MATCH(1, ('각층분기별_유효전력최대(전월)'!$A$4:$A$2020='7층~4층_매핑테이블'!F278) * ('각층분기별_유효전력최대(전월)'!$B$4:$B$2020='7층~4층_매핑테이블'!G278),0))</f>
        <v>0</v>
      </c>
      <c r="I278" t="str">
        <f t="shared" si="336"/>
        <v>5-DaHall 1-PDU-01-30-205-DaHall 1-PDU-02-30-20</v>
      </c>
      <c r="J278" s="217" t="s">
        <v>10759</v>
      </c>
      <c r="K278" s="217" t="s">
        <v>10760</v>
      </c>
      <c r="L278" t="str">
        <f t="shared" si="331"/>
        <v>5-DaHall 1-PDU-01</v>
      </c>
      <c r="M278" t="str">
        <f t="shared" si="327"/>
        <v>[branch#020] [A] W</v>
      </c>
      <c r="N278" t="str">
        <f t="shared" si="337"/>
        <v>5-DaHall 1-PDU-02</v>
      </c>
      <c r="O278" t="str">
        <f t="shared" si="328"/>
        <v>[branch#020] [A] W</v>
      </c>
      <c r="P278" s="2989" cm="1">
        <f t="array" ref="P278">INDEX('각층분기별_유효전력최대(전월)'!$F$4:$F$2020,MATCH(1, ('각층분기별_유효전력최대(전월)'!$D$4:$D$2020='7층~4층_매핑테이블'!L278) * ('각층분기별_유효전력최대(전월)'!$E$4:$E$2020='7층~4층_매핑테이블'!M278),0)) + INDEX('각층분기별_유효전력최대(전월)'!$F$4:$F$2020,MATCH(1, ('각층분기별_유효전력최대(전월)'!$D$4:$D$2020='7층~4층_매핑테이블'!N278) * ('각층분기별_유효전력최대(전월)'!$E$4:$E$2020='7층~4층_매핑테이블'!O278),0))</f>
        <v>5.0760000000000005</v>
      </c>
      <c r="Q278" s="1" t="str">
        <f t="shared" si="320"/>
        <v/>
      </c>
      <c r="V278" t="str">
        <f>IF(MID(S278,16,2)="0","",MID(S278,1,15)&amp;MID(S278,16,2))</f>
        <v/>
      </c>
      <c r="W278" t="str">
        <f>IF(IF(LEN((MID(S278,22,2)))=1, "[branch#0"&amp;0&amp;MID(S278,22,2)&amp;"] [A] W", "[branch#0"&amp;MID(S278,22,2)&amp;"] [A] W")="[branch#0] [A] W", "", IF(LEN((MID(S278,22,2)))=1, "[branch#0"&amp;0&amp;MID(S278,22,2)&amp;"] [A] W", "[branch#0"&amp;MID(S278,22,2)&amp;"] [A] W"))</f>
        <v/>
      </c>
      <c r="X278" s="2989" cm="1">
        <f t="array" ref="X278">INDEX('각층분기별_유효전력최대(전월)'!$I$4:$I$2020,MATCH(1, ('각층분기별_유효전력최대(전월)'!$G$4:$G$2020='7층~4층_매핑테이블'!T278) * ('각층분기별_유효전력최대(전월)'!$H$4:$H$2020='7층~4층_매핑테이블'!U278),0)) + INDEX('각층분기별_유효전력최대(전월)'!$I$4:$I$2020,MATCH(1, ('각층분기별_유효전력최대(전월)'!$G$4:$G$2020='7층~4층_매핑테이블'!V278) * ('각층분기별_유효전력최대(전월)'!$H$4:$H$2020='7층~4층_매핑테이블'!W278),0))</f>
        <v>0</v>
      </c>
      <c r="Y278" s="3274" t="str">
        <f t="shared" si="339"/>
        <v>7-DaHall 1-RPP-02-30-22</v>
      </c>
      <c r="Z278" s="217"/>
      <c r="AA278" s="217" t="s">
        <v>10761</v>
      </c>
      <c r="AB278" s="3274" t="str">
        <f t="shared" si="338"/>
        <v/>
      </c>
      <c r="AD278" t="str">
        <f t="shared" si="329"/>
        <v>7-DaHall 1-RPP-02</v>
      </c>
      <c r="AE278" t="s">
        <v>9547</v>
      </c>
      <c r="AF278" s="2989" cm="1">
        <f t="array" ref="AF278">INDEX('각층분기별_유효전력최대(전월)'!$L$4:$L$2020,MATCH(1, ('각층분기별_유효전력최대(전월)'!$J$4:$J$2020='7층~4층_매핑테이블'!AB278) * ('각층분기별_유효전력최대(전월)'!$K$4:$K$2020='7층~4층_매핑테이블'!AC278),0)) + INDEX('각층분기별_유효전력최대(전월)'!$L$4:$L$2020,MATCH(1, ('각층분기별_유효전력최대(전월)'!$J$4:$J$2020='7층~4층_매핑테이블'!AD278) * ('각층분기별_유효전력최대(전월)'!$K$4:$K$2020='7층~4층_매핑테이블'!AE278),0))</f>
        <v>0</v>
      </c>
    </row>
    <row r="279" spans="1:32" x14ac:dyDescent="0.25">
      <c r="A279" t="str">
        <f t="shared" si="291"/>
        <v/>
      </c>
      <c r="D279" s="2989" t="str">
        <f t="shared" si="312"/>
        <v/>
      </c>
      <c r="E279" s="2989" t="str">
        <f t="shared" si="330"/>
        <v/>
      </c>
      <c r="F279" s="2989" t="str">
        <f t="shared" si="292"/>
        <v/>
      </c>
      <c r="G279" s="2989" t="str">
        <f t="shared" si="293"/>
        <v/>
      </c>
      <c r="H279" s="2989" cm="1">
        <f t="array" ref="H279">INDEX('각층분기별_유효전력최대(전월)'!$C$4:$C$2020,MATCH(1, ('각층분기별_유효전력최대(전월)'!$A$4:$A$2020='7층~4층_매핑테이블'!D279) * ('각층분기별_유효전력최대(전월)'!$B$4:$B$2020='7층~4층_매핑테이블'!E279),0)) + INDEX('각층분기별_유효전력최대(전월)'!$C$4:$C$2020,MATCH(1, ('각층분기별_유효전력최대(전월)'!$A$4:$A$2020='7층~4층_매핑테이블'!F279) * ('각층분기별_유효전력최대(전월)'!$B$4:$B$2020='7층~4층_매핑테이블'!G279),0))</f>
        <v>0</v>
      </c>
      <c r="I279" t="str">
        <f t="shared" si="336"/>
        <v>5-DaHall 1-PDU-01-30-225-DaHall 1-PDU-02-30-22</v>
      </c>
      <c r="J279" s="217" t="s">
        <v>10762</v>
      </c>
      <c r="K279" s="217" t="s">
        <v>10763</v>
      </c>
      <c r="L279" t="str">
        <f t="shared" si="331"/>
        <v>5-DaHall 1-PDU-01</v>
      </c>
      <c r="M279" t="str">
        <f t="shared" si="327"/>
        <v>[branch#022] [A] W</v>
      </c>
      <c r="N279" t="str">
        <f t="shared" si="337"/>
        <v>5-DaHall 1-PDU-02</v>
      </c>
      <c r="O279" t="str">
        <f t="shared" si="328"/>
        <v>[branch#022] [A] W</v>
      </c>
      <c r="P279" s="2989" cm="1">
        <f t="array" ref="P279">INDEX('각층분기별_유효전력최대(전월)'!$F$4:$F$2020,MATCH(1, ('각층분기별_유효전력최대(전월)'!$D$4:$D$2020='7층~4층_매핑테이블'!L279) * ('각층분기별_유효전력최대(전월)'!$E$4:$E$2020='7층~4층_매핑테이블'!M279),0)) + INDEX('각층분기별_유효전력최대(전월)'!$F$4:$F$2020,MATCH(1, ('각층분기별_유효전력최대(전월)'!$D$4:$D$2020='7층~4층_매핑테이블'!N279) * ('각층분기별_유효전력최대(전월)'!$E$4:$E$2020='7층~4층_매핑테이블'!O279),0))</f>
        <v>0</v>
      </c>
      <c r="Q279" s="1" t="str">
        <f t="shared" si="320"/>
        <v/>
      </c>
      <c r="V279" t="str">
        <f t="shared" ref="V279:V286" si="340">IF(MID(S279,16,2)="0","",MID(S279,1,15)&amp;MID(S279,16,2))</f>
        <v/>
      </c>
      <c r="W279" t="str">
        <f t="shared" ref="W279:W286" si="341">IF(IF(LEN((MID(S279,22,2)))=1, "[branch#0"&amp;0&amp;MID(S279,22,2)&amp;"] [A] W", "[branch#0"&amp;MID(S279,22,2)&amp;"] [A] W")="[branch#0] [A] W", "", IF(LEN((MID(S279,22,2)))=1, "[branch#0"&amp;0&amp;MID(S279,22,2)&amp;"] [A] W", "[branch#0"&amp;MID(S279,22,2)&amp;"] [A] W"))</f>
        <v/>
      </c>
      <c r="X279" s="2989" cm="1">
        <f t="array" ref="X279">INDEX('각층분기별_유효전력최대(전월)'!$I$4:$I$2020,MATCH(1, ('각층분기별_유효전력최대(전월)'!$G$4:$G$2020='7층~4층_매핑테이블'!T279) * ('각층분기별_유효전력최대(전월)'!$H$4:$H$2020='7층~4층_매핑테이블'!U279),0)) + INDEX('각층분기별_유효전력최대(전월)'!$I$4:$I$2020,MATCH(1, ('각층분기별_유효전력최대(전월)'!$G$4:$G$2020='7층~4층_매핑테이블'!V279) * ('각층분기별_유효전력최대(전월)'!$H$4:$H$2020='7층~4층_매핑테이블'!W279),0))</f>
        <v>0</v>
      </c>
      <c r="Y279" s="3274" t="str">
        <f t="shared" si="339"/>
        <v>7-DaHall 1-RPP-02-30-24</v>
      </c>
      <c r="Z279" s="217"/>
      <c r="AA279" s="217" t="s">
        <v>10764</v>
      </c>
      <c r="AB279" s="3274" t="str">
        <f t="shared" si="338"/>
        <v/>
      </c>
      <c r="AD279" t="str">
        <f t="shared" si="329"/>
        <v>7-DaHall 1-RPP-02</v>
      </c>
      <c r="AE279" t="s">
        <v>9554</v>
      </c>
      <c r="AF279" s="2989" cm="1">
        <f t="array" ref="AF279">INDEX('각층분기별_유효전력최대(전월)'!$L$4:$L$2020,MATCH(1, ('각층분기별_유효전력최대(전월)'!$J$4:$J$2020='7층~4층_매핑테이블'!AB279) * ('각층분기별_유효전력최대(전월)'!$K$4:$K$2020='7층~4층_매핑테이블'!AC279),0)) + INDEX('각층분기별_유효전력최대(전월)'!$L$4:$L$2020,MATCH(1, ('각층분기별_유효전력최대(전월)'!$J$4:$J$2020='7층~4층_매핑테이블'!AD279) * ('각층분기별_유효전력최대(전월)'!$K$4:$K$2020='7층~4층_매핑테이블'!AE279),0))</f>
        <v>0.626</v>
      </c>
    </row>
    <row r="280" spans="1:32" x14ac:dyDescent="0.25">
      <c r="A280" t="str">
        <f t="shared" si="291"/>
        <v/>
      </c>
      <c r="D280" s="2989" t="str">
        <f t="shared" si="312"/>
        <v/>
      </c>
      <c r="E280" s="2989" t="str">
        <f t="shared" si="330"/>
        <v/>
      </c>
      <c r="F280" s="2989" t="str">
        <f t="shared" si="292"/>
        <v/>
      </c>
      <c r="G280" s="2989" t="str">
        <f t="shared" si="293"/>
        <v/>
      </c>
      <c r="H280" s="2989" cm="1">
        <f t="array" ref="H280">INDEX('각층분기별_유효전력최대(전월)'!$C$4:$C$2020,MATCH(1, ('각층분기별_유효전력최대(전월)'!$A$4:$A$2020='7층~4층_매핑테이블'!D280) * ('각층분기별_유효전력최대(전월)'!$B$4:$B$2020='7층~4층_매핑테이블'!E280),0)) + INDEX('각층분기별_유효전력최대(전월)'!$C$4:$C$2020,MATCH(1, ('각층분기별_유효전력최대(전월)'!$A$4:$A$2020='7층~4층_매핑테이블'!F280) * ('각층분기별_유효전력최대(전월)'!$B$4:$B$2020='7층~4층_매핑테이블'!G280),0))</f>
        <v>0</v>
      </c>
      <c r="I280" t="str">
        <f t="shared" si="336"/>
        <v>5-DaHall 1-PDU-01-30-245-DaHall 1-PDU-02-30-24</v>
      </c>
      <c r="J280" s="217" t="s">
        <v>10765</v>
      </c>
      <c r="K280" s="217" t="s">
        <v>10766</v>
      </c>
      <c r="L280" t="str">
        <f t="shared" si="331"/>
        <v>5-DaHall 1-PDU-01</v>
      </c>
      <c r="M280" t="str">
        <f t="shared" si="327"/>
        <v>[branch#024] [A] W</v>
      </c>
      <c r="N280" t="str">
        <f t="shared" si="337"/>
        <v>5-DaHall 1-PDU-02</v>
      </c>
      <c r="O280" t="str">
        <f>IF(IF(LEN((MID(K280,22,2)))=1, "[branch#0"&amp;0&amp;MID(K280,22,2)&amp;"] [A] W", "[branch#0"&amp;MID(K280,22,2)&amp;"] [A] W")="[branch#0] [A] W", "", IF(LEN((MID(K280,22,2)))=1, "[branch#0"&amp;0&amp;MID(K280,22,2)&amp;"] [A] W", "[branch#0"&amp;MID(K280,22,2)&amp;"] [A] W"))</f>
        <v>[branch#024] [A] W</v>
      </c>
      <c r="P280" s="2989" cm="1">
        <f t="array" ref="P280">INDEX('각층분기별_유효전력최대(전월)'!$F$4:$F$2020,MATCH(1, ('각층분기별_유효전력최대(전월)'!$D$4:$D$2020='7층~4층_매핑테이블'!L280) * ('각층분기별_유효전력최대(전월)'!$E$4:$E$2020='7층~4층_매핑테이블'!M280),0)) + INDEX('각층분기별_유효전력최대(전월)'!$F$4:$F$2020,MATCH(1, ('각층분기별_유효전력최대(전월)'!$D$4:$D$2020='7층~4층_매핑테이블'!N280) * ('각층분기별_유효전력최대(전월)'!$E$4:$E$2020='7층~4층_매핑테이블'!O280),0))</f>
        <v>0</v>
      </c>
      <c r="Q280" s="1" t="str">
        <f>R280&amp;S280</f>
        <v/>
      </c>
      <c r="V280" t="str">
        <f t="shared" si="340"/>
        <v/>
      </c>
      <c r="W280" t="str">
        <f t="shared" si="341"/>
        <v/>
      </c>
      <c r="X280" s="2989" cm="1">
        <f t="array" ref="X280">INDEX('각층분기별_유효전력최대(전월)'!$I$4:$I$2020,MATCH(1, ('각층분기별_유효전력최대(전월)'!$G$4:$G$2020='7층~4층_매핑테이블'!T280) * ('각층분기별_유효전력최대(전월)'!$H$4:$H$2020='7층~4층_매핑테이블'!U280),0)) + INDEX('각층분기별_유효전력최대(전월)'!$I$4:$I$2020,MATCH(1, ('각층분기별_유효전력최대(전월)'!$G$4:$G$2020='7층~4층_매핑테이블'!V280) * ('각층분기별_유효전력최대(전월)'!$H$4:$H$2020='7층~4층_매핑테이블'!W280),0))</f>
        <v>0</v>
      </c>
      <c r="Y280" s="3274" t="str">
        <f t="shared" si="339"/>
        <v>7-DaHall 1-RPP-02-20-35</v>
      </c>
      <c r="Z280" s="217"/>
      <c r="AA280" s="217" t="s">
        <v>10767</v>
      </c>
      <c r="AB280" s="3274" t="str">
        <f>IF(MID(Z280,16,2)="0","",MID(Z280,1,15)&amp;MID(Z280,16,2))</f>
        <v/>
      </c>
      <c r="AD280" t="str">
        <f t="shared" si="329"/>
        <v>7-DaHall 1-RPP-02</v>
      </c>
      <c r="AE280" t="s">
        <v>9580</v>
      </c>
      <c r="AF280" s="2989" cm="1">
        <f t="array" ref="AF280">INDEX('각층분기별_유효전력최대(전월)'!$L$4:$L$2020,MATCH(1, ('각층분기별_유효전력최대(전월)'!$J$4:$J$2020='7층~4층_매핑테이블'!AB280) * ('각층분기별_유효전력최대(전월)'!$K$4:$K$2020='7층~4층_매핑테이블'!AC280),0)) + INDEX('각층분기별_유효전력최대(전월)'!$L$4:$L$2020,MATCH(1, ('각층분기별_유효전력최대(전월)'!$J$4:$J$2020='7층~4층_매핑테이블'!AD280) * ('각층분기별_유효전력최대(전월)'!$K$4:$K$2020='7층~4층_매핑테이블'!AE280),0))</f>
        <v>0.46800000000000003</v>
      </c>
    </row>
    <row r="281" spans="1:32" x14ac:dyDescent="0.25">
      <c r="A281" t="str">
        <f t="shared" si="291"/>
        <v/>
      </c>
      <c r="D281" s="2989" t="str">
        <f t="shared" si="312"/>
        <v/>
      </c>
      <c r="E281" s="2989" t="str">
        <f t="shared" si="330"/>
        <v/>
      </c>
      <c r="F281" s="2989" t="str">
        <f t="shared" si="292"/>
        <v/>
      </c>
      <c r="G281" s="2989" t="str">
        <f t="shared" si="293"/>
        <v/>
      </c>
      <c r="H281" s="2989" cm="1">
        <f t="array" ref="H281">INDEX('각층분기별_유효전력최대(전월)'!$C$4:$C$2020,MATCH(1, ('각층분기별_유효전력최대(전월)'!$A$4:$A$2020='7층~4층_매핑테이블'!D281) * ('각층분기별_유효전력최대(전월)'!$B$4:$B$2020='7층~4층_매핑테이블'!E281),0)) + INDEX('각층분기별_유효전력최대(전월)'!$C$4:$C$2020,MATCH(1, ('각층분기별_유효전력최대(전월)'!$A$4:$A$2020='7층~4층_매핑테이블'!F281) * ('각층분기별_유효전력최대(전월)'!$B$4:$B$2020='7층~4층_매핑테이블'!G281),0))</f>
        <v>0</v>
      </c>
      <c r="I281" t="str">
        <f t="shared" si="336"/>
        <v>5-DaHall 1-PDU-01-30-265-DaHall 1-PDU-02-30-26</v>
      </c>
      <c r="J281" s="217" t="s">
        <v>10768</v>
      </c>
      <c r="K281" s="217" t="s">
        <v>10769</v>
      </c>
      <c r="L281" t="str">
        <f t="shared" si="331"/>
        <v>5-DaHall 1-PDU-01</v>
      </c>
      <c r="M281" t="str">
        <f t="shared" si="327"/>
        <v>[branch#026] [A] W</v>
      </c>
      <c r="N281" t="str">
        <f t="shared" si="337"/>
        <v>5-DaHall 1-PDU-02</v>
      </c>
      <c r="O281" t="str">
        <f t="shared" si="328"/>
        <v>[branch#026] [A] W</v>
      </c>
      <c r="P281" s="2989" cm="1">
        <f t="array" ref="P281">INDEX('각층분기별_유효전력최대(전월)'!$F$4:$F$2020,MATCH(1, ('각층분기별_유효전력최대(전월)'!$D$4:$D$2020='7층~4층_매핑테이블'!L281) * ('각층분기별_유효전력최대(전월)'!$E$4:$E$2020='7층~4층_매핑테이블'!M281),0)) + INDEX('각층분기별_유효전력최대(전월)'!$F$4:$F$2020,MATCH(1, ('각층분기별_유효전력최대(전월)'!$D$4:$D$2020='7층~4층_매핑테이블'!N281) * ('각층분기별_유효전력최대(전월)'!$E$4:$E$2020='7층~4층_매핑테이블'!O281),0))</f>
        <v>0</v>
      </c>
      <c r="Q281" s="1" t="str">
        <f>R281&amp;S281</f>
        <v/>
      </c>
      <c r="V281" t="str">
        <f t="shared" si="340"/>
        <v/>
      </c>
      <c r="W281" t="str">
        <f t="shared" si="341"/>
        <v/>
      </c>
      <c r="X281" s="2989" cm="1">
        <f t="array" ref="X281">INDEX('각층분기별_유효전력최대(전월)'!$I$4:$I$2020,MATCH(1, ('각층분기별_유효전력최대(전월)'!$G$4:$G$2020='7층~4층_매핑테이블'!T281) * ('각층분기별_유효전력최대(전월)'!$H$4:$H$2020='7층~4층_매핑테이블'!U281),0)) + INDEX('각층분기별_유효전력최대(전월)'!$I$4:$I$2020,MATCH(1, ('각층분기별_유효전력최대(전월)'!$G$4:$G$2020='7층~4층_매핑테이블'!V281) * ('각층분기별_유효전력최대(전월)'!$H$4:$H$2020='7층~4층_매핑테이블'!W281),0))</f>
        <v>0</v>
      </c>
      <c r="Y281" s="3274" t="str">
        <f t="shared" si="339"/>
        <v>7-DaHall 1-RPP-02-20-37</v>
      </c>
      <c r="Z281" s="217"/>
      <c r="AA281" s="217" t="s">
        <v>10770</v>
      </c>
      <c r="AB281" s="3274" t="str">
        <f>IF(MID(Z281,16,2)="0","",MID(Z281,1,15)&amp;MID(Z281,16,2))</f>
        <v/>
      </c>
      <c r="AD281" t="str">
        <f t="shared" si="329"/>
        <v>7-DaHall 1-RPP-02</v>
      </c>
      <c r="AE281" t="s">
        <v>9381</v>
      </c>
      <c r="AF281" s="2989" cm="1">
        <f t="array" ref="AF281">INDEX('각층분기별_유효전력최대(전월)'!$L$4:$L$2020,MATCH(1, ('각층분기별_유효전력최대(전월)'!$J$4:$J$2020='7층~4층_매핑테이블'!AB281) * ('각층분기별_유효전력최대(전월)'!$K$4:$K$2020='7층~4층_매핑테이블'!AC281),0)) + INDEX('각층분기별_유효전력최대(전월)'!$L$4:$L$2020,MATCH(1, ('각층분기별_유효전력최대(전월)'!$J$4:$J$2020='7층~4층_매핑테이블'!AD281) * ('각층분기별_유효전력최대(전월)'!$K$4:$K$2020='7층~4층_매핑테이블'!AE281),0))</f>
        <v>1.0149999999999999</v>
      </c>
    </row>
    <row r="282" spans="1:32" x14ac:dyDescent="0.25">
      <c r="A282" t="str">
        <f t="shared" si="291"/>
        <v/>
      </c>
      <c r="D282" s="2989" t="str">
        <f t="shared" si="312"/>
        <v/>
      </c>
      <c r="E282" s="2989" t="str">
        <f t="shared" si="330"/>
        <v/>
      </c>
      <c r="F282" s="2989" t="str">
        <f t="shared" si="292"/>
        <v/>
      </c>
      <c r="G282" s="2989" t="str">
        <f t="shared" si="293"/>
        <v/>
      </c>
      <c r="H282" s="2989" cm="1">
        <f t="array" ref="H282">INDEX('각층분기별_유효전력최대(전월)'!$C$4:$C$2020,MATCH(1, ('각층분기별_유효전력최대(전월)'!$A$4:$A$2020='7층~4층_매핑테이블'!D282) * ('각층분기별_유효전력최대(전월)'!$B$4:$B$2020='7층~4층_매핑테이블'!E282),0)) + INDEX('각층분기별_유효전력최대(전월)'!$C$4:$C$2020,MATCH(1, ('각층분기별_유효전력최대(전월)'!$A$4:$A$2020='7층~4층_매핑테이블'!F282) * ('각층분기별_유효전력최대(전월)'!$B$4:$B$2020='7층~4층_매핑테이블'!G282),0))</f>
        <v>0</v>
      </c>
      <c r="I282" t="str">
        <f t="shared" si="336"/>
        <v>5-DaHall 1-PDU-01-30-285-DaHall 1-PDU-02-30-28</v>
      </c>
      <c r="J282" s="217" t="s">
        <v>10771</v>
      </c>
      <c r="K282" s="217" t="s">
        <v>10772</v>
      </c>
      <c r="L282" t="str">
        <f t="shared" si="331"/>
        <v>5-DaHall 1-PDU-01</v>
      </c>
      <c r="M282" t="str">
        <f t="shared" si="327"/>
        <v>[branch#028] [A] W</v>
      </c>
      <c r="N282" t="str">
        <f t="shared" si="337"/>
        <v>5-DaHall 1-PDU-02</v>
      </c>
      <c r="O282" t="str">
        <f t="shared" si="328"/>
        <v>[branch#028] [A] W</v>
      </c>
      <c r="P282" s="2989" t="e" cm="1">
        <f t="array" ref="P282">INDEX('각층분기별_유효전력최대(전월)'!$F$4:$F$2020,MATCH(1, ('각층분기별_유효전력최대(전월)'!$D$4:$D$2020='7층~4층_매핑테이블'!L282) * ('각층분기별_유효전력최대(전월)'!$E$4:$E$2020='7층~4층_매핑테이블'!M282),0)) + INDEX('각층분기별_유효전력최대(전월)'!$F$4:$F$2020,MATCH(1, ('각층분기별_유효전력최대(전월)'!$D$4:$D$2020='7층~4층_매핑테이블'!N282) * ('각층분기별_유효전력최대(전월)'!$E$4:$E$2020='7층~4층_매핑테이블'!O282),0))</f>
        <v>#N/A</v>
      </c>
      <c r="Q282" s="1" t="str">
        <f t="shared" ref="Q282:Q289" si="342">R282&amp;S282</f>
        <v/>
      </c>
      <c r="V282" t="str">
        <f t="shared" si="340"/>
        <v/>
      </c>
      <c r="W282" t="str">
        <f t="shared" si="341"/>
        <v/>
      </c>
      <c r="X282" s="2989" cm="1">
        <f t="array" ref="X282">INDEX('각층분기별_유효전력최대(전월)'!$I$4:$I$2020,MATCH(1, ('각층분기별_유효전력최대(전월)'!$G$4:$G$2020='7층~4층_매핑테이블'!T282) * ('각층분기별_유효전력최대(전월)'!$H$4:$H$2020='7층~4층_매핑테이블'!U282),0)) + INDEX('각층분기별_유효전력최대(전월)'!$I$4:$I$2020,MATCH(1, ('각층분기별_유효전력최대(전월)'!$G$4:$G$2020='7층~4층_매핑테이블'!V282) * ('각층분기별_유효전력최대(전월)'!$H$4:$H$2020='7층~4층_매핑테이블'!W282),0))</f>
        <v>0</v>
      </c>
      <c r="Y282" s="3274" t="str">
        <f t="shared" si="339"/>
        <v>7-DaHall 1-RPP-02-20-38</v>
      </c>
      <c r="Z282" s="217"/>
      <c r="AA282" s="217" t="s">
        <v>10773</v>
      </c>
      <c r="AB282" s="3274" t="str">
        <f t="shared" ref="AB282" si="343">IF(MID(Z282,16,2)="0","",MID(Z282,1,15)&amp;MID(Z282,16,2))</f>
        <v/>
      </c>
      <c r="AD282" t="str">
        <f t="shared" si="329"/>
        <v>7-DaHall 1-RPP-02</v>
      </c>
      <c r="AE282" t="s">
        <v>9358</v>
      </c>
      <c r="AF282" s="2989" cm="1">
        <f t="array" ref="AF282">INDEX('각층분기별_유효전력최대(전월)'!$L$4:$L$2020,MATCH(1, ('각층분기별_유효전력최대(전월)'!$J$4:$J$2020='7층~4층_매핑테이블'!AB282) * ('각층분기별_유효전력최대(전월)'!$K$4:$K$2020='7층~4층_매핑테이블'!AC282),0)) + INDEX('각층분기별_유효전력최대(전월)'!$L$4:$L$2020,MATCH(1, ('각층분기별_유효전력최대(전월)'!$J$4:$J$2020='7층~4층_매핑테이블'!AD282) * ('각층분기별_유효전력최대(전월)'!$K$4:$K$2020='7층~4층_매핑테이블'!AE282),0))</f>
        <v>1.087</v>
      </c>
    </row>
    <row r="283" spans="1:32" x14ac:dyDescent="0.25">
      <c r="A283" t="str">
        <f t="shared" si="291"/>
        <v/>
      </c>
      <c r="D283" s="2989" t="str">
        <f t="shared" si="312"/>
        <v/>
      </c>
      <c r="E283" s="2989" t="str">
        <f t="shared" si="330"/>
        <v/>
      </c>
      <c r="F283" s="2989" t="str">
        <f t="shared" si="292"/>
        <v/>
      </c>
      <c r="G283" s="2989" t="str">
        <f t="shared" si="293"/>
        <v/>
      </c>
      <c r="H283" s="2989" cm="1">
        <f t="array" ref="H283">INDEX('각층분기별_유효전력최대(전월)'!$C$4:$C$2020,MATCH(1, ('각층분기별_유효전력최대(전월)'!$A$4:$A$2020='7층~4층_매핑테이블'!D283) * ('각층분기별_유효전력최대(전월)'!$B$4:$B$2020='7층~4층_매핑테이블'!E283),0)) + INDEX('각층분기별_유효전력최대(전월)'!$C$4:$C$2020,MATCH(1, ('각층분기별_유효전력최대(전월)'!$A$4:$A$2020='7층~4층_매핑테이블'!F283) * ('각층분기별_유효전력최대(전월)'!$B$4:$B$2020='7층~4층_매핑테이블'!G283),0))</f>
        <v>0</v>
      </c>
      <c r="I283" t="str">
        <f t="shared" si="336"/>
        <v>5-DaHall 1-PDU-01-30-305-DaHall 1-PDU-02-30-30</v>
      </c>
      <c r="J283" s="217" t="s">
        <v>10774</v>
      </c>
      <c r="K283" s="217" t="s">
        <v>10775</v>
      </c>
      <c r="L283" t="str">
        <f t="shared" si="331"/>
        <v>5-DaHall 1-PDU-01</v>
      </c>
      <c r="M283" t="str">
        <f t="shared" si="327"/>
        <v>[branch#030] [A] W</v>
      </c>
      <c r="N283" t="str">
        <f t="shared" si="337"/>
        <v>5-DaHall 1-PDU-02</v>
      </c>
      <c r="O283" t="str">
        <f t="shared" si="328"/>
        <v>[branch#030] [A] W</v>
      </c>
      <c r="P283" s="2989" t="e" cm="1">
        <f t="array" ref="P283">INDEX('각층분기별_유효전력최대(전월)'!$F$4:$F$2020,MATCH(1, ('각층분기별_유효전력최대(전월)'!$D$4:$D$2020='7층~4층_매핑테이블'!L283) * ('각층분기별_유효전력최대(전월)'!$E$4:$E$2020='7층~4층_매핑테이블'!M283),0)) + INDEX('각층분기별_유효전력최대(전월)'!$F$4:$F$2020,MATCH(1, ('각층분기별_유효전력최대(전월)'!$D$4:$D$2020='7층~4층_매핑테이블'!N283) * ('각층분기별_유효전력최대(전월)'!$E$4:$E$2020='7층~4층_매핑테이블'!O283),0))</f>
        <v>#N/A</v>
      </c>
      <c r="Q283" s="1" t="str">
        <f t="shared" si="342"/>
        <v/>
      </c>
      <c r="V283" t="str">
        <f t="shared" si="340"/>
        <v/>
      </c>
      <c r="W283" t="str">
        <f t="shared" si="341"/>
        <v/>
      </c>
      <c r="X283" s="2989" cm="1">
        <f t="array" ref="X283">INDEX('각층분기별_유효전력최대(전월)'!$I$4:$I$2020,MATCH(1, ('각층분기별_유효전력최대(전월)'!$G$4:$G$2020='7층~4층_매핑테이블'!T283) * ('각층분기별_유효전력최대(전월)'!$H$4:$H$2020='7층~4층_매핑테이블'!U283),0)) + INDEX('각층분기별_유효전력최대(전월)'!$I$4:$I$2020,MATCH(1, ('각층분기별_유효전력최대(전월)'!$G$4:$G$2020='7층~4층_매핑테이블'!V283) * ('각층분기별_유효전력최대(전월)'!$H$4:$H$2020='7층~4층_매핑테이블'!W283),0))</f>
        <v>0</v>
      </c>
      <c r="Y283" s="3274" t="str">
        <f t="shared" si="339"/>
        <v>7-DaHall 1-RPP-02-20-39</v>
      </c>
      <c r="Z283" s="217"/>
      <c r="AA283" s="217" t="s">
        <v>10776</v>
      </c>
      <c r="AB283" s="3274" t="str">
        <f>IF(MID(Z283,16,2)="0","",MID(Z283,1,15)&amp;MID(Z283,16,2))</f>
        <v/>
      </c>
      <c r="AD283" t="str">
        <f t="shared" si="329"/>
        <v>7-DaHall 1-RPP-02</v>
      </c>
      <c r="AE283" t="s">
        <v>9924</v>
      </c>
      <c r="AF283" s="2989" cm="1">
        <f t="array" ref="AF283">INDEX('각층분기별_유효전력최대(전월)'!$L$4:$L$2020,MATCH(1, ('각층분기별_유효전력최대(전월)'!$J$4:$J$2020='7층~4층_매핑테이블'!AB283) * ('각층분기별_유효전력최대(전월)'!$K$4:$K$2020='7층~4층_매핑테이블'!AC283),0)) + INDEX('각층분기별_유효전력최대(전월)'!$L$4:$L$2020,MATCH(1, ('각층분기별_유효전력최대(전월)'!$J$4:$J$2020='7층~4층_매핑테이블'!AD283) * ('각층분기별_유효전력최대(전월)'!$K$4:$K$2020='7층~4층_매핑테이블'!AE283),0))</f>
        <v>3.0329999999999999</v>
      </c>
    </row>
    <row r="284" spans="1:32" x14ac:dyDescent="0.25">
      <c r="A284" t="str">
        <f t="shared" si="291"/>
        <v/>
      </c>
      <c r="D284" s="2989" t="str">
        <f t="shared" si="312"/>
        <v/>
      </c>
      <c r="E284" s="2989" t="str">
        <f t="shared" si="330"/>
        <v/>
      </c>
      <c r="F284" s="2989" t="str">
        <f t="shared" si="292"/>
        <v/>
      </c>
      <c r="G284" s="2989" t="str">
        <f t="shared" si="293"/>
        <v/>
      </c>
      <c r="H284" s="2989" cm="1">
        <f t="array" ref="H284">INDEX('각층분기별_유효전력최대(전월)'!$C$4:$C$2020,MATCH(1, ('각층분기별_유효전력최대(전월)'!$A$4:$A$2020='7층~4층_매핑테이블'!D284) * ('각층분기별_유효전력최대(전월)'!$B$4:$B$2020='7층~4층_매핑테이블'!E284),0)) + INDEX('각층분기별_유효전력최대(전월)'!$C$4:$C$2020,MATCH(1, ('각층분기별_유효전력최대(전월)'!$A$4:$A$2020='7층~4층_매핑테이블'!F284) * ('각층분기별_유효전력최대(전월)'!$B$4:$B$2020='7층~4층_매핑테이블'!G284),0))</f>
        <v>0</v>
      </c>
      <c r="I284" t="str">
        <f t="shared" si="336"/>
        <v>5-DaHall 1-PDU-01-30-325-DaHall 1-PDU-02-30-32</v>
      </c>
      <c r="J284" s="217" t="s">
        <v>10777</v>
      </c>
      <c r="K284" s="217" t="s">
        <v>10778</v>
      </c>
      <c r="L284" t="str">
        <f t="shared" si="331"/>
        <v>5-DaHall 1-PDU-01</v>
      </c>
      <c r="M284" t="str">
        <f t="shared" si="327"/>
        <v>[branch#032] [A] W</v>
      </c>
      <c r="N284" t="str">
        <f t="shared" si="337"/>
        <v>5-DaHall 1-PDU-02</v>
      </c>
      <c r="O284" t="str">
        <f t="shared" si="328"/>
        <v>[branch#032] [A] W</v>
      </c>
      <c r="P284" s="2989" t="e" cm="1">
        <f t="array" ref="P284">INDEX('각층분기별_유효전력최대(전월)'!$F$4:$F$2020,MATCH(1, ('각층분기별_유효전력최대(전월)'!$D$4:$D$2020='7층~4층_매핑테이블'!L284) * ('각층분기별_유효전력최대(전월)'!$E$4:$E$2020='7층~4층_매핑테이블'!M284),0)) + INDEX('각층분기별_유효전력최대(전월)'!$F$4:$F$2020,MATCH(1, ('각층분기별_유효전력최대(전월)'!$D$4:$D$2020='7층~4층_매핑테이블'!N284) * ('각층분기별_유효전력최대(전월)'!$E$4:$E$2020='7층~4층_매핑테이블'!O284),0))</f>
        <v>#N/A</v>
      </c>
      <c r="Q284" s="1" t="str">
        <f t="shared" si="342"/>
        <v/>
      </c>
      <c r="V284" t="str">
        <f>IF(MID(S284,16,2)="0","",MID(S284,1,15)&amp;MID(S284,16,2))</f>
        <v/>
      </c>
      <c r="W284" t="str">
        <f>IF(IF(LEN((MID(S284,22,2)))=1, "[branch#0"&amp;0&amp;MID(S284,22,2)&amp;"] [A] W", "[branch#0"&amp;MID(S284,22,2)&amp;"] [A] W")="[branch#0] [A] W", "", IF(LEN((MID(S284,22,2)))=1, "[branch#0"&amp;0&amp;MID(S284,22,2)&amp;"] [A] W", "[branch#0"&amp;MID(S284,22,2)&amp;"] [A] W"))</f>
        <v/>
      </c>
      <c r="X284" s="2989"/>
      <c r="Y284" s="3100"/>
      <c r="AB284" s="3274" t="str">
        <f>IF(MID(Z284,16,2)="0","",MID(Z284,1,15)&amp;MID(Z284,16,2))</f>
        <v/>
      </c>
      <c r="AF284" s="2989" cm="1">
        <f t="array" ref="AF284">INDEX('각층분기별_유효전력최대(전월)'!$L$4:$L$2020,MATCH(1, ('각층분기별_유효전력최대(전월)'!$J$4:$J$2020='7층~4층_매핑테이블'!AB284) * ('각층분기별_유효전력최대(전월)'!$K$4:$K$2020='7층~4층_매핑테이블'!AC284),0)) + INDEX('각층분기별_유효전력최대(전월)'!$L$4:$L$2020,MATCH(1, ('각층분기별_유효전력최대(전월)'!$J$4:$J$2020='7층~4층_매핑테이블'!AD284) * ('각층분기별_유효전력최대(전월)'!$K$4:$K$2020='7층~4층_매핑테이블'!AE284),0))</f>
        <v>0</v>
      </c>
    </row>
    <row r="285" spans="1:32" x14ac:dyDescent="0.25">
      <c r="A285" t="str">
        <f t="shared" si="291"/>
        <v/>
      </c>
      <c r="D285" s="2989" t="str">
        <f t="shared" si="312"/>
        <v/>
      </c>
      <c r="E285" s="2989" t="str">
        <f t="shared" si="330"/>
        <v/>
      </c>
      <c r="F285" s="2989" t="str">
        <f t="shared" si="292"/>
        <v/>
      </c>
      <c r="G285" s="2989" t="str">
        <f t="shared" si="293"/>
        <v/>
      </c>
      <c r="H285" s="2989" cm="1">
        <f t="array" ref="H285">INDEX('각층분기별_유효전력최대(전월)'!$C$4:$C$2020,MATCH(1, ('각층분기별_유효전력최대(전월)'!$A$4:$A$2020='7층~4층_매핑테이블'!D285) * ('각층분기별_유효전력최대(전월)'!$B$4:$B$2020='7층~4층_매핑테이블'!E285),0)) + INDEX('각층분기별_유효전력최대(전월)'!$C$4:$C$2020,MATCH(1, ('각층분기별_유효전력최대(전월)'!$A$4:$A$2020='7층~4층_매핑테이블'!F285) * ('각층분기별_유효전력최대(전월)'!$B$4:$B$2020='7층~4층_매핑테이블'!G285),0))</f>
        <v>0</v>
      </c>
      <c r="I285" t="str">
        <f t="shared" si="336"/>
        <v>5-DaHall 1-PDU-01-30-345-DaHall 1-PDU-02-30-34</v>
      </c>
      <c r="J285" s="217" t="s">
        <v>10779</v>
      </c>
      <c r="K285" s="217" t="s">
        <v>10780</v>
      </c>
      <c r="L285" t="str">
        <f t="shared" si="331"/>
        <v>5-DaHall 1-PDU-01</v>
      </c>
      <c r="M285" t="str">
        <f t="shared" si="327"/>
        <v>[branch#034] [A] W</v>
      </c>
      <c r="N285" t="str">
        <f t="shared" si="337"/>
        <v>5-DaHall 1-PDU-02</v>
      </c>
      <c r="O285" t="str">
        <f t="shared" si="328"/>
        <v>[branch#034] [A] W</v>
      </c>
      <c r="P285" s="2989" t="e" cm="1">
        <f t="array" ref="P285">INDEX('각층분기별_유효전력최대(전월)'!$F$4:$F$2020,MATCH(1, ('각층분기별_유효전력최대(전월)'!$D$4:$D$2020='7층~4층_매핑테이블'!L285) * ('각층분기별_유효전력최대(전월)'!$E$4:$E$2020='7층~4층_매핑테이블'!M285),0)) + INDEX('각층분기별_유효전력최대(전월)'!$F$4:$F$2020,MATCH(1, ('각층분기별_유효전력최대(전월)'!$D$4:$D$2020='7층~4층_매핑테이블'!N285) * ('각층분기별_유효전력최대(전월)'!$E$4:$E$2020='7층~4층_매핑테이블'!O285),0))</f>
        <v>#N/A</v>
      </c>
      <c r="Q285" s="1" t="str">
        <f t="shared" si="342"/>
        <v/>
      </c>
      <c r="V285" t="str">
        <f t="shared" si="340"/>
        <v/>
      </c>
      <c r="W285" t="str">
        <f t="shared" si="341"/>
        <v/>
      </c>
      <c r="X285" s="2989"/>
      <c r="Y285" s="3100"/>
      <c r="AB285" s="3274" t="str">
        <f t="shared" ref="AB285:AB288" si="344">IF(MID(Z285,16,2)="0","",MID(Z285,1,15)&amp;MID(Z285,16,2))</f>
        <v/>
      </c>
      <c r="AF285" s="2989" cm="1">
        <f t="array" ref="AF285">INDEX('각층분기별_유효전력최대(전월)'!$L$4:$L$2020,MATCH(1, ('각층분기별_유효전력최대(전월)'!$J$4:$J$2020='7층~4층_매핑테이블'!AB285) * ('각층분기별_유효전력최대(전월)'!$K$4:$K$2020='7층~4층_매핑테이블'!AC285),0)) + INDEX('각층분기별_유효전력최대(전월)'!$L$4:$L$2020,MATCH(1, ('각층분기별_유효전력최대(전월)'!$J$4:$J$2020='7층~4층_매핑테이블'!AD285) * ('각층분기별_유효전력최대(전월)'!$K$4:$K$2020='7층~4층_매핑테이블'!AE285),0))</f>
        <v>0</v>
      </c>
    </row>
    <row r="286" spans="1:32" x14ac:dyDescent="0.25">
      <c r="A286" t="str">
        <f t="shared" si="291"/>
        <v/>
      </c>
      <c r="D286" s="2989" t="str">
        <f t="shared" si="312"/>
        <v/>
      </c>
      <c r="E286" s="2989" t="str">
        <f t="shared" si="330"/>
        <v/>
      </c>
      <c r="F286" s="2989" t="str">
        <f t="shared" si="292"/>
        <v/>
      </c>
      <c r="G286" s="2989" t="str">
        <f t="shared" si="293"/>
        <v/>
      </c>
      <c r="H286" s="2989" cm="1">
        <f t="array" ref="H286">INDEX('각층분기별_유효전력최대(전월)'!$C$4:$C$2020,MATCH(1, ('각층분기별_유효전력최대(전월)'!$A$4:$A$2020='7층~4층_매핑테이블'!D286) * ('각층분기별_유효전력최대(전월)'!$B$4:$B$2020='7층~4층_매핑테이블'!E286),0)) + INDEX('각층분기별_유효전력최대(전월)'!$C$4:$C$2020,MATCH(1, ('각층분기별_유효전력최대(전월)'!$A$4:$A$2020='7층~4층_매핑테이블'!F286) * ('각층분기별_유효전력최대(전월)'!$B$4:$B$2020='7층~4층_매핑테이블'!G286),0))</f>
        <v>0</v>
      </c>
      <c r="I286" t="str">
        <f t="shared" si="336"/>
        <v>5-DaHall 1-PDU-01-30-365-DaHall 1-PDU-02-30-36</v>
      </c>
      <c r="J286" s="217" t="s">
        <v>10781</v>
      </c>
      <c r="K286" s="217" t="s">
        <v>10782</v>
      </c>
      <c r="L286" t="str">
        <f t="shared" si="331"/>
        <v>5-DaHall 1-PDU-01</v>
      </c>
      <c r="M286" t="str">
        <f t="shared" si="327"/>
        <v>[branch#036] [A] W</v>
      </c>
      <c r="N286" t="str">
        <f t="shared" si="337"/>
        <v>5-DaHall 1-PDU-02</v>
      </c>
      <c r="O286" t="str">
        <f t="shared" si="328"/>
        <v>[branch#036] [A] W</v>
      </c>
      <c r="P286" s="2989" t="e" cm="1">
        <f t="array" ref="P286">INDEX('각층분기별_유효전력최대(전월)'!$F$4:$F$2020,MATCH(1, ('각층분기별_유효전력최대(전월)'!$D$4:$D$2020='7층~4층_매핑테이블'!L286) * ('각층분기별_유효전력최대(전월)'!$E$4:$E$2020='7층~4층_매핑테이블'!M286),0)) + INDEX('각층분기별_유효전력최대(전월)'!$F$4:$F$2020,MATCH(1, ('각층분기별_유효전력최대(전월)'!$D$4:$D$2020='7층~4층_매핑테이블'!N286) * ('각층분기별_유효전력최대(전월)'!$E$4:$E$2020='7층~4층_매핑테이블'!O286),0))</f>
        <v>#N/A</v>
      </c>
      <c r="Q286" s="1" t="str">
        <f t="shared" si="342"/>
        <v/>
      </c>
      <c r="V286" t="str">
        <f t="shared" si="340"/>
        <v/>
      </c>
      <c r="W286" t="str">
        <f t="shared" si="341"/>
        <v/>
      </c>
      <c r="X286" s="2989"/>
      <c r="Y286" s="3100"/>
      <c r="AB286" s="3274" t="str">
        <f t="shared" si="344"/>
        <v/>
      </c>
      <c r="AF286" s="2989" cm="1">
        <f t="array" ref="AF286">INDEX('각층분기별_유효전력최대(전월)'!$L$4:$L$2020,MATCH(1, ('각층분기별_유효전력최대(전월)'!$J$4:$J$2020='7층~4층_매핑테이블'!AB286) * ('각층분기별_유효전력최대(전월)'!$K$4:$K$2020='7층~4층_매핑테이블'!AC286),0)) + INDEX('각층분기별_유효전력최대(전월)'!$L$4:$L$2020,MATCH(1, ('각층분기별_유효전력최대(전월)'!$J$4:$J$2020='7층~4층_매핑테이블'!AD286) * ('각층분기별_유효전력최대(전월)'!$K$4:$K$2020='7층~4층_매핑테이블'!AE286),0))</f>
        <v>0</v>
      </c>
    </row>
    <row r="287" spans="1:32" x14ac:dyDescent="0.25">
      <c r="A287" t="str">
        <f t="shared" si="291"/>
        <v/>
      </c>
      <c r="D287" s="2989" t="str">
        <f t="shared" si="312"/>
        <v/>
      </c>
      <c r="E287" s="2989" t="str">
        <f t="shared" si="330"/>
        <v/>
      </c>
      <c r="F287" s="2989" t="str">
        <f t="shared" si="292"/>
        <v/>
      </c>
      <c r="G287" s="2989" t="str">
        <f t="shared" si="293"/>
        <v/>
      </c>
      <c r="H287" s="2989" cm="1">
        <f t="array" ref="H287">INDEX('각층분기별_유효전력최대(전월)'!$C$4:$C$2020,MATCH(1, ('각층분기별_유효전력최대(전월)'!$A$4:$A$2020='7층~4층_매핑테이블'!D287) * ('각층분기별_유효전력최대(전월)'!$B$4:$B$2020='7층~4층_매핑테이블'!E287),0)) + INDEX('각층분기별_유효전력최대(전월)'!$C$4:$C$2020,MATCH(1, ('각층분기별_유효전력최대(전월)'!$A$4:$A$2020='7층~4층_매핑테이블'!F287) * ('각층분기별_유효전력최대(전월)'!$B$4:$B$2020='7층~4층_매핑테이블'!G287),0))</f>
        <v>0</v>
      </c>
      <c r="I287" t="str">
        <f t="shared" si="336"/>
        <v>5-DaHall 1-PDU-01-30-385-DaHall 1-PDU-02-30-38</v>
      </c>
      <c r="J287" s="217" t="s">
        <v>10783</v>
      </c>
      <c r="K287" s="217" t="s">
        <v>10784</v>
      </c>
      <c r="L287" t="str">
        <f t="shared" si="331"/>
        <v>5-DaHall 1-PDU-01</v>
      </c>
      <c r="M287" t="str">
        <f t="shared" si="327"/>
        <v>[branch#038] [A] W</v>
      </c>
      <c r="N287" t="str">
        <f t="shared" si="337"/>
        <v>5-DaHall 1-PDU-02</v>
      </c>
      <c r="O287" t="str">
        <f t="shared" si="328"/>
        <v>[branch#038] [A] W</v>
      </c>
      <c r="P287" s="2989" t="e" cm="1">
        <f t="array" ref="P287">INDEX('각층분기별_유효전력최대(전월)'!$F$4:$F$2020,MATCH(1, ('각층분기별_유효전력최대(전월)'!$D$4:$D$2020='7층~4층_매핑테이블'!L287) * ('각층분기별_유효전력최대(전월)'!$E$4:$E$2020='7층~4층_매핑테이블'!M287),0)) + INDEX('각층분기별_유효전력최대(전월)'!$F$4:$F$2020,MATCH(1, ('각층분기별_유효전력최대(전월)'!$D$4:$D$2020='7층~4층_매핑테이블'!N287) * ('각층분기별_유효전력최대(전월)'!$E$4:$E$2020='7층~4층_매핑테이블'!O287),0))</f>
        <v>#N/A</v>
      </c>
      <c r="Q287" s="1" t="str">
        <f>R287&amp;S287</f>
        <v/>
      </c>
      <c r="V287" t="str">
        <f>IF(MID(S287,16,2)="0","",MID(S287,1,15)&amp;MID(S287,16,2))</f>
        <v/>
      </c>
      <c r="W287" t="str">
        <f>IF(IF(LEN((MID(S287,22,2)))=1, "[branch#0"&amp;0&amp;MID(S287,22,2)&amp;"] [A] W", "[branch#0"&amp;MID(S287,22,2)&amp;"] [A] W")="[branch#0] [A] W", "", IF(LEN((MID(S287,22,2)))=1, "[branch#0"&amp;0&amp;MID(S287,22,2)&amp;"] [A] W", "[branch#0"&amp;MID(S287,22,2)&amp;"] [A] W"))</f>
        <v/>
      </c>
      <c r="X287" s="2989"/>
      <c r="Y287" s="3100"/>
      <c r="AB287" s="3274" t="str">
        <f t="shared" si="344"/>
        <v/>
      </c>
      <c r="AF287" s="2989" cm="1">
        <f t="array" ref="AF287">INDEX('각층분기별_유효전력최대(전월)'!$L$4:$L$2020,MATCH(1, ('각층분기별_유효전력최대(전월)'!$J$4:$J$2020='7층~4층_매핑테이블'!AB287) * ('각층분기별_유효전력최대(전월)'!$K$4:$K$2020='7층~4층_매핑테이블'!AC287),0)) + INDEX('각층분기별_유효전력최대(전월)'!$L$4:$L$2020,MATCH(1, ('각층분기별_유효전력최대(전월)'!$J$4:$J$2020='7층~4층_매핑테이블'!AD287) * ('각층분기별_유효전력최대(전월)'!$K$4:$K$2020='7층~4층_매핑테이블'!AE287),0))</f>
        <v>0</v>
      </c>
    </row>
    <row r="288" spans="1:32" x14ac:dyDescent="0.25">
      <c r="A288" t="str">
        <f t="shared" ref="A288:A317" si="345">B288&amp;C288</f>
        <v/>
      </c>
      <c r="D288" s="2989" t="str">
        <f t="shared" si="312"/>
        <v/>
      </c>
      <c r="E288" s="2989" t="str">
        <f t="shared" si="330"/>
        <v/>
      </c>
      <c r="F288" s="2989" t="str">
        <f t="shared" ref="F288:F317" si="346">IF(MID(C288,16,2)="0","",MID(C288,1,15)&amp;MID(C288,16,2))</f>
        <v/>
      </c>
      <c r="G288" s="2989" t="str">
        <f t="shared" ref="G288:G317" si="347">IF(IF(LEN(MID(C288,23,2))=1, "[branch#0"&amp;0&amp;MID(C288,23,2)&amp;"] [A] W", "[branch#0"&amp;MID(C288,23,2)&amp;"] [A] W")="[branch#0] [A] W", "", IF(LEN(MID(C288,23,2))=1, "[branch#0"&amp;0&amp;MID(C288,23,2)&amp;"] [A] W", "[branch#0"&amp;MID(C288,23,2)&amp;"] [A] W"))</f>
        <v/>
      </c>
      <c r="H288" s="2989" cm="1">
        <f t="array" ref="H288">INDEX('각층분기별_유효전력최대(전월)'!$C$4:$C$2020,MATCH(1, ('각층분기별_유효전력최대(전월)'!$A$4:$A$2020='7층~4층_매핑테이블'!D288) * ('각층분기별_유효전력최대(전월)'!$B$4:$B$2020='7층~4층_매핑테이블'!E288),0)) + INDEX('각층분기별_유효전력최대(전월)'!$C$4:$C$2020,MATCH(1, ('각층분기별_유효전력최대(전월)'!$A$4:$A$2020='7층~4층_매핑테이블'!F288) * ('각층분기별_유효전력최대(전월)'!$B$4:$B$2020='7층~4층_매핑테이블'!G288),0))</f>
        <v>0</v>
      </c>
      <c r="I288" t="str">
        <f t="shared" si="336"/>
        <v>5-DaHall 1-PDU-02-30-40</v>
      </c>
      <c r="J288" s="217"/>
      <c r="K288" s="217" t="s">
        <v>10785</v>
      </c>
      <c r="L288" t="str">
        <f t="shared" si="331"/>
        <v/>
      </c>
      <c r="M288" t="str">
        <f>IF(IF(LEN((MID(J288,22,2)))=1, "[branch#0"&amp;0&amp;MID(J288,22,2)&amp;"] [A] W", "[branch#0"&amp;MID(J288,22,2)&amp;"] [A] W")="[branch#0] [A] W", "", IF(LEN((MID(J288,22,2)))=1, "[branch#0"&amp;0&amp;MID(J288,22,2)&amp;"] [A] W", "[branch#0"&amp;MID(J288,22,2)&amp;"] [A] W"))</f>
        <v/>
      </c>
      <c r="N288" t="str">
        <f t="shared" si="337"/>
        <v>5-DaHall 1-PDU-02</v>
      </c>
      <c r="O288" t="str">
        <f t="shared" si="328"/>
        <v>[branch#040] [A] W</v>
      </c>
      <c r="P288" s="2989" t="e" cm="1">
        <f t="array" ref="P288">INDEX('각층분기별_유효전력최대(전월)'!$F$4:$F$2020,MATCH(1, ('각층분기별_유효전력최대(전월)'!$D$4:$D$2020='7층~4층_매핑테이블'!L288) * ('각층분기별_유효전력최대(전월)'!$E$4:$E$2020='7층~4층_매핑테이블'!M288),0)) + INDEX('각층분기별_유효전력최대(전월)'!$F$4:$F$2020,MATCH(1, ('각층분기별_유효전력최대(전월)'!$D$4:$D$2020='7층~4층_매핑테이블'!N288) * ('각층분기별_유효전력최대(전월)'!$E$4:$E$2020='7층~4층_매핑테이블'!O288),0))</f>
        <v>#N/A</v>
      </c>
      <c r="Q288" s="1" t="str">
        <f t="shared" si="342"/>
        <v/>
      </c>
      <c r="V288" t="str">
        <f t="shared" ref="V288" si="348">IF(MID(S288,16,2)="0","",MID(S288,1,15)&amp;MID(S288,16,2))</f>
        <v/>
      </c>
      <c r="W288" t="str">
        <f t="shared" ref="W288" si="349">IF(IF(LEN((MID(S288,22,2)))=1, "[branch#0"&amp;0&amp;MID(S288,22,2)&amp;"] [A] W", "[branch#0"&amp;MID(S288,22,2)&amp;"] [A] W")="[branch#0] [A] W", "", IF(LEN((MID(S288,22,2)))=1, "[branch#0"&amp;0&amp;MID(S288,22,2)&amp;"] [A] W", "[branch#0"&amp;MID(S288,22,2)&amp;"] [A] W"))</f>
        <v/>
      </c>
      <c r="X288" s="2989"/>
      <c r="Y288" s="3100"/>
      <c r="AB288" s="3274" t="str">
        <f t="shared" si="344"/>
        <v/>
      </c>
      <c r="AF288" s="2989" cm="1">
        <f t="array" ref="AF288">INDEX('각층분기별_유효전력최대(전월)'!$L$4:$L$2020,MATCH(1, ('각층분기별_유효전력최대(전월)'!$J$4:$J$2020='7층~4층_매핑테이블'!AB288) * ('각층분기별_유효전력최대(전월)'!$K$4:$K$2020='7층~4층_매핑테이블'!AC288),0)) + INDEX('각층분기별_유효전력최대(전월)'!$L$4:$L$2020,MATCH(1, ('각층분기별_유효전력최대(전월)'!$J$4:$J$2020='7층~4층_매핑테이블'!AD288) * ('각층분기별_유효전력최대(전월)'!$K$4:$K$2020='7층~4층_매핑테이블'!AE288),0))</f>
        <v>0</v>
      </c>
    </row>
    <row r="289" spans="1:32" x14ac:dyDescent="0.25">
      <c r="A289" t="str">
        <f t="shared" si="345"/>
        <v/>
      </c>
      <c r="D289" s="2989" t="str">
        <f t="shared" si="312"/>
        <v/>
      </c>
      <c r="E289" s="2989" t="str">
        <f t="shared" si="330"/>
        <v/>
      </c>
      <c r="F289" s="2989" t="str">
        <f t="shared" si="346"/>
        <v/>
      </c>
      <c r="G289" s="2989" t="str">
        <f t="shared" si="347"/>
        <v/>
      </c>
      <c r="H289" s="2989" cm="1">
        <f t="array" ref="H289">INDEX('각층분기별_유효전력최대(전월)'!$C$4:$C$2020,MATCH(1, ('각층분기별_유효전력최대(전월)'!$A$4:$A$2020='7층~4층_매핑테이블'!D289) * ('각층분기별_유효전력최대(전월)'!$B$4:$B$2020='7층~4층_매핑테이블'!E289),0)) + INDEX('각층분기별_유효전력최대(전월)'!$C$4:$C$2020,MATCH(1, ('각층분기별_유효전력최대(전월)'!$A$4:$A$2020='7층~4층_매핑테이블'!F289) * ('각층분기별_유효전력최대(전월)'!$B$4:$B$2020='7층~4층_매핑테이블'!G289),0))</f>
        <v>0</v>
      </c>
      <c r="I289" t="str">
        <f t="shared" si="336"/>
        <v>5-DaHall 1-PDU-01-30-495-DaHall 1-PDU-02-30-49</v>
      </c>
      <c r="J289" s="217" t="s">
        <v>10786</v>
      </c>
      <c r="K289" s="217" t="s">
        <v>10787</v>
      </c>
      <c r="L289" t="str">
        <f t="shared" si="331"/>
        <v>5-DaHall 1-PDU-01</v>
      </c>
      <c r="M289" t="str">
        <f>IF(IF(LEN((MID(J289,22,2)))=1, "[branch#0"&amp;0&amp;MID(J289,22,2)&amp;"] [A] W", "[branch#0"&amp;MID(J289,22,2)&amp;"] [A] W")="[branch#0] [A] W", "", IF(LEN((MID(J289,22,2)))=1, "[branch#0"&amp;0&amp;MID(J289,22,2)&amp;"] [A] W", "[branch#0"&amp;MID(J289,22,2)&amp;"] [A] W"))</f>
        <v>[branch#049] [A] W</v>
      </c>
      <c r="N289" t="str">
        <f t="shared" si="337"/>
        <v>5-DaHall 1-PDU-02</v>
      </c>
      <c r="O289" t="str">
        <f t="shared" si="328"/>
        <v>[branch#049] [A] W</v>
      </c>
      <c r="P289" s="2989" t="e" cm="1">
        <f t="array" ref="P289">INDEX('각층분기별_유효전력최대(전월)'!$F$4:$F$2020,MATCH(1, ('각층분기별_유효전력최대(전월)'!$D$4:$D$2020='7층~4층_매핑테이블'!L289) * ('각층분기별_유효전력최대(전월)'!$E$4:$E$2020='7층~4층_매핑테이블'!M289),0)) + INDEX('각층분기별_유효전력최대(전월)'!$F$4:$F$2020,MATCH(1, ('각층분기별_유효전력최대(전월)'!$D$4:$D$2020='7층~4층_매핑테이블'!N289) * ('각층분기별_유효전력최대(전월)'!$E$4:$E$2020='7층~4층_매핑테이블'!O289),0))</f>
        <v>#N/A</v>
      </c>
      <c r="Q289" s="1" t="str">
        <f t="shared" si="342"/>
        <v/>
      </c>
      <c r="V289" t="str">
        <f>IF(MID(S289,16,2)="0","",MID(S289,1,15)&amp;MID(S289,16,2))</f>
        <v/>
      </c>
      <c r="W289" t="str">
        <f>IF(IF(LEN((MID(S289,22,2)))=1, "[branch#0"&amp;0&amp;MID(S289,22,2)&amp;"] [A] W", "[branch#0"&amp;MID(S289,22,2)&amp;"] [A] W")="[branch#0] [A] W", "", IF(LEN((MID(S289,22,2)))=1, "[branch#0"&amp;0&amp;MID(S289,22,2)&amp;"] [A] W", "[branch#0"&amp;MID(S289,22,2)&amp;"] [A] W"))</f>
        <v/>
      </c>
      <c r="X289" s="2989"/>
      <c r="Y289" s="3100"/>
      <c r="AB289" s="3274" t="str">
        <f>IF(MID(Z289,16,2)="0","",MID(Z289,1,15)&amp;MID(Z289,16,2))</f>
        <v/>
      </c>
      <c r="AF289" s="2989" cm="1">
        <f t="array" ref="AF289">INDEX('각층분기별_유효전력최대(전월)'!$L$4:$L$2020,MATCH(1, ('각층분기별_유효전력최대(전월)'!$J$4:$J$2020='7층~4층_매핑테이블'!AB289) * ('각층분기별_유효전력최대(전월)'!$K$4:$K$2020='7층~4층_매핑테이블'!AC289),0)) + INDEX('각층분기별_유효전력최대(전월)'!$L$4:$L$2020,MATCH(1, ('각층분기별_유효전력최대(전월)'!$J$4:$J$2020='7층~4층_매핑테이블'!AD289) * ('각층분기별_유효전력최대(전월)'!$K$4:$K$2020='7층~4층_매핑테이블'!AE289),0))</f>
        <v>0</v>
      </c>
    </row>
    <row r="290" spans="1:32" x14ac:dyDescent="0.25">
      <c r="A290" t="str">
        <f t="shared" si="345"/>
        <v/>
      </c>
      <c r="D290" s="2989" t="str">
        <f t="shared" si="312"/>
        <v/>
      </c>
      <c r="E290" s="2989" t="str">
        <f t="shared" si="330"/>
        <v/>
      </c>
      <c r="F290" s="2989" t="str">
        <f t="shared" si="346"/>
        <v/>
      </c>
      <c r="G290" s="2989" t="str">
        <f t="shared" si="347"/>
        <v/>
      </c>
      <c r="H290" s="2989" cm="1">
        <f t="array" ref="H290">INDEX('각층분기별_유효전력최대(전월)'!$C$4:$C$2020,MATCH(1, ('각층분기별_유효전력최대(전월)'!$A$4:$A$2020='7층~4층_매핑테이블'!D290) * ('각층분기별_유효전력최대(전월)'!$B$4:$B$2020='7층~4층_매핑테이블'!E290),0)) + INDEX('각층분기별_유효전력최대(전월)'!$C$4:$C$2020,MATCH(1, ('각층분기별_유효전력최대(전월)'!$A$4:$A$2020='7층~4층_매핑테이블'!F290) * ('각층분기별_유효전력최대(전월)'!$B$4:$B$2020='7층~4층_매핑테이블'!G290),0))</f>
        <v>0</v>
      </c>
      <c r="I290" t="str">
        <f t="shared" si="336"/>
        <v>5-DaHall 1-PDU-01-30-25-DaHall 1-PDU-02-30-2</v>
      </c>
      <c r="J290" s="217" t="s">
        <v>10788</v>
      </c>
      <c r="K290" s="217" t="s">
        <v>10789</v>
      </c>
      <c r="L290" t="str">
        <f t="shared" si="331"/>
        <v>5-DaHall 1-PDU-01</v>
      </c>
      <c r="M290" t="str">
        <f t="shared" ref="M290:M293" si="350">IF(IF(LEN((MID(J290,22,2)))=1, "[branch#0"&amp;0&amp;MID(J290,22,2)&amp;"] [A] W", "[branch#0"&amp;MID(J290,22,2)&amp;"] [A] W")="[branch#0] [A] W", "", IF(LEN((MID(J290,22,2)))=1, "[branch#0"&amp;0&amp;MID(J290,22,2)&amp;"] [A] W", "[branch#0"&amp;MID(J290,22,2)&amp;"] [A] W"))</f>
        <v>[branch#002] [A] W</v>
      </c>
      <c r="N290" t="str">
        <f t="shared" si="337"/>
        <v>5-DaHall 1-PDU-02</v>
      </c>
      <c r="O290" t="str">
        <f t="shared" si="328"/>
        <v>[branch#002] [A] W</v>
      </c>
      <c r="P290" s="2989" cm="1">
        <f t="array" ref="P290">INDEX('각층분기별_유효전력최대(전월)'!$F$4:$F$2020,MATCH(1, ('각층분기별_유효전력최대(전월)'!$D$4:$D$2020='7층~4층_매핑테이블'!L290) * ('각층분기별_유효전력최대(전월)'!$E$4:$E$2020='7층~4층_매핑테이블'!M290),0)) + INDEX('각층분기별_유효전력최대(전월)'!$F$4:$F$2020,MATCH(1, ('각층분기별_유효전력최대(전월)'!$D$4:$D$2020='7층~4층_매핑테이블'!N290) * ('각층분기별_유효전력최대(전월)'!$E$4:$E$2020='7층~4층_매핑테이블'!O290),0))</f>
        <v>0</v>
      </c>
      <c r="Q290" s="1" t="str">
        <f>R290&amp;S290</f>
        <v/>
      </c>
      <c r="V290" t="str">
        <f t="shared" ref="V290:V298" si="351">IF(MID(S290,16,2)="0","",MID(S290,1,15)&amp;MID(S290,16,2))</f>
        <v/>
      </c>
      <c r="W290" t="str">
        <f t="shared" ref="W290:W298" si="352">IF(IF(LEN((MID(S290,22,2)))=1, "[branch#0"&amp;0&amp;MID(S290,22,2)&amp;"] [A] W", "[branch#0"&amp;MID(S290,22,2)&amp;"] [A] W")="[branch#0] [A] W", "", IF(LEN((MID(S290,22,2)))=1, "[branch#0"&amp;0&amp;MID(S290,22,2)&amp;"] [A] W", "[branch#0"&amp;MID(S290,22,2)&amp;"] [A] W"))</f>
        <v/>
      </c>
      <c r="X290" s="2989"/>
      <c r="Y290" s="3100"/>
      <c r="AB290" s="3274" t="str">
        <f>IF(MID(Z290,16,2)="0","",MID(Z290,1,15)&amp;MID(Z290,16,2))</f>
        <v/>
      </c>
      <c r="AF290" s="2989" cm="1">
        <f t="array" ref="AF290">INDEX('각층분기별_유효전력최대(전월)'!$L$4:$L$2020,MATCH(1, ('각층분기별_유효전력최대(전월)'!$J$4:$J$2020='7층~4층_매핑테이블'!AB290) * ('각층분기별_유효전력최대(전월)'!$K$4:$K$2020='7층~4층_매핑테이블'!AC290),0)) + INDEX('각층분기별_유효전력최대(전월)'!$L$4:$L$2020,MATCH(1, ('각층분기별_유효전력최대(전월)'!$J$4:$J$2020='7층~4층_매핑테이블'!AD290) * ('각층분기별_유효전력최대(전월)'!$K$4:$K$2020='7층~4층_매핑테이블'!AE290),0))</f>
        <v>0</v>
      </c>
    </row>
    <row r="291" spans="1:32" x14ac:dyDescent="0.25">
      <c r="A291" t="str">
        <f t="shared" si="345"/>
        <v/>
      </c>
      <c r="D291" s="2989" t="str">
        <f t="shared" si="312"/>
        <v/>
      </c>
      <c r="E291" s="2989" t="str">
        <f t="shared" si="330"/>
        <v/>
      </c>
      <c r="F291" s="2989" t="str">
        <f t="shared" si="346"/>
        <v/>
      </c>
      <c r="G291" s="2989" t="str">
        <f t="shared" si="347"/>
        <v/>
      </c>
      <c r="H291" s="2989" cm="1">
        <f t="array" ref="H291">INDEX('각층분기별_유효전력최대(전월)'!$C$4:$C$2020,MATCH(1, ('각층분기별_유효전력최대(전월)'!$A$4:$A$2020='7층~4층_매핑테이블'!D291) * ('각층분기별_유효전력최대(전월)'!$B$4:$B$2020='7층~4층_매핑테이블'!E291),0)) + INDEX('각층분기별_유효전력최대(전월)'!$C$4:$C$2020,MATCH(1, ('각층분기별_유효전력최대(전월)'!$A$4:$A$2020='7층~4층_매핑테이블'!F291) * ('각층분기별_유효전력최대(전월)'!$B$4:$B$2020='7층~4층_매핑테이블'!G291),0))</f>
        <v>0</v>
      </c>
      <c r="I291" t="str">
        <f t="shared" si="336"/>
        <v>5-DaHall 1-PDU-01-30-85-DaHall 1-PDU-02-30-8</v>
      </c>
      <c r="J291" s="217" t="s">
        <v>10790</v>
      </c>
      <c r="K291" s="217" t="s">
        <v>10791</v>
      </c>
      <c r="L291" t="str">
        <f t="shared" si="331"/>
        <v>5-DaHall 1-PDU-01</v>
      </c>
      <c r="M291" t="str">
        <f t="shared" si="350"/>
        <v>[branch#008] [A] W</v>
      </c>
      <c r="N291" t="str">
        <f t="shared" si="337"/>
        <v>5-DaHall 1-PDU-02</v>
      </c>
      <c r="O291" t="str">
        <f t="shared" si="328"/>
        <v>[branch#008] [A] W</v>
      </c>
      <c r="P291" s="2989" cm="1">
        <f t="array" ref="P291">INDEX('각층분기별_유효전력최대(전월)'!$F$4:$F$2020,MATCH(1, ('각층분기별_유효전력최대(전월)'!$D$4:$D$2020='7층~4층_매핑테이블'!L291) * ('각층분기별_유효전력최대(전월)'!$E$4:$E$2020='7층~4층_매핑테이블'!M291),0)) + INDEX('각층분기별_유효전력최대(전월)'!$F$4:$F$2020,MATCH(1, ('각층분기별_유효전력최대(전월)'!$D$4:$D$2020='7층~4층_매핑테이블'!N291) * ('각층분기별_유효전력최대(전월)'!$E$4:$E$2020='7층~4층_매핑테이블'!O291),0))</f>
        <v>5.8699999999999992</v>
      </c>
      <c r="Q291" s="1" t="str">
        <f t="shared" ref="Q291" si="353">R291&amp;S291</f>
        <v/>
      </c>
      <c r="V291" t="str">
        <f t="shared" si="351"/>
        <v/>
      </c>
      <c r="W291" t="str">
        <f t="shared" si="352"/>
        <v/>
      </c>
      <c r="X291" s="2989"/>
      <c r="Y291" s="3100"/>
      <c r="AB291" s="3274" t="str">
        <f>IF(MID(Z291,16,2)="0","",MID(Z291,1,15)&amp;MID(Z291,16,2))</f>
        <v/>
      </c>
      <c r="AF291" s="2989" cm="1">
        <f t="array" ref="AF291">INDEX('각층분기별_유효전력최대(전월)'!$L$4:$L$2020,MATCH(1, ('각층분기별_유효전력최대(전월)'!$J$4:$J$2020='7층~4층_매핑테이블'!AB291) * ('각층분기별_유효전력최대(전월)'!$K$4:$K$2020='7층~4층_매핑테이블'!AC291),0)) + INDEX('각층분기별_유효전력최대(전월)'!$L$4:$L$2020,MATCH(1, ('각층분기별_유효전력최대(전월)'!$J$4:$J$2020='7층~4층_매핑테이블'!AD291) * ('각층분기별_유효전력최대(전월)'!$K$4:$K$2020='7층~4층_매핑테이블'!AE291),0))</f>
        <v>0</v>
      </c>
    </row>
    <row r="292" spans="1:32" x14ac:dyDescent="0.25">
      <c r="A292" t="str">
        <f t="shared" si="345"/>
        <v/>
      </c>
      <c r="D292" s="2989" t="str">
        <f t="shared" si="312"/>
        <v/>
      </c>
      <c r="E292" s="2989" t="str">
        <f t="shared" si="330"/>
        <v/>
      </c>
      <c r="F292" s="2989" t="str">
        <f t="shared" si="346"/>
        <v/>
      </c>
      <c r="G292" s="2989" t="str">
        <f t="shared" si="347"/>
        <v/>
      </c>
      <c r="H292" s="2989" cm="1">
        <f t="array" ref="H292">INDEX('각층분기별_유효전력최대(전월)'!$C$4:$C$2020,MATCH(1, ('각층분기별_유효전력최대(전월)'!$A$4:$A$2020='7층~4층_매핑테이블'!D292) * ('각층분기별_유효전력최대(전월)'!$B$4:$B$2020='7층~4층_매핑테이블'!E292),0)) + INDEX('각층분기별_유효전력최대(전월)'!$C$4:$C$2020,MATCH(1, ('각층분기별_유효전력최대(전월)'!$A$4:$A$2020='7층~4층_매핑테이블'!F292) * ('각층분기별_유효전력최대(전월)'!$B$4:$B$2020='7층~4층_매핑테이블'!G292),0))</f>
        <v>0</v>
      </c>
      <c r="I292" t="str">
        <f t="shared" si="336"/>
        <v>5-DaHall 1-PDU-01-30-275-DaHall 1-PDU-02-30-27</v>
      </c>
      <c r="J292" s="217" t="s">
        <v>10792</v>
      </c>
      <c r="K292" s="217" t="s">
        <v>10793</v>
      </c>
      <c r="L292" t="str">
        <f t="shared" si="331"/>
        <v>5-DaHall 1-PDU-01</v>
      </c>
      <c r="M292" t="str">
        <f t="shared" si="350"/>
        <v>[branch#027] [A] W</v>
      </c>
      <c r="N292" t="str">
        <f t="shared" si="337"/>
        <v>5-DaHall 1-PDU-02</v>
      </c>
      <c r="O292" t="str">
        <f t="shared" si="328"/>
        <v>[branch#027] [A] W</v>
      </c>
      <c r="P292" s="2989" t="e" cm="1">
        <f t="array" ref="P292">INDEX('각층분기별_유효전력최대(전월)'!$F$4:$F$2020,MATCH(1, ('각층분기별_유효전력최대(전월)'!$D$4:$D$2020='7층~4층_매핑테이블'!L292) * ('각층분기별_유효전력최대(전월)'!$E$4:$E$2020='7층~4층_매핑테이블'!M292),0)) + INDEX('각층분기별_유효전력최대(전월)'!$F$4:$F$2020,MATCH(1, ('각층분기별_유효전력최대(전월)'!$D$4:$D$2020='7층~4층_매핑테이블'!N292) * ('각층분기별_유효전력최대(전월)'!$E$4:$E$2020='7층~4층_매핑테이블'!O292),0))</f>
        <v>#N/A</v>
      </c>
      <c r="Q292" s="1" t="str">
        <f>R292&amp;S292</f>
        <v/>
      </c>
      <c r="V292" t="str">
        <f t="shared" si="351"/>
        <v/>
      </c>
      <c r="W292" t="str">
        <f t="shared" si="352"/>
        <v/>
      </c>
      <c r="X292" s="2989"/>
      <c r="Y292" s="3100"/>
      <c r="AB292" s="3274" t="str">
        <f t="shared" ref="AB292:AB294" si="354">IF(MID(Z292,16,2)="0","",MID(Z292,1,15)&amp;MID(Z292,16,2))</f>
        <v/>
      </c>
      <c r="AF292" s="2989" cm="1">
        <f t="array" ref="AF292">INDEX('각층분기별_유효전력최대(전월)'!$L$4:$L$2020,MATCH(1, ('각층분기별_유효전력최대(전월)'!$J$4:$J$2020='7층~4층_매핑테이블'!AB292) * ('각층분기별_유효전력최대(전월)'!$K$4:$K$2020='7층~4층_매핑테이블'!AC292),0)) + INDEX('각층분기별_유효전력최대(전월)'!$L$4:$L$2020,MATCH(1, ('각층분기별_유효전력최대(전월)'!$J$4:$J$2020='7층~4층_매핑테이블'!AD292) * ('각층분기별_유효전력최대(전월)'!$K$4:$K$2020='7층~4층_매핑테이블'!AE292),0))</f>
        <v>0</v>
      </c>
    </row>
    <row r="293" spans="1:32" x14ac:dyDescent="0.25">
      <c r="A293" t="str">
        <f t="shared" si="345"/>
        <v/>
      </c>
      <c r="D293" s="2989" t="str">
        <f t="shared" si="312"/>
        <v/>
      </c>
      <c r="E293" s="2989" t="str">
        <f t="shared" si="330"/>
        <v/>
      </c>
      <c r="F293" s="2989" t="str">
        <f t="shared" si="346"/>
        <v/>
      </c>
      <c r="G293" s="2989" t="str">
        <f t="shared" si="347"/>
        <v/>
      </c>
      <c r="H293" s="2989" cm="1">
        <f t="array" ref="H293">INDEX('각층분기별_유효전력최대(전월)'!$C$4:$C$2020,MATCH(1, ('각층분기별_유효전력최대(전월)'!$A$4:$A$2020='7층~4층_매핑테이블'!D293) * ('각층분기별_유효전력최대(전월)'!$B$4:$B$2020='7층~4층_매핑테이블'!E293),0)) + INDEX('각층분기별_유효전력최대(전월)'!$C$4:$C$2020,MATCH(1, ('각층분기별_유효전력최대(전월)'!$A$4:$A$2020='7층~4층_매핑테이블'!F293) * ('각층분기별_유효전력최대(전월)'!$B$4:$B$2020='7층~4층_매핑테이블'!G293),0))</f>
        <v>0</v>
      </c>
      <c r="I293" t="str">
        <f t="shared" si="336"/>
        <v>5-DaHall 1-PDU-01-30-295-DaHall 1-PDU-02-30-29</v>
      </c>
      <c r="J293" s="217" t="s">
        <v>10794</v>
      </c>
      <c r="K293" s="217" t="s">
        <v>10795</v>
      </c>
      <c r="L293" t="str">
        <f t="shared" si="331"/>
        <v>5-DaHall 1-PDU-01</v>
      </c>
      <c r="M293" t="str">
        <f t="shared" si="350"/>
        <v>[branch#029] [A] W</v>
      </c>
      <c r="N293" t="str">
        <f t="shared" si="337"/>
        <v>5-DaHall 1-PDU-02</v>
      </c>
      <c r="O293" t="str">
        <f t="shared" si="328"/>
        <v>[branch#029] [A] W</v>
      </c>
      <c r="P293" s="2989" t="e" cm="1">
        <f t="array" ref="P293">INDEX('각층분기별_유효전력최대(전월)'!$F$4:$F$2020,MATCH(1, ('각층분기별_유효전력최대(전월)'!$D$4:$D$2020='7층~4층_매핑테이블'!L293) * ('각층분기별_유효전력최대(전월)'!$E$4:$E$2020='7층~4층_매핑테이블'!M293),0)) + INDEX('각층분기별_유효전력최대(전월)'!$F$4:$F$2020,MATCH(1, ('각층분기별_유효전력최대(전월)'!$D$4:$D$2020='7층~4층_매핑테이블'!N293) * ('각층분기별_유효전력최대(전월)'!$E$4:$E$2020='7층~4층_매핑테이블'!O293),0))</f>
        <v>#N/A</v>
      </c>
      <c r="Q293" s="1" t="str">
        <f t="shared" ref="Q293:Q301" si="355">R293&amp;S293</f>
        <v/>
      </c>
      <c r="V293" t="str">
        <f t="shared" si="351"/>
        <v/>
      </c>
      <c r="W293" t="str">
        <f t="shared" si="352"/>
        <v/>
      </c>
      <c r="X293" s="2989"/>
      <c r="Y293" s="3100"/>
      <c r="AB293" s="3274" t="str">
        <f t="shared" si="354"/>
        <v/>
      </c>
      <c r="AF293" s="2989" cm="1">
        <f t="array" ref="AF293">INDEX('각층분기별_유효전력최대(전월)'!$L$4:$L$2020,MATCH(1, ('각층분기별_유효전력최대(전월)'!$J$4:$J$2020='7층~4층_매핑테이블'!AB293) * ('각층분기별_유효전력최대(전월)'!$K$4:$K$2020='7층~4층_매핑테이블'!AC293),0)) + INDEX('각층분기별_유효전력최대(전월)'!$L$4:$L$2020,MATCH(1, ('각층분기별_유효전력최대(전월)'!$J$4:$J$2020='7층~4층_매핑테이블'!AD293) * ('각층분기별_유효전력최대(전월)'!$K$4:$K$2020='7층~4층_매핑테이블'!AE293),0))</f>
        <v>0</v>
      </c>
    </row>
    <row r="294" spans="1:32" x14ac:dyDescent="0.25">
      <c r="A294" t="str">
        <f t="shared" si="345"/>
        <v/>
      </c>
      <c r="D294" s="2989" t="str">
        <f t="shared" si="312"/>
        <v/>
      </c>
      <c r="E294" s="2989" t="str">
        <f t="shared" si="330"/>
        <v/>
      </c>
      <c r="F294" s="2989" t="str">
        <f t="shared" si="346"/>
        <v/>
      </c>
      <c r="G294" s="2989" t="str">
        <f t="shared" si="347"/>
        <v/>
      </c>
      <c r="H294" s="2989" cm="1">
        <f t="array" ref="H294">INDEX('각층분기별_유효전력최대(전월)'!$C$4:$C$2020,MATCH(1, ('각층분기별_유효전력최대(전월)'!$A$4:$A$2020='7층~4층_매핑테이블'!D294) * ('각층분기별_유효전력최대(전월)'!$B$4:$B$2020='7층~4층_매핑테이블'!E294),0)) + INDEX('각층분기별_유효전력최대(전월)'!$C$4:$C$2020,MATCH(1, ('각층분기별_유효전력최대(전월)'!$A$4:$A$2020='7층~4층_매핑테이블'!F294) * ('각층분기별_유효전력최대(전월)'!$B$4:$B$2020='7층~4층_매핑테이블'!G294),0))</f>
        <v>0</v>
      </c>
      <c r="I294" t="str">
        <f t="shared" si="336"/>
        <v>5-DaHall 1-PDU-14-20-32</v>
      </c>
      <c r="J294" s="217"/>
      <c r="K294" s="217" t="s">
        <v>10796</v>
      </c>
      <c r="L294" t="str">
        <f t="shared" si="331"/>
        <v/>
      </c>
      <c r="M294" t="str">
        <f>IF(IF(LEN((MID(J294,22,2)))=1, "[branch#0"&amp;0&amp;MID(J294,22,2)&amp;"] [A] W", "[branch#0"&amp;MID(J294,22,2)&amp;"] [A] W")="[branch#0] [A] W", "", IF(LEN((MID(J294,22,2)))=1, "[branch#0"&amp;0&amp;MID(J294,22,2)&amp;"] [A] W", "[branch#0"&amp;MID(J294,22,2)&amp;"] [A] W"))</f>
        <v/>
      </c>
      <c r="N294" t="str">
        <f t="shared" si="337"/>
        <v>5-DaHall 1-PDU-14</v>
      </c>
      <c r="O294" t="str">
        <f t="shared" si="328"/>
        <v>[branch#032] [A] W</v>
      </c>
      <c r="P294" s="2989" cm="1">
        <f t="array" ref="P294">INDEX('각층분기별_유효전력최대(전월)'!$F$4:$F$2020,MATCH(1, ('각층분기별_유효전력최대(전월)'!$D$4:$D$2020='7층~4층_매핑테이블'!L294) * ('각층분기별_유효전력최대(전월)'!$E$4:$E$2020='7층~4층_매핑테이블'!M294),0)) + INDEX('각층분기별_유효전력최대(전월)'!$F$4:$F$2020,MATCH(1, ('각층분기별_유효전력최대(전월)'!$D$4:$D$2020='7층~4층_매핑테이블'!N294) * ('각층분기별_유효전력최대(전월)'!$E$4:$E$2020='7층~4층_매핑테이블'!O294),0))</f>
        <v>0</v>
      </c>
      <c r="Q294" s="1" t="str">
        <f t="shared" si="355"/>
        <v/>
      </c>
      <c r="V294" t="str">
        <f t="shared" si="351"/>
        <v/>
      </c>
      <c r="W294" t="str">
        <f t="shared" si="352"/>
        <v/>
      </c>
      <c r="X294" s="2989"/>
      <c r="Y294" s="3100"/>
      <c r="AB294" s="3274" t="str">
        <f t="shared" si="354"/>
        <v/>
      </c>
      <c r="AF294" s="2989" cm="1">
        <f t="array" ref="AF294">INDEX('각층분기별_유효전력최대(전월)'!$L$4:$L$2020,MATCH(1, ('각층분기별_유효전력최대(전월)'!$J$4:$J$2020='7층~4층_매핑테이블'!AB294) * ('각층분기별_유효전력최대(전월)'!$K$4:$K$2020='7층~4층_매핑테이블'!AC294),0)) + INDEX('각층분기별_유효전력최대(전월)'!$L$4:$L$2020,MATCH(1, ('각층분기별_유효전력최대(전월)'!$J$4:$J$2020='7층~4층_매핑테이블'!AD294) * ('각층분기별_유효전력최대(전월)'!$K$4:$K$2020='7층~4층_매핑테이블'!AE294),0))</f>
        <v>0</v>
      </c>
    </row>
    <row r="295" spans="1:32" x14ac:dyDescent="0.25">
      <c r="A295" t="str">
        <f t="shared" si="345"/>
        <v/>
      </c>
      <c r="D295" s="2989" t="str">
        <f t="shared" si="312"/>
        <v/>
      </c>
      <c r="E295" s="2989" t="str">
        <f t="shared" si="330"/>
        <v/>
      </c>
      <c r="F295" s="2989" t="str">
        <f t="shared" si="346"/>
        <v/>
      </c>
      <c r="G295" s="2989" t="str">
        <f t="shared" si="347"/>
        <v/>
      </c>
      <c r="H295" s="2989" cm="1">
        <f t="array" ref="H295">INDEX('각층분기별_유효전력최대(전월)'!$C$4:$C$2020,MATCH(1, ('각층분기별_유효전력최대(전월)'!$A$4:$A$2020='7층~4층_매핑테이블'!D295) * ('각층분기별_유효전력최대(전월)'!$B$4:$B$2020='7층~4층_매핑테이블'!E295),0)) + INDEX('각층분기별_유효전력최대(전월)'!$C$4:$C$2020,MATCH(1, ('각층분기별_유효전력최대(전월)'!$A$4:$A$2020='7층~4층_매핑테이블'!F295) * ('각층분기별_유효전력최대(전월)'!$B$4:$B$2020='7층~4층_매핑테이블'!G295),0))</f>
        <v>0</v>
      </c>
      <c r="I295" t="str">
        <f t="shared" si="336"/>
        <v/>
      </c>
      <c r="J295" s="217"/>
      <c r="K295" s="217"/>
      <c r="L295" t="str">
        <f t="shared" si="331"/>
        <v/>
      </c>
      <c r="M295" t="str">
        <f t="shared" ref="M295:M296" si="356">IF(IF(LEN((MID(J295,22,2)))=1, "[branch#0"&amp;0&amp;MID(J295,22,2)&amp;"] [A] W", "[branch#0"&amp;MID(J295,22,2)&amp;"] [A] W")="[branch#0] [A] W", "", IF(LEN((MID(J295,22,2)))=1, "[branch#0"&amp;0&amp;MID(J295,22,2)&amp;"] [A] W", "[branch#0"&amp;MID(J295,22,2)&amp;"] [A] W"))</f>
        <v/>
      </c>
      <c r="N295" t="str">
        <f t="shared" si="337"/>
        <v/>
      </c>
      <c r="O295" t="str">
        <f>IF(IF(LEN((MID(K295,22,2)))=1, "[branch#0"&amp;0&amp;MID(K295,22,2)&amp;"] [A] W", "[branch#0"&amp;MID(K295,22,2)&amp;"] [A] W")="[branch#0] [A] W", "", IF(LEN((MID(K295,22,2)))=1, "[branch#0"&amp;0&amp;MID(K295,22,2)&amp;"] [A] W", "[branch#0"&amp;MID(K295,22,2)&amp;"] [A] W"))</f>
        <v/>
      </c>
      <c r="P295" s="2989" cm="1">
        <f t="array" ref="P295">INDEX('각층분기별_유효전력최대(전월)'!$F$4:$F$2020,MATCH(1, ('각층분기별_유효전력최대(전월)'!$D$4:$D$2020='7층~4층_매핑테이블'!L295) * ('각층분기별_유효전력최대(전월)'!$E$4:$E$2020='7층~4층_매핑테이블'!M295),0)) + INDEX('각층분기별_유효전력최대(전월)'!$F$4:$F$2020,MATCH(1, ('각층분기별_유효전력최대(전월)'!$D$4:$D$2020='7층~4층_매핑테이블'!N295) * ('각층분기별_유효전력최대(전월)'!$E$4:$E$2020='7층~4층_매핑테이블'!O295),0))</f>
        <v>0</v>
      </c>
      <c r="Q295" s="1" t="str">
        <f t="shared" si="355"/>
        <v/>
      </c>
      <c r="V295" t="str">
        <f>IF(MID(S295,16,2)="0","",MID(S295,1,15)&amp;MID(S295,16,2))</f>
        <v/>
      </c>
      <c r="W295" t="str">
        <f>IF(IF(LEN((MID(S295,22,2)))=1, "[branch#0"&amp;0&amp;MID(S295,22,2)&amp;"] [A] W", "[branch#0"&amp;MID(S295,22,2)&amp;"] [A] W")="[branch#0] [A] W", "", IF(LEN((MID(S295,22,2)))=1, "[branch#0"&amp;0&amp;MID(S295,22,2)&amp;"] [A] W", "[branch#0"&amp;MID(S295,22,2)&amp;"] [A] W"))</f>
        <v/>
      </c>
      <c r="X295" s="2989"/>
      <c r="Y295" s="3100"/>
      <c r="AB295" s="3274" t="str">
        <f>IF(MID(Z295,16,2)="0","",MID(Z295,1,15)&amp;MID(Z295,16,2))</f>
        <v/>
      </c>
      <c r="AF295" s="2989" cm="1">
        <f t="array" ref="AF295">INDEX('각층분기별_유효전력최대(전월)'!$L$4:$L$2020,MATCH(1, ('각층분기별_유효전력최대(전월)'!$J$4:$J$2020='7층~4층_매핑테이블'!AB295) * ('각층분기별_유효전력최대(전월)'!$K$4:$K$2020='7층~4층_매핑테이블'!AC295),0)) + INDEX('각층분기별_유효전력최대(전월)'!$L$4:$L$2020,MATCH(1, ('각층분기별_유효전력최대(전월)'!$J$4:$J$2020='7층~4층_매핑테이블'!AD295) * ('각층분기별_유효전력최대(전월)'!$K$4:$K$2020='7층~4층_매핑테이블'!AE295),0))</f>
        <v>0</v>
      </c>
    </row>
    <row r="296" spans="1:32" x14ac:dyDescent="0.25">
      <c r="A296" t="str">
        <f t="shared" si="345"/>
        <v/>
      </c>
      <c r="D296" s="2989"/>
      <c r="E296" s="2989"/>
      <c r="F296" s="2989" t="str">
        <f t="shared" si="346"/>
        <v/>
      </c>
      <c r="G296" s="2989" t="str">
        <f t="shared" si="347"/>
        <v/>
      </c>
      <c r="H296" s="2989" cm="1">
        <f t="array" ref="H296">INDEX('각층분기별_유효전력최대(전월)'!$C$4:$C$2020,MATCH(1, ('각층분기별_유효전력최대(전월)'!$A$4:$A$2020='7층~4층_매핑테이블'!D296) * ('각층분기별_유효전력최대(전월)'!$B$4:$B$2020='7층~4층_매핑테이블'!E296),0)) + INDEX('각층분기별_유효전력최대(전월)'!$C$4:$C$2020,MATCH(1, ('각층분기별_유효전력최대(전월)'!$A$4:$A$2020='7층~4층_매핑테이블'!F296) * ('각층분기별_유효전력최대(전월)'!$B$4:$B$2020='7층~4층_매핑테이블'!G296),0))</f>
        <v>0</v>
      </c>
      <c r="I296" t="str">
        <f t="shared" si="336"/>
        <v/>
      </c>
      <c r="J296" s="217"/>
      <c r="K296" s="217"/>
      <c r="L296" t="str">
        <f t="shared" si="331"/>
        <v/>
      </c>
      <c r="M296" t="str">
        <f t="shared" si="356"/>
        <v/>
      </c>
      <c r="N296" t="str">
        <f t="shared" si="337"/>
        <v/>
      </c>
      <c r="O296" t="str">
        <f t="shared" ref="O296" si="357">IF(IF(LEN((MID(K296,22,2)))=1, "[branch#0"&amp;0&amp;MID(K296,22,2)&amp;"] [A] W", "[branch#0"&amp;MID(K296,22,2)&amp;"] [A] W")="[branch#0] [A] W", "", IF(LEN((MID(K296,22,2)))=1, "[branch#0"&amp;0&amp;MID(K296,22,2)&amp;"] [A] W", "[branch#0"&amp;MID(K296,22,2)&amp;"] [A] W"))</f>
        <v/>
      </c>
      <c r="P296" s="2989" cm="1">
        <f t="array" ref="P296">INDEX('각층분기별_유효전력최대(전월)'!$F$4:$F$2020,MATCH(1, ('각층분기별_유효전력최대(전월)'!$D$4:$D$2020='7층~4층_매핑테이블'!L296) * ('각층분기별_유효전력최대(전월)'!$E$4:$E$2020='7층~4층_매핑테이블'!M296),0)) + INDEX('각층분기별_유효전력최대(전월)'!$F$4:$F$2020,MATCH(1, ('각층분기별_유효전력최대(전월)'!$D$4:$D$2020='7층~4층_매핑테이블'!N296) * ('각층분기별_유효전력최대(전월)'!$E$4:$E$2020='7층~4층_매핑테이블'!O296),0))</f>
        <v>0</v>
      </c>
      <c r="Q296" s="1" t="str">
        <f t="shared" si="355"/>
        <v/>
      </c>
      <c r="V296" t="str">
        <f t="shared" si="351"/>
        <v/>
      </c>
      <c r="W296" t="str">
        <f t="shared" si="352"/>
        <v/>
      </c>
      <c r="X296" s="2989"/>
      <c r="Y296" s="3100"/>
      <c r="AB296" s="3274" t="str">
        <f>IF(MID(Z296,16,2)="0","",MID(Z296,1,15)&amp;MID(Z296,16,2))</f>
        <v/>
      </c>
      <c r="AF296" s="2989" cm="1">
        <f t="array" ref="AF296">INDEX('각층분기별_유효전력최대(전월)'!$L$4:$L$2020,MATCH(1, ('각층분기별_유효전력최대(전월)'!$J$4:$J$2020='7층~4층_매핑테이블'!AB296) * ('각층분기별_유효전력최대(전월)'!$K$4:$K$2020='7층~4층_매핑테이블'!AC296),0)) + INDEX('각층분기별_유효전력최대(전월)'!$L$4:$L$2020,MATCH(1, ('각층분기별_유효전력최대(전월)'!$J$4:$J$2020='7층~4층_매핑테이블'!AD296) * ('각층분기별_유효전력최대(전월)'!$K$4:$K$2020='7층~4층_매핑테이블'!AE296),0))</f>
        <v>0</v>
      </c>
    </row>
    <row r="297" spans="1:32" x14ac:dyDescent="0.25">
      <c r="A297" t="str">
        <f t="shared" si="345"/>
        <v/>
      </c>
      <c r="D297" s="2989"/>
      <c r="E297" s="2989"/>
      <c r="F297" s="2989" t="str">
        <f t="shared" si="346"/>
        <v/>
      </c>
      <c r="G297" s="2989" t="str">
        <f t="shared" si="347"/>
        <v/>
      </c>
      <c r="H297" s="2989" cm="1">
        <f t="array" ref="H297">INDEX('각층분기별_유효전력최대(전월)'!$C$4:$C$2020,MATCH(1, ('각층분기별_유효전력최대(전월)'!$A$4:$A$2020='7층~4층_매핑테이블'!D297) * ('각층분기별_유효전력최대(전월)'!$B$4:$B$2020='7층~4층_매핑테이블'!E297),0)) + INDEX('각층분기별_유효전력최대(전월)'!$C$4:$C$2020,MATCH(1, ('각층분기별_유효전력최대(전월)'!$A$4:$A$2020='7층~4층_매핑테이블'!F297) * ('각층분기별_유효전력최대(전월)'!$B$4:$B$2020='7층~4층_매핑테이블'!G297),0))</f>
        <v>0</v>
      </c>
      <c r="I297" t="str">
        <f t="shared" si="336"/>
        <v>5-DaHall 1-PDU-15-30-135-DaHall 1-PDU-16-30-13</v>
      </c>
      <c r="J297" s="217" t="s">
        <v>10797</v>
      </c>
      <c r="K297" s="217" t="s">
        <v>10798</v>
      </c>
      <c r="L297" t="str">
        <f t="shared" si="331"/>
        <v>5-DaHall 1-PDU-15</v>
      </c>
      <c r="M297" t="str">
        <f>IF(IF(LEN((MID(J297,22,2)))=1, "[branch#0"&amp;0&amp;MID(J297,22,2)&amp;"] [A] W", "[branch#0"&amp;MID(J297,22,2)&amp;"] [A] W")="[branch#0] [A] W", "", IF(LEN((MID(J297,22,2)))=1, "[branch#0"&amp;0&amp;MID(J297,22,2)&amp;"] [A] W", "[branch#0"&amp;MID(J297,22,2)&amp;"] [A] W"))</f>
        <v>[branch#013] [A] W</v>
      </c>
      <c r="N297" t="str">
        <f t="shared" si="337"/>
        <v>5-DaHall 1-PDU-16</v>
      </c>
      <c r="O297" t="str">
        <f>IF(IF(LEN((MID(K297,22,2)))=1, "[branch#0"&amp;0&amp;MID(K297,22,2)&amp;"] [A] W", "[branch#0"&amp;MID(K297,22,2)&amp;"] [A] W")="[branch#0] [A] W", "", IF(LEN((MID(K297,22,2)))=1, "[branch#0"&amp;0&amp;MID(K297,22,2)&amp;"] [A] W", "[branch#0"&amp;MID(K297,22,2)&amp;"] [A] W"))</f>
        <v>[branch#013] [A] W</v>
      </c>
      <c r="P297" s="2989" cm="1">
        <f t="array" ref="P297">INDEX('각층분기별_유효전력최대(전월)'!$F$4:$F$2020,MATCH(1, ('각층분기별_유효전력최대(전월)'!$D$4:$D$2020='7층~4층_매핑테이블'!L297) * ('각층분기별_유효전력최대(전월)'!$E$4:$E$2020='7층~4층_매핑테이블'!M297),0)) + INDEX('각층분기별_유효전력최대(전월)'!$F$4:$F$2020,MATCH(1, ('각층분기별_유효전력최대(전월)'!$D$4:$D$2020='7층~4층_매핑테이블'!N297) * ('각층분기별_유효전력최대(전월)'!$E$4:$E$2020='7층~4층_매핑테이블'!O297),0))</f>
        <v>0.503</v>
      </c>
      <c r="Q297" s="1" t="str">
        <f t="shared" si="355"/>
        <v/>
      </c>
      <c r="V297" t="str">
        <f t="shared" si="351"/>
        <v/>
      </c>
      <c r="W297" t="str">
        <f t="shared" si="352"/>
        <v/>
      </c>
      <c r="X297" s="2989"/>
      <c r="Y297" s="3100"/>
      <c r="AB297" s="3274" t="str">
        <f>IF(MID(Z297,16,2)="0","",MID(Z297,1,15)&amp;MID(Z297,16,2))</f>
        <v/>
      </c>
      <c r="AF297" s="2989" cm="1">
        <f t="array" ref="AF297">INDEX('각층분기별_유효전력최대(전월)'!$L$4:$L$2020,MATCH(1, ('각층분기별_유효전력최대(전월)'!$J$4:$J$2020='7층~4층_매핑테이블'!AB297) * ('각층분기별_유효전력최대(전월)'!$K$4:$K$2020='7층~4층_매핑테이블'!AC297),0)) + INDEX('각층분기별_유효전력최대(전월)'!$L$4:$L$2020,MATCH(1, ('각층분기별_유효전력최대(전월)'!$J$4:$J$2020='7층~4층_매핑테이블'!AD297) * ('각층분기별_유효전력최대(전월)'!$K$4:$K$2020='7층~4층_매핑테이블'!AE297),0))</f>
        <v>0</v>
      </c>
    </row>
    <row r="298" spans="1:32" x14ac:dyDescent="0.25">
      <c r="A298" t="str">
        <f t="shared" si="345"/>
        <v/>
      </c>
      <c r="D298" s="2989"/>
      <c r="E298" s="2989"/>
      <c r="F298" s="2989" t="str">
        <f t="shared" si="346"/>
        <v/>
      </c>
      <c r="G298" s="2989" t="str">
        <f t="shared" si="347"/>
        <v/>
      </c>
      <c r="H298" s="2989" cm="1">
        <f t="array" ref="H298">INDEX('각층분기별_유효전력최대(전월)'!$C$4:$C$2020,MATCH(1, ('각층분기별_유효전력최대(전월)'!$A$4:$A$2020='7층~4층_매핑테이블'!D298) * ('각층분기별_유효전력최대(전월)'!$B$4:$B$2020='7층~4층_매핑테이블'!E298),0)) + INDEX('각층분기별_유효전력최대(전월)'!$C$4:$C$2020,MATCH(1, ('각층분기별_유효전력최대(전월)'!$A$4:$A$2020='7층~4층_매핑테이블'!F298) * ('각층분기별_유효전력최대(전월)'!$B$4:$B$2020='7층~4층_매핑테이블'!G298),0))</f>
        <v>0</v>
      </c>
      <c r="I298" t="str">
        <f t="shared" si="336"/>
        <v>5-DaHall 1-PDU-15-20-23</v>
      </c>
      <c r="J298" s="217" t="s">
        <v>10799</v>
      </c>
      <c r="K298" s="217"/>
      <c r="L298" t="str">
        <f t="shared" si="331"/>
        <v>5-DaHall 1-PDU-15</v>
      </c>
      <c r="M298" t="str">
        <f t="shared" ref="M298:M299" si="358">IF(IF(LEN((MID(J298,22,2)))=1, "[branch#0"&amp;0&amp;MID(J298,22,2)&amp;"] [A] W", "[branch#0"&amp;MID(J298,22,2)&amp;"] [A] W")="[branch#0] [A] W", "", IF(LEN((MID(J298,22,2)))=1, "[branch#0"&amp;0&amp;MID(J298,22,2)&amp;"] [A] W", "[branch#0"&amp;MID(J298,22,2)&amp;"] [A] W"))</f>
        <v>[branch#023] [A] W</v>
      </c>
      <c r="N298" t="str">
        <f t="shared" si="337"/>
        <v/>
      </c>
      <c r="O298" t="str">
        <f>IF(IF(LEN((MID(K298,22,2)))=1, "[branch#0"&amp;0&amp;MID(K298,22,2)&amp;"] [A] W", "[branch#0"&amp;MID(K298,22,2)&amp;"] [A] W")="[branch#0] [A] W", "", IF(LEN((MID(K298,22,2)))=1, "[branch#0"&amp;0&amp;MID(K298,22,2)&amp;"] [A] W", "[branch#0"&amp;MID(K298,22,2)&amp;"] [A] W"))</f>
        <v/>
      </c>
      <c r="P298" s="2989" cm="1">
        <f t="array" ref="P298">INDEX('각층분기별_유효전력최대(전월)'!$F$4:$F$2020,MATCH(1, ('각층분기별_유효전력최대(전월)'!$D$4:$D$2020='7층~4층_매핑테이블'!L298) * ('각층분기별_유효전력최대(전월)'!$E$4:$E$2020='7층~4층_매핑테이블'!M298),0)) + INDEX('각층분기별_유효전력최대(전월)'!$F$4:$F$2020,MATCH(1, ('각층분기별_유효전력최대(전월)'!$D$4:$D$2020='7층~4층_매핑테이블'!N298) * ('각층분기별_유효전력최대(전월)'!$E$4:$E$2020='7층~4층_매핑테이블'!O298),0))</f>
        <v>0.497</v>
      </c>
      <c r="Q298" s="1" t="str">
        <f>R298&amp;S298</f>
        <v/>
      </c>
      <c r="V298" t="str">
        <f t="shared" si="351"/>
        <v/>
      </c>
      <c r="W298" t="str">
        <f t="shared" si="352"/>
        <v/>
      </c>
      <c r="X298" s="2989"/>
      <c r="Y298" s="3100"/>
      <c r="AB298" s="3274" t="str">
        <f>IF(MID(Z298,16,2)="0","",MID(Z298,1,15)&amp;MID(Z298,16,2))</f>
        <v/>
      </c>
      <c r="AF298" s="2989" cm="1">
        <f t="array" ref="AF298">INDEX('각층분기별_유효전력최대(전월)'!$L$4:$L$2020,MATCH(1, ('각층분기별_유효전력최대(전월)'!$J$4:$J$2020='7층~4층_매핑테이블'!AB298) * ('각층분기별_유효전력최대(전월)'!$K$4:$K$2020='7층~4층_매핑테이블'!AC298),0)) + INDEX('각층분기별_유효전력최대(전월)'!$L$4:$L$2020,MATCH(1, ('각층분기별_유효전력최대(전월)'!$J$4:$J$2020='7층~4층_매핑테이블'!AD298) * ('각층분기별_유효전력최대(전월)'!$K$4:$K$2020='7층~4층_매핑테이블'!AE298),0))</f>
        <v>0</v>
      </c>
    </row>
    <row r="299" spans="1:32" x14ac:dyDescent="0.25">
      <c r="A299" t="str">
        <f t="shared" si="345"/>
        <v/>
      </c>
      <c r="D299" s="2989"/>
      <c r="E299" s="2989"/>
      <c r="F299" s="2989" t="str">
        <f t="shared" si="346"/>
        <v/>
      </c>
      <c r="G299" s="2989" t="str">
        <f t="shared" si="347"/>
        <v/>
      </c>
      <c r="H299" s="2989" cm="1">
        <f t="array" ref="H299">INDEX('각층분기별_유효전력최대(전월)'!$C$4:$C$2020,MATCH(1, ('각층분기별_유효전력최대(전월)'!$A$4:$A$2020='7층~4층_매핑테이블'!D299) * ('각층분기별_유효전력최대(전월)'!$B$4:$B$2020='7층~4층_매핑테이블'!E299),0)) + INDEX('각층분기별_유효전력최대(전월)'!$C$4:$C$2020,MATCH(1, ('각층분기별_유효전력최대(전월)'!$A$4:$A$2020='7층~4층_매핑테이블'!F299) * ('각층분기별_유효전력최대(전월)'!$B$4:$B$2020='7층~4층_매핑테이블'!G299),0))</f>
        <v>0</v>
      </c>
      <c r="I299" t="str">
        <f t="shared" si="336"/>
        <v>5-DaHall 1-PDU-15-20-29</v>
      </c>
      <c r="J299" s="217" t="s">
        <v>10800</v>
      </c>
      <c r="K299" s="217"/>
      <c r="L299" t="str">
        <f t="shared" si="331"/>
        <v>5-DaHall 1-PDU-15</v>
      </c>
      <c r="M299" t="str">
        <f t="shared" si="358"/>
        <v>[branch#029] [A] W</v>
      </c>
      <c r="N299" t="str">
        <f t="shared" si="337"/>
        <v/>
      </c>
      <c r="O299" t="str">
        <f t="shared" ref="O299" si="359">IF(IF(LEN((MID(K299,22,2)))=1, "[branch#0"&amp;0&amp;MID(K299,22,2)&amp;"] [A] W", "[branch#0"&amp;MID(K299,22,2)&amp;"] [A] W")="[branch#0] [A] W", "", IF(LEN((MID(K299,22,2)))=1, "[branch#0"&amp;0&amp;MID(K299,22,2)&amp;"] [A] W", "[branch#0"&amp;MID(K299,22,2)&amp;"] [A] W"))</f>
        <v/>
      </c>
      <c r="P299" s="2989" cm="1">
        <f t="array" ref="P299">INDEX('각층분기별_유효전력최대(전월)'!$F$4:$F$2020,MATCH(1, ('각층분기별_유효전력최대(전월)'!$D$4:$D$2020='7층~4층_매핑테이블'!L299) * ('각층분기별_유효전력최대(전월)'!$E$4:$E$2020='7층~4층_매핑테이블'!M299),0)) + INDEX('각층분기별_유효전력최대(전월)'!$F$4:$F$2020,MATCH(1, ('각층분기별_유효전력최대(전월)'!$D$4:$D$2020='7층~4층_매핑테이블'!N299) * ('각층분기별_유효전력최대(전월)'!$E$4:$E$2020='7층~4층_매핑테이블'!O299),0))</f>
        <v>3.5999999999999997E-2</v>
      </c>
      <c r="Q299" s="1" t="str">
        <f t="shared" si="355"/>
        <v/>
      </c>
      <c r="V299" t="str">
        <f>IF(MID(S299,16,2)="0","",MID(S299,1,15)&amp;MID(S299,16,2))</f>
        <v/>
      </c>
      <c r="W299" t="str">
        <f>IF(IF(LEN((MID(S299,22,2)))=1, "[branch#0"&amp;0&amp;MID(S299,22,2)&amp;"] [A] W", "[branch#0"&amp;MID(S299,22,2)&amp;"] [A] W")="[branch#0] [A] W", "", IF(LEN((MID(S299,22,2)))=1, "[branch#0"&amp;0&amp;MID(S299,22,2)&amp;"] [A] W", "[branch#0"&amp;MID(S299,22,2)&amp;"] [A] W"))</f>
        <v/>
      </c>
      <c r="X299" s="2989"/>
      <c r="Y299" s="3100"/>
      <c r="AB299" s="3274" t="str">
        <f>IF(MID(Z299,16,2)="0","",MID(Z299,1,15)&amp;MID(Z299,16,2))</f>
        <v/>
      </c>
      <c r="AF299" s="2989" cm="1">
        <f t="array" ref="AF299">INDEX('각층분기별_유효전력최대(전월)'!$L$4:$L$2020,MATCH(1, ('각층분기별_유효전력최대(전월)'!$J$4:$J$2020='7층~4층_매핑테이블'!AB299) * ('각층분기별_유효전력최대(전월)'!$K$4:$K$2020='7층~4층_매핑테이블'!AC299),0)) + INDEX('각층분기별_유효전력최대(전월)'!$L$4:$L$2020,MATCH(1, ('각층분기별_유효전력최대(전월)'!$J$4:$J$2020='7층~4층_매핑테이블'!AD299) * ('각층분기별_유효전력최대(전월)'!$K$4:$K$2020='7층~4층_매핑테이블'!AE299),0))</f>
        <v>0</v>
      </c>
    </row>
    <row r="300" spans="1:32" x14ac:dyDescent="0.25">
      <c r="A300" t="str">
        <f t="shared" si="345"/>
        <v/>
      </c>
      <c r="D300" s="2989"/>
      <c r="E300" s="2989"/>
      <c r="F300" s="2989" t="str">
        <f t="shared" si="346"/>
        <v/>
      </c>
      <c r="G300" s="2989" t="str">
        <f t="shared" si="347"/>
        <v/>
      </c>
      <c r="H300" s="2989" cm="1">
        <f t="array" ref="H300">INDEX('각층분기별_유효전력최대(전월)'!$C$4:$C$2020,MATCH(1, ('각층분기별_유효전력최대(전월)'!$A$4:$A$2020='7층~4층_매핑테이블'!D300) * ('각층분기별_유효전력최대(전월)'!$B$4:$B$2020='7층~4층_매핑테이블'!E300),0)) + INDEX('각층분기별_유효전력최대(전월)'!$C$4:$C$2020,MATCH(1, ('각층분기별_유효전력최대(전월)'!$A$4:$A$2020='7층~4층_매핑테이블'!F300) * ('각층분기별_유효전력최대(전월)'!$B$4:$B$2020='7층~4층_매핑테이블'!G300),0))</f>
        <v>0</v>
      </c>
      <c r="I300" t="str">
        <f t="shared" si="336"/>
        <v>5-DaHall 1-PDU-16-20-15</v>
      </c>
      <c r="J300" s="217"/>
      <c r="K300" s="217" t="s">
        <v>10801</v>
      </c>
      <c r="L300" t="str">
        <f t="shared" si="331"/>
        <v/>
      </c>
      <c r="M300" t="str">
        <f>IF(IF(LEN((MID(J300,22,2)))=1, "[branch#0"&amp;0&amp;MID(J300,22,2)&amp;"] [A] W", "[branch#0"&amp;MID(J300,22,2)&amp;"] [A] W")="[branch#0] [A] W", "", IF(LEN((MID(J300,22,2)))=1, "[branch#0"&amp;0&amp;MID(J300,22,2)&amp;"] [A] W", "[branch#0"&amp;MID(J300,22,2)&amp;"] [A] W"))</f>
        <v/>
      </c>
      <c r="N300" t="str">
        <f t="shared" si="337"/>
        <v>5-DaHall 1-PDU-16</v>
      </c>
      <c r="O300" t="str">
        <f>IF(IF(LEN((MID(K300,22,2)))=1, "[branch#0"&amp;0&amp;MID(K300,22,2)&amp;"] [A] W", "[branch#0"&amp;MID(K300,22,2)&amp;"] [A] W")="[branch#0] [A] W", "", IF(LEN((MID(K300,22,2)))=1, "[branch#0"&amp;0&amp;MID(K300,22,2)&amp;"] [A] W", "[branch#0"&amp;MID(K300,22,2)&amp;"] [A] W"))</f>
        <v>[branch#015] [A] W</v>
      </c>
      <c r="P300" s="2989" cm="1">
        <f t="array" ref="P300">INDEX('각층분기별_유효전력최대(전월)'!$F$4:$F$2020,MATCH(1, ('각층분기별_유효전력최대(전월)'!$D$4:$D$2020='7층~4층_매핑테이블'!L300) * ('각층분기별_유효전력최대(전월)'!$E$4:$E$2020='7층~4층_매핑테이블'!M300),0)) + INDEX('각층분기별_유효전력최대(전월)'!$F$4:$F$2020,MATCH(1, ('각층분기별_유효전력최대(전월)'!$D$4:$D$2020='7층~4층_매핑테이블'!N300) * ('각층분기별_유효전력최대(전월)'!$E$4:$E$2020='7층~4층_매핑테이블'!O300),0))</f>
        <v>0.73399999999999999</v>
      </c>
      <c r="Q300" s="1" t="str">
        <f t="shared" si="355"/>
        <v/>
      </c>
      <c r="V300" t="str">
        <f t="shared" ref="V300" si="360">IF(MID(S300,16,2)="0","",MID(S300,1,15)&amp;MID(S300,16,2))</f>
        <v/>
      </c>
      <c r="W300" t="str">
        <f t="shared" ref="W300" si="361">IF(IF(LEN((MID(S300,22,2)))=1, "[branch#0"&amp;0&amp;MID(S300,22,2)&amp;"] [A] W", "[branch#0"&amp;MID(S300,22,2)&amp;"] [A] W")="[branch#0] [A] W", "", IF(LEN((MID(S300,22,2)))=1, "[branch#0"&amp;0&amp;MID(S300,22,2)&amp;"] [A] W", "[branch#0"&amp;MID(S300,22,2)&amp;"] [A] W"))</f>
        <v/>
      </c>
      <c r="X300" s="2989"/>
      <c r="Y300" s="3100"/>
      <c r="AB300" s="3274" t="str">
        <f t="shared" ref="AB300:AB305" si="362">IF(MID(Z300,16,2)="0","",MID(Z300,1,15)&amp;MID(Z300,16,2))</f>
        <v/>
      </c>
      <c r="AF300" s="2989" cm="1">
        <f t="array" ref="AF300">INDEX('각층분기별_유효전력최대(전월)'!$L$4:$L$2020,MATCH(1, ('각층분기별_유효전력최대(전월)'!$J$4:$J$2020='7층~4층_매핑테이블'!AB300) * ('각층분기별_유효전력최대(전월)'!$K$4:$K$2020='7층~4층_매핑테이블'!AC300),0)) + INDEX('각층분기별_유효전력최대(전월)'!$L$4:$L$2020,MATCH(1, ('각층분기별_유효전력최대(전월)'!$J$4:$J$2020='7층~4층_매핑테이블'!AD300) * ('각층분기별_유효전력최대(전월)'!$K$4:$K$2020='7층~4층_매핑테이블'!AE300),0))</f>
        <v>0</v>
      </c>
    </row>
    <row r="301" spans="1:32" x14ac:dyDescent="0.25">
      <c r="A301" t="str">
        <f t="shared" si="345"/>
        <v/>
      </c>
      <c r="D301" s="2989"/>
      <c r="E301" s="2989"/>
      <c r="F301" s="2989" t="str">
        <f t="shared" si="346"/>
        <v/>
      </c>
      <c r="G301" s="2989" t="str">
        <f t="shared" si="347"/>
        <v/>
      </c>
      <c r="H301" s="2989" cm="1">
        <f t="array" ref="H301">INDEX('각층분기별_유효전력최대(전월)'!$C$4:$C$2020,MATCH(1, ('각층분기별_유효전력최대(전월)'!$A$4:$A$2020='7층~4층_매핑테이블'!D301) * ('각층분기별_유효전력최대(전월)'!$B$4:$B$2020='7층~4층_매핑테이블'!E301),0)) + INDEX('각층분기별_유효전력최대(전월)'!$C$4:$C$2020,MATCH(1, ('각층분기별_유효전력최대(전월)'!$A$4:$A$2020='7층~4층_매핑테이블'!F301) * ('각층분기별_유효전력최대(전월)'!$B$4:$B$2020='7층~4층_매핑테이블'!G301),0))</f>
        <v>0</v>
      </c>
      <c r="I301" t="str">
        <f t="shared" si="336"/>
        <v>5-DaHall 1-PDU-16-20-17</v>
      </c>
      <c r="J301" s="217"/>
      <c r="K301" s="217" t="s">
        <v>10802</v>
      </c>
      <c r="L301" t="str">
        <f t="shared" si="331"/>
        <v/>
      </c>
      <c r="M301" t="str">
        <f t="shared" ref="M301:M310" si="363">IF(IF(LEN((MID(J301,22,2)))=1, "[branch#0"&amp;0&amp;MID(J301,22,2)&amp;"] [A] W", "[branch#0"&amp;MID(J301,22,2)&amp;"] [A] W")="[branch#0] [A] W", "", IF(LEN((MID(J301,22,2)))=1, "[branch#0"&amp;0&amp;MID(J301,22,2)&amp;"] [A] W", "[branch#0"&amp;MID(J301,22,2)&amp;"] [A] W"))</f>
        <v/>
      </c>
      <c r="N301" t="str">
        <f t="shared" si="337"/>
        <v>5-DaHall 1-PDU-16</v>
      </c>
      <c r="O301" t="str">
        <f t="shared" ref="O301:O307" si="364">IF(IF(LEN((MID(K301,22,2)))=1, "[branch#0"&amp;0&amp;MID(K301,22,2)&amp;"] [A] W", "[branch#0"&amp;MID(K301,22,2)&amp;"] [A] W")="[branch#0] [A] W", "", IF(LEN((MID(K301,22,2)))=1, "[branch#0"&amp;0&amp;MID(K301,22,2)&amp;"] [A] W", "[branch#0"&amp;MID(K301,22,2)&amp;"] [A] W"))</f>
        <v>[branch#017] [A] W</v>
      </c>
      <c r="P301" s="2989" cm="1">
        <f t="array" ref="P301">INDEX('각층분기별_유효전력최대(전월)'!$F$4:$F$2020,MATCH(1, ('각층분기별_유효전력최대(전월)'!$D$4:$D$2020='7층~4층_매핑테이블'!L301) * ('각층분기별_유효전력최대(전월)'!$E$4:$E$2020='7층~4층_매핑테이블'!M301),0)) + INDEX('각층분기별_유효전력최대(전월)'!$F$4:$F$2020,MATCH(1, ('각층분기별_유효전력최대(전월)'!$D$4:$D$2020='7층~4층_매핑테이블'!N301) * ('각층분기별_유효전력최대(전월)'!$E$4:$E$2020='7층~4층_매핑테이블'!O301),0))</f>
        <v>0.74099999999999999</v>
      </c>
      <c r="Q301" s="1" t="str">
        <f t="shared" si="355"/>
        <v/>
      </c>
      <c r="V301" t="str">
        <f>IF(MID(S301,16,2)="0","",MID(S301,1,15)&amp;MID(S301,16,2))</f>
        <v/>
      </c>
      <c r="W301" t="str">
        <f>IF(IF(LEN((MID(S301,22,2)))=1, "[branch#0"&amp;0&amp;MID(S301,22,2)&amp;"] [A] W", "[branch#0"&amp;MID(S301,22,2)&amp;"] [A] W")="[branch#0] [A] W", "", IF(LEN((MID(S301,22,2)))=1, "[branch#0"&amp;0&amp;MID(S301,22,2)&amp;"] [A] W", "[branch#0"&amp;MID(S301,22,2)&amp;"] [A] W"))</f>
        <v/>
      </c>
      <c r="X301" s="2989"/>
      <c r="Y301" s="3100"/>
      <c r="AB301" s="3274" t="str">
        <f t="shared" si="362"/>
        <v/>
      </c>
      <c r="AF301" s="2989" cm="1">
        <f t="array" ref="AF301">INDEX('각층분기별_유효전력최대(전월)'!$L$4:$L$2020,MATCH(1, ('각층분기별_유효전력최대(전월)'!$J$4:$J$2020='7층~4층_매핑테이블'!AB301) * ('각층분기별_유효전력최대(전월)'!$K$4:$K$2020='7층~4층_매핑테이블'!AC301),0)) + INDEX('각층분기별_유효전력최대(전월)'!$L$4:$L$2020,MATCH(1, ('각층분기별_유효전력최대(전월)'!$J$4:$J$2020='7층~4층_매핑테이블'!AD301) * ('각층분기별_유효전력최대(전월)'!$K$4:$K$2020='7층~4층_매핑테이블'!AE301),0))</f>
        <v>0</v>
      </c>
    </row>
    <row r="302" spans="1:32" x14ac:dyDescent="0.25">
      <c r="A302" t="str">
        <f t="shared" si="345"/>
        <v/>
      </c>
      <c r="D302" s="2989"/>
      <c r="E302" s="2989"/>
      <c r="F302" s="2989" t="str">
        <f t="shared" si="346"/>
        <v/>
      </c>
      <c r="G302" s="2989" t="str">
        <f t="shared" si="347"/>
        <v/>
      </c>
      <c r="H302" s="2989" cm="1">
        <f t="array" ref="H302">INDEX('각층분기별_유효전력최대(전월)'!$C$4:$C$2020,MATCH(1, ('각층분기별_유효전력최대(전월)'!$A$4:$A$2020='7층~4층_매핑테이블'!D302) * ('각층분기별_유효전력최대(전월)'!$B$4:$B$2020='7층~4층_매핑테이블'!E302),0)) + INDEX('각층분기별_유효전력최대(전월)'!$C$4:$C$2020,MATCH(1, ('각층분기별_유효전력최대(전월)'!$A$4:$A$2020='7층~4층_매핑테이블'!F302) * ('각층분기별_유효전력최대(전월)'!$B$4:$B$2020='7층~4층_매핑테이블'!G302),0))</f>
        <v>0</v>
      </c>
      <c r="I302" t="str">
        <f t="shared" si="336"/>
        <v>5-DaHall 1-PDU-16-20-19</v>
      </c>
      <c r="J302" s="217"/>
      <c r="K302" s="217" t="s">
        <v>10803</v>
      </c>
      <c r="L302" t="str">
        <f t="shared" si="331"/>
        <v/>
      </c>
      <c r="M302" t="str">
        <f t="shared" si="363"/>
        <v/>
      </c>
      <c r="N302" t="str">
        <f t="shared" si="337"/>
        <v>5-DaHall 1-PDU-16</v>
      </c>
      <c r="O302" t="str">
        <f t="shared" si="364"/>
        <v>[branch#019] [A] W</v>
      </c>
      <c r="P302" s="2989" cm="1">
        <f t="array" ref="P302">INDEX('각층분기별_유효전력최대(전월)'!$F$4:$F$2020,MATCH(1, ('각층분기별_유효전력최대(전월)'!$D$4:$D$2020='7층~4층_매핑테이블'!L302) * ('각층분기별_유효전력최대(전월)'!$E$4:$E$2020='7층~4층_매핑테이블'!M302),0)) + INDEX('각층분기별_유효전력최대(전월)'!$F$4:$F$2020,MATCH(1, ('각층분기별_유효전력최대(전월)'!$D$4:$D$2020='7층~4층_매핑테이블'!N302) * ('각층분기별_유효전력최대(전월)'!$E$4:$E$2020='7층~4층_매핑테이블'!O302),0))</f>
        <v>0</v>
      </c>
      <c r="Q302" s="1" t="str">
        <f>R302&amp;S302</f>
        <v/>
      </c>
      <c r="V302" t="str">
        <f t="shared" ref="V302:V306" si="365">IF(MID(S302,16,2)="0","",MID(S302,1,15)&amp;MID(S302,16,2))</f>
        <v/>
      </c>
      <c r="W302" t="str">
        <f t="shared" ref="W302:W306" si="366">IF(IF(LEN((MID(S302,22,2)))=1, "[branch#0"&amp;0&amp;MID(S302,22,2)&amp;"] [A] W", "[branch#0"&amp;MID(S302,22,2)&amp;"] [A] W")="[branch#0] [A] W", "", IF(LEN((MID(S302,22,2)))=1, "[branch#0"&amp;0&amp;MID(S302,22,2)&amp;"] [A] W", "[branch#0"&amp;MID(S302,22,2)&amp;"] [A] W"))</f>
        <v/>
      </c>
      <c r="X302" s="2989"/>
      <c r="Y302" s="3100"/>
      <c r="AB302" s="3274" t="str">
        <f t="shared" si="362"/>
        <v/>
      </c>
      <c r="AF302" s="2989" cm="1">
        <f t="array" ref="AF302">INDEX('각층분기별_유효전력최대(전월)'!$L$4:$L$2020,MATCH(1, ('각층분기별_유효전력최대(전월)'!$J$4:$J$2020='7층~4층_매핑테이블'!AB302) * ('각층분기별_유효전력최대(전월)'!$K$4:$K$2020='7층~4층_매핑테이블'!AC302),0)) + INDEX('각층분기별_유효전력최대(전월)'!$L$4:$L$2020,MATCH(1, ('각층분기별_유효전력최대(전월)'!$J$4:$J$2020='7층~4층_매핑테이블'!AD302) * ('각층분기별_유효전력최대(전월)'!$K$4:$K$2020='7층~4층_매핑테이블'!AE302),0))</f>
        <v>0</v>
      </c>
    </row>
    <row r="303" spans="1:32" x14ac:dyDescent="0.25">
      <c r="A303" t="str">
        <f t="shared" si="345"/>
        <v/>
      </c>
      <c r="D303" s="2989"/>
      <c r="E303" s="2989"/>
      <c r="F303" s="2989" t="str">
        <f t="shared" si="346"/>
        <v/>
      </c>
      <c r="G303" s="2989" t="str">
        <f t="shared" si="347"/>
        <v/>
      </c>
      <c r="H303" s="2989" cm="1">
        <f t="array" ref="H303">INDEX('각층분기별_유효전력최대(전월)'!$C$4:$C$2020,MATCH(1, ('각층분기별_유효전력최대(전월)'!$A$4:$A$2020='7층~4층_매핑테이블'!D303) * ('각층분기별_유효전력최대(전월)'!$B$4:$B$2020='7층~4층_매핑테이블'!E303),0)) + INDEX('각층분기별_유효전력최대(전월)'!$C$4:$C$2020,MATCH(1, ('각층분기별_유효전력최대(전월)'!$A$4:$A$2020='7층~4층_매핑테이블'!F303) * ('각층분기별_유효전력최대(전월)'!$B$4:$B$2020='7층~4층_매핑테이블'!G303),0))</f>
        <v>0</v>
      </c>
      <c r="I303" t="str">
        <f t="shared" si="336"/>
        <v>5-DaHall 1-PDU-16-20-23</v>
      </c>
      <c r="J303" s="217"/>
      <c r="K303" s="217" t="s">
        <v>10804</v>
      </c>
      <c r="L303" t="str">
        <f t="shared" si="331"/>
        <v/>
      </c>
      <c r="M303" t="str">
        <f t="shared" si="363"/>
        <v/>
      </c>
      <c r="N303" t="str">
        <f t="shared" si="337"/>
        <v>5-DaHall 1-PDU-16</v>
      </c>
      <c r="O303" t="str">
        <f t="shared" si="364"/>
        <v>[branch#023] [A] W</v>
      </c>
      <c r="P303" s="2989" cm="1">
        <f t="array" ref="P303">INDEX('각층분기별_유효전력최대(전월)'!$F$4:$F$2020,MATCH(1, ('각층분기별_유효전력최대(전월)'!$D$4:$D$2020='7층~4층_매핑테이블'!L303) * ('각층분기별_유효전력최대(전월)'!$E$4:$E$2020='7층~4층_매핑테이블'!M303),0)) + INDEX('각층분기별_유효전력최대(전월)'!$F$4:$F$2020,MATCH(1, ('각층분기별_유효전력최대(전월)'!$D$4:$D$2020='7층~4층_매핑테이블'!N303) * ('각층분기별_유효전력최대(전월)'!$E$4:$E$2020='7층~4층_매핑테이블'!O303),0))</f>
        <v>0</v>
      </c>
      <c r="Q303" s="1" t="str">
        <f t="shared" ref="Q303" si="367">R303&amp;S303</f>
        <v/>
      </c>
      <c r="V303" t="str">
        <f t="shared" si="365"/>
        <v/>
      </c>
      <c r="W303" t="str">
        <f t="shared" si="366"/>
        <v/>
      </c>
      <c r="X303" s="2989"/>
      <c r="Y303" s="3100"/>
      <c r="AB303" s="3274" t="str">
        <f t="shared" si="362"/>
        <v/>
      </c>
      <c r="AF303" s="2989" cm="1">
        <f t="array" ref="AF303">INDEX('각층분기별_유효전력최대(전월)'!$L$4:$L$2020,MATCH(1, ('각층분기별_유효전력최대(전월)'!$J$4:$J$2020='7층~4층_매핑테이블'!AB303) * ('각층분기별_유효전력최대(전월)'!$K$4:$K$2020='7층~4층_매핑테이블'!AC303),0)) + INDEX('각층분기별_유효전력최대(전월)'!$L$4:$L$2020,MATCH(1, ('각층분기별_유효전력최대(전월)'!$J$4:$J$2020='7층~4층_매핑테이블'!AD303) * ('각층분기별_유효전력최대(전월)'!$K$4:$K$2020='7층~4층_매핑테이블'!AE303),0))</f>
        <v>0</v>
      </c>
    </row>
    <row r="304" spans="1:32" x14ac:dyDescent="0.25">
      <c r="A304" t="str">
        <f t="shared" si="345"/>
        <v/>
      </c>
      <c r="D304" s="2989"/>
      <c r="E304" s="2989"/>
      <c r="F304" s="2989" t="str">
        <f t="shared" si="346"/>
        <v/>
      </c>
      <c r="G304" s="2989" t="str">
        <f t="shared" si="347"/>
        <v/>
      </c>
      <c r="H304" s="2989" cm="1">
        <f t="array" ref="H304">INDEX('각층분기별_유효전력최대(전월)'!$C$4:$C$2020,MATCH(1, ('각층분기별_유효전력최대(전월)'!$A$4:$A$2020='7층~4층_매핑테이블'!D304) * ('각층분기별_유효전력최대(전월)'!$B$4:$B$2020='7층~4층_매핑테이블'!E304),0)) + INDEX('각층분기별_유효전력최대(전월)'!$C$4:$C$2020,MATCH(1, ('각층분기별_유효전력최대(전월)'!$A$4:$A$2020='7층~4층_매핑테이블'!F304) * ('각층분기별_유효전력최대(전월)'!$B$4:$B$2020='7층~4층_매핑테이블'!G304),0))</f>
        <v>0</v>
      </c>
      <c r="I304" t="str">
        <f t="shared" si="336"/>
        <v>5-DaHall 1-PDU-16-20-25</v>
      </c>
      <c r="J304" s="217"/>
      <c r="K304" s="217" t="s">
        <v>10805</v>
      </c>
      <c r="L304" t="str">
        <f t="shared" si="331"/>
        <v/>
      </c>
      <c r="M304" t="str">
        <f t="shared" si="363"/>
        <v/>
      </c>
      <c r="N304" t="str">
        <f t="shared" si="337"/>
        <v>5-DaHall 1-PDU-16</v>
      </c>
      <c r="O304" t="str">
        <f t="shared" si="364"/>
        <v>[branch#025] [A] W</v>
      </c>
      <c r="P304" s="2989" cm="1">
        <f t="array" ref="P304">INDEX('각층분기별_유효전력최대(전월)'!$F$4:$F$2020,MATCH(1, ('각층분기별_유효전력최대(전월)'!$D$4:$D$2020='7층~4층_매핑테이블'!L304) * ('각층분기별_유효전력최대(전월)'!$E$4:$E$2020='7층~4층_매핑테이블'!M304),0)) + INDEX('각층분기별_유효전력최대(전월)'!$F$4:$F$2020,MATCH(1, ('각층분기별_유효전력최대(전월)'!$D$4:$D$2020='7층~4층_매핑테이블'!N304) * ('각층분기별_유효전력최대(전월)'!$E$4:$E$2020='7층~4층_매핑테이블'!O304),0))</f>
        <v>9.2999999999999999E-2</v>
      </c>
      <c r="Q304" s="1" t="str">
        <f>R304&amp;S304</f>
        <v/>
      </c>
      <c r="V304" t="str">
        <f t="shared" si="365"/>
        <v/>
      </c>
      <c r="W304" t="str">
        <f t="shared" si="366"/>
        <v/>
      </c>
      <c r="X304" s="2989"/>
      <c r="Y304" s="3100"/>
      <c r="AB304" s="3274" t="str">
        <f t="shared" si="362"/>
        <v/>
      </c>
      <c r="AF304" s="2989" cm="1">
        <f t="array" ref="AF304">INDEX('각층분기별_유효전력최대(전월)'!$L$4:$L$2020,MATCH(1, ('각층분기별_유효전력최대(전월)'!$J$4:$J$2020='7층~4층_매핑테이블'!AB304) * ('각층분기별_유효전력최대(전월)'!$K$4:$K$2020='7층~4층_매핑테이블'!AC304),0)) + INDEX('각층분기별_유효전력최대(전월)'!$L$4:$L$2020,MATCH(1, ('각층분기별_유효전력최대(전월)'!$J$4:$J$2020='7층~4층_매핑테이블'!AD304) * ('각층분기별_유효전력최대(전월)'!$K$4:$K$2020='7층~4층_매핑테이블'!AE304),0))</f>
        <v>0</v>
      </c>
    </row>
    <row r="305" spans="1:32" x14ac:dyDescent="0.25">
      <c r="A305" t="str">
        <f t="shared" si="345"/>
        <v/>
      </c>
      <c r="D305" s="2989"/>
      <c r="E305" s="2989"/>
      <c r="F305" s="2989" t="str">
        <f t="shared" si="346"/>
        <v/>
      </c>
      <c r="G305" s="2989" t="str">
        <f t="shared" si="347"/>
        <v/>
      </c>
      <c r="H305" s="2989" cm="1">
        <f t="array" ref="H305">INDEX('각층분기별_유효전력최대(전월)'!$C$4:$C$2020,MATCH(1, ('각층분기별_유효전력최대(전월)'!$A$4:$A$2020='7층~4층_매핑테이블'!D305) * ('각층분기별_유효전력최대(전월)'!$B$4:$B$2020='7층~4층_매핑테이블'!E305),0)) + INDEX('각층분기별_유효전력최대(전월)'!$C$4:$C$2020,MATCH(1, ('각층분기별_유효전력최대(전월)'!$A$4:$A$2020='7층~4층_매핑테이블'!F305) * ('각층분기별_유효전력최대(전월)'!$B$4:$B$2020='7층~4층_매핑테이블'!G305),0))</f>
        <v>0</v>
      </c>
      <c r="I305" t="str">
        <f t="shared" si="336"/>
        <v>5-DaHall 1-PDU-16-20-27</v>
      </c>
      <c r="J305" s="217"/>
      <c r="K305" s="217" t="s">
        <v>10806</v>
      </c>
      <c r="L305" t="str">
        <f t="shared" si="331"/>
        <v/>
      </c>
      <c r="M305" t="str">
        <f t="shared" si="363"/>
        <v/>
      </c>
      <c r="N305" t="str">
        <f t="shared" si="337"/>
        <v>5-DaHall 1-PDU-16</v>
      </c>
      <c r="O305" t="str">
        <f t="shared" si="364"/>
        <v>[branch#027] [A] W</v>
      </c>
      <c r="P305" s="2989" cm="1">
        <f t="array" ref="P305">INDEX('각층분기별_유효전력최대(전월)'!$F$4:$F$2020,MATCH(1, ('각층분기별_유효전력최대(전월)'!$D$4:$D$2020='7층~4층_매핑테이블'!L305) * ('각층분기별_유효전력최대(전월)'!$E$4:$E$2020='7층~4층_매핑테이블'!M305),0)) + INDEX('각층분기별_유효전력최대(전월)'!$F$4:$F$2020,MATCH(1, ('각층분기별_유효전력최대(전월)'!$D$4:$D$2020='7층~4층_매핑테이블'!N305) * ('각층분기별_유효전력최대(전월)'!$E$4:$E$2020='7층~4층_매핑테이블'!O305),0))</f>
        <v>0.32400000000000001</v>
      </c>
      <c r="Q305" s="1" t="str">
        <f t="shared" ref="Q305:Q309" si="368">R305&amp;S305</f>
        <v/>
      </c>
      <c r="V305" t="str">
        <f t="shared" si="365"/>
        <v/>
      </c>
      <c r="W305" t="str">
        <f t="shared" si="366"/>
        <v/>
      </c>
      <c r="X305" s="2989"/>
      <c r="Y305" s="3100"/>
      <c r="AB305" s="3274" t="str">
        <f t="shared" si="362"/>
        <v/>
      </c>
      <c r="AF305" s="2989" cm="1">
        <f t="array" ref="AF305">INDEX('각층분기별_유효전력최대(전월)'!$L$4:$L$2020,MATCH(1, ('각층분기별_유효전력최대(전월)'!$J$4:$J$2020='7층~4층_매핑테이블'!AB305) * ('각층분기별_유효전력최대(전월)'!$K$4:$K$2020='7층~4층_매핑테이블'!AC305),0)) + INDEX('각층분기별_유효전력최대(전월)'!$L$4:$L$2020,MATCH(1, ('각층분기별_유효전력최대(전월)'!$J$4:$J$2020='7층~4층_매핑테이블'!AD305) * ('각층분기별_유효전력최대(전월)'!$K$4:$K$2020='7층~4층_매핑테이블'!AE305),0))</f>
        <v>0</v>
      </c>
    </row>
    <row r="306" spans="1:32" x14ac:dyDescent="0.25">
      <c r="A306" t="str">
        <f t="shared" si="345"/>
        <v/>
      </c>
      <c r="D306" s="2989"/>
      <c r="E306" s="2989"/>
      <c r="F306" s="2989" t="str">
        <f t="shared" si="346"/>
        <v/>
      </c>
      <c r="G306" s="2989" t="str">
        <f t="shared" si="347"/>
        <v/>
      </c>
      <c r="H306" s="2989" cm="1">
        <f t="array" ref="H306">INDEX('각층분기별_유효전력최대(전월)'!$C$4:$C$2020,MATCH(1, ('각층분기별_유효전력최대(전월)'!$A$4:$A$2020='7층~4층_매핑테이블'!D306) * ('각층분기별_유효전력최대(전월)'!$B$4:$B$2020='7층~4층_매핑테이블'!E306),0)) + INDEX('각층분기별_유효전력최대(전월)'!$C$4:$C$2020,MATCH(1, ('각층분기별_유효전력최대(전월)'!$A$4:$A$2020='7층~4층_매핑테이블'!F306) * ('각층분기별_유효전력최대(전월)'!$B$4:$B$2020='7층~4층_매핑테이블'!G306),0))</f>
        <v>0</v>
      </c>
      <c r="I306" t="str">
        <f t="shared" si="336"/>
        <v>5-DaHall 1-PDU-16-20-29</v>
      </c>
      <c r="J306" s="217"/>
      <c r="K306" s="217" t="s">
        <v>10807</v>
      </c>
      <c r="L306" t="str">
        <f t="shared" si="331"/>
        <v/>
      </c>
      <c r="M306" t="str">
        <f t="shared" si="363"/>
        <v/>
      </c>
      <c r="N306" t="str">
        <f t="shared" si="337"/>
        <v>5-DaHall 1-PDU-16</v>
      </c>
      <c r="O306" t="str">
        <f t="shared" si="364"/>
        <v>[branch#029] [A] W</v>
      </c>
      <c r="P306" s="2989" cm="1">
        <f t="array" ref="P306">INDEX('각층분기별_유효전력최대(전월)'!$F$4:$F$2020,MATCH(1, ('각층분기별_유효전력최대(전월)'!$D$4:$D$2020='7층~4층_매핑테이블'!L306) * ('각층분기별_유효전력최대(전월)'!$E$4:$E$2020='7층~4층_매핑테이블'!M306),0)) + INDEX('각층분기별_유효전력최대(전월)'!$F$4:$F$2020,MATCH(1, ('각층분기별_유효전력최대(전월)'!$D$4:$D$2020='7층~4층_매핑테이블'!N306) * ('각층분기별_유효전력최대(전월)'!$E$4:$E$2020='7층~4층_매핑테이블'!O306),0))</f>
        <v>0.48199999999999998</v>
      </c>
      <c r="Q306" s="1" t="str">
        <f t="shared" si="368"/>
        <v/>
      </c>
      <c r="V306" t="str">
        <f t="shared" si="365"/>
        <v/>
      </c>
      <c r="W306" t="str">
        <f t="shared" si="366"/>
        <v/>
      </c>
      <c r="X306" s="2989"/>
      <c r="Y306" s="3100"/>
      <c r="AB306" s="3274" t="str">
        <f>IF(MID(Z306,16,2)="0","",MID(Z306,1,15)&amp;MID(Z306,16,2))</f>
        <v/>
      </c>
      <c r="AF306" s="2989" cm="1">
        <f t="array" ref="AF306">INDEX('각층분기별_유효전력최대(전월)'!$L$4:$L$2020,MATCH(1, ('각층분기별_유효전력최대(전월)'!$J$4:$J$2020='7층~4층_매핑테이블'!AB306) * ('각층분기별_유효전력최대(전월)'!$K$4:$K$2020='7층~4층_매핑테이블'!AC306),0)) + INDEX('각층분기별_유효전력최대(전월)'!$L$4:$L$2020,MATCH(1, ('각층분기별_유효전력최대(전월)'!$J$4:$J$2020='7층~4층_매핑테이블'!AD306) * ('각층분기별_유효전력최대(전월)'!$K$4:$K$2020='7층~4층_매핑테이블'!AE306),0))</f>
        <v>0</v>
      </c>
    </row>
    <row r="307" spans="1:32" x14ac:dyDescent="0.25">
      <c r="A307" t="str">
        <f t="shared" si="345"/>
        <v/>
      </c>
      <c r="D307" s="2989"/>
      <c r="E307" s="2989"/>
      <c r="F307" s="2989" t="str">
        <f t="shared" si="346"/>
        <v/>
      </c>
      <c r="G307" s="2989" t="str">
        <f t="shared" si="347"/>
        <v/>
      </c>
      <c r="H307" s="2989" cm="1">
        <f t="array" ref="H307">INDEX('각층분기별_유효전력최대(전월)'!$C$4:$C$2020,MATCH(1, ('각층분기별_유효전력최대(전월)'!$A$4:$A$2020='7층~4층_매핑테이블'!D307) * ('각층분기별_유효전력최대(전월)'!$B$4:$B$2020='7층~4층_매핑테이블'!E307),0)) + INDEX('각층분기별_유효전력최대(전월)'!$C$4:$C$2020,MATCH(1, ('각층분기별_유효전력최대(전월)'!$A$4:$A$2020='7층~4층_매핑테이블'!F307) * ('각층분기별_유효전력최대(전월)'!$B$4:$B$2020='7층~4층_매핑테이블'!G307),0))</f>
        <v>0</v>
      </c>
      <c r="I307" t="str">
        <f t="shared" si="336"/>
        <v>5-DaHall 1-PDU-16-20-24</v>
      </c>
      <c r="J307" s="217"/>
      <c r="K307" s="217" t="s">
        <v>10808</v>
      </c>
      <c r="L307" t="str">
        <f t="shared" si="331"/>
        <v/>
      </c>
      <c r="M307" t="str">
        <f t="shared" si="363"/>
        <v/>
      </c>
      <c r="N307" t="str">
        <f t="shared" si="337"/>
        <v>5-DaHall 1-PDU-16</v>
      </c>
      <c r="O307" t="str">
        <f t="shared" si="364"/>
        <v>[branch#024] [A] W</v>
      </c>
      <c r="P307" s="2989" cm="1">
        <f t="array" ref="P307">INDEX('각층분기별_유효전력최대(전월)'!$F$4:$F$2020,MATCH(1, ('각층분기별_유효전력최대(전월)'!$D$4:$D$2020='7층~4층_매핑테이블'!L307) * ('각층분기별_유효전력최대(전월)'!$E$4:$E$2020='7층~4층_매핑테이블'!M307),0)) + INDEX('각층분기별_유효전력최대(전월)'!$F$4:$F$2020,MATCH(1, ('각층분기별_유효전력최대(전월)'!$D$4:$D$2020='7층~4층_매핑테이블'!N307) * ('각층분기별_유효전력최대(전월)'!$E$4:$E$2020='7층~4층_매핑테이블'!O307),0))</f>
        <v>0.439</v>
      </c>
      <c r="Q307" s="1" t="str">
        <f t="shared" si="368"/>
        <v/>
      </c>
      <c r="V307" t="str">
        <f>IF(MID(S307,16,2)="0","",MID(S307,1,15)&amp;MID(S307,16,2))</f>
        <v/>
      </c>
      <c r="W307" t="str">
        <f>IF(IF(LEN((MID(S307,22,2)))=1, "[branch#0"&amp;0&amp;MID(S307,22,2)&amp;"] [A] W", "[branch#0"&amp;MID(S307,22,2)&amp;"] [A] W")="[branch#0] [A] W", "", IF(LEN((MID(S307,22,2)))=1, "[branch#0"&amp;0&amp;MID(S307,22,2)&amp;"] [A] W", "[branch#0"&amp;MID(S307,22,2)&amp;"] [A] W"))</f>
        <v/>
      </c>
      <c r="X307" s="2989"/>
      <c r="Y307" s="3100"/>
      <c r="AB307" s="3274" t="str">
        <f>IF(MID(Z307,16,2)="0","",MID(Z307,1,15)&amp;MID(Z307,16,2))</f>
        <v/>
      </c>
      <c r="AF307" s="2989" cm="1">
        <f t="array" ref="AF307">INDEX('각층분기별_유효전력최대(전월)'!$L$4:$L$2020,MATCH(1, ('각층분기별_유효전력최대(전월)'!$J$4:$J$2020='7층~4층_매핑테이블'!AB307) * ('각층분기별_유효전력최대(전월)'!$K$4:$K$2020='7층~4층_매핑테이블'!AC307),0)) + INDEX('각층분기별_유효전력최대(전월)'!$L$4:$L$2020,MATCH(1, ('각층분기별_유효전력최대(전월)'!$J$4:$J$2020='7층~4층_매핑테이블'!AD307) * ('각층분기별_유효전력최대(전월)'!$K$4:$K$2020='7층~4층_매핑테이블'!AE307),0))</f>
        <v>0</v>
      </c>
    </row>
    <row r="308" spans="1:32" x14ac:dyDescent="0.25">
      <c r="A308" t="str">
        <f t="shared" si="345"/>
        <v/>
      </c>
      <c r="D308" s="2989"/>
      <c r="E308" s="2989"/>
      <c r="F308" s="2989" t="str">
        <f t="shared" si="346"/>
        <v/>
      </c>
      <c r="G308" s="2989" t="str">
        <f t="shared" si="347"/>
        <v/>
      </c>
      <c r="H308" s="2989" cm="1">
        <f t="array" ref="H308">INDEX('각층분기별_유효전력최대(전월)'!$C$4:$C$2020,MATCH(1, ('각층분기별_유효전력최대(전월)'!$A$4:$A$2020='7층~4층_매핑테이블'!D308) * ('각층분기별_유효전력최대(전월)'!$B$4:$B$2020='7층~4층_매핑테이블'!E308),0)) + INDEX('각층분기별_유효전력최대(전월)'!$C$4:$C$2020,MATCH(1, ('각층분기별_유효전력최대(전월)'!$A$4:$A$2020='7층~4층_매핑테이블'!F308) * ('각층분기별_유효전력최대(전월)'!$B$4:$B$2020='7층~4층_매핑테이블'!G308),0))</f>
        <v>0</v>
      </c>
      <c r="I308" t="str">
        <f t="shared" si="336"/>
        <v>5-DaHall 1-PDU-16-20-30</v>
      </c>
      <c r="J308" s="217"/>
      <c r="K308" s="217" t="s">
        <v>10809</v>
      </c>
      <c r="L308" t="str">
        <f t="shared" si="331"/>
        <v/>
      </c>
      <c r="M308" t="str">
        <f t="shared" si="363"/>
        <v/>
      </c>
      <c r="N308" t="str">
        <f t="shared" si="337"/>
        <v>5-DaHall 1-PDU-16</v>
      </c>
      <c r="O308" t="str">
        <f>IF(IF(LEN((MID(K308,22,2)))=1, "[branch#0"&amp;0&amp;MID(K308,22,2)&amp;"] [A] W", "[branch#0"&amp;MID(K308,22,2)&amp;"] [A] W")="[branch#0] [A] W", "", IF(LEN((MID(K308,22,2)))=1, "[branch#0"&amp;0&amp;MID(K308,22,2)&amp;"] [A] W", "[branch#0"&amp;MID(K308,22,2)&amp;"] [A] W"))</f>
        <v>[branch#030] [A] W</v>
      </c>
      <c r="P308" s="2989" cm="1">
        <f t="array" ref="P308">INDEX('각층분기별_유효전력최대(전월)'!$F$4:$F$2020,MATCH(1, ('각층분기별_유효전력최대(전월)'!$D$4:$D$2020='7층~4층_매핑테이블'!L308) * ('각층분기별_유효전력최대(전월)'!$E$4:$E$2020='7층~4층_매핑테이블'!M308),0)) + INDEX('각층분기별_유효전력최대(전월)'!$F$4:$F$2020,MATCH(1, ('각층분기별_유효전력최대(전월)'!$D$4:$D$2020='7층~4층_매핑테이블'!N308) * ('각층분기별_유효전력최대(전월)'!$E$4:$E$2020='7층~4층_매핑테이블'!O308),0))</f>
        <v>6.4000000000000001E-2</v>
      </c>
      <c r="Q308" s="1" t="str">
        <f t="shared" si="368"/>
        <v/>
      </c>
      <c r="V308" t="str">
        <f>IF(MID(S308,16,2)="0","",MID(S308,1,15)&amp;MID(S308,16,2))</f>
        <v/>
      </c>
      <c r="W308" t="str">
        <f>IF(IF(LEN((MID(S308,22,2)))=1, "[branch#0"&amp;0&amp;MID(S308,22,2)&amp;"] [A] W", "[branch#0"&amp;MID(S308,22,2)&amp;"] [A] W")="[branch#0] [A] W", "", IF(LEN((MID(S308,22,2)))=1, "[branch#0"&amp;0&amp;MID(S308,22,2)&amp;"] [A] W", "[branch#0"&amp;MID(S308,22,2)&amp;"] [A] W"))</f>
        <v/>
      </c>
      <c r="X308" s="2989"/>
      <c r="Y308" s="3100"/>
      <c r="AB308" s="3274" t="str">
        <f t="shared" ref="AB308" si="369">IF(MID(Z308,16,2)="0","",MID(Z308,1,15)&amp;MID(Z308,16,2))</f>
        <v/>
      </c>
      <c r="AF308" s="2989" cm="1">
        <f t="array" ref="AF308">INDEX('각층분기별_유효전력최대(전월)'!$L$4:$L$2020,MATCH(1, ('각층분기별_유효전력최대(전월)'!$J$4:$J$2020='7층~4층_매핑테이블'!AB308) * ('각층분기별_유효전력최대(전월)'!$K$4:$K$2020='7층~4층_매핑테이블'!AC308),0)) + INDEX('각층분기별_유효전력최대(전월)'!$L$4:$L$2020,MATCH(1, ('각층분기별_유효전력최대(전월)'!$J$4:$J$2020='7층~4층_매핑테이블'!AD308) * ('각층분기별_유효전력최대(전월)'!$K$4:$K$2020='7층~4층_매핑테이블'!AE308),0))</f>
        <v>0</v>
      </c>
    </row>
    <row r="309" spans="1:32" x14ac:dyDescent="0.25">
      <c r="A309" t="str">
        <f t="shared" si="345"/>
        <v/>
      </c>
      <c r="D309" s="2989"/>
      <c r="E309" s="2989"/>
      <c r="F309" s="2989" t="str">
        <f t="shared" si="346"/>
        <v/>
      </c>
      <c r="G309" s="2989" t="str">
        <f t="shared" si="347"/>
        <v/>
      </c>
      <c r="H309" s="2989" cm="1">
        <f t="array" ref="H309">INDEX('각층분기별_유효전력최대(전월)'!$C$4:$C$2020,MATCH(1, ('각층분기별_유효전력최대(전월)'!$A$4:$A$2020='7층~4층_매핑테이블'!D309) * ('각층분기별_유효전력최대(전월)'!$B$4:$B$2020='7층~4층_매핑테이블'!E309),0)) + INDEX('각층분기별_유효전력최대(전월)'!$C$4:$C$2020,MATCH(1, ('각층분기별_유효전력최대(전월)'!$A$4:$A$2020='7층~4층_매핑테이블'!F309) * ('각층분기별_유효전력최대(전월)'!$B$4:$B$2020='7층~4층_매핑테이블'!G309),0))</f>
        <v>0</v>
      </c>
      <c r="I309" t="str">
        <f t="shared" si="336"/>
        <v/>
      </c>
      <c r="J309" s="217"/>
      <c r="K309" s="217"/>
      <c r="L309" t="str">
        <f t="shared" si="331"/>
        <v/>
      </c>
      <c r="M309" t="str">
        <f t="shared" si="363"/>
        <v/>
      </c>
      <c r="N309" t="str">
        <f t="shared" si="337"/>
        <v/>
      </c>
      <c r="O309" t="str">
        <f>IF(IF(LEN((MID(K309,22,2)))=1, "[branch#0"&amp;0&amp;MID(K309,22,2)&amp;"] [A] W", "[branch#0"&amp;MID(K309,22,2)&amp;"] [A] W")="[branch#0] [A] W", "", IF(LEN((MID(K309,22,2)))=1, "[branch#0"&amp;0&amp;MID(K309,22,2)&amp;"] [A] W", "[branch#0"&amp;MID(K309,22,2)&amp;"] [A] W"))</f>
        <v/>
      </c>
      <c r="P309" s="2989" cm="1">
        <f t="array" ref="P309">INDEX('각층분기별_유효전력최대(전월)'!$F$4:$F$2020,MATCH(1, ('각층분기별_유효전력최대(전월)'!$D$4:$D$2020='7층~4층_매핑테이블'!L309) * ('각층분기별_유효전력최대(전월)'!$E$4:$E$2020='7층~4층_매핑테이블'!M309),0)) + INDEX('각층분기별_유효전력최대(전월)'!$F$4:$F$2020,MATCH(1, ('각층분기별_유효전력최대(전월)'!$D$4:$D$2020='7층~4층_매핑테이블'!N309) * ('각층분기별_유효전력최대(전월)'!$E$4:$E$2020='7층~4층_매핑테이블'!O309),0))</f>
        <v>0</v>
      </c>
      <c r="Q309" s="1" t="str">
        <f t="shared" si="368"/>
        <v/>
      </c>
      <c r="V309" t="str">
        <f t="shared" ref="V309:V310" si="370">IF(MID(S309,16,2)="0","",MID(S309,1,15)&amp;MID(S309,16,2))</f>
        <v/>
      </c>
      <c r="W309" t="str">
        <f t="shared" ref="W309:W310" si="371">IF(IF(LEN((MID(S309,22,2)))=1, "[branch#0"&amp;0&amp;MID(S309,22,2)&amp;"] [A] W", "[branch#0"&amp;MID(S309,22,2)&amp;"] [A] W")="[branch#0] [A] W", "", IF(LEN((MID(S309,22,2)))=1, "[branch#0"&amp;0&amp;MID(S309,22,2)&amp;"] [A] W", "[branch#0"&amp;MID(S309,22,2)&amp;"] [A] W"))</f>
        <v/>
      </c>
      <c r="X309" s="2989"/>
      <c r="Y309" s="3100"/>
      <c r="AB309" s="3274" t="str">
        <f>IF(MID(Z309,16,2)="0","",MID(Z309,1,15)&amp;MID(Z309,16,2))</f>
        <v/>
      </c>
      <c r="AF309" s="2989" cm="1">
        <f t="array" ref="AF309">INDEX('각층분기별_유효전력최대(전월)'!$L$4:$L$2020,MATCH(1, ('각층분기별_유효전력최대(전월)'!$J$4:$J$2020='7층~4층_매핑테이블'!AB309) * ('각층분기별_유효전력최대(전월)'!$K$4:$K$2020='7층~4층_매핑테이블'!AC309),0)) + INDEX('각층분기별_유효전력최대(전월)'!$L$4:$L$2020,MATCH(1, ('각층분기별_유효전력최대(전월)'!$J$4:$J$2020='7층~4층_매핑테이블'!AD309) * ('각층분기별_유효전력최대(전월)'!$K$4:$K$2020='7층~4층_매핑테이블'!AE309),0))</f>
        <v>0</v>
      </c>
    </row>
    <row r="310" spans="1:32" x14ac:dyDescent="0.25">
      <c r="A310" t="str">
        <f t="shared" si="345"/>
        <v/>
      </c>
      <c r="D310" s="2989"/>
      <c r="E310" s="2989"/>
      <c r="F310" s="2989" t="str">
        <f t="shared" si="346"/>
        <v/>
      </c>
      <c r="G310" s="2989" t="str">
        <f t="shared" si="347"/>
        <v/>
      </c>
      <c r="H310" s="2989" cm="1">
        <f t="array" ref="H310">INDEX('각층분기별_유효전력최대(전월)'!$C$4:$C$2020,MATCH(1, ('각층분기별_유효전력최대(전월)'!$A$4:$A$2020='7층~4층_매핑테이블'!D310) * ('각층분기별_유효전력최대(전월)'!$B$4:$B$2020='7층~4층_매핑테이블'!E310),0)) + INDEX('각층분기별_유효전력최대(전월)'!$C$4:$C$2020,MATCH(1, ('각층분기별_유효전력최대(전월)'!$A$4:$A$2020='7층~4층_매핑테이블'!F310) * ('각층분기별_유효전력최대(전월)'!$B$4:$B$2020='7층~4층_매핑테이블'!G310),0))</f>
        <v>0</v>
      </c>
      <c r="I310" t="str">
        <f t="shared" si="336"/>
        <v/>
      </c>
      <c r="J310" s="217"/>
      <c r="K310" s="217"/>
      <c r="L310" t="str">
        <f t="shared" si="331"/>
        <v/>
      </c>
      <c r="M310" t="str">
        <f t="shared" si="363"/>
        <v/>
      </c>
      <c r="N310" t="str">
        <f t="shared" si="337"/>
        <v/>
      </c>
      <c r="O310" t="str">
        <f t="shared" ref="O310:O312" si="372">IF(IF(LEN((MID(K310,22,2)))=1, "[branch#0"&amp;0&amp;MID(K310,22,2)&amp;"] [A] W", "[branch#0"&amp;MID(K310,22,2)&amp;"] [A] W")="[branch#0] [A] W", "", IF(LEN((MID(K310,22,2)))=1, "[branch#0"&amp;0&amp;MID(K310,22,2)&amp;"] [A] W", "[branch#0"&amp;MID(K310,22,2)&amp;"] [A] W"))</f>
        <v/>
      </c>
      <c r="P310" s="2989" cm="1">
        <f t="array" ref="P310">INDEX('각층분기별_유효전력최대(전월)'!$F$4:$F$2020,MATCH(1, ('각층분기별_유효전력최대(전월)'!$D$4:$D$2020='7층~4층_매핑테이블'!L310) * ('각층분기별_유효전력최대(전월)'!$E$4:$E$2020='7층~4층_매핑테이블'!M310),0)) + INDEX('각층분기별_유효전력최대(전월)'!$F$4:$F$2020,MATCH(1, ('각층분기별_유효전력최대(전월)'!$D$4:$D$2020='7층~4층_매핑테이블'!N310) * ('각층분기별_유효전력최대(전월)'!$E$4:$E$2020='7층~4층_매핑테이블'!O310),0))</f>
        <v>0</v>
      </c>
      <c r="Q310" s="1" t="str">
        <f>R310&amp;S310</f>
        <v/>
      </c>
      <c r="V310" t="str">
        <f t="shared" si="370"/>
        <v/>
      </c>
      <c r="W310" t="str">
        <f t="shared" si="371"/>
        <v/>
      </c>
      <c r="X310" s="2989"/>
      <c r="Y310" s="3100"/>
      <c r="AB310" s="3274" t="str">
        <f>IF(MID(Z310,16,2)="0","",MID(Z310,1,15)&amp;MID(Z310,16,2))</f>
        <v/>
      </c>
      <c r="AF310" s="2989" cm="1">
        <f t="array" ref="AF310">INDEX('각층분기별_유효전력최대(전월)'!$L$4:$L$2020,MATCH(1, ('각층분기별_유효전력최대(전월)'!$J$4:$J$2020='7층~4층_매핑테이블'!AB310) * ('각층분기별_유효전력최대(전월)'!$K$4:$K$2020='7층~4층_매핑테이블'!AC310),0)) + INDEX('각층분기별_유효전력최대(전월)'!$L$4:$L$2020,MATCH(1, ('각층분기별_유효전력최대(전월)'!$J$4:$J$2020='7층~4층_매핑테이블'!AD310) * ('각층분기별_유효전력최대(전월)'!$K$4:$K$2020='7층~4층_매핑테이블'!AE310),0))</f>
        <v>0</v>
      </c>
    </row>
    <row r="311" spans="1:32" x14ac:dyDescent="0.25">
      <c r="A311" t="str">
        <f t="shared" si="345"/>
        <v/>
      </c>
      <c r="D311" s="2989"/>
      <c r="E311" s="2989"/>
      <c r="F311" s="2989" t="str">
        <f t="shared" si="346"/>
        <v/>
      </c>
      <c r="G311" s="2989" t="str">
        <f t="shared" si="347"/>
        <v/>
      </c>
      <c r="H311" s="2989" cm="1">
        <f t="array" ref="H311">INDEX('각층분기별_유효전력최대(전월)'!$C$4:$C$2020,MATCH(1, ('각층분기별_유효전력최대(전월)'!$A$4:$A$2020='7층~4층_매핑테이블'!D311) * ('각층분기별_유효전력최대(전월)'!$B$4:$B$2020='7층~4층_매핑테이블'!E311),0)) + INDEX('각층분기별_유효전력최대(전월)'!$C$4:$C$2020,MATCH(1, ('각층분기별_유효전력최대(전월)'!$A$4:$A$2020='7층~4층_매핑테이블'!F311) * ('각층분기별_유효전력최대(전월)'!$B$4:$B$2020='7층~4층_매핑테이블'!G311),0))</f>
        <v>0</v>
      </c>
      <c r="I311" t="str">
        <f t="shared" si="336"/>
        <v>5-DaHall 1-PDU-15-50-1</v>
      </c>
      <c r="J311" s="217" t="s">
        <v>10810</v>
      </c>
      <c r="K311" s="217"/>
      <c r="L311" t="str">
        <f t="shared" si="331"/>
        <v>5-DaHall 1-PDU-15</v>
      </c>
      <c r="M311" t="str">
        <f>IF(IF(LEN((MID(J311,22,2)))=1, "[branch#0"&amp;0&amp;MID(J311,22,2)&amp;"] [A] W", "[branch#0"&amp;MID(J311,22,2)&amp;"] [A] W")="[branch#0] [A] W", "", IF(LEN((MID(J311,22,2)))=1, "[branch#0"&amp;0&amp;MID(J311,22,2)&amp;"] [A] W", "[branch#0"&amp;MID(J311,22,2)&amp;"] [A] W"))</f>
        <v>[branch#001] [A] W</v>
      </c>
      <c r="N311" t="str">
        <f t="shared" si="337"/>
        <v/>
      </c>
      <c r="O311" t="str">
        <f t="shared" si="372"/>
        <v/>
      </c>
      <c r="P311" s="2989" cm="1">
        <f t="array" ref="P311">INDEX('각층분기별_유효전력최대(전월)'!$F$4:$F$2020,MATCH(1, ('각층분기별_유효전력최대(전월)'!$D$4:$D$2020='7층~4층_매핑테이블'!L311) * ('각층분기별_유효전력최대(전월)'!$E$4:$E$2020='7층~4층_매핑테이블'!M311),0)) + INDEX('각층분기별_유효전력최대(전월)'!$F$4:$F$2020,MATCH(1, ('각층분기별_유효전력최대(전월)'!$D$4:$D$2020='7층~4층_매핑테이블'!N311) * ('각층분기별_유효전력최대(전월)'!$E$4:$E$2020='7층~4층_매핑테이블'!O311),0))</f>
        <v>3.012</v>
      </c>
      <c r="Q311" s="1" t="str">
        <f>R311&amp;S311</f>
        <v/>
      </c>
      <c r="V311" t="str">
        <f>IF(MID(S311,16,2)="0","",MID(S311,1,15)&amp;MID(S311,16,2))</f>
        <v/>
      </c>
      <c r="W311" t="str">
        <f>IF(IF(LEN((MID(S311,22,2)))=1, "[branch#0"&amp;0&amp;MID(S311,22,2)&amp;"] [A] W", "[branch#0"&amp;MID(S311,22,2)&amp;"] [A] W")="[branch#0] [A] W", "", IF(LEN((MID(S311,22,2)))=1, "[branch#0"&amp;0&amp;MID(S311,22,2)&amp;"] [A] W", "[branch#0"&amp;MID(S311,22,2)&amp;"] [A] W"))</f>
        <v/>
      </c>
      <c r="X311" s="2989"/>
      <c r="Y311" s="3100"/>
      <c r="AB311" s="3274" t="str">
        <f t="shared" ref="AB311:AB312" si="373">IF(MID(Z311,16,2)="0","",MID(Z311,1,15)&amp;MID(Z311,16,2))</f>
        <v/>
      </c>
      <c r="AF311" s="2989" cm="1">
        <f t="array" ref="AF311">INDEX('각층분기별_유효전력최대(전월)'!$L$4:$L$2020,MATCH(1, ('각층분기별_유효전력최대(전월)'!$J$4:$J$2020='7층~4층_매핑테이블'!AB311) * ('각층분기별_유효전력최대(전월)'!$K$4:$K$2020='7층~4층_매핑테이블'!AC311),0)) + INDEX('각층분기별_유효전력최대(전월)'!$L$4:$L$2020,MATCH(1, ('각층분기별_유효전력최대(전월)'!$J$4:$J$2020='7층~4층_매핑테이블'!AD311) * ('각층분기별_유효전력최대(전월)'!$K$4:$K$2020='7층~4층_매핑테이블'!AE311),0))</f>
        <v>0</v>
      </c>
    </row>
    <row r="312" spans="1:32" x14ac:dyDescent="0.25">
      <c r="A312" t="str">
        <f t="shared" si="345"/>
        <v/>
      </c>
      <c r="D312" s="2989"/>
      <c r="E312" s="2989"/>
      <c r="F312" s="2989" t="str">
        <f t="shared" si="346"/>
        <v/>
      </c>
      <c r="G312" s="2989" t="str">
        <f t="shared" si="347"/>
        <v/>
      </c>
      <c r="H312" s="2989" cm="1">
        <f t="array" ref="H312">INDEX('각층분기별_유효전력최대(전월)'!$C$4:$C$2020,MATCH(1, ('각층분기별_유효전력최대(전월)'!$A$4:$A$2020='7층~4층_매핑테이블'!D312) * ('각층분기별_유효전력최대(전월)'!$B$4:$B$2020='7층~4층_매핑테이블'!E312),0)) + INDEX('각층분기별_유효전력최대(전월)'!$C$4:$C$2020,MATCH(1, ('각층분기별_유효전력최대(전월)'!$A$4:$A$2020='7층~4층_매핑테이블'!F312) * ('각층분기별_유효전력최대(전월)'!$B$4:$B$2020='7층~4층_매핑테이블'!G312),0))</f>
        <v>0</v>
      </c>
      <c r="I312" t="str">
        <f t="shared" si="336"/>
        <v>5-DaHall 1-PDU-15-50-2</v>
      </c>
      <c r="J312" s="217" t="s">
        <v>10811</v>
      </c>
      <c r="K312" s="217"/>
      <c r="L312" t="str">
        <f t="shared" si="331"/>
        <v>5-DaHall 1-PDU-15</v>
      </c>
      <c r="M312" t="str">
        <f t="shared" ref="M312" si="374">IF(IF(LEN((MID(J312,22,2)))=1, "[branch#0"&amp;0&amp;MID(J312,22,2)&amp;"] [A] W", "[branch#0"&amp;MID(J312,22,2)&amp;"] [A] W")="[branch#0] [A] W", "", IF(LEN((MID(J312,22,2)))=1, "[branch#0"&amp;0&amp;MID(J312,22,2)&amp;"] [A] W", "[branch#0"&amp;MID(J312,22,2)&amp;"] [A] W"))</f>
        <v>[branch#002] [A] W</v>
      </c>
      <c r="N312" t="str">
        <f t="shared" si="337"/>
        <v/>
      </c>
      <c r="O312" t="str">
        <f t="shared" si="372"/>
        <v/>
      </c>
      <c r="P312" s="2989" cm="1">
        <f t="array" ref="P312">INDEX('각층분기별_유효전력최대(전월)'!$F$4:$F$2020,MATCH(1, ('각층분기별_유효전력최대(전월)'!$D$4:$D$2020='7층~4층_매핑테이블'!L312) * ('각층분기별_유효전력최대(전월)'!$E$4:$E$2020='7층~4층_매핑테이블'!M312),0)) + INDEX('각층분기별_유효전력최대(전월)'!$F$4:$F$2020,MATCH(1, ('각층분기별_유효전력최대(전월)'!$D$4:$D$2020='7층~4층_매핑테이블'!N312) * ('각층분기별_유효전력최대(전월)'!$E$4:$E$2020='7층~4층_매핑테이블'!O312),0))</f>
        <v>1.7789999999999999</v>
      </c>
      <c r="Q312" s="1" t="str">
        <f t="shared" ref="Q312:Q313" si="375">R312&amp;S312</f>
        <v/>
      </c>
      <c r="V312" t="str">
        <f t="shared" ref="V312:V316" si="376">IF(MID(S312,16,2)="0","",MID(S312,1,15)&amp;MID(S312,16,2))</f>
        <v/>
      </c>
      <c r="W312" t="str">
        <f t="shared" ref="W312:W316" si="377">IF(IF(LEN((MID(S312,22,2)))=1, "[branch#0"&amp;0&amp;MID(S312,22,2)&amp;"] [A] W", "[branch#0"&amp;MID(S312,22,2)&amp;"] [A] W")="[branch#0] [A] W", "", IF(LEN((MID(S312,22,2)))=1, "[branch#0"&amp;0&amp;MID(S312,22,2)&amp;"] [A] W", "[branch#0"&amp;MID(S312,22,2)&amp;"] [A] W"))</f>
        <v/>
      </c>
      <c r="X312" s="2989"/>
      <c r="Y312" s="3100"/>
      <c r="AB312" s="3274" t="str">
        <f t="shared" si="373"/>
        <v/>
      </c>
      <c r="AF312" s="2989" cm="1">
        <f t="array" ref="AF312">INDEX('각층분기별_유효전력최대(전월)'!$L$4:$L$2020,MATCH(1, ('각층분기별_유효전력최대(전월)'!$J$4:$J$2020='7층~4층_매핑테이블'!AB312) * ('각층분기별_유효전력최대(전월)'!$K$4:$K$2020='7층~4층_매핑테이블'!AC312),0)) + INDEX('각층분기별_유효전력최대(전월)'!$L$4:$L$2020,MATCH(1, ('각층분기별_유효전력최대(전월)'!$J$4:$J$2020='7층~4층_매핑테이블'!AD312) * ('각층분기별_유효전력최대(전월)'!$K$4:$K$2020='7층~4층_매핑테이블'!AE312),0))</f>
        <v>0</v>
      </c>
    </row>
    <row r="313" spans="1:32" x14ac:dyDescent="0.25">
      <c r="A313" t="str">
        <f t="shared" si="345"/>
        <v/>
      </c>
      <c r="D313" s="2989"/>
      <c r="E313" s="2989"/>
      <c r="F313" s="2989" t="str">
        <f t="shared" si="346"/>
        <v/>
      </c>
      <c r="G313" s="2989" t="str">
        <f t="shared" si="347"/>
        <v/>
      </c>
      <c r="H313" s="2989" cm="1">
        <f t="array" ref="H313">INDEX('각층분기별_유효전력최대(전월)'!$C$4:$C$2020,MATCH(1, ('각층분기별_유효전력최대(전월)'!$A$4:$A$2020='7층~4층_매핑테이블'!D313) * ('각층분기별_유효전력최대(전월)'!$B$4:$B$2020='7층~4층_매핑테이블'!E313),0)) + INDEX('각층분기별_유효전력최대(전월)'!$C$4:$C$2020,MATCH(1, ('각층분기별_유효전력최대(전월)'!$A$4:$A$2020='7층~4층_매핑테이블'!F313) * ('각층분기별_유효전력최대(전월)'!$B$4:$B$2020='7층~4층_매핑테이블'!G313),0))</f>
        <v>0</v>
      </c>
      <c r="I313" t="str">
        <f t="shared" si="336"/>
        <v>5-DaHall 1-PDU-16-50-1</v>
      </c>
      <c r="J313" s="217"/>
      <c r="K313" s="217" t="s">
        <v>10812</v>
      </c>
      <c r="L313" t="str">
        <f t="shared" si="331"/>
        <v/>
      </c>
      <c r="M313" t="str">
        <f>IF(IF(LEN((MID(J313,22,2)))=1, "[branch#0"&amp;0&amp;MID(J313,22,2)&amp;"] [A] W", "[branch#0"&amp;MID(J313,22,2)&amp;"] [A] W")="[branch#0] [A] W", "", IF(LEN((MID(J313,22,2)))=1, "[branch#0"&amp;0&amp;MID(J313,22,2)&amp;"] [A] W", "[branch#0"&amp;MID(J313,22,2)&amp;"] [A] W"))</f>
        <v/>
      </c>
      <c r="N313" t="str">
        <f t="shared" si="337"/>
        <v>5-DaHall 1-PDU-16</v>
      </c>
      <c r="O313" t="str">
        <f>IF(IF(LEN((MID(K313,22,2)))=1, "[branch#0"&amp;0&amp;MID(K313,22,2)&amp;"] [A] W", "[branch#0"&amp;MID(K313,22,2)&amp;"] [A] W")="[branch#0] [A] W", "", IF(LEN((MID(K313,22,2)))=1, "[branch#0"&amp;0&amp;MID(K313,22,2)&amp;"] [A] W", "[branch#0"&amp;MID(K313,22,2)&amp;"] [A] W"))</f>
        <v>[branch#001] [A] W</v>
      </c>
      <c r="P313" s="2989" cm="1">
        <f t="array" ref="P313">INDEX('각층분기별_유효전력최대(전월)'!$F$4:$F$2020,MATCH(1, ('각층분기별_유효전력최대(전월)'!$D$4:$D$2020='7층~4층_매핑테이블'!L313) * ('각층분기별_유효전력최대(전월)'!$E$4:$E$2020='7층~4층_매핑테이블'!M313),0)) + INDEX('각층분기별_유효전력최대(전월)'!$F$4:$F$2020,MATCH(1, ('각층분기별_유효전력최대(전월)'!$D$4:$D$2020='7층~4층_매핑테이블'!N313) * ('각층분기별_유효전력최대(전월)'!$E$4:$E$2020='7층~4층_매핑테이블'!O313),0))</f>
        <v>2.2730000000000001</v>
      </c>
      <c r="Q313" s="1" t="str">
        <f t="shared" si="375"/>
        <v/>
      </c>
      <c r="V313" t="str">
        <f t="shared" si="376"/>
        <v/>
      </c>
      <c r="W313" t="str">
        <f t="shared" si="377"/>
        <v/>
      </c>
      <c r="X313" s="2989"/>
      <c r="Y313" s="3100"/>
      <c r="AB313" s="3274" t="str">
        <f>IF(MID(Z313,16,2)="0","",MID(Z313,1,15)&amp;MID(Z313,16,2))</f>
        <v/>
      </c>
      <c r="AF313" s="2989" cm="1">
        <f t="array" ref="AF313">INDEX('각층분기별_유효전력최대(전월)'!$L$4:$L$2020,MATCH(1, ('각층분기별_유효전력최대(전월)'!$J$4:$J$2020='7층~4층_매핑테이블'!AB313) * ('각층분기별_유효전력최대(전월)'!$K$4:$K$2020='7층~4층_매핑테이블'!AC313),0)) + INDEX('각층분기별_유효전력최대(전월)'!$L$4:$L$2020,MATCH(1, ('각층분기별_유효전력최대(전월)'!$J$4:$J$2020='7층~4층_매핑테이블'!AD313) * ('각층분기별_유효전력최대(전월)'!$K$4:$K$2020='7층~4층_매핑테이블'!AE313),0))</f>
        <v>0</v>
      </c>
    </row>
    <row r="314" spans="1:32" x14ac:dyDescent="0.25">
      <c r="A314" t="str">
        <f t="shared" si="345"/>
        <v/>
      </c>
      <c r="D314" s="2989"/>
      <c r="E314" s="2989"/>
      <c r="F314" s="2989" t="str">
        <f t="shared" si="346"/>
        <v/>
      </c>
      <c r="G314" s="2989" t="str">
        <f t="shared" si="347"/>
        <v/>
      </c>
      <c r="H314" s="2989" cm="1">
        <f t="array" ref="H314">INDEX('각층분기별_유효전력최대(전월)'!$C$4:$C$2020,MATCH(1, ('각층분기별_유효전력최대(전월)'!$A$4:$A$2020='7층~4층_매핑테이블'!D314) * ('각층분기별_유효전력최대(전월)'!$B$4:$B$2020='7층~4층_매핑테이블'!E314),0)) + INDEX('각층분기별_유효전력최대(전월)'!$C$4:$C$2020,MATCH(1, ('각층분기별_유효전력최대(전월)'!$A$4:$A$2020='7층~4층_매핑테이블'!F314) * ('각층분기별_유효전력최대(전월)'!$B$4:$B$2020='7층~4층_매핑테이블'!G314),0))</f>
        <v>0</v>
      </c>
      <c r="I314" t="str">
        <f t="shared" si="336"/>
        <v>5-DaHall 1-PDU-16-50-2</v>
      </c>
      <c r="J314" s="217"/>
      <c r="K314" s="217" t="s">
        <v>10813</v>
      </c>
      <c r="L314" t="str">
        <f t="shared" si="331"/>
        <v/>
      </c>
      <c r="M314" t="str">
        <f t="shared" ref="M314:M317" si="378">IF(IF(LEN((MID(J314,22,2)))=1, "[branch#0"&amp;0&amp;MID(J314,22,2)&amp;"] [A] W", "[branch#0"&amp;MID(J314,22,2)&amp;"] [A] W")="[branch#0] [A] W", "", IF(LEN((MID(J314,22,2)))=1, "[branch#0"&amp;0&amp;MID(J314,22,2)&amp;"] [A] W", "[branch#0"&amp;MID(J314,22,2)&amp;"] [A] W"))</f>
        <v/>
      </c>
      <c r="N314" t="str">
        <f t="shared" si="337"/>
        <v>5-DaHall 1-PDU-16</v>
      </c>
      <c r="O314" t="str">
        <f t="shared" ref="O314:O317" si="379">IF(IF(LEN((MID(K314,22,2)))=1, "[branch#0"&amp;0&amp;MID(K314,22,2)&amp;"] [A] W", "[branch#0"&amp;MID(K314,22,2)&amp;"] [A] W")="[branch#0] [A] W", "", IF(LEN((MID(K314,22,2)))=1, "[branch#0"&amp;0&amp;MID(K314,22,2)&amp;"] [A] W", "[branch#0"&amp;MID(K314,22,2)&amp;"] [A] W"))</f>
        <v>[branch#002] [A] W</v>
      </c>
      <c r="P314" s="2989" cm="1">
        <f t="array" ref="P314">INDEX('각층분기별_유효전력최대(전월)'!$F$4:$F$2020,MATCH(1, ('각층분기별_유효전력최대(전월)'!$D$4:$D$2020='7층~4층_매핑테이블'!L314) * ('각층분기별_유효전력최대(전월)'!$E$4:$E$2020='7층~4층_매핑테이블'!M314),0)) + INDEX('각층분기별_유효전력최대(전월)'!$F$4:$F$2020,MATCH(1, ('각층분기별_유효전력최대(전월)'!$D$4:$D$2020='7층~4층_매핑테이블'!N314) * ('각층분기별_유효전력최대(전월)'!$E$4:$E$2020='7층~4층_매핑테이블'!O314),0))</f>
        <v>1.7509999999999999</v>
      </c>
      <c r="Q314" s="1" t="str">
        <f>R314&amp;S314</f>
        <v/>
      </c>
      <c r="V314" t="str">
        <f t="shared" si="376"/>
        <v/>
      </c>
      <c r="W314" t="str">
        <f t="shared" si="377"/>
        <v/>
      </c>
      <c r="X314" s="2989"/>
      <c r="Y314" s="3100"/>
      <c r="AB314" s="3274" t="str">
        <f>IF(MID(Z314,16,2)="0","",MID(Z314,1,15)&amp;MID(Z314,16,2))</f>
        <v/>
      </c>
      <c r="AF314" s="2989" cm="1">
        <f t="array" ref="AF314">INDEX('각층분기별_유효전력최대(전월)'!$L$4:$L$2020,MATCH(1, ('각층분기별_유효전력최대(전월)'!$J$4:$J$2020='7층~4층_매핑테이블'!AB314) * ('각층분기별_유효전력최대(전월)'!$K$4:$K$2020='7층~4층_매핑테이블'!AC314),0)) + INDEX('각층분기별_유효전력최대(전월)'!$L$4:$L$2020,MATCH(1, ('각층분기별_유효전력최대(전월)'!$J$4:$J$2020='7층~4층_매핑테이블'!AD314) * ('각층분기별_유효전력최대(전월)'!$K$4:$K$2020='7층~4층_매핑테이블'!AE314),0))</f>
        <v>0</v>
      </c>
    </row>
    <row r="315" spans="1:32" x14ac:dyDescent="0.25">
      <c r="A315" t="str">
        <f t="shared" si="345"/>
        <v/>
      </c>
      <c r="D315" s="2989"/>
      <c r="E315" s="2989"/>
      <c r="F315" s="2989" t="str">
        <f t="shared" si="346"/>
        <v/>
      </c>
      <c r="G315" s="2989" t="str">
        <f t="shared" si="347"/>
        <v/>
      </c>
      <c r="H315" s="2989" cm="1">
        <f t="array" ref="H315">INDEX('각층분기별_유효전력최대(전월)'!$C$4:$C$2020,MATCH(1, ('각층분기별_유효전력최대(전월)'!$A$4:$A$2020='7층~4층_매핑테이블'!D315) * ('각층분기별_유효전력최대(전월)'!$B$4:$B$2020='7층~4층_매핑테이블'!E315),0)) + INDEX('각층분기별_유효전력최대(전월)'!$C$4:$C$2020,MATCH(1, ('각층분기별_유효전력최대(전월)'!$A$4:$A$2020='7층~4층_매핑테이블'!F315) * ('각층분기별_유효전력최대(전월)'!$B$4:$B$2020='7층~4층_매핑테이블'!G315),0))</f>
        <v>0</v>
      </c>
      <c r="I315" t="str">
        <f t="shared" si="336"/>
        <v>5-DaHall 1-PDU-16-20-21</v>
      </c>
      <c r="J315" s="217"/>
      <c r="K315" s="217" t="s">
        <v>10814</v>
      </c>
      <c r="L315" t="str">
        <f t="shared" si="331"/>
        <v/>
      </c>
      <c r="M315" t="str">
        <f t="shared" si="378"/>
        <v/>
      </c>
      <c r="N315" t="str">
        <f t="shared" si="337"/>
        <v>5-DaHall 1-PDU-16</v>
      </c>
      <c r="O315" t="str">
        <f t="shared" si="379"/>
        <v>[branch#021] [A] W</v>
      </c>
      <c r="P315" s="2989" cm="1">
        <f t="array" ref="P315">INDEX('각층분기별_유효전력최대(전월)'!$F$4:$F$2020,MATCH(1, ('각층분기별_유효전력최대(전월)'!$D$4:$D$2020='7층~4층_매핑테이블'!L315) * ('각층분기별_유효전력최대(전월)'!$E$4:$E$2020='7층~4층_매핑테이블'!M315),0)) + INDEX('각층분기별_유효전력최대(전월)'!$F$4:$F$2020,MATCH(1, ('각층분기별_유효전력최대(전월)'!$D$4:$D$2020='7층~4층_매핑테이블'!N315) * ('각층분기별_유효전력최대(전월)'!$E$4:$E$2020='7층~4층_매핑테이블'!O315),0))</f>
        <v>6.4000000000000001E-2</v>
      </c>
      <c r="Q315" s="1" t="str">
        <f t="shared" ref="Q315:Q317" si="380">R315&amp;S315</f>
        <v/>
      </c>
      <c r="V315" t="str">
        <f t="shared" si="376"/>
        <v/>
      </c>
      <c r="W315" t="str">
        <f t="shared" si="377"/>
        <v/>
      </c>
      <c r="X315" s="2989"/>
      <c r="Y315" s="3100"/>
      <c r="AB315" s="3274" t="str">
        <f>IF(MID(Z315,16,2)="0","",MID(Z315,1,15)&amp;MID(Z315,16,2))</f>
        <v/>
      </c>
      <c r="AF315" s="2989" cm="1">
        <f t="array" ref="AF315">INDEX('각층분기별_유효전력최대(전월)'!$L$4:$L$2020,MATCH(1, ('각층분기별_유효전력최대(전월)'!$J$4:$J$2020='7층~4층_매핑테이블'!AB315) * ('각층분기별_유효전력최대(전월)'!$K$4:$K$2020='7층~4층_매핑테이블'!AC315),0)) + INDEX('각층분기별_유효전력최대(전월)'!$L$4:$L$2020,MATCH(1, ('각층분기별_유효전력최대(전월)'!$J$4:$J$2020='7층~4층_매핑테이블'!AD315) * ('각층분기별_유효전력최대(전월)'!$K$4:$K$2020='7층~4층_매핑테이블'!AE315),0))</f>
        <v>0</v>
      </c>
    </row>
    <row r="316" spans="1:32" x14ac:dyDescent="0.25">
      <c r="A316" t="str">
        <f t="shared" si="345"/>
        <v/>
      </c>
      <c r="D316" s="2989"/>
      <c r="E316" s="2989"/>
      <c r="F316" s="2989" t="str">
        <f t="shared" si="346"/>
        <v/>
      </c>
      <c r="G316" s="2989" t="str">
        <f t="shared" si="347"/>
        <v/>
      </c>
      <c r="H316" s="2989" cm="1">
        <f t="array" ref="H316">INDEX('각층분기별_유효전력최대(전월)'!$C$4:$C$2020,MATCH(1, ('각층분기별_유효전력최대(전월)'!$A$4:$A$2020='7층~4층_매핑테이블'!D316) * ('각층분기별_유효전력최대(전월)'!$B$4:$B$2020='7층~4층_매핑테이블'!E316),0)) + INDEX('각층분기별_유효전력최대(전월)'!$C$4:$C$2020,MATCH(1, ('각층분기별_유효전력최대(전월)'!$A$4:$A$2020='7층~4층_매핑테이블'!F316) * ('각층분기별_유효전력최대(전월)'!$B$4:$B$2020='7층~4층_매핑테이블'!G316),0))</f>
        <v>0</v>
      </c>
      <c r="I316" t="str">
        <f t="shared" si="336"/>
        <v>5-DaHall 1-PDU-16-50-20</v>
      </c>
      <c r="J316" s="217"/>
      <c r="K316" s="217" t="s">
        <v>10815</v>
      </c>
      <c r="L316" t="str">
        <f t="shared" si="331"/>
        <v/>
      </c>
      <c r="M316" t="str">
        <f t="shared" si="378"/>
        <v/>
      </c>
      <c r="N316" t="str">
        <f t="shared" si="337"/>
        <v>5-DaHall 1-PDU-16</v>
      </c>
      <c r="O316" t="str">
        <f t="shared" si="379"/>
        <v>[branch#020] [A] W</v>
      </c>
      <c r="P316" s="2989" cm="1">
        <f t="array" ref="P316">INDEX('각층분기별_유효전력최대(전월)'!$F$4:$F$2020,MATCH(1, ('각층분기별_유효전력최대(전월)'!$D$4:$D$2020='7층~4층_매핑테이블'!L316) * ('각층분기별_유효전력최대(전월)'!$E$4:$E$2020='7층~4층_매핑테이블'!M316),0)) + INDEX('각층분기별_유효전력최대(전월)'!$F$4:$F$2020,MATCH(1, ('각층분기별_유효전력최대(전월)'!$D$4:$D$2020='7층~4층_매핑테이블'!N316) * ('각층분기별_유효전력최대(전월)'!$E$4:$E$2020='7층~4층_매핑테이블'!O316),0))</f>
        <v>0.122</v>
      </c>
      <c r="Q316" s="1" t="str">
        <f t="shared" si="380"/>
        <v/>
      </c>
      <c r="V316" t="str">
        <f t="shared" si="376"/>
        <v/>
      </c>
      <c r="W316" t="str">
        <f t="shared" si="377"/>
        <v/>
      </c>
      <c r="X316" s="2989"/>
      <c r="Y316" s="3100"/>
      <c r="AB316" s="3274" t="str">
        <f>IF(MID(Z316,16,2)="0","",MID(Z316,1,15)&amp;MID(Z316,16,2))</f>
        <v/>
      </c>
      <c r="AF316" s="2989" cm="1">
        <f t="array" ref="AF316">INDEX('각층분기별_유효전력최대(전월)'!$L$4:$L$2020,MATCH(1, ('각층분기별_유효전력최대(전월)'!$J$4:$J$2020='7층~4층_매핑테이블'!AB316) * ('각층분기별_유효전력최대(전월)'!$K$4:$K$2020='7층~4층_매핑테이블'!AC316),0)) + INDEX('각층분기별_유효전력최대(전월)'!$L$4:$L$2020,MATCH(1, ('각층분기별_유효전력최대(전월)'!$J$4:$J$2020='7층~4층_매핑테이블'!AD316) * ('각층분기별_유효전력최대(전월)'!$K$4:$K$2020='7층~4층_매핑테이블'!AE316),0))</f>
        <v>0</v>
      </c>
    </row>
    <row r="317" spans="1:32" x14ac:dyDescent="0.25">
      <c r="A317" t="str">
        <f t="shared" si="345"/>
        <v/>
      </c>
      <c r="D317" s="2989"/>
      <c r="E317" s="2989"/>
      <c r="F317" s="2989" t="str">
        <f t="shared" si="346"/>
        <v/>
      </c>
      <c r="G317" s="2989" t="str">
        <f t="shared" si="347"/>
        <v/>
      </c>
      <c r="H317" s="2989" cm="1">
        <f t="array" ref="H317">INDEX('각층분기별_유효전력최대(전월)'!$C$4:$C$2020,MATCH(1, ('각층분기별_유효전력최대(전월)'!$A$4:$A$2020='7층~4층_매핑테이블'!D317) * ('각층분기별_유효전력최대(전월)'!$B$4:$B$2020='7층~4층_매핑테이블'!E317),0)) + INDEX('각층분기별_유효전력최대(전월)'!$C$4:$C$2020,MATCH(1, ('각층분기별_유효전력최대(전월)'!$A$4:$A$2020='7층~4층_매핑테이블'!F317) * ('각층분기별_유효전력최대(전월)'!$B$4:$B$2020='7층~4층_매핑테이블'!G317),0))</f>
        <v>0</v>
      </c>
      <c r="I317" t="str">
        <f t="shared" si="336"/>
        <v>5-DaHall 1-PDU-16-50-22</v>
      </c>
      <c r="J317" s="217"/>
      <c r="K317" s="217" t="s">
        <v>10816</v>
      </c>
      <c r="L317" t="str">
        <f t="shared" si="331"/>
        <v/>
      </c>
      <c r="M317" t="str">
        <f t="shared" si="378"/>
        <v/>
      </c>
      <c r="N317" t="str">
        <f t="shared" si="337"/>
        <v>5-DaHall 1-PDU-16</v>
      </c>
      <c r="O317" t="str">
        <f t="shared" si="379"/>
        <v>[branch#022] [A] W</v>
      </c>
      <c r="P317" s="2989" cm="1">
        <f t="array" ref="P317">INDEX('각층분기별_유효전력최대(전월)'!$F$4:$F$2020,MATCH(1, ('각층분기별_유효전력최대(전월)'!$D$4:$D$2020='7층~4층_매핑테이블'!L317) * ('각층분기별_유효전력최대(전월)'!$E$4:$E$2020='7층~4층_매핑테이블'!M317),0)) + INDEX('각층분기별_유효전력최대(전월)'!$F$4:$F$2020,MATCH(1, ('각층분기별_유효전력최대(전월)'!$D$4:$D$2020='7층~4층_매핑테이블'!N317) * ('각층분기별_유효전력최대(전월)'!$E$4:$E$2020='7층~4층_매핑테이블'!O317),0))</f>
        <v>0.115</v>
      </c>
      <c r="Q317" s="1" t="str">
        <f t="shared" si="380"/>
        <v/>
      </c>
      <c r="V317" t="str">
        <f>IF(MID(S317,16,2)="0","",MID(S317,1,15)&amp;MID(S317,16,2))</f>
        <v/>
      </c>
      <c r="W317" t="str">
        <f>IF(IF(LEN((MID(S317,22,2)))=1, "[branch#0"&amp;0&amp;MID(S317,22,2)&amp;"] [A] W", "[branch#0"&amp;MID(S317,22,2)&amp;"] [A] W")="[branch#0] [A] W", "", IF(LEN((MID(S317,22,2)))=1, "[branch#0"&amp;0&amp;MID(S317,22,2)&amp;"] [A] W", "[branch#0"&amp;MID(S317,22,2)&amp;"] [A] W"))</f>
        <v/>
      </c>
      <c r="X317" s="2989"/>
      <c r="Y317" s="3100"/>
      <c r="AB317" s="3274" t="str">
        <f t="shared" ref="AB317" si="381">IF(MID(Z317,16,2)="0","",MID(Z317,1,15)&amp;MID(Z317,16,2))</f>
        <v/>
      </c>
      <c r="AF317" s="2989" cm="1">
        <f t="array" ref="AF317">INDEX('각층분기별_유효전력최대(전월)'!$L$4:$L$2020,MATCH(1, ('각층분기별_유효전력최대(전월)'!$J$4:$J$2020='7층~4층_매핑테이블'!AB317) * ('각층분기별_유효전력최대(전월)'!$K$4:$K$2020='7층~4층_매핑테이블'!AC317),0)) + INDEX('각층분기별_유효전력최대(전월)'!$L$4:$L$2020,MATCH(1, ('각층분기별_유효전력최대(전월)'!$J$4:$J$2020='7층~4층_매핑테이블'!AD317) * ('각층분기별_유효전력최대(전월)'!$K$4:$K$2020='7층~4층_매핑테이블'!AE317),0))</f>
        <v>0</v>
      </c>
    </row>
    <row r="318" spans="1:32" x14ac:dyDescent="0.25">
      <c r="D318" s="2989"/>
      <c r="E318" s="2989"/>
      <c r="F318" s="2989"/>
      <c r="G318" s="2989"/>
      <c r="L318" s="1"/>
      <c r="P318" s="2989"/>
      <c r="X318" s="2989"/>
      <c r="Y318" s="3100"/>
    </row>
    <row r="319" spans="1:32" x14ac:dyDescent="0.25">
      <c r="D319" s="2989"/>
      <c r="E319" s="2989"/>
      <c r="F319" s="2989"/>
      <c r="G319" s="2989"/>
      <c r="L319" s="1"/>
      <c r="P319" s="2989"/>
      <c r="X319" s="2989"/>
      <c r="Y319" s="3100"/>
    </row>
    <row r="320" spans="1:32" x14ac:dyDescent="0.25">
      <c r="D320" s="2989"/>
      <c r="E320" s="2989"/>
      <c r="F320" s="2989"/>
      <c r="G320" s="2989"/>
      <c r="L320" s="1"/>
      <c r="P320" s="2989"/>
      <c r="X320" s="2989"/>
      <c r="Y320" s="3100"/>
    </row>
    <row r="321" spans="4:25" x14ac:dyDescent="0.25">
      <c r="D321" s="2989"/>
      <c r="E321" s="2989"/>
      <c r="F321" s="2989"/>
      <c r="G321" s="2989"/>
      <c r="L321" s="1"/>
      <c r="P321" s="2989"/>
      <c r="X321" s="2989"/>
      <c r="Y321" s="3100"/>
    </row>
    <row r="322" spans="4:25" x14ac:dyDescent="0.25">
      <c r="D322" s="2989"/>
      <c r="E322" s="2989"/>
      <c r="F322" s="2989"/>
      <c r="G322" s="2989"/>
      <c r="L322" s="1"/>
      <c r="P322" s="2989"/>
      <c r="X322" s="2989"/>
      <c r="Y322" s="3100"/>
    </row>
    <row r="323" spans="4:25" x14ac:dyDescent="0.25">
      <c r="D323" s="2989"/>
      <c r="E323" s="2989"/>
      <c r="F323" s="2989"/>
      <c r="G323" s="2989"/>
      <c r="L323" s="1"/>
      <c r="P323" s="2989"/>
      <c r="X323" s="2989"/>
      <c r="Y323" s="3100"/>
    </row>
    <row r="324" spans="4:25" x14ac:dyDescent="0.25">
      <c r="D324" s="2989"/>
      <c r="E324" s="2989"/>
      <c r="F324" s="2989"/>
      <c r="G324" s="2989"/>
      <c r="L324" s="1"/>
      <c r="P324" s="2989"/>
      <c r="X324" s="2989"/>
      <c r="Y324" s="3100"/>
    </row>
  </sheetData>
  <mergeCells count="12">
    <mergeCell ref="B4:C4"/>
    <mergeCell ref="J4:K4"/>
    <mergeCell ref="R4:S4"/>
    <mergeCell ref="Z4:AA4"/>
    <mergeCell ref="B2:C2"/>
    <mergeCell ref="J2:K2"/>
    <mergeCell ref="R2:S2"/>
    <mergeCell ref="Z2:AA2"/>
    <mergeCell ref="B3:C3"/>
    <mergeCell ref="J3:K3"/>
    <mergeCell ref="R3:S3"/>
    <mergeCell ref="Z3:AA3"/>
  </mergeCells>
  <phoneticPr fontId="1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318"/>
  <sheetViews>
    <sheetView workbookViewId="0">
      <pane xSplit="8" ySplit="4" topLeftCell="I61" activePane="bottomRight" state="frozen"/>
      <selection pane="topRight" activeCell="I1" sqref="I1"/>
      <selection pane="bottomLeft" activeCell="A5" sqref="A5"/>
      <selection pane="bottomRight" activeCell="I70" sqref="I70:J70"/>
    </sheetView>
  </sheetViews>
  <sheetFormatPr defaultRowHeight="14.4" x14ac:dyDescent="0.25"/>
  <cols>
    <col min="1" max="1" width="8.8984375" style="1080"/>
    <col min="2" max="2" width="8.8984375" style="123"/>
    <col min="3" max="4" width="12.69921875" style="2899" customWidth="1"/>
    <col min="5" max="5" width="9.796875" hidden="1" customWidth="1"/>
    <col min="6" max="6" width="9.3984375" hidden="1" customWidth="1"/>
    <col min="7" max="8" width="11.19921875" hidden="1" customWidth="1"/>
    <col min="9" max="10" width="24.69921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4" hidden="1" customWidth="1"/>
    <col min="15" max="15" width="6.09765625" hidden="1" customWidth="1"/>
    <col min="16" max="16" width="5.69921875" hidden="1" customWidth="1"/>
    <col min="17" max="17" width="4" hidden="1" customWidth="1"/>
    <col min="18" max="18" width="3.3984375" style="1444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21.3984375" style="3137" bestFit="1" customWidth="1"/>
    <col min="31" max="31" width="16.69921875" style="3137" customWidth="1"/>
    <col min="32" max="32" width="22.59765625" bestFit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6" max="46" width="11" customWidth="1"/>
    <col min="47" max="48" width="25.8984375" bestFit="1" customWidth="1"/>
    <col min="52" max="52" width="9.69921875" bestFit="1" customWidth="1"/>
    <col min="53" max="53" width="12.3984375" bestFit="1" customWidth="1"/>
    <col min="54" max="54" width="22.69921875" style="2989" customWidth="1"/>
    <col min="55" max="55" width="15.69921875" style="2989" customWidth="1"/>
    <col min="56" max="57" width="15.69921875" customWidth="1"/>
  </cols>
  <sheetData>
    <row r="1" spans="1:58" ht="25.8" x14ac:dyDescent="0.25">
      <c r="A1" s="2905"/>
      <c r="B1" s="3452" t="s">
        <v>10819</v>
      </c>
      <c r="C1" s="3452"/>
      <c r="D1" s="3452"/>
      <c r="E1" s="3452"/>
      <c r="F1" s="3452"/>
      <c r="G1" s="3452"/>
      <c r="H1" s="3452"/>
      <c r="I1" s="3452"/>
      <c r="J1" s="3452"/>
      <c r="K1" s="3452"/>
      <c r="L1" s="3452"/>
      <c r="M1" s="3452"/>
      <c r="N1" s="3452"/>
      <c r="O1" s="3452"/>
      <c r="P1" s="3452"/>
      <c r="Q1" s="3452"/>
      <c r="R1" s="3452"/>
      <c r="S1" s="3452"/>
      <c r="T1" s="3452"/>
      <c r="U1" s="3452"/>
      <c r="V1" s="3452"/>
      <c r="W1" s="3452"/>
      <c r="X1" s="3452"/>
      <c r="Y1" s="3452"/>
      <c r="Z1" s="3452"/>
      <c r="AA1" s="3452"/>
      <c r="AB1" s="3452"/>
      <c r="AC1" s="3452"/>
      <c r="AD1" s="3452"/>
      <c r="AE1" s="3452"/>
      <c r="AF1" s="3452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72" t="s">
        <v>9265</v>
      </c>
      <c r="BA1" s="2973" t="s">
        <v>9267</v>
      </c>
      <c r="BB1" s="2974" t="s">
        <v>9268</v>
      </c>
      <c r="BC1" s="2964" t="s">
        <v>9269</v>
      </c>
      <c r="BD1" s="2964" t="s">
        <v>10818</v>
      </c>
      <c r="BE1" s="2964" t="s">
        <v>10842</v>
      </c>
      <c r="BF1" s="1">
        <f>COUNTIF($BC$5:$BC$254,"&gt;0")</f>
        <v>0</v>
      </c>
    </row>
    <row r="2" spans="1:58" ht="16.2" thickBot="1" x14ac:dyDescent="0.3">
      <c r="AD2" s="3161"/>
      <c r="AF2" s="251"/>
      <c r="AQ2" s="123"/>
      <c r="AR2" s="123"/>
      <c r="AS2" s="123"/>
      <c r="AT2" s="2978"/>
      <c r="AU2" s="123"/>
      <c r="AV2" s="123"/>
      <c r="AZ2" s="2995">
        <f>IFERROR(SUBTOTAL(109,AT5:AT254), 0)</f>
        <v>0</v>
      </c>
      <c r="BA2" s="2996">
        <f>IFERROR(SUBTOTAL(109,$BC$5:$BC$254)/(24*31), 0)</f>
        <v>0</v>
      </c>
      <c r="BB2" s="2995">
        <f>AZ2-BA2</f>
        <v>0</v>
      </c>
      <c r="BC2" s="2991" t="str">
        <f>IF(SIGN(BB2)&gt;=0,IF(BA2=0,"미사용 랙","적정 사용"),"사용초과")</f>
        <v>미사용 랙</v>
      </c>
      <c r="BD2" s="2993">
        <f>IFERROR(MAX($BB$5:$BB$254), 0)</f>
        <v>0</v>
      </c>
      <c r="BE2" s="3254" t="e">
        <f>BA2/BF1</f>
        <v>#DIV/0!</v>
      </c>
    </row>
    <row r="3" spans="1:58" ht="13.5" customHeight="1" thickTop="1" thickBot="1" x14ac:dyDescent="0.3">
      <c r="A3" s="3492" t="s">
        <v>1204</v>
      </c>
      <c r="B3" s="3620" t="s">
        <v>1205</v>
      </c>
      <c r="C3" s="3615" t="s">
        <v>1206</v>
      </c>
      <c r="D3" s="2920" t="s">
        <v>9265</v>
      </c>
      <c r="E3" s="3504" t="s">
        <v>2473</v>
      </c>
      <c r="F3" s="3494"/>
      <c r="G3" s="3505" t="s">
        <v>1208</v>
      </c>
      <c r="H3" s="3506"/>
      <c r="I3" s="3511" t="s">
        <v>6631</v>
      </c>
      <c r="J3" s="3512"/>
      <c r="K3" s="3511" t="s">
        <v>7</v>
      </c>
      <c r="L3" s="3513"/>
      <c r="M3" s="3513"/>
      <c r="N3" s="3513"/>
      <c r="O3" s="3513"/>
      <c r="P3" s="3513"/>
      <c r="Q3" s="3513"/>
      <c r="R3" s="3512"/>
      <c r="S3" s="3505" t="s">
        <v>1209</v>
      </c>
      <c r="T3" s="3506"/>
      <c r="U3" s="3619" t="s">
        <v>13</v>
      </c>
      <c r="V3" s="3619"/>
      <c r="W3" s="3619" t="s">
        <v>14</v>
      </c>
      <c r="X3" s="3619"/>
      <c r="Y3" s="3507" t="s">
        <v>8722</v>
      </c>
      <c r="Z3" s="3508"/>
      <c r="AA3" s="3508"/>
      <c r="AB3" s="3500" t="s">
        <v>8723</v>
      </c>
      <c r="AC3" s="3613"/>
      <c r="AD3" s="3557" t="s">
        <v>10817</v>
      </c>
      <c r="AE3" s="3617" t="s">
        <v>6632</v>
      </c>
      <c r="AF3" s="3448" t="s">
        <v>1210</v>
      </c>
      <c r="AH3" s="3356" t="s">
        <v>9267</v>
      </c>
      <c r="AI3" s="3358" t="s">
        <v>9268</v>
      </c>
      <c r="AJ3" s="3360" t="s">
        <v>9269</v>
      </c>
      <c r="AK3" s="2964" t="s">
        <v>9270</v>
      </c>
      <c r="AL3" s="2964"/>
      <c r="AM3" s="2964" t="s">
        <v>9271</v>
      </c>
      <c r="AN3" s="2964" t="s">
        <v>9272</v>
      </c>
      <c r="AQ3" s="3537" t="s">
        <v>3734</v>
      </c>
      <c r="AR3" s="3539" t="s">
        <v>1204</v>
      </c>
      <c r="AS3" s="3541" t="s">
        <v>1206</v>
      </c>
      <c r="AT3" s="2979" t="s">
        <v>9265</v>
      </c>
      <c r="AU3" s="3368" t="s">
        <v>6630</v>
      </c>
      <c r="AV3" s="3369"/>
      <c r="AW3" s="3547" t="s">
        <v>8722</v>
      </c>
      <c r="AX3" s="3508"/>
      <c r="AY3" s="3508"/>
      <c r="AZ3" s="3548" t="s">
        <v>8723</v>
      </c>
      <c r="BA3" s="3549"/>
      <c r="BB3" s="3550" t="s">
        <v>10817</v>
      </c>
      <c r="BC3" s="3617" t="s">
        <v>6632</v>
      </c>
      <c r="BD3" s="3448" t="s">
        <v>1210</v>
      </c>
    </row>
    <row r="4" spans="1:58" ht="15.6" thickTop="1" thickBot="1" x14ac:dyDescent="0.3">
      <c r="A4" s="3614"/>
      <c r="B4" s="3621"/>
      <c r="C4" s="3616"/>
      <c r="D4" s="2921" t="s">
        <v>9266</v>
      </c>
      <c r="E4" s="2653" t="s">
        <v>19</v>
      </c>
      <c r="F4" s="2653" t="s">
        <v>20</v>
      </c>
      <c r="G4" s="820" t="s">
        <v>19</v>
      </c>
      <c r="H4" s="821" t="s">
        <v>20</v>
      </c>
      <c r="I4" s="1530" t="s">
        <v>19</v>
      </c>
      <c r="J4" s="1531" t="s">
        <v>20</v>
      </c>
      <c r="K4" s="3514" t="s">
        <v>19</v>
      </c>
      <c r="L4" s="3515"/>
      <c r="M4" s="3515"/>
      <c r="N4" s="3516"/>
      <c r="O4" s="3517" t="s">
        <v>20</v>
      </c>
      <c r="P4" s="3517"/>
      <c r="Q4" s="3517"/>
      <c r="R4" s="3518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19" t="s">
        <v>23</v>
      </c>
      <c r="AB4" s="2687" t="s">
        <v>19</v>
      </c>
      <c r="AC4" s="2688" t="s">
        <v>20</v>
      </c>
      <c r="AD4" s="3558"/>
      <c r="AE4" s="3618"/>
      <c r="AF4" s="3449"/>
      <c r="AH4" s="3357"/>
      <c r="AI4" s="3359"/>
      <c r="AJ4" s="3361"/>
      <c r="AK4" s="2965">
        <f>COUNTIF(AJ5:AJ501,"사용초과")</f>
        <v>0</v>
      </c>
      <c r="AL4" s="2965"/>
      <c r="AM4" s="2965">
        <f>COUNTIF(AJ5:AJ501,AM3)</f>
        <v>0</v>
      </c>
      <c r="AN4" s="2965">
        <f>COUNTIF(AJ5:AJ501,AN3)</f>
        <v>42</v>
      </c>
      <c r="AQ4" s="3538"/>
      <c r="AR4" s="3540"/>
      <c r="AS4" s="3542"/>
      <c r="AT4" s="2980" t="s">
        <v>9266</v>
      </c>
      <c r="AU4" s="2059" t="s">
        <v>3737</v>
      </c>
      <c r="AV4" s="2060" t="s">
        <v>3738</v>
      </c>
      <c r="AW4" s="2981" t="s">
        <v>3737</v>
      </c>
      <c r="AX4" s="2061" t="s">
        <v>3738</v>
      </c>
      <c r="AY4" s="2619" t="s">
        <v>23</v>
      </c>
      <c r="AZ4" s="2681" t="s">
        <v>3737</v>
      </c>
      <c r="BA4" s="2682" t="s">
        <v>3738</v>
      </c>
      <c r="BB4" s="3551"/>
      <c r="BC4" s="3553"/>
      <c r="BD4" s="3449"/>
    </row>
    <row r="5" spans="1:58" ht="35.4" thickTop="1" x14ac:dyDescent="0.25">
      <c r="A5" s="1081" t="s">
        <v>2474</v>
      </c>
      <c r="B5" s="993" t="s">
        <v>2475</v>
      </c>
      <c r="C5" s="2890" t="s">
        <v>9186</v>
      </c>
      <c r="D5" s="2928">
        <v>2.2000000000000002</v>
      </c>
      <c r="E5" s="2894" t="s">
        <v>2476</v>
      </c>
      <c r="F5" s="822" t="s">
        <v>2477</v>
      </c>
      <c r="G5" s="2650" t="s">
        <v>2478</v>
      </c>
      <c r="H5" s="2651" t="s">
        <v>2479</v>
      </c>
      <c r="I5" s="1458" t="str">
        <f>"5-DaHall 1-PDU-"&amp;M5&amp;"-"&amp;L5&amp;"-"&amp;N5</f>
        <v>5-DaHall 1-PDU-11-30-3</v>
      </c>
      <c r="J5" s="1459" t="str">
        <f>"5-DaHall 1-PDU-"&amp;Q5&amp;"-"&amp;P5&amp;"-"&amp;R5</f>
        <v>5-DaHall 1-PDU-12-30-3</v>
      </c>
      <c r="K5" s="1532">
        <v>220</v>
      </c>
      <c r="L5" s="1533">
        <v>30</v>
      </c>
      <c r="M5" s="2382" t="s">
        <v>6541</v>
      </c>
      <c r="N5" s="1534">
        <v>3</v>
      </c>
      <c r="O5" s="1535">
        <v>220</v>
      </c>
      <c r="P5" s="1536">
        <v>30</v>
      </c>
      <c r="Q5" s="2407" t="s">
        <v>6548</v>
      </c>
      <c r="R5" s="1537">
        <v>3</v>
      </c>
      <c r="S5" s="3574" t="s">
        <v>2480</v>
      </c>
      <c r="T5" s="3577" t="s">
        <v>2481</v>
      </c>
      <c r="U5" s="3574" t="s">
        <v>2482</v>
      </c>
      <c r="V5" s="3577" t="s">
        <v>2483</v>
      </c>
      <c r="W5" s="3574" t="s">
        <v>2484</v>
      </c>
      <c r="X5" s="3577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38">
        <f>SUM(Y5:Z5)</f>
        <v>0</v>
      </c>
      <c r="AB5" s="2689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3108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3162">
        <f>VLOOKUP(I5&amp;J5,'7층~4층_매핑테이블'!$I$6:$P$2020,8,0)</f>
        <v>0</v>
      </c>
      <c r="AE5" s="3143" t="e">
        <f>SUM(AB5:AC5)</f>
        <v>#N/A</v>
      </c>
      <c r="AF5" s="2453"/>
      <c r="AH5" s="2351" t="e">
        <f>AE5/(24*31)</f>
        <v>#N/A</v>
      </c>
      <c r="AI5" s="2351" t="e">
        <f>D5-AH5</f>
        <v>#N/A</v>
      </c>
      <c r="AJ5" s="123" t="e">
        <f t="shared" ref="AJ5:AJ68" si="0">IF(SIGN(AI5)&gt;=0,IF(AE5=0,"무부하 랙","적정함"),"사용초과")</f>
        <v>#N/A</v>
      </c>
      <c r="AK5" t="e">
        <f>IF(AJ5="사용초과",C5,"")</f>
        <v>#N/A</v>
      </c>
      <c r="AL5" t="e">
        <f>IF(AK5="","",A5)</f>
        <v>#N/A</v>
      </c>
      <c r="AQ5" s="1" t="str" cm="1">
        <f t="array" ref="AQ5">IF($AY$1="", "", _xlfn._xlws.FILTER(A5:D1065, ISNUMBER(SEARCH($AY$1,C5:C1065)), "찾을 수 없음"))</f>
        <v>찾을 수 없음</v>
      </c>
      <c r="AR5" s="123"/>
      <c r="AS5" s="123"/>
      <c r="AT5" s="2982"/>
      <c r="AU5" s="123" t="str" cm="1">
        <f t="array" ref="AU5">IF($AY$1="", "", _xlfn._xlws.FILTER(I5:J1065, ISNUMBER(SEARCH($AY$1,C5:C1065)), "찾을 수 없음"))</f>
        <v>찾을 수 없음</v>
      </c>
      <c r="AV5" s="123"/>
      <c r="AW5" s="2990" t="str" cm="1">
        <f t="array" ref="AW5">IF($AY$1="", "", _xlfn._xlws.FILTER(Y5:AF1065, ISNUMBER(SEARCH($AY$1,C5:C1065)), "찾을 수 없음"))</f>
        <v>찾을 수 없음</v>
      </c>
      <c r="AX5" s="2984"/>
      <c r="AY5" s="2985"/>
      <c r="AZ5" s="2986"/>
      <c r="BA5" s="2987"/>
      <c r="BB5" s="3194"/>
    </row>
    <row r="6" spans="1:58" ht="28.8" x14ac:dyDescent="0.25">
      <c r="A6" s="2620" t="s">
        <v>2486</v>
      </c>
      <c r="B6" s="2118" t="s">
        <v>2487</v>
      </c>
      <c r="C6" s="2891"/>
      <c r="D6" s="2929"/>
      <c r="E6" s="2895" t="s">
        <v>2489</v>
      </c>
      <c r="F6" s="823" t="s">
        <v>2490</v>
      </c>
      <c r="G6" s="2647" t="s">
        <v>2491</v>
      </c>
      <c r="H6" s="2648" t="s">
        <v>2492</v>
      </c>
      <c r="I6" s="1458" t="str">
        <f t="shared" ref="I6:I32" si="1">"5-DaHall 1-PDU-"&amp;M6&amp;"-"&amp;L6&amp;"-"&amp;N6</f>
        <v>5-DaHall 1-PDU-11-30-5</v>
      </c>
      <c r="J6" s="1459" t="str">
        <f t="shared" ref="J6:J32" si="2">"5-DaHall 1-PDU-"&amp;Q6&amp;"-"&amp;P6&amp;"-"&amp;R6</f>
        <v>5-DaHall 1-PDU-12-30-5</v>
      </c>
      <c r="K6" s="1538">
        <v>220</v>
      </c>
      <c r="L6" s="1539">
        <v>30</v>
      </c>
      <c r="M6" s="2380" t="s">
        <v>6541</v>
      </c>
      <c r="N6" s="1540">
        <v>5</v>
      </c>
      <c r="O6" s="1541">
        <v>220</v>
      </c>
      <c r="P6" s="1542">
        <v>30</v>
      </c>
      <c r="Q6" s="2405" t="s">
        <v>6548</v>
      </c>
      <c r="R6" s="1543">
        <v>5</v>
      </c>
      <c r="S6" s="3575"/>
      <c r="T6" s="3624"/>
      <c r="U6" s="3575"/>
      <c r="V6" s="3624"/>
      <c r="W6" s="3575"/>
      <c r="X6" s="3578"/>
      <c r="Y6" s="253">
        <f>SUM('5층_부하량(월간_AVG)'!D318:F318)</f>
        <v>0</v>
      </c>
      <c r="Z6" s="253">
        <f>SUM('5층_부하량(월간_AVG)'!D377:F377)</f>
        <v>0</v>
      </c>
      <c r="AA6" s="2436">
        <f t="shared" ref="AA6" si="3">SUM(Y6:Z6)</f>
        <v>0</v>
      </c>
      <c r="AB6" s="2691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3109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3162">
        <f>VLOOKUP(I6&amp;J6,'7층~4층_매핑테이블'!$I$6:$P$2020,8,0)</f>
        <v>0</v>
      </c>
      <c r="AE6" s="3144" t="e">
        <f>SUM(AB6:AC6)</f>
        <v>#N/A</v>
      </c>
      <c r="AF6" s="2451"/>
      <c r="AH6" s="2351" t="e">
        <f t="shared" ref="AH6:AH69" si="4">AE6/(24*31)</f>
        <v>#N/A</v>
      </c>
      <c r="AI6" s="2351" t="e">
        <f t="shared" ref="AI6:AI69" si="5">D6-AH6</f>
        <v>#N/A</v>
      </c>
      <c r="AJ6" s="123" t="e">
        <f t="shared" si="0"/>
        <v>#N/A</v>
      </c>
      <c r="AK6" t="e">
        <f t="shared" ref="AK6:AK69" si="6">IF(AJ6="사용초과",C6,"")</f>
        <v>#N/A</v>
      </c>
      <c r="AL6" t="e">
        <f t="shared" ref="AL6:AL69" si="7">IF(AK6="","",A6)</f>
        <v>#N/A</v>
      </c>
      <c r="AQ6" s="123"/>
      <c r="AR6" s="123"/>
      <c r="AS6" s="123"/>
      <c r="AT6" s="2982"/>
      <c r="AU6" s="123"/>
      <c r="AV6" s="123"/>
      <c r="AW6" s="2990"/>
      <c r="AX6" s="2984"/>
      <c r="AY6" s="2985"/>
      <c r="AZ6" s="2986"/>
      <c r="BA6" s="2987"/>
      <c r="BB6" s="3194"/>
    </row>
    <row r="7" spans="1:58" ht="28.8" x14ac:dyDescent="0.25">
      <c r="A7" s="3454" t="s">
        <v>2493</v>
      </c>
      <c r="B7" s="3623" t="s">
        <v>2494</v>
      </c>
      <c r="C7" s="3625" t="s">
        <v>9219</v>
      </c>
      <c r="D7" s="3626">
        <v>2.2000000000000002</v>
      </c>
      <c r="E7" s="2896" t="s">
        <v>2495</v>
      </c>
      <c r="F7" s="2649" t="s">
        <v>2496</v>
      </c>
      <c r="G7" s="2647" t="s">
        <v>2497</v>
      </c>
      <c r="H7" s="2648" t="s">
        <v>2498</v>
      </c>
      <c r="I7" s="1458" t="str">
        <f t="shared" si="1"/>
        <v>5-DaHall 1-PDU-11-30-9</v>
      </c>
      <c r="J7" s="1459" t="str">
        <f t="shared" si="2"/>
        <v>5-DaHall 1-PDU-12-20-26</v>
      </c>
      <c r="K7" s="1544">
        <v>220</v>
      </c>
      <c r="L7" s="1545">
        <v>30</v>
      </c>
      <c r="M7" s="2380" t="s">
        <v>6541</v>
      </c>
      <c r="N7" s="1540">
        <v>9</v>
      </c>
      <c r="O7" s="1541">
        <v>220</v>
      </c>
      <c r="P7" s="1542">
        <v>20</v>
      </c>
      <c r="Q7" s="2405" t="s">
        <v>6548</v>
      </c>
      <c r="R7" s="1543">
        <v>26</v>
      </c>
      <c r="S7" s="3575"/>
      <c r="T7" s="3624"/>
      <c r="U7" s="3575"/>
      <c r="V7" s="3624"/>
      <c r="W7" s="3575"/>
      <c r="X7" s="3578"/>
      <c r="Y7" s="824">
        <f>SUM('5층_부하량(월간_AVG)'!D320:F320)</f>
        <v>0</v>
      </c>
      <c r="Z7" s="824">
        <f>SUM('5층_부하량(월간_AVG)'!N387:P387)</f>
        <v>0</v>
      </c>
      <c r="AA7" s="3580">
        <f>SUM(Y7:Z8)</f>
        <v>0</v>
      </c>
      <c r="AB7" s="2693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3110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162">
        <f>VLOOKUP(I7&amp;J7,'7층~4층_매핑테이블'!$I$6:$P$2020,8,0)</f>
        <v>2.2249999999999996</v>
      </c>
      <c r="AE7" s="3661" t="e">
        <f>SUM(AB7:AC8)</f>
        <v>#N/A</v>
      </c>
      <c r="AF7" s="2486"/>
      <c r="AH7" s="2351" t="e">
        <f t="shared" si="4"/>
        <v>#N/A</v>
      </c>
      <c r="AI7" s="2351" t="e">
        <f t="shared" si="5"/>
        <v>#N/A</v>
      </c>
      <c r="AJ7" s="123" t="e">
        <f t="shared" si="0"/>
        <v>#N/A</v>
      </c>
      <c r="AK7" t="e">
        <f t="shared" si="6"/>
        <v>#N/A</v>
      </c>
      <c r="AL7" t="e">
        <f t="shared" si="7"/>
        <v>#N/A</v>
      </c>
      <c r="AQ7" s="123"/>
      <c r="AR7" s="123"/>
      <c r="AS7" s="123"/>
      <c r="AT7" s="2982"/>
      <c r="AU7" s="123"/>
      <c r="AV7" s="123"/>
      <c r="AW7" s="2990"/>
      <c r="AX7" s="2984"/>
      <c r="AY7" s="2985"/>
      <c r="AZ7" s="2986"/>
      <c r="BA7" s="2987"/>
      <c r="BB7" s="3194"/>
    </row>
    <row r="8" spans="1:58" ht="28.8" x14ac:dyDescent="0.25">
      <c r="A8" s="3454"/>
      <c r="B8" s="3623"/>
      <c r="C8" s="3625"/>
      <c r="D8" s="3626"/>
      <c r="E8" s="2896" t="s">
        <v>2499</v>
      </c>
      <c r="F8" s="2649" t="s">
        <v>2500</v>
      </c>
      <c r="G8" s="2647" t="s">
        <v>2501</v>
      </c>
      <c r="H8" s="2648" t="s">
        <v>2502</v>
      </c>
      <c r="I8" s="1458" t="str">
        <f t="shared" si="1"/>
        <v>5-DaHall 1-PDU-11-20-26</v>
      </c>
      <c r="J8" s="1459" t="str">
        <f t="shared" si="2"/>
        <v>5-DaHall 1-PDU-12-20-30</v>
      </c>
      <c r="K8" s="1544">
        <v>220</v>
      </c>
      <c r="L8" s="1545">
        <v>20</v>
      </c>
      <c r="M8" s="2380" t="s">
        <v>6541</v>
      </c>
      <c r="N8" s="1540">
        <v>26</v>
      </c>
      <c r="O8" s="1541">
        <v>220</v>
      </c>
      <c r="P8" s="1542">
        <v>20</v>
      </c>
      <c r="Q8" s="2405" t="s">
        <v>6548</v>
      </c>
      <c r="R8" s="1543">
        <v>30</v>
      </c>
      <c r="S8" s="3575"/>
      <c r="T8" s="3624"/>
      <c r="U8" s="3575"/>
      <c r="V8" s="3624"/>
      <c r="W8" s="3575"/>
      <c r="X8" s="3578"/>
      <c r="Y8" s="824">
        <f>SUM('5층_부하량(월간_AVG)'!N328:P328)</f>
        <v>0</v>
      </c>
      <c r="Z8" s="824">
        <f>SUM('5층_부하량(월간_AVG)'!N389:P389)</f>
        <v>0</v>
      </c>
      <c r="AA8" s="3581"/>
      <c r="AB8" s="2693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3110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162">
        <f>VLOOKUP(I8&amp;J8,'7층~4층_매핑테이블'!$I$6:$P$2020,8,0)</f>
        <v>2.6080000000000001</v>
      </c>
      <c r="AE8" s="3662"/>
      <c r="AF8" s="2486"/>
      <c r="AH8" s="2351">
        <f t="shared" si="4"/>
        <v>0</v>
      </c>
      <c r="AI8" s="2351">
        <f t="shared" si="5"/>
        <v>0</v>
      </c>
      <c r="AJ8" s="123" t="str">
        <f t="shared" si="0"/>
        <v>무부하 랙</v>
      </c>
      <c r="AK8" t="str">
        <f t="shared" si="6"/>
        <v/>
      </c>
      <c r="AL8" t="str">
        <f t="shared" si="7"/>
        <v/>
      </c>
      <c r="AQ8" s="123"/>
      <c r="AR8" s="123"/>
      <c r="AS8" s="123"/>
      <c r="AT8" s="2982"/>
      <c r="AU8" s="123"/>
      <c r="AV8" s="123"/>
      <c r="AW8" s="2990"/>
      <c r="AX8" s="2984"/>
      <c r="AY8" s="2985"/>
      <c r="AZ8" s="2986"/>
      <c r="BA8" s="2987"/>
      <c r="BB8" s="3194"/>
    </row>
    <row r="9" spans="1:58" ht="28.8" x14ac:dyDescent="0.25">
      <c r="A9" s="3454" t="s">
        <v>270</v>
      </c>
      <c r="B9" s="3470" t="s">
        <v>2503</v>
      </c>
      <c r="C9" s="3625" t="s">
        <v>9219</v>
      </c>
      <c r="D9" s="3626">
        <v>2.2000000000000002</v>
      </c>
      <c r="E9" s="2895" t="s">
        <v>2504</v>
      </c>
      <c r="F9" s="823" t="s">
        <v>2505</v>
      </c>
      <c r="G9" s="2647" t="s">
        <v>2506</v>
      </c>
      <c r="H9" s="2648" t="s">
        <v>2507</v>
      </c>
      <c r="I9" s="1458" t="str">
        <f t="shared" si="1"/>
        <v>5-DaHall 1-PDU-11-30-11</v>
      </c>
      <c r="J9" s="1459" t="str">
        <f t="shared" si="2"/>
        <v>5-DaHall 1-PDU-12-30-9</v>
      </c>
      <c r="K9" s="1544">
        <v>220</v>
      </c>
      <c r="L9" s="1545">
        <v>30</v>
      </c>
      <c r="M9" s="2380" t="s">
        <v>6541</v>
      </c>
      <c r="N9" s="1540">
        <v>11</v>
      </c>
      <c r="O9" s="1541">
        <v>220</v>
      </c>
      <c r="P9" s="1542">
        <v>30</v>
      </c>
      <c r="Q9" s="2405" t="s">
        <v>6548</v>
      </c>
      <c r="R9" s="1543">
        <v>9</v>
      </c>
      <c r="S9" s="3575"/>
      <c r="T9" s="3624"/>
      <c r="U9" s="3575"/>
      <c r="V9" s="3624"/>
      <c r="W9" s="3575"/>
      <c r="X9" s="3578"/>
      <c r="Y9" s="268">
        <f>SUM('5층_부하량(월간_AVG)'!D321:F321)</f>
        <v>0</v>
      </c>
      <c r="Z9" s="253">
        <f>SUM('5층_부하량(월간_AVG)'!D379:F379)</f>
        <v>0</v>
      </c>
      <c r="AA9" s="3520">
        <f>SUM(Y9:Z10)</f>
        <v>0</v>
      </c>
      <c r="AB9" s="2694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3111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162">
        <f>VLOOKUP(I9&amp;J9,'7층~4층_매핑테이블'!$I$6:$P$2020,8,0)</f>
        <v>0.626</v>
      </c>
      <c r="AE9" s="3663" t="e">
        <f>SUM(AB9:AC10)</f>
        <v>#N/A</v>
      </c>
      <c r="AF9" s="2451"/>
      <c r="AH9" s="2351" t="e">
        <f t="shared" si="4"/>
        <v>#N/A</v>
      </c>
      <c r="AI9" s="2351" t="e">
        <f t="shared" si="5"/>
        <v>#N/A</v>
      </c>
      <c r="AJ9" s="123" t="e">
        <f t="shared" si="0"/>
        <v>#N/A</v>
      </c>
      <c r="AK9" t="e">
        <f t="shared" si="6"/>
        <v>#N/A</v>
      </c>
      <c r="AL9" t="e">
        <f t="shared" si="7"/>
        <v>#N/A</v>
      </c>
      <c r="AQ9" s="123"/>
      <c r="AR9" s="123"/>
      <c r="AS9" s="123"/>
      <c r="AT9" s="2982"/>
      <c r="AU9" s="123"/>
      <c r="AV9" s="123"/>
      <c r="AW9" s="2990"/>
      <c r="AX9" s="2984"/>
      <c r="AY9" s="2985"/>
      <c r="AZ9" s="2986"/>
      <c r="BA9" s="2987"/>
      <c r="BB9" s="3194"/>
    </row>
    <row r="10" spans="1:58" ht="28.8" x14ac:dyDescent="0.25">
      <c r="A10" s="3454"/>
      <c r="B10" s="3470"/>
      <c r="C10" s="3625"/>
      <c r="D10" s="3626"/>
      <c r="E10" s="2895" t="s">
        <v>2508</v>
      </c>
      <c r="F10" s="823" t="s">
        <v>2509</v>
      </c>
      <c r="G10" s="2647" t="s">
        <v>2510</v>
      </c>
      <c r="H10" s="2648" t="s">
        <v>2511</v>
      </c>
      <c r="I10" s="1458" t="str">
        <f t="shared" si="1"/>
        <v>5-DaHall 1-PDU-11-30-13</v>
      </c>
      <c r="J10" s="1459" t="str">
        <f t="shared" si="2"/>
        <v>5-DaHall 1-PDU-12-30-11</v>
      </c>
      <c r="K10" s="1544">
        <v>220</v>
      </c>
      <c r="L10" s="1545">
        <v>30</v>
      </c>
      <c r="M10" s="2380" t="s">
        <v>6541</v>
      </c>
      <c r="N10" s="1540">
        <v>13</v>
      </c>
      <c r="O10" s="1541">
        <v>220</v>
      </c>
      <c r="P10" s="1542">
        <v>30</v>
      </c>
      <c r="Q10" s="2405" t="s">
        <v>6548</v>
      </c>
      <c r="R10" s="1543">
        <v>11</v>
      </c>
      <c r="S10" s="3575"/>
      <c r="T10" s="3624"/>
      <c r="U10" s="3575"/>
      <c r="V10" s="3624"/>
      <c r="W10" s="3575"/>
      <c r="X10" s="3578"/>
      <c r="Y10" s="268">
        <f>SUM('5층_부하량(월간_AVG)'!D322:F322)</f>
        <v>0</v>
      </c>
      <c r="Z10" s="253">
        <f>SUM('5층_부하량(월간_AVG)'!D380:F380)</f>
        <v>0</v>
      </c>
      <c r="AA10" s="3522"/>
      <c r="AB10" s="2694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3111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162">
        <f>VLOOKUP(I10&amp;J10,'7층~4층_매핑테이블'!$I$6:$P$2020,8,0)</f>
        <v>0.43099999999999999</v>
      </c>
      <c r="AE10" s="3664"/>
      <c r="AF10" s="2451"/>
      <c r="AH10" s="2351">
        <f t="shared" si="4"/>
        <v>0</v>
      </c>
      <c r="AI10" s="2351">
        <f t="shared" si="5"/>
        <v>0</v>
      </c>
      <c r="AJ10" s="123" t="str">
        <f t="shared" si="0"/>
        <v>무부하 랙</v>
      </c>
      <c r="AK10" t="str">
        <f t="shared" si="6"/>
        <v/>
      </c>
      <c r="AL10" t="str">
        <f t="shared" si="7"/>
        <v/>
      </c>
      <c r="AQ10" s="123"/>
      <c r="AR10" s="123"/>
      <c r="AS10" s="123"/>
      <c r="AT10" s="2982"/>
      <c r="AU10" s="123"/>
      <c r="AV10" s="123"/>
      <c r="AW10" s="2990"/>
      <c r="AX10" s="2984"/>
      <c r="AY10" s="2985"/>
      <c r="AZ10" s="2986"/>
      <c r="BA10" s="2987"/>
      <c r="BB10" s="3194"/>
    </row>
    <row r="11" spans="1:58" ht="34.799999999999997" x14ac:dyDescent="0.25">
      <c r="A11" s="2620" t="s">
        <v>266</v>
      </c>
      <c r="B11" s="2621" t="s">
        <v>2512</v>
      </c>
      <c r="C11" s="2891" t="s">
        <v>9219</v>
      </c>
      <c r="D11" s="2930">
        <v>2.2000000000000002</v>
      </c>
      <c r="E11" s="2895" t="s">
        <v>2513</v>
      </c>
      <c r="F11" s="823" t="s">
        <v>2514</v>
      </c>
      <c r="G11" s="2647" t="s">
        <v>2515</v>
      </c>
      <c r="H11" s="2648" t="s">
        <v>2516</v>
      </c>
      <c r="I11" s="1458" t="str">
        <f t="shared" si="1"/>
        <v>5-DaHall 1-PDU-07-30-1</v>
      </c>
      <c r="J11" s="1459" t="str">
        <f t="shared" si="2"/>
        <v>5-DaHall 1-PDU-08-30-7</v>
      </c>
      <c r="K11" s="1538">
        <v>220</v>
      </c>
      <c r="L11" s="1539">
        <v>30</v>
      </c>
      <c r="M11" s="2380" t="s">
        <v>6492</v>
      </c>
      <c r="N11" s="1540">
        <v>1</v>
      </c>
      <c r="O11" s="1541">
        <v>220</v>
      </c>
      <c r="P11" s="1542">
        <v>30</v>
      </c>
      <c r="Q11" s="2405" t="s">
        <v>6504</v>
      </c>
      <c r="R11" s="1543">
        <v>7</v>
      </c>
      <c r="S11" s="3622" t="s">
        <v>2517</v>
      </c>
      <c r="T11" s="3624" t="s">
        <v>2518</v>
      </c>
      <c r="U11" s="3622" t="s">
        <v>2519</v>
      </c>
      <c r="V11" s="3624" t="s">
        <v>2520</v>
      </c>
      <c r="W11" s="3575"/>
      <c r="X11" s="3578"/>
      <c r="Y11" s="268">
        <f>SUM('5층_부하량(월간_AVG)'!D226:F226)</f>
        <v>0</v>
      </c>
      <c r="Z11" s="253">
        <f>SUM('5층_부하량(월간_AVG)'!D274:F274)</f>
        <v>0</v>
      </c>
      <c r="AA11" s="2436">
        <f t="shared" ref="AA11:AA13" si="8">SUM(Y11:Z11)</f>
        <v>0</v>
      </c>
      <c r="AB11" s="2691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3109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3162">
        <f>VLOOKUP(I11&amp;J11,'7층~4층_매핑테이블'!$I$6:$P$2020,8,0)</f>
        <v>2.7939999999999996</v>
      </c>
      <c r="AE11" s="3144" t="e">
        <f>SUM(AB11:AC11)</f>
        <v>#N/A</v>
      </c>
      <c r="AF11" s="2451"/>
      <c r="AH11" s="2351" t="e">
        <f t="shared" si="4"/>
        <v>#N/A</v>
      </c>
      <c r="AI11" s="2351" t="e">
        <f t="shared" si="5"/>
        <v>#N/A</v>
      </c>
      <c r="AJ11" s="123" t="e">
        <f t="shared" si="0"/>
        <v>#N/A</v>
      </c>
      <c r="AK11" t="e">
        <f t="shared" si="6"/>
        <v>#N/A</v>
      </c>
      <c r="AL11" t="e">
        <f t="shared" si="7"/>
        <v>#N/A</v>
      </c>
      <c r="AQ11" s="123"/>
      <c r="AR11" s="123"/>
      <c r="AS11" s="123"/>
      <c r="AT11" s="2982"/>
      <c r="AU11" s="123"/>
      <c r="AV11" s="123"/>
      <c r="AW11" s="2990"/>
      <c r="AX11" s="2984"/>
      <c r="AY11" s="2985"/>
      <c r="AZ11" s="2986"/>
      <c r="BA11" s="2987"/>
      <c r="BB11" s="3194"/>
    </row>
    <row r="12" spans="1:58" ht="34.799999999999997" x14ac:dyDescent="0.25">
      <c r="A12" s="2620" t="s">
        <v>2521</v>
      </c>
      <c r="B12" s="2621" t="s">
        <v>2522</v>
      </c>
      <c r="C12" s="2891" t="s">
        <v>9219</v>
      </c>
      <c r="D12" s="2930">
        <v>2.2000000000000002</v>
      </c>
      <c r="E12" s="2895" t="s">
        <v>2523</v>
      </c>
      <c r="F12" s="823" t="s">
        <v>2524</v>
      </c>
      <c r="G12" s="2647" t="s">
        <v>2525</v>
      </c>
      <c r="H12" s="2648" t="s">
        <v>2526</v>
      </c>
      <c r="I12" s="1458" t="str">
        <f t="shared" si="1"/>
        <v>5-DaHall 1-PDU-07-30-3</v>
      </c>
      <c r="J12" s="1459" t="str">
        <f t="shared" si="2"/>
        <v>5-DaHall 1-PDU-08-30-3</v>
      </c>
      <c r="K12" s="1538">
        <v>220</v>
      </c>
      <c r="L12" s="1539">
        <v>30</v>
      </c>
      <c r="M12" s="2380" t="s">
        <v>6492</v>
      </c>
      <c r="N12" s="1540">
        <v>3</v>
      </c>
      <c r="O12" s="1541">
        <v>220</v>
      </c>
      <c r="P12" s="1542">
        <v>30</v>
      </c>
      <c r="Q12" s="2405" t="s">
        <v>6504</v>
      </c>
      <c r="R12" s="1543">
        <v>3</v>
      </c>
      <c r="S12" s="3575"/>
      <c r="T12" s="3578"/>
      <c r="U12" s="3575"/>
      <c r="V12" s="3624"/>
      <c r="W12" s="3575"/>
      <c r="X12" s="3578"/>
      <c r="Y12" s="268">
        <f>SUM('5층_부하량(월간_AVG)'!D227:F227)</f>
        <v>0</v>
      </c>
      <c r="Z12" s="253">
        <f>SUM('5층_부하량(월간_AVG)'!D272:F272)</f>
        <v>0</v>
      </c>
      <c r="AA12" s="2436">
        <f t="shared" si="8"/>
        <v>0</v>
      </c>
      <c r="AB12" s="2691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3109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3162">
        <f>VLOOKUP(I12&amp;J12,'7층~4층_매핑테이블'!$I$6:$P$2020,8,0)</f>
        <v>0.34099999999999997</v>
      </c>
      <c r="AE12" s="3144" t="e">
        <f t="shared" ref="AE12:AE13" si="9">SUM(AB12:AC12)</f>
        <v>#N/A</v>
      </c>
      <c r="AF12" s="2451"/>
      <c r="AH12" s="2351" t="e">
        <f t="shared" si="4"/>
        <v>#N/A</v>
      </c>
      <c r="AI12" s="2351" t="e">
        <f t="shared" si="5"/>
        <v>#N/A</v>
      </c>
      <c r="AJ12" s="123" t="e">
        <f t="shared" si="0"/>
        <v>#N/A</v>
      </c>
      <c r="AK12" t="e">
        <f t="shared" si="6"/>
        <v>#N/A</v>
      </c>
      <c r="AL12" t="e">
        <f t="shared" si="7"/>
        <v>#N/A</v>
      </c>
      <c r="AQ12" s="123"/>
      <c r="AR12" s="123"/>
      <c r="AS12" s="123"/>
      <c r="AT12" s="2982"/>
      <c r="AU12" s="123"/>
      <c r="AV12" s="123"/>
      <c r="AW12" s="2990"/>
      <c r="AX12" s="2984"/>
      <c r="AY12" s="2985"/>
      <c r="AZ12" s="2986"/>
      <c r="BA12" s="2987"/>
      <c r="BB12" s="3194"/>
    </row>
    <row r="13" spans="1:58" ht="34.799999999999997" x14ac:dyDescent="0.25">
      <c r="A13" s="2620" t="s">
        <v>2527</v>
      </c>
      <c r="B13" s="2621" t="s">
        <v>2528</v>
      </c>
      <c r="C13" s="2891" t="s">
        <v>9219</v>
      </c>
      <c r="D13" s="2930">
        <v>2.2000000000000002</v>
      </c>
      <c r="E13" s="2895" t="s">
        <v>2529</v>
      </c>
      <c r="F13" s="823" t="s">
        <v>2530</v>
      </c>
      <c r="G13" s="2647" t="s">
        <v>2531</v>
      </c>
      <c r="H13" s="2648" t="s">
        <v>2532</v>
      </c>
      <c r="I13" s="1458" t="str">
        <f t="shared" si="1"/>
        <v>5-DaHall 1-PDU-07-30-5</v>
      </c>
      <c r="J13" s="1459" t="str">
        <f t="shared" si="2"/>
        <v>5-DaHall 1-PDU-08-30-5</v>
      </c>
      <c r="K13" s="1538">
        <v>220</v>
      </c>
      <c r="L13" s="1539">
        <v>30</v>
      </c>
      <c r="M13" s="2380" t="s">
        <v>6492</v>
      </c>
      <c r="N13" s="1540">
        <v>5</v>
      </c>
      <c r="O13" s="1541">
        <v>220</v>
      </c>
      <c r="P13" s="1542">
        <v>30</v>
      </c>
      <c r="Q13" s="2405" t="s">
        <v>6504</v>
      </c>
      <c r="R13" s="1543">
        <v>5</v>
      </c>
      <c r="S13" s="3575"/>
      <c r="T13" s="3578"/>
      <c r="U13" s="3575"/>
      <c r="V13" s="3624"/>
      <c r="W13" s="3575"/>
      <c r="X13" s="3578"/>
      <c r="Y13" s="268">
        <f>SUM('5층_부하량(월간_AVG)'!D228:F228)</f>
        <v>0</v>
      </c>
      <c r="Z13" s="253">
        <f>SUM('5층_부하량(월간_AVG)'!D273:F273)</f>
        <v>0</v>
      </c>
      <c r="AA13" s="2436">
        <f t="shared" si="8"/>
        <v>0</v>
      </c>
      <c r="AB13" s="2691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3109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3162">
        <f>VLOOKUP(I13&amp;J13,'7층~4층_매핑테이블'!$I$6:$P$2020,8,0)</f>
        <v>8.2000000000000003E-2</v>
      </c>
      <c r="AE13" s="3144" t="e">
        <f t="shared" si="9"/>
        <v>#N/A</v>
      </c>
      <c r="AF13" s="2451"/>
      <c r="AH13" s="2351" t="e">
        <f t="shared" si="4"/>
        <v>#N/A</v>
      </c>
      <c r="AI13" s="2351" t="e">
        <f t="shared" si="5"/>
        <v>#N/A</v>
      </c>
      <c r="AJ13" s="123" t="e">
        <f t="shared" si="0"/>
        <v>#N/A</v>
      </c>
      <c r="AK13" t="e">
        <f t="shared" si="6"/>
        <v>#N/A</v>
      </c>
      <c r="AL13" t="e">
        <f t="shared" si="7"/>
        <v>#N/A</v>
      </c>
      <c r="AQ13" s="123"/>
      <c r="AR13" s="123"/>
      <c r="AS13" s="123"/>
      <c r="AT13" s="2982"/>
      <c r="AU13" s="123"/>
      <c r="AV13" s="123"/>
      <c r="AW13" s="2990"/>
      <c r="AX13" s="2984"/>
      <c r="AY13" s="2985"/>
      <c r="AZ13" s="2986"/>
      <c r="BA13" s="2987"/>
      <c r="BB13" s="3194"/>
    </row>
    <row r="14" spans="1:58" ht="28.8" x14ac:dyDescent="0.25">
      <c r="A14" s="3454" t="s">
        <v>2533</v>
      </c>
      <c r="B14" s="3470" t="s">
        <v>2534</v>
      </c>
      <c r="C14" s="3625" t="s">
        <v>9220</v>
      </c>
      <c r="D14" s="3626">
        <v>2.2000000000000002</v>
      </c>
      <c r="E14" s="2895" t="s">
        <v>2535</v>
      </c>
      <c r="F14" s="823" t="s">
        <v>2536</v>
      </c>
      <c r="G14" s="2647" t="s">
        <v>2537</v>
      </c>
      <c r="H14" s="2648" t="s">
        <v>2538</v>
      </c>
      <c r="I14" s="1458" t="str">
        <f t="shared" si="1"/>
        <v>5-DaHall 1-PDU-07-30-2</v>
      </c>
      <c r="J14" s="1459" t="str">
        <f t="shared" si="2"/>
        <v>5-DaHall 1-PDU-08-30-2</v>
      </c>
      <c r="K14" s="1538">
        <v>220</v>
      </c>
      <c r="L14" s="1539">
        <v>30</v>
      </c>
      <c r="M14" s="2380" t="s">
        <v>6492</v>
      </c>
      <c r="N14" s="1540">
        <v>2</v>
      </c>
      <c r="O14" s="1541">
        <v>220</v>
      </c>
      <c r="P14" s="1542">
        <v>30</v>
      </c>
      <c r="Q14" s="2405" t="s">
        <v>6504</v>
      </c>
      <c r="R14" s="1543">
        <v>2</v>
      </c>
      <c r="S14" s="3575"/>
      <c r="T14" s="3578"/>
      <c r="U14" s="3575"/>
      <c r="V14" s="3624"/>
      <c r="W14" s="3575"/>
      <c r="X14" s="3578"/>
      <c r="Y14" s="253">
        <f>SUM('5층_부하량(월간_AVG)'!N226:P226)</f>
        <v>0</v>
      </c>
      <c r="Z14" s="253">
        <f>SUM('5층_부하량(월간_AVG)'!N271:P271)</f>
        <v>0</v>
      </c>
      <c r="AA14" s="3520">
        <f>SUM(Y14:Z15)</f>
        <v>0</v>
      </c>
      <c r="AB14" s="2694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3111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162">
        <f>VLOOKUP(I14&amp;J14,'7층~4층_매핑테이블'!$I$6:$P$2020,8,0)</f>
        <v>0.39200000000000002</v>
      </c>
      <c r="AE14" s="3145" t="e">
        <f>SUM(AB14:AC15)</f>
        <v>#N/A</v>
      </c>
      <c r="AF14" s="2451"/>
      <c r="AH14" s="2351" t="e">
        <f t="shared" si="4"/>
        <v>#N/A</v>
      </c>
      <c r="AI14" s="2351" t="e">
        <f t="shared" si="5"/>
        <v>#N/A</v>
      </c>
      <c r="AJ14" s="123" t="e">
        <f t="shared" si="0"/>
        <v>#N/A</v>
      </c>
      <c r="AK14" t="e">
        <f t="shared" si="6"/>
        <v>#N/A</v>
      </c>
      <c r="AL14" t="e">
        <f t="shared" si="7"/>
        <v>#N/A</v>
      </c>
      <c r="AQ14" s="123"/>
      <c r="AR14" s="123"/>
      <c r="AS14" s="123"/>
      <c r="AT14" s="2982"/>
      <c r="AU14" s="123"/>
      <c r="AV14" s="123"/>
      <c r="AW14" s="2990"/>
      <c r="AX14" s="2984"/>
      <c r="AY14" s="2985"/>
      <c r="AZ14" s="2986"/>
      <c r="BA14" s="2987"/>
      <c r="BB14" s="3194"/>
    </row>
    <row r="15" spans="1:58" ht="57.6" x14ac:dyDescent="0.25">
      <c r="A15" s="3454"/>
      <c r="B15" s="3470"/>
      <c r="C15" s="3625"/>
      <c r="D15" s="3626"/>
      <c r="E15" s="2895" t="s">
        <v>2539</v>
      </c>
      <c r="F15" s="823" t="s">
        <v>2540</v>
      </c>
      <c r="G15" s="2647" t="s">
        <v>2541</v>
      </c>
      <c r="H15" s="2648" t="s">
        <v>2542</v>
      </c>
      <c r="I15" s="1458" t="str">
        <f t="shared" si="1"/>
        <v>5-DaHall 1-PDU-11-20-28</v>
      </c>
      <c r="J15" s="1459" t="str">
        <f t="shared" si="2"/>
        <v>5-DaHall 1-PDU-12-20-28</v>
      </c>
      <c r="K15" s="1538">
        <v>220</v>
      </c>
      <c r="L15" s="1539">
        <v>20</v>
      </c>
      <c r="M15" s="2380" t="s">
        <v>6541</v>
      </c>
      <c r="N15" s="1540">
        <v>28</v>
      </c>
      <c r="O15" s="1541">
        <v>220</v>
      </c>
      <c r="P15" s="1542">
        <v>20</v>
      </c>
      <c r="Q15" s="2405" t="s">
        <v>6548</v>
      </c>
      <c r="R15" s="1543">
        <v>28</v>
      </c>
      <c r="S15" s="2647" t="s">
        <v>2480</v>
      </c>
      <c r="T15" s="2648" t="s">
        <v>2481</v>
      </c>
      <c r="U15" s="2647" t="s">
        <v>2482</v>
      </c>
      <c r="V15" s="2648" t="s">
        <v>2483</v>
      </c>
      <c r="W15" s="3575"/>
      <c r="X15" s="3578"/>
      <c r="Y15" s="253">
        <f>SUM('5층_부하량(월간_AVG)'!N329:P329)</f>
        <v>0</v>
      </c>
      <c r="Z15" s="253">
        <f>SUM('5층_부하량(월간_AVG)'!N388:P388)</f>
        <v>0</v>
      </c>
      <c r="AA15" s="3522"/>
      <c r="AB15" s="2694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3111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162">
        <f>VLOOKUP(I15&amp;J15,'7층~4층_매핑테이블'!$I$6:$P$2020,8,0)</f>
        <v>2.5060000000000002</v>
      </c>
      <c r="AE15" s="3146" t="e">
        <f>$AE$14</f>
        <v>#N/A</v>
      </c>
      <c r="AF15" s="2451"/>
      <c r="AH15" s="2351" t="e">
        <f t="shared" si="4"/>
        <v>#N/A</v>
      </c>
      <c r="AI15" s="2351" t="e">
        <f t="shared" si="5"/>
        <v>#N/A</v>
      </c>
      <c r="AJ15" s="123" t="e">
        <f t="shared" si="0"/>
        <v>#N/A</v>
      </c>
      <c r="AK15" t="e">
        <f t="shared" si="6"/>
        <v>#N/A</v>
      </c>
      <c r="AL15" t="e">
        <f t="shared" si="7"/>
        <v>#N/A</v>
      </c>
      <c r="AQ15" s="123"/>
      <c r="AR15" s="123"/>
      <c r="AS15" s="123"/>
      <c r="AT15" s="2982"/>
      <c r="AU15" s="123"/>
      <c r="AV15" s="123"/>
      <c r="AW15" s="2990"/>
      <c r="AX15" s="2984"/>
      <c r="AY15" s="2985"/>
      <c r="AZ15" s="2986"/>
      <c r="BA15" s="2987"/>
      <c r="BB15" s="3194"/>
    </row>
    <row r="16" spans="1:58" ht="28.8" x14ac:dyDescent="0.25">
      <c r="A16" s="2620" t="s">
        <v>239</v>
      </c>
      <c r="B16" s="250" t="s">
        <v>2543</v>
      </c>
      <c r="C16" s="2891"/>
      <c r="D16" s="2929"/>
      <c r="E16" s="2895" t="s">
        <v>2544</v>
      </c>
      <c r="F16" s="823" t="s">
        <v>2545</v>
      </c>
      <c r="G16" s="2647" t="s">
        <v>2546</v>
      </c>
      <c r="H16" s="2648" t="s">
        <v>2547</v>
      </c>
      <c r="I16" s="1458" t="str">
        <f t="shared" si="1"/>
        <v>5-DaHall 1-PDU-07-30-4</v>
      </c>
      <c r="J16" s="1459" t="str">
        <f t="shared" si="2"/>
        <v>5-DaHall 1-PDU-08-30-4</v>
      </c>
      <c r="K16" s="1538">
        <v>220</v>
      </c>
      <c r="L16" s="1539">
        <v>30</v>
      </c>
      <c r="M16" s="2380" t="s">
        <v>6492</v>
      </c>
      <c r="N16" s="1540">
        <v>4</v>
      </c>
      <c r="O16" s="1541">
        <v>220</v>
      </c>
      <c r="P16" s="1542">
        <v>30</v>
      </c>
      <c r="Q16" s="2405" t="s">
        <v>6504</v>
      </c>
      <c r="R16" s="1543">
        <v>4</v>
      </c>
      <c r="S16" s="3622" t="s">
        <v>2517</v>
      </c>
      <c r="T16" s="3624" t="s">
        <v>2518</v>
      </c>
      <c r="U16" s="3622" t="s">
        <v>2519</v>
      </c>
      <c r="V16" s="3624" t="s">
        <v>2520</v>
      </c>
      <c r="W16" s="3575"/>
      <c r="X16" s="3578"/>
      <c r="Y16" s="253">
        <f>SUM('5층_부하량(월간_AVG)'!N227:P227)</f>
        <v>0</v>
      </c>
      <c r="Z16" s="253">
        <f>SUM('5층_부하량(월간_AVG)'!N272:P272)</f>
        <v>0</v>
      </c>
      <c r="AA16" s="2436">
        <f t="shared" ref="AA16:AA19" si="10">SUM(Y16:Z16)</f>
        <v>0</v>
      </c>
      <c r="AB16" s="2691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3109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3162">
        <f>VLOOKUP(I16&amp;J16,'7층~4층_매핑테이블'!$I$6:$P$2020,8,0)</f>
        <v>0</v>
      </c>
      <c r="AE16" s="3144" t="e">
        <f>SUM(AB16:AC16)</f>
        <v>#N/A</v>
      </c>
      <c r="AF16" s="2451"/>
      <c r="AH16" s="2351" t="e">
        <f t="shared" si="4"/>
        <v>#N/A</v>
      </c>
      <c r="AI16" s="2351" t="e">
        <f t="shared" si="5"/>
        <v>#N/A</v>
      </c>
      <c r="AJ16" s="123" t="e">
        <f t="shared" si="0"/>
        <v>#N/A</v>
      </c>
      <c r="AK16" t="e">
        <f t="shared" si="6"/>
        <v>#N/A</v>
      </c>
      <c r="AL16" t="e">
        <f t="shared" si="7"/>
        <v>#N/A</v>
      </c>
      <c r="AQ16" s="123"/>
      <c r="AR16" s="123"/>
      <c r="AS16" s="123"/>
      <c r="AT16" s="2982"/>
      <c r="AU16" s="123"/>
      <c r="AV16" s="123"/>
      <c r="AW16" s="2990"/>
      <c r="AX16" s="2984"/>
      <c r="AY16" s="2985"/>
      <c r="AZ16" s="2986"/>
      <c r="BA16" s="2987"/>
      <c r="BB16" s="3194"/>
    </row>
    <row r="17" spans="1:54" ht="35.4" thickBot="1" x14ac:dyDescent="0.3">
      <c r="A17" s="2628" t="s">
        <v>2548</v>
      </c>
      <c r="B17" s="2640" t="s">
        <v>2549</v>
      </c>
      <c r="C17" s="2908" t="s">
        <v>9186</v>
      </c>
      <c r="D17" s="2931">
        <v>2.2000000000000002</v>
      </c>
      <c r="E17" s="2897" t="s">
        <v>2550</v>
      </c>
      <c r="F17" s="825" t="s">
        <v>2551</v>
      </c>
      <c r="G17" s="872" t="s">
        <v>2552</v>
      </c>
      <c r="H17" s="873" t="s">
        <v>2553</v>
      </c>
      <c r="I17" s="1458" t="str">
        <f t="shared" si="1"/>
        <v>5-DaHall 1-PDU-07-30-6</v>
      </c>
      <c r="J17" s="1459" t="str">
        <f t="shared" si="2"/>
        <v>5-DaHall 1-PDU-08-30-6</v>
      </c>
      <c r="K17" s="1546">
        <v>220</v>
      </c>
      <c r="L17" s="1547">
        <v>30</v>
      </c>
      <c r="M17" s="2381" t="s">
        <v>6492</v>
      </c>
      <c r="N17" s="1548">
        <v>6</v>
      </c>
      <c r="O17" s="1549">
        <v>220</v>
      </c>
      <c r="P17" s="1550">
        <v>30</v>
      </c>
      <c r="Q17" s="2406" t="s">
        <v>6504</v>
      </c>
      <c r="R17" s="1551">
        <v>6</v>
      </c>
      <c r="S17" s="3576"/>
      <c r="T17" s="3579"/>
      <c r="U17" s="3576"/>
      <c r="V17" s="3579"/>
      <c r="W17" s="3576"/>
      <c r="X17" s="3579"/>
      <c r="Y17" s="329">
        <f>SUM('5층_부하량(월간_AVG)'!N228:P228)</f>
        <v>0</v>
      </c>
      <c r="Z17" s="329">
        <f>SUM('5층_부하량(월간_AVG)'!N273:P273)</f>
        <v>0</v>
      </c>
      <c r="AA17" s="2437">
        <f t="shared" si="10"/>
        <v>0</v>
      </c>
      <c r="AB17" s="2695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3112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3162">
        <f>VLOOKUP(I17&amp;J17,'7층~4층_매핑테이블'!$I$6:$P$2020,8,0)</f>
        <v>0.33700000000000002</v>
      </c>
      <c r="AE17" s="3147" t="e">
        <f>SUM(AB17:AC17)</f>
        <v>#N/A</v>
      </c>
      <c r="AF17" s="2452"/>
      <c r="AH17" s="2351" t="e">
        <f t="shared" si="4"/>
        <v>#N/A</v>
      </c>
      <c r="AI17" s="2351" t="e">
        <f t="shared" si="5"/>
        <v>#N/A</v>
      </c>
      <c r="AJ17" s="123" t="e">
        <f t="shared" si="0"/>
        <v>#N/A</v>
      </c>
      <c r="AK17" t="e">
        <f t="shared" si="6"/>
        <v>#N/A</v>
      </c>
      <c r="AL17" t="e">
        <f t="shared" si="7"/>
        <v>#N/A</v>
      </c>
      <c r="AQ17" s="123"/>
      <c r="AR17" s="123"/>
      <c r="AS17" s="123"/>
      <c r="AT17" s="2982"/>
      <c r="AU17" s="123"/>
      <c r="AV17" s="123"/>
      <c r="AW17" s="2990"/>
      <c r="AX17" s="2984"/>
      <c r="AY17" s="2985"/>
      <c r="AZ17" s="2986"/>
      <c r="BA17" s="2987"/>
      <c r="BB17" s="3194"/>
    </row>
    <row r="18" spans="1:54" ht="27.75" customHeight="1" thickTop="1" x14ac:dyDescent="0.25">
      <c r="A18" s="1081" t="s">
        <v>2554</v>
      </c>
      <c r="B18" s="993" t="s">
        <v>2555</v>
      </c>
      <c r="C18" s="2892" t="s">
        <v>9186</v>
      </c>
      <c r="D18" s="2932">
        <v>2.2000000000000002</v>
      </c>
      <c r="E18" s="847" t="s">
        <v>2556</v>
      </c>
      <c r="F18" s="327" t="s">
        <v>2557</v>
      </c>
      <c r="G18" s="2641" t="s">
        <v>2558</v>
      </c>
      <c r="H18" s="2642" t="s">
        <v>2559</v>
      </c>
      <c r="I18" s="1458" t="str">
        <f t="shared" si="1"/>
        <v>5-DaHall 1-PDU-11-20-15</v>
      </c>
      <c r="J18" s="1459" t="str">
        <f t="shared" si="2"/>
        <v>5-DaHall 1-PDU-12-20-13</v>
      </c>
      <c r="K18" s="1552">
        <v>220</v>
      </c>
      <c r="L18" s="1553">
        <v>20</v>
      </c>
      <c r="M18" s="2363" t="s">
        <v>6541</v>
      </c>
      <c r="N18" s="1554">
        <v>15</v>
      </c>
      <c r="O18" s="1555">
        <v>220</v>
      </c>
      <c r="P18" s="1556">
        <v>20</v>
      </c>
      <c r="Q18" s="2393" t="s">
        <v>6548</v>
      </c>
      <c r="R18" s="1557">
        <v>13</v>
      </c>
      <c r="S18" s="3628" t="s">
        <v>2480</v>
      </c>
      <c r="T18" s="3631" t="s">
        <v>2481</v>
      </c>
      <c r="U18" s="3489" t="s">
        <v>2482</v>
      </c>
      <c r="V18" s="3491" t="s">
        <v>2483</v>
      </c>
      <c r="W18" s="3467" t="s">
        <v>2484</v>
      </c>
      <c r="X18" s="3497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38">
        <f t="shared" si="10"/>
        <v>0</v>
      </c>
      <c r="AB18" s="2689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3108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3162">
        <f>VLOOKUP(I18&amp;J18,'7층~4층_매핑테이블'!$I$6:$P$2020,8,0)</f>
        <v>0</v>
      </c>
      <c r="AE18" s="3143" t="e">
        <f>SUM(AB18:AC18)</f>
        <v>#N/A</v>
      </c>
      <c r="AF18" s="2487" t="s">
        <v>2560</v>
      </c>
      <c r="AH18" s="2351" t="e">
        <f t="shared" si="4"/>
        <v>#N/A</v>
      </c>
      <c r="AI18" s="2351" t="e">
        <f t="shared" si="5"/>
        <v>#N/A</v>
      </c>
      <c r="AJ18" s="123" t="e">
        <f t="shared" si="0"/>
        <v>#N/A</v>
      </c>
      <c r="AK18" t="e">
        <f t="shared" si="6"/>
        <v>#N/A</v>
      </c>
      <c r="AL18" t="e">
        <f t="shared" si="7"/>
        <v>#N/A</v>
      </c>
      <c r="AQ18" s="123"/>
      <c r="AR18" s="123"/>
      <c r="AS18" s="123"/>
      <c r="AT18" s="2982"/>
      <c r="AU18" s="123"/>
      <c r="AV18" s="123"/>
      <c r="AW18" s="2990"/>
      <c r="AX18" s="2984"/>
      <c r="AY18" s="2985"/>
      <c r="AZ18" s="2986"/>
      <c r="BA18" s="2987"/>
      <c r="BB18" s="3194"/>
    </row>
    <row r="19" spans="1:54" ht="28.8" x14ac:dyDescent="0.25">
      <c r="A19" s="2620" t="s">
        <v>2561</v>
      </c>
      <c r="B19" s="2621" t="s">
        <v>2562</v>
      </c>
      <c r="C19" s="2891"/>
      <c r="D19" s="2929"/>
      <c r="E19" s="837" t="s">
        <v>2563</v>
      </c>
      <c r="F19" s="250" t="s">
        <v>2564</v>
      </c>
      <c r="G19" s="2633" t="s">
        <v>2565</v>
      </c>
      <c r="H19" s="2634" t="s">
        <v>2566</v>
      </c>
      <c r="I19" s="1458" t="str">
        <f t="shared" si="1"/>
        <v>5-DaHall 1-PDU-11-20-17</v>
      </c>
      <c r="J19" s="1459" t="str">
        <f t="shared" si="2"/>
        <v>5-DaHall 1-PDU-12-20-15</v>
      </c>
      <c r="K19" s="1558">
        <v>220</v>
      </c>
      <c r="L19" s="1559">
        <v>20</v>
      </c>
      <c r="M19" s="2364" t="s">
        <v>6541</v>
      </c>
      <c r="N19" s="1560">
        <v>17</v>
      </c>
      <c r="O19" s="1561">
        <v>220</v>
      </c>
      <c r="P19" s="1562">
        <v>20</v>
      </c>
      <c r="Q19" s="2394" t="s">
        <v>6548</v>
      </c>
      <c r="R19" s="1563">
        <v>15</v>
      </c>
      <c r="S19" s="3630"/>
      <c r="T19" s="3633"/>
      <c r="U19" s="3487"/>
      <c r="V19" s="3488"/>
      <c r="W19" s="3472"/>
      <c r="X19" s="3471"/>
      <c r="Y19" s="253">
        <f>SUM('5층_부하량(월간_AVG)'!D324:F324)</f>
        <v>0</v>
      </c>
      <c r="Z19" s="253">
        <f>SUM('5층_부하량(월간_AVG)'!D382:F382)</f>
        <v>0</v>
      </c>
      <c r="AA19" s="2436">
        <f t="shared" si="10"/>
        <v>0</v>
      </c>
      <c r="AB19" s="2691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3109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3162">
        <f>VLOOKUP(I19&amp;J19,'7층~4층_매핑테이블'!$I$6:$P$2020,8,0)</f>
        <v>0</v>
      </c>
      <c r="AE19" s="3144" t="e">
        <f>SUM(AB19:AC19)</f>
        <v>#N/A</v>
      </c>
      <c r="AF19" s="2451"/>
      <c r="AH19" s="2351" t="e">
        <f t="shared" si="4"/>
        <v>#N/A</v>
      </c>
      <c r="AI19" s="2351" t="e">
        <f t="shared" si="5"/>
        <v>#N/A</v>
      </c>
      <c r="AJ19" s="123" t="e">
        <f t="shared" si="0"/>
        <v>#N/A</v>
      </c>
      <c r="AK19" t="e">
        <f t="shared" si="6"/>
        <v>#N/A</v>
      </c>
      <c r="AL19" t="e">
        <f t="shared" si="7"/>
        <v>#N/A</v>
      </c>
      <c r="AQ19" s="123"/>
      <c r="AR19" s="123"/>
      <c r="AS19" s="123"/>
      <c r="AT19" s="2982"/>
      <c r="AU19" s="123"/>
      <c r="AV19" s="123"/>
      <c r="AW19" s="2990"/>
      <c r="AX19" s="2984"/>
      <c r="AY19" s="2985"/>
      <c r="AZ19" s="2986"/>
      <c r="BA19" s="2987"/>
      <c r="BB19" s="3194"/>
    </row>
    <row r="20" spans="1:54" x14ac:dyDescent="0.25">
      <c r="A20" s="3459" t="s">
        <v>2567</v>
      </c>
      <c r="B20" s="3480"/>
      <c r="C20" s="3587" t="s">
        <v>9174</v>
      </c>
      <c r="D20" s="3564">
        <v>3</v>
      </c>
      <c r="E20" s="837"/>
      <c r="F20" s="250"/>
      <c r="G20" s="2633"/>
      <c r="H20" s="2634"/>
      <c r="I20" s="1458" t="str">
        <f t="shared" si="1"/>
        <v>5-DaHall 1-PDU-15-30-11</v>
      </c>
      <c r="J20" s="1459" t="str">
        <f t="shared" si="2"/>
        <v>5-DaHall 1-PDU-16-30-11</v>
      </c>
      <c r="K20" s="1558">
        <v>220</v>
      </c>
      <c r="L20" s="1559">
        <v>30</v>
      </c>
      <c r="M20" s="2364" t="s">
        <v>6543</v>
      </c>
      <c r="N20" s="1560">
        <v>11</v>
      </c>
      <c r="O20" s="1561">
        <v>220</v>
      </c>
      <c r="P20" s="1562">
        <v>30</v>
      </c>
      <c r="Q20" s="2394" t="s">
        <v>6550</v>
      </c>
      <c r="R20" s="1563">
        <v>11</v>
      </c>
      <c r="S20" s="3642" t="s">
        <v>2568</v>
      </c>
      <c r="T20" s="3634" t="s">
        <v>2569</v>
      </c>
      <c r="U20" s="3475" t="s">
        <v>2570</v>
      </c>
      <c r="V20" s="3473" t="s">
        <v>2571</v>
      </c>
      <c r="W20" s="3472"/>
      <c r="X20" s="3471"/>
      <c r="Y20" s="253">
        <f>SUM('5층_부하량(월간_AVG)'!D361:F361)</f>
        <v>0</v>
      </c>
      <c r="Z20" s="253">
        <f>SUM('5층_부하량(월간_AVG)'!D420:F420)</f>
        <v>0</v>
      </c>
      <c r="AA20" s="3520">
        <f>SUM(Y20:Z21)</f>
        <v>0</v>
      </c>
      <c r="AB20" s="2694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3111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162">
        <f>VLOOKUP(I20&amp;J20,'7층~4층_매핑테이블'!$I$6:$P$2020,8,0)</f>
        <v>0</v>
      </c>
      <c r="AE20" s="3663" t="e">
        <f>SUM(AB20:AC22)</f>
        <v>#N/A</v>
      </c>
      <c r="AF20" s="3666" t="s">
        <v>2572</v>
      </c>
      <c r="AH20" s="2351" t="e">
        <f t="shared" si="4"/>
        <v>#N/A</v>
      </c>
      <c r="AI20" s="2351" t="e">
        <f t="shared" si="5"/>
        <v>#N/A</v>
      </c>
      <c r="AJ20" s="123" t="e">
        <f t="shared" si="0"/>
        <v>#N/A</v>
      </c>
      <c r="AK20" t="e">
        <f t="shared" si="6"/>
        <v>#N/A</v>
      </c>
      <c r="AL20" t="e">
        <f t="shared" si="7"/>
        <v>#N/A</v>
      </c>
      <c r="AQ20" s="123"/>
      <c r="AR20" s="123"/>
      <c r="AS20" s="123"/>
      <c r="AT20" s="2982"/>
      <c r="AU20" s="123"/>
      <c r="AV20" s="123"/>
      <c r="AW20" s="2990"/>
      <c r="AX20" s="2984"/>
      <c r="AY20" s="2985"/>
      <c r="AZ20" s="2986"/>
      <c r="BA20" s="2987"/>
      <c r="BB20" s="3194"/>
    </row>
    <row r="21" spans="1:54" ht="15" thickBot="1" x14ac:dyDescent="0.3">
      <c r="A21" s="3460"/>
      <c r="B21" s="3481"/>
      <c r="C21" s="3660"/>
      <c r="D21" s="3565"/>
      <c r="E21" s="837"/>
      <c r="F21" s="250"/>
      <c r="G21" s="2633"/>
      <c r="H21" s="2634"/>
      <c r="I21" s="1458" t="str">
        <f t="shared" si="1"/>
        <v>5-DaHall 1-PDU-15-30-14</v>
      </c>
      <c r="J21" s="1459" t="str">
        <f t="shared" si="2"/>
        <v>5-DaHall 1-PDU-16-30-14</v>
      </c>
      <c r="K21" s="1558">
        <v>220</v>
      </c>
      <c r="L21" s="1559">
        <v>30</v>
      </c>
      <c r="M21" s="2364" t="s">
        <v>6543</v>
      </c>
      <c r="N21" s="1560">
        <v>14</v>
      </c>
      <c r="O21" s="1561">
        <v>220</v>
      </c>
      <c r="P21" s="1562">
        <v>30</v>
      </c>
      <c r="Q21" s="2394" t="s">
        <v>6550</v>
      </c>
      <c r="R21" s="1563">
        <v>14</v>
      </c>
      <c r="S21" s="3643"/>
      <c r="T21" s="3635"/>
      <c r="U21" s="3476"/>
      <c r="V21" s="3474"/>
      <c r="W21" s="3472"/>
      <c r="X21" s="3471"/>
      <c r="Y21" s="253">
        <f>SUM('5층_부하량(월간_AVG)'!N362:P362)</f>
        <v>0</v>
      </c>
      <c r="Z21" s="253">
        <f>SUM('5층_부하량(월간_AVG)'!N421:P421)</f>
        <v>0</v>
      </c>
      <c r="AA21" s="3522"/>
      <c r="AB21" s="2694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3111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162">
        <f>VLOOKUP(I21&amp;J21,'7층~4층_매핑테이블'!$I$6:$P$2020,8,0)</f>
        <v>0.53899999999999992</v>
      </c>
      <c r="AE21" s="3665"/>
      <c r="AF21" s="3667"/>
      <c r="AH21" s="2351">
        <f t="shared" si="4"/>
        <v>0</v>
      </c>
      <c r="AI21" s="2351">
        <f t="shared" si="5"/>
        <v>0</v>
      </c>
      <c r="AJ21" s="123" t="str">
        <f t="shared" si="0"/>
        <v>무부하 랙</v>
      </c>
      <c r="AK21" t="str">
        <f t="shared" si="6"/>
        <v/>
      </c>
      <c r="AL21" t="str">
        <f t="shared" si="7"/>
        <v/>
      </c>
      <c r="AQ21" s="123"/>
      <c r="AR21" s="123"/>
      <c r="AS21" s="123"/>
      <c r="AT21" s="2982"/>
      <c r="AU21" s="123"/>
      <c r="AV21" s="123"/>
      <c r="AW21" s="2990"/>
      <c r="AX21" s="2984"/>
      <c r="AY21" s="2985"/>
      <c r="AZ21" s="2986"/>
      <c r="BA21" s="2987"/>
      <c r="BB21" s="3194"/>
    </row>
    <row r="22" spans="1:54" ht="29.4" thickTop="1" x14ac:dyDescent="0.25">
      <c r="A22" s="3461"/>
      <c r="B22" s="250" t="s">
        <v>2573</v>
      </c>
      <c r="C22" s="3585"/>
      <c r="D22" s="3566"/>
      <c r="E22" s="837" t="s">
        <v>2574</v>
      </c>
      <c r="F22" s="250" t="s">
        <v>2575</v>
      </c>
      <c r="G22" s="2633" t="s">
        <v>2576</v>
      </c>
      <c r="H22" s="2634" t="s">
        <v>2577</v>
      </c>
      <c r="I22" s="1458" t="str">
        <f t="shared" si="1"/>
        <v>5-DaHall 1-PDU-11-20-19</v>
      </c>
      <c r="J22" s="1459" t="str">
        <f t="shared" si="2"/>
        <v>5-DaHall 1-PDU-12-20-17</v>
      </c>
      <c r="K22" s="1558">
        <v>220</v>
      </c>
      <c r="L22" s="1559">
        <v>20</v>
      </c>
      <c r="M22" s="2364" t="s">
        <v>6541</v>
      </c>
      <c r="N22" s="1560">
        <v>19</v>
      </c>
      <c r="O22" s="1561">
        <v>220</v>
      </c>
      <c r="P22" s="1562">
        <v>20</v>
      </c>
      <c r="Q22" s="2394" t="s">
        <v>6548</v>
      </c>
      <c r="R22" s="1563">
        <v>17</v>
      </c>
      <c r="S22" s="3628" t="s">
        <v>2480</v>
      </c>
      <c r="T22" s="3631" t="s">
        <v>2481</v>
      </c>
      <c r="U22" s="3489" t="s">
        <v>2482</v>
      </c>
      <c r="V22" s="3491" t="s">
        <v>2483</v>
      </c>
      <c r="W22" s="3472"/>
      <c r="X22" s="3471"/>
      <c r="Y22" s="268">
        <f>SUM('5층_부하량(월간_AVG)'!D325:F325)</f>
        <v>0</v>
      </c>
      <c r="Z22" s="253">
        <f>SUM('5층_부하량(월간_AVG)'!D383:F383)</f>
        <v>0</v>
      </c>
      <c r="AA22" s="2436">
        <f t="shared" ref="AA22:AA24" si="11">SUM(Y22:Z22)</f>
        <v>0</v>
      </c>
      <c r="AB22" s="2691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3109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162">
        <f>VLOOKUP(I22&amp;J22,'7층~4층_매핑테이블'!$I$6:$P$2020,8,0)</f>
        <v>0</v>
      </c>
      <c r="AE22" s="3664"/>
      <c r="AF22" s="2451"/>
      <c r="AH22" s="2351">
        <f t="shared" si="4"/>
        <v>0</v>
      </c>
      <c r="AI22" s="2351">
        <f t="shared" si="5"/>
        <v>0</v>
      </c>
      <c r="AJ22" s="123" t="str">
        <f t="shared" si="0"/>
        <v>무부하 랙</v>
      </c>
      <c r="AK22" t="str">
        <f t="shared" si="6"/>
        <v/>
      </c>
      <c r="AL22" t="str">
        <f t="shared" si="7"/>
        <v/>
      </c>
      <c r="AQ22" s="123"/>
      <c r="AR22" s="123"/>
      <c r="AS22" s="123"/>
      <c r="AT22" s="2982"/>
      <c r="AU22" s="123"/>
      <c r="AV22" s="123"/>
      <c r="AW22" s="2990"/>
      <c r="AX22" s="2984"/>
      <c r="AY22" s="2985"/>
      <c r="AZ22" s="2986"/>
      <c r="BA22" s="2987"/>
      <c r="BB22" s="3194"/>
    </row>
    <row r="23" spans="1:54" ht="34.799999999999997" x14ac:dyDescent="0.25">
      <c r="A23" s="2620" t="s">
        <v>2578</v>
      </c>
      <c r="B23" s="250" t="s">
        <v>2579</v>
      </c>
      <c r="C23" s="2891" t="s">
        <v>9221</v>
      </c>
      <c r="D23" s="2930">
        <v>2.2000000000000002</v>
      </c>
      <c r="E23" s="837" t="s">
        <v>2580</v>
      </c>
      <c r="F23" s="250" t="s">
        <v>2581</v>
      </c>
      <c r="G23" s="2633" t="s">
        <v>2582</v>
      </c>
      <c r="H23" s="2634" t="s">
        <v>2583</v>
      </c>
      <c r="I23" s="1458" t="str">
        <f t="shared" si="1"/>
        <v>5-DaHall 1-PDU-11-20-21</v>
      </c>
      <c r="J23" s="1459" t="str">
        <f t="shared" si="2"/>
        <v>5-DaHall 1-PDU-12-20-19</v>
      </c>
      <c r="K23" s="1558">
        <v>220</v>
      </c>
      <c r="L23" s="1559">
        <v>20</v>
      </c>
      <c r="M23" s="2364" t="s">
        <v>6541</v>
      </c>
      <c r="N23" s="1560">
        <v>21</v>
      </c>
      <c r="O23" s="1561">
        <v>220</v>
      </c>
      <c r="P23" s="1562">
        <v>20</v>
      </c>
      <c r="Q23" s="2394" t="s">
        <v>6548</v>
      </c>
      <c r="R23" s="1563">
        <v>19</v>
      </c>
      <c r="S23" s="3629"/>
      <c r="T23" s="3632"/>
      <c r="U23" s="3478"/>
      <c r="V23" s="3477"/>
      <c r="W23" s="3472"/>
      <c r="X23" s="3471"/>
      <c r="Y23" s="268">
        <f>SUM('5층_부하량(월간_AVG)'!D326:F326)</f>
        <v>0</v>
      </c>
      <c r="Z23" s="253">
        <f>SUM('5층_부하량(월간_AVG)'!D384:F384)</f>
        <v>0</v>
      </c>
      <c r="AA23" s="2436">
        <f t="shared" si="11"/>
        <v>0</v>
      </c>
      <c r="AB23" s="2691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3109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3162">
        <f>VLOOKUP(I23&amp;J23,'7층~4층_매핑테이블'!$I$6:$P$2020,8,0)</f>
        <v>1.1080000000000001</v>
      </c>
      <c r="AE23" s="3144" t="e">
        <f>SUM(AB23:AC23)</f>
        <v>#N/A</v>
      </c>
      <c r="AF23" s="2451"/>
      <c r="AH23" s="2351" t="e">
        <f t="shared" si="4"/>
        <v>#N/A</v>
      </c>
      <c r="AI23" s="2351" t="e">
        <f t="shared" si="5"/>
        <v>#N/A</v>
      </c>
      <c r="AJ23" s="123" t="e">
        <f t="shared" si="0"/>
        <v>#N/A</v>
      </c>
      <c r="AK23" t="e">
        <f t="shared" si="6"/>
        <v>#N/A</v>
      </c>
      <c r="AL23" t="e">
        <f t="shared" si="7"/>
        <v>#N/A</v>
      </c>
      <c r="AQ23" s="123"/>
      <c r="AR23" s="123"/>
      <c r="AS23" s="123"/>
      <c r="AT23" s="2982"/>
      <c r="AU23" s="123"/>
      <c r="AV23" s="123"/>
      <c r="AW23" s="2990"/>
      <c r="AX23" s="2984"/>
      <c r="AY23" s="2985"/>
      <c r="AZ23" s="2986"/>
      <c r="BA23" s="2987"/>
      <c r="BB23" s="3194"/>
    </row>
    <row r="24" spans="1:54" ht="28.8" x14ac:dyDescent="0.25">
      <c r="A24" s="2620" t="s">
        <v>2584</v>
      </c>
      <c r="B24" s="2621" t="s">
        <v>2585</v>
      </c>
      <c r="C24" s="2891" t="s">
        <v>9222</v>
      </c>
      <c r="D24" s="2930">
        <v>2.2000000000000002</v>
      </c>
      <c r="E24" s="837" t="s">
        <v>2586</v>
      </c>
      <c r="F24" s="250" t="s">
        <v>2587</v>
      </c>
      <c r="G24" s="2633" t="s">
        <v>2588</v>
      </c>
      <c r="H24" s="2634" t="s">
        <v>2589</v>
      </c>
      <c r="I24" s="1458" t="str">
        <f t="shared" si="1"/>
        <v>5-DaHall 1-PDU-11-20-23</v>
      </c>
      <c r="J24" s="1459" t="str">
        <f t="shared" si="2"/>
        <v>5-DaHall 1-PDU-12-20-21</v>
      </c>
      <c r="K24" s="1558">
        <v>220</v>
      </c>
      <c r="L24" s="1559">
        <v>20</v>
      </c>
      <c r="M24" s="2364" t="s">
        <v>6541</v>
      </c>
      <c r="N24" s="1560">
        <v>23</v>
      </c>
      <c r="O24" s="1561">
        <v>220</v>
      </c>
      <c r="P24" s="1562">
        <v>20</v>
      </c>
      <c r="Q24" s="2394" t="s">
        <v>6548</v>
      </c>
      <c r="R24" s="1563">
        <v>21</v>
      </c>
      <c r="S24" s="3629"/>
      <c r="T24" s="3632"/>
      <c r="U24" s="3478"/>
      <c r="V24" s="3477"/>
      <c r="W24" s="3472"/>
      <c r="X24" s="3471"/>
      <c r="Y24" s="268">
        <f>SUM('5층_부하량(월간_AVG)'!D327:F327)</f>
        <v>0</v>
      </c>
      <c r="Z24" s="253">
        <f>SUM('5층_부하량(월간_AVG)'!D385:F385)</f>
        <v>0</v>
      </c>
      <c r="AA24" s="2436">
        <f t="shared" si="11"/>
        <v>0</v>
      </c>
      <c r="AB24" s="2691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3109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3162">
        <f>VLOOKUP(I24&amp;J24,'7층~4층_매핑테이블'!$I$6:$P$2020,8,0)</f>
        <v>2.3180000000000001</v>
      </c>
      <c r="AE24" s="3144" t="e">
        <f>SUM(AB24:AC24)</f>
        <v>#N/A</v>
      </c>
      <c r="AF24" s="2455" t="s">
        <v>2590</v>
      </c>
      <c r="AH24" s="2351" t="e">
        <f t="shared" si="4"/>
        <v>#N/A</v>
      </c>
      <c r="AI24" s="2351" t="e">
        <f t="shared" si="5"/>
        <v>#N/A</v>
      </c>
      <c r="AJ24" s="123" t="e">
        <f t="shared" si="0"/>
        <v>#N/A</v>
      </c>
      <c r="AK24" t="e">
        <f t="shared" si="6"/>
        <v>#N/A</v>
      </c>
      <c r="AL24" t="e">
        <f t="shared" si="7"/>
        <v>#N/A</v>
      </c>
      <c r="AQ24" s="123"/>
      <c r="AR24" s="123"/>
      <c r="AS24" s="123"/>
      <c r="AT24" s="2982"/>
      <c r="AU24" s="123"/>
      <c r="AV24" s="123"/>
      <c r="AW24" s="2990"/>
      <c r="AX24" s="2984"/>
      <c r="AY24" s="2985"/>
      <c r="AZ24" s="2986"/>
      <c r="BA24" s="2987"/>
      <c r="BB24" s="3194"/>
    </row>
    <row r="25" spans="1:54" ht="28.8" x14ac:dyDescent="0.25">
      <c r="A25" s="3454" t="s">
        <v>2591</v>
      </c>
      <c r="B25" s="3470" t="s">
        <v>2592</v>
      </c>
      <c r="C25" s="3625" t="s">
        <v>9223</v>
      </c>
      <c r="D25" s="3567">
        <v>1.1000000000000001</v>
      </c>
      <c r="E25" s="837" t="s">
        <v>2594</v>
      </c>
      <c r="F25" s="250" t="s">
        <v>2595</v>
      </c>
      <c r="G25" s="2633" t="s">
        <v>2596</v>
      </c>
      <c r="H25" s="2634" t="s">
        <v>2597</v>
      </c>
      <c r="I25" s="1458" t="str">
        <f t="shared" si="1"/>
        <v>5-DaHall 1-PDU-11-20-25</v>
      </c>
      <c r="J25" s="1459" t="str">
        <f t="shared" si="2"/>
        <v>5-DaHall 1-PDU-12-20-23</v>
      </c>
      <c r="K25" s="1558">
        <v>220</v>
      </c>
      <c r="L25" s="1559">
        <v>20</v>
      </c>
      <c r="M25" s="2364" t="s">
        <v>6541</v>
      </c>
      <c r="N25" s="1560">
        <v>25</v>
      </c>
      <c r="O25" s="1561">
        <v>220</v>
      </c>
      <c r="P25" s="1562">
        <v>20</v>
      </c>
      <c r="Q25" s="2394" t="s">
        <v>6548</v>
      </c>
      <c r="R25" s="1563">
        <v>23</v>
      </c>
      <c r="S25" s="3630"/>
      <c r="T25" s="3633"/>
      <c r="U25" s="3487"/>
      <c r="V25" s="3488"/>
      <c r="W25" s="3472"/>
      <c r="X25" s="3471"/>
      <c r="Y25" s="268">
        <f>'5층_부하량(월간_AVG)'!F328</f>
        <v>0</v>
      </c>
      <c r="Z25" s="253">
        <f>SUM('5층_부하량(월간_AVG)'!D386:F386)</f>
        <v>0</v>
      </c>
      <c r="AA25" s="3520">
        <f>SUM(Y25:Z26)</f>
        <v>0</v>
      </c>
      <c r="AB25" s="2694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3111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162">
        <f>VLOOKUP(I25&amp;J25,'7층~4층_매핑테이블'!$I$6:$P$2020,8,0)</f>
        <v>0</v>
      </c>
      <c r="AE25" s="3145" t="e">
        <f>SUM(AB25:AC26)</f>
        <v>#N/A</v>
      </c>
      <c r="AF25" s="2451"/>
      <c r="AH25" s="2351" t="e">
        <f t="shared" si="4"/>
        <v>#N/A</v>
      </c>
      <c r="AI25" s="2351" t="e">
        <f t="shared" si="5"/>
        <v>#N/A</v>
      </c>
      <c r="AJ25" s="123" t="e">
        <f t="shared" si="0"/>
        <v>#N/A</v>
      </c>
      <c r="AK25" t="e">
        <f t="shared" si="6"/>
        <v>#N/A</v>
      </c>
      <c r="AL25" t="e">
        <f t="shared" si="7"/>
        <v>#N/A</v>
      </c>
      <c r="AQ25" s="123"/>
      <c r="AR25" s="123"/>
      <c r="AS25" s="123"/>
      <c r="AT25" s="2982"/>
      <c r="AU25" s="123"/>
      <c r="AV25" s="123"/>
      <c r="AW25" s="2990"/>
      <c r="AX25" s="2984"/>
      <c r="AY25" s="2985"/>
      <c r="AZ25" s="2986"/>
      <c r="BA25" s="2987"/>
      <c r="BB25" s="3194"/>
    </row>
    <row r="26" spans="1:54" ht="54" customHeight="1" x14ac:dyDescent="0.25">
      <c r="A26" s="3454"/>
      <c r="B26" s="3470"/>
      <c r="C26" s="3625"/>
      <c r="D26" s="3568"/>
      <c r="E26" s="837" t="s">
        <v>2598</v>
      </c>
      <c r="F26" s="250" t="s">
        <v>2599</v>
      </c>
      <c r="G26" s="2633" t="s">
        <v>2600</v>
      </c>
      <c r="H26" s="2634" t="s">
        <v>2601</v>
      </c>
      <c r="I26" s="1458" t="str">
        <f t="shared" si="1"/>
        <v>5-DaHall 1-PDU-15-20-28</v>
      </c>
      <c r="J26" s="1459" t="str">
        <f t="shared" si="2"/>
        <v>5-DaHall 1-PDU-16-20-28</v>
      </c>
      <c r="K26" s="1558">
        <v>220</v>
      </c>
      <c r="L26" s="1559">
        <v>20</v>
      </c>
      <c r="M26" s="2364" t="s">
        <v>6543</v>
      </c>
      <c r="N26" s="1560">
        <v>28</v>
      </c>
      <c r="O26" s="1561">
        <v>220</v>
      </c>
      <c r="P26" s="1562">
        <v>20</v>
      </c>
      <c r="Q26" s="2394" t="s">
        <v>6550</v>
      </c>
      <c r="R26" s="1563">
        <v>28</v>
      </c>
      <c r="S26" s="2633" t="s">
        <v>2568</v>
      </c>
      <c r="T26" s="2634" t="s">
        <v>2569</v>
      </c>
      <c r="U26" s="2609" t="s">
        <v>2570</v>
      </c>
      <c r="V26" s="2604" t="s">
        <v>2571</v>
      </c>
      <c r="W26" s="3472"/>
      <c r="X26" s="3471"/>
      <c r="Y26" s="268">
        <f>SUM('5층_부하량(월간_AVG)'!N369:Q369)</f>
        <v>0</v>
      </c>
      <c r="Z26" s="253">
        <f>SUM('5층_부하량(월간_AVG)'!N428:Q428)</f>
        <v>0</v>
      </c>
      <c r="AA26" s="3522"/>
      <c r="AB26" s="2694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3111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162">
        <f>VLOOKUP(I26&amp;J26,'7층~4층_매핑테이블'!$I$6:$P$2020,8,0)</f>
        <v>0.151</v>
      </c>
      <c r="AE26" s="3146" t="e">
        <f>$AE$25</f>
        <v>#N/A</v>
      </c>
      <c r="AF26" s="2451"/>
      <c r="AH26" s="2351" t="e">
        <f t="shared" si="4"/>
        <v>#N/A</v>
      </c>
      <c r="AI26" s="2351" t="e">
        <f t="shared" si="5"/>
        <v>#N/A</v>
      </c>
      <c r="AJ26" s="123" t="e">
        <f t="shared" si="0"/>
        <v>#N/A</v>
      </c>
      <c r="AK26" t="e">
        <f t="shared" si="6"/>
        <v>#N/A</v>
      </c>
      <c r="AL26" t="e">
        <f t="shared" si="7"/>
        <v>#N/A</v>
      </c>
      <c r="AQ26" s="123"/>
      <c r="AR26" s="123"/>
      <c r="AS26" s="123"/>
      <c r="AT26" s="2982"/>
      <c r="AU26" s="123"/>
      <c r="AV26" s="123"/>
      <c r="AW26" s="2990"/>
      <c r="AX26" s="2984"/>
      <c r="AY26" s="2985"/>
      <c r="AZ26" s="2986"/>
      <c r="BA26" s="2987"/>
      <c r="BB26" s="3194"/>
    </row>
    <row r="27" spans="1:54" ht="27" customHeight="1" x14ac:dyDescent="0.25">
      <c r="A27" s="2620" t="s">
        <v>2057</v>
      </c>
      <c r="B27" s="2621" t="s">
        <v>2602</v>
      </c>
      <c r="C27" s="2891" t="s">
        <v>9224</v>
      </c>
      <c r="D27" s="2930">
        <v>1.1000000000000001</v>
      </c>
      <c r="E27" s="837" t="s">
        <v>2603</v>
      </c>
      <c r="F27" s="250" t="s">
        <v>2604</v>
      </c>
      <c r="G27" s="2633" t="s">
        <v>2605</v>
      </c>
      <c r="H27" s="2634" t="s">
        <v>2606</v>
      </c>
      <c r="I27" s="1458" t="str">
        <f t="shared" si="1"/>
        <v>5-DaHall 1-PDU-11-20-27</v>
      </c>
      <c r="J27" s="1459" t="str">
        <f t="shared" si="2"/>
        <v>5-DaHall 1-PDU-12-20-25</v>
      </c>
      <c r="K27" s="1558">
        <v>220</v>
      </c>
      <c r="L27" s="1559">
        <v>20</v>
      </c>
      <c r="M27" s="2364" t="s">
        <v>6541</v>
      </c>
      <c r="N27" s="1560">
        <v>27</v>
      </c>
      <c r="O27" s="1561">
        <v>220</v>
      </c>
      <c r="P27" s="1562">
        <v>20</v>
      </c>
      <c r="Q27" s="2394" t="s">
        <v>6548</v>
      </c>
      <c r="R27" s="1563">
        <v>25</v>
      </c>
      <c r="S27" s="3608" t="s">
        <v>2480</v>
      </c>
      <c r="T27" s="3611" t="s">
        <v>2607</v>
      </c>
      <c r="U27" s="3468" t="s">
        <v>2482</v>
      </c>
      <c r="V27" s="3465" t="s">
        <v>2483</v>
      </c>
      <c r="W27" s="3472"/>
      <c r="X27" s="3471"/>
      <c r="Y27" s="268">
        <f>SUM('5층_부하량(월간_AVG)'!D329:F329)</f>
        <v>0</v>
      </c>
      <c r="Z27" s="253">
        <f>SUM('5층_부하량(월간_AVG)'!D387:F387)</f>
        <v>0</v>
      </c>
      <c r="AA27" s="2436">
        <f t="shared" ref="AA27" si="12">SUM(Y27:Z27)</f>
        <v>0</v>
      </c>
      <c r="AB27" s="2691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3109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3162">
        <f>VLOOKUP(I27&amp;J27,'7층~4층_매핑테이블'!$I$6:$P$2020,8,0)</f>
        <v>1.3740000000000001</v>
      </c>
      <c r="AE27" s="3144" t="e">
        <f>SUM(AB27:AC27)</f>
        <v>#N/A</v>
      </c>
      <c r="AF27" s="2451"/>
      <c r="AH27" s="2351" t="e">
        <f t="shared" si="4"/>
        <v>#N/A</v>
      </c>
      <c r="AI27" s="2351" t="e">
        <f t="shared" si="5"/>
        <v>#N/A</v>
      </c>
      <c r="AJ27" s="123" t="e">
        <f t="shared" si="0"/>
        <v>#N/A</v>
      </c>
      <c r="AK27" t="e">
        <f t="shared" si="6"/>
        <v>#N/A</v>
      </c>
      <c r="AL27" t="e">
        <f t="shared" si="7"/>
        <v>#N/A</v>
      </c>
      <c r="AQ27" s="123"/>
      <c r="AR27" s="123"/>
      <c r="AS27" s="123"/>
      <c r="AT27" s="2982"/>
      <c r="AU27" s="123"/>
      <c r="AV27" s="123"/>
      <c r="AW27" s="2990"/>
      <c r="AX27" s="2984"/>
      <c r="AY27" s="2985"/>
      <c r="AZ27" s="2986"/>
      <c r="BA27" s="2987"/>
      <c r="BB27" s="3194"/>
    </row>
    <row r="28" spans="1:54" ht="28.8" x14ac:dyDescent="0.25">
      <c r="A28" s="3454" t="s">
        <v>2608</v>
      </c>
      <c r="B28" s="3470" t="s">
        <v>2609</v>
      </c>
      <c r="C28" s="3625" t="s">
        <v>9174</v>
      </c>
      <c r="D28" s="3569">
        <v>2.2000000000000002</v>
      </c>
      <c r="E28" s="837" t="s">
        <v>2611</v>
      </c>
      <c r="F28" s="250" t="s">
        <v>2612</v>
      </c>
      <c r="G28" s="2633" t="s">
        <v>2613</v>
      </c>
      <c r="H28" s="2634" t="s">
        <v>2614</v>
      </c>
      <c r="I28" s="1458" t="str">
        <f t="shared" si="1"/>
        <v>5-DaHall 1-PDU-11-20-29</v>
      </c>
      <c r="J28" s="1459" t="str">
        <f t="shared" si="2"/>
        <v>5-DaHall 1-PDU-12-20-27</v>
      </c>
      <c r="K28" s="1564">
        <v>220</v>
      </c>
      <c r="L28" s="1565">
        <v>20</v>
      </c>
      <c r="M28" s="2364" t="s">
        <v>6541</v>
      </c>
      <c r="N28" s="1560">
        <v>29</v>
      </c>
      <c r="O28" s="1566">
        <v>220</v>
      </c>
      <c r="P28" s="1567">
        <v>20</v>
      </c>
      <c r="Q28" s="2394" t="s">
        <v>6548</v>
      </c>
      <c r="R28" s="1563">
        <v>27</v>
      </c>
      <c r="S28" s="3608"/>
      <c r="T28" s="3611"/>
      <c r="U28" s="3468"/>
      <c r="V28" s="3465"/>
      <c r="W28" s="3472"/>
      <c r="X28" s="3471"/>
      <c r="Y28" s="268">
        <f>SUM('5층_부하량(월간_AVG)'!D330:F330)</f>
        <v>0</v>
      </c>
      <c r="Z28" s="268">
        <f>SUM('5층_부하량(월간_AVG)'!D388:F388)</f>
        <v>0</v>
      </c>
      <c r="AA28" s="3636">
        <f>SUM(Y28:Z30)</f>
        <v>0</v>
      </c>
      <c r="AB28" s="2697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3113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162">
        <f>VLOOKUP(I28&amp;J28,'7층~4층_매핑테이블'!$I$6:$P$2020,8,0)</f>
        <v>0</v>
      </c>
      <c r="AE28" s="3145" t="e">
        <f>SUM(AB28:AC30)</f>
        <v>#N/A</v>
      </c>
      <c r="AF28" s="2451" t="s">
        <v>2615</v>
      </c>
      <c r="AH28" s="2351" t="e">
        <f t="shared" si="4"/>
        <v>#N/A</v>
      </c>
      <c r="AI28" s="2351" t="e">
        <f t="shared" si="5"/>
        <v>#N/A</v>
      </c>
      <c r="AJ28" s="123" t="e">
        <f t="shared" si="0"/>
        <v>#N/A</v>
      </c>
      <c r="AK28" t="e">
        <f t="shared" si="6"/>
        <v>#N/A</v>
      </c>
      <c r="AL28" t="e">
        <f t="shared" si="7"/>
        <v>#N/A</v>
      </c>
      <c r="AQ28" s="123"/>
      <c r="AR28" s="123"/>
      <c r="AS28" s="123"/>
      <c r="AT28" s="2982"/>
      <c r="AU28" s="123"/>
      <c r="AV28" s="123"/>
      <c r="AW28" s="2990"/>
      <c r="AX28" s="2984"/>
      <c r="AY28" s="2985"/>
      <c r="AZ28" s="2986"/>
      <c r="BA28" s="2987"/>
      <c r="BB28" s="3194"/>
    </row>
    <row r="29" spans="1:54" ht="28.8" x14ac:dyDescent="0.25">
      <c r="A29" s="3454"/>
      <c r="B29" s="3470"/>
      <c r="C29" s="3625"/>
      <c r="D29" s="3570"/>
      <c r="E29" s="2898" t="s">
        <v>2616</v>
      </c>
      <c r="F29" s="992" t="s">
        <v>2617</v>
      </c>
      <c r="G29" s="2633" t="s">
        <v>2618</v>
      </c>
      <c r="H29" s="2634" t="s">
        <v>2619</v>
      </c>
      <c r="I29" s="1458" t="str">
        <f t="shared" si="1"/>
        <v>5-DaHall 1-PDU-15-30-7</v>
      </c>
      <c r="J29" s="1459" t="str">
        <f t="shared" si="2"/>
        <v>5-DaHall 1-PDU-16-30-7</v>
      </c>
      <c r="K29" s="1564">
        <v>220</v>
      </c>
      <c r="L29" s="1565">
        <v>30</v>
      </c>
      <c r="M29" s="2364" t="s">
        <v>6543</v>
      </c>
      <c r="N29" s="1560">
        <v>7</v>
      </c>
      <c r="O29" s="1566">
        <v>220</v>
      </c>
      <c r="P29" s="1567">
        <v>30</v>
      </c>
      <c r="Q29" s="2394" t="s">
        <v>6550</v>
      </c>
      <c r="R29" s="1563">
        <v>7</v>
      </c>
      <c r="S29" s="3608" t="s">
        <v>2620</v>
      </c>
      <c r="T29" s="3611" t="s">
        <v>2569</v>
      </c>
      <c r="U29" s="3468" t="s">
        <v>2570</v>
      </c>
      <c r="V29" s="3465" t="s">
        <v>2571</v>
      </c>
      <c r="W29" s="3472"/>
      <c r="X29" s="3471"/>
      <c r="Y29" s="268">
        <f>SUM('5층_부하량(월간_AVG)'!D359:F359)</f>
        <v>0</v>
      </c>
      <c r="Z29" s="268">
        <f>SUM('5층_부하량(월간_AVG)'!D418:F418)</f>
        <v>0</v>
      </c>
      <c r="AA29" s="3637"/>
      <c r="AB29" s="2697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3113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162">
        <f>VLOOKUP(I29&amp;J29,'7층~4층_매핑테이블'!$I$6:$P$2020,8,0)</f>
        <v>1.649</v>
      </c>
      <c r="AE29" s="3148" t="e">
        <f>$AE$28</f>
        <v>#N/A</v>
      </c>
      <c r="AF29" s="3668" t="s">
        <v>2621</v>
      </c>
      <c r="AH29" s="2351" t="e">
        <f t="shared" si="4"/>
        <v>#N/A</v>
      </c>
      <c r="AI29" s="2351" t="e">
        <f t="shared" si="5"/>
        <v>#N/A</v>
      </c>
      <c r="AJ29" s="123" t="e">
        <f t="shared" si="0"/>
        <v>#N/A</v>
      </c>
      <c r="AK29" t="e">
        <f t="shared" si="6"/>
        <v>#N/A</v>
      </c>
      <c r="AL29" t="e">
        <f t="shared" si="7"/>
        <v>#N/A</v>
      </c>
      <c r="AQ29" s="123"/>
      <c r="AR29" s="123"/>
      <c r="AS29" s="123"/>
      <c r="AT29" s="2982"/>
      <c r="AU29" s="123"/>
      <c r="AV29" s="123"/>
      <c r="AW29" s="2990"/>
      <c r="AX29" s="2984"/>
      <c r="AY29" s="2985"/>
      <c r="AZ29" s="2986"/>
      <c r="BA29" s="2987"/>
      <c r="BB29" s="3194"/>
    </row>
    <row r="30" spans="1:54" ht="28.8" x14ac:dyDescent="0.25">
      <c r="A30" s="3454"/>
      <c r="B30" s="3470"/>
      <c r="C30" s="3625"/>
      <c r="D30" s="3571"/>
      <c r="E30" s="2898" t="s">
        <v>2622</v>
      </c>
      <c r="F30" s="992" t="s">
        <v>2623</v>
      </c>
      <c r="G30" s="2633" t="s">
        <v>2624</v>
      </c>
      <c r="H30" s="2634" t="s">
        <v>2625</v>
      </c>
      <c r="I30" s="1458" t="str">
        <f t="shared" si="1"/>
        <v>5-DaHall 1-PDU-15-30-9</v>
      </c>
      <c r="J30" s="1459" t="str">
        <f t="shared" si="2"/>
        <v>5-DaHall 1-PDU-16-30-9</v>
      </c>
      <c r="K30" s="1564">
        <v>220</v>
      </c>
      <c r="L30" s="1565">
        <v>30</v>
      </c>
      <c r="M30" s="2364" t="s">
        <v>6543</v>
      </c>
      <c r="N30" s="1560">
        <v>9</v>
      </c>
      <c r="O30" s="1566">
        <v>220</v>
      </c>
      <c r="P30" s="1567">
        <v>30</v>
      </c>
      <c r="Q30" s="2394" t="s">
        <v>6550</v>
      </c>
      <c r="R30" s="1563">
        <v>9</v>
      </c>
      <c r="S30" s="3608"/>
      <c r="T30" s="3611"/>
      <c r="U30" s="3468"/>
      <c r="V30" s="3471"/>
      <c r="W30" s="3472"/>
      <c r="X30" s="3471"/>
      <c r="Y30" s="268">
        <f>SUM('5층_부하량(월간_AVG)'!D360:F360)</f>
        <v>0</v>
      </c>
      <c r="Z30" s="268">
        <f>SUM('5층_부하량(월간_AVG)'!D419:F419)</f>
        <v>0</v>
      </c>
      <c r="AA30" s="3638"/>
      <c r="AB30" s="2697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47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163">
        <f>VLOOKUP(I30&amp;J30,'7층~4층_매핑테이블'!$I$6:$P$2020,8,0)</f>
        <v>0.60399999999999998</v>
      </c>
      <c r="AE30" s="3146" t="e">
        <f>$AE$28</f>
        <v>#N/A</v>
      </c>
      <c r="AF30" s="3669"/>
      <c r="AH30" s="2351" t="e">
        <f t="shared" si="4"/>
        <v>#N/A</v>
      </c>
      <c r="AI30" s="2351" t="e">
        <f t="shared" si="5"/>
        <v>#N/A</v>
      </c>
      <c r="AJ30" s="123" t="e">
        <f t="shared" si="0"/>
        <v>#N/A</v>
      </c>
      <c r="AK30" t="e">
        <f t="shared" si="6"/>
        <v>#N/A</v>
      </c>
      <c r="AL30" t="e">
        <f t="shared" si="7"/>
        <v>#N/A</v>
      </c>
      <c r="AQ30" s="123"/>
      <c r="AR30" s="123"/>
      <c r="AS30" s="123"/>
      <c r="AT30" s="2982"/>
      <c r="AU30" s="123"/>
      <c r="AV30" s="123"/>
      <c r="AW30" s="2990"/>
      <c r="AX30" s="2984"/>
      <c r="AY30" s="2985"/>
      <c r="AZ30" s="2986"/>
      <c r="BA30" s="2987"/>
      <c r="BB30" s="3194"/>
    </row>
    <row r="31" spans="1:54" ht="57.6" x14ac:dyDescent="0.25">
      <c r="A31" s="2620" t="s">
        <v>2077</v>
      </c>
      <c r="B31" s="2621" t="s">
        <v>2626</v>
      </c>
      <c r="C31" s="2891" t="s">
        <v>9225</v>
      </c>
      <c r="D31" s="2933">
        <v>2.2000000000000002</v>
      </c>
      <c r="E31" s="837" t="s">
        <v>2627</v>
      </c>
      <c r="F31" s="250" t="s">
        <v>2628</v>
      </c>
      <c r="G31" s="2633" t="s">
        <v>2629</v>
      </c>
      <c r="H31" s="2634" t="s">
        <v>2630</v>
      </c>
      <c r="I31" s="1458" t="str">
        <f t="shared" si="1"/>
        <v>5-DaHall 1-PDU-13-30-3</v>
      </c>
      <c r="J31" s="1459" t="str">
        <f t="shared" si="2"/>
        <v>5-DaHall 1-PDU-12-20-32</v>
      </c>
      <c r="K31" s="1558">
        <v>220</v>
      </c>
      <c r="L31" s="1559">
        <v>30</v>
      </c>
      <c r="M31" s="2364" t="s">
        <v>6542</v>
      </c>
      <c r="N31" s="1560">
        <v>3</v>
      </c>
      <c r="O31" s="1561">
        <v>220</v>
      </c>
      <c r="P31" s="1562">
        <v>20</v>
      </c>
      <c r="Q31" s="2394" t="s">
        <v>6548</v>
      </c>
      <c r="R31" s="1563">
        <v>32</v>
      </c>
      <c r="S31" s="3608" t="s">
        <v>2631</v>
      </c>
      <c r="T31" s="2634" t="s">
        <v>2607</v>
      </c>
      <c r="U31" s="3468" t="s">
        <v>2632</v>
      </c>
      <c r="V31" s="2604" t="s">
        <v>2483</v>
      </c>
      <c r="W31" s="3472"/>
      <c r="X31" s="3471"/>
      <c r="Y31" s="268">
        <f>SUM('5층_부하량(월간_AVG)'!D337:F337)</f>
        <v>0</v>
      </c>
      <c r="Z31" s="253">
        <f>SUM('5층_부하량(월간_AVG)'!N390:P390)</f>
        <v>0</v>
      </c>
      <c r="AA31" s="2436">
        <f t="shared" ref="AA31:AA32" si="13">SUM(Y31:Z31)</f>
        <v>0</v>
      </c>
      <c r="AB31" s="2691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3109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3162">
        <f>VLOOKUP(I31&amp;J31,'7층~4층_매핑테이블'!$I$6:$P$2020,8,0)</f>
        <v>2.0510000000000002</v>
      </c>
      <c r="AE31" s="3144" t="e">
        <f>SUM(AB31:AC31)</f>
        <v>#N/A</v>
      </c>
      <c r="AF31" s="2451"/>
      <c r="AH31" s="2351" t="e">
        <f t="shared" si="4"/>
        <v>#N/A</v>
      </c>
      <c r="AI31" s="2351" t="e">
        <f t="shared" si="5"/>
        <v>#N/A</v>
      </c>
      <c r="AJ31" s="123" t="e">
        <f t="shared" si="0"/>
        <v>#N/A</v>
      </c>
      <c r="AK31" t="e">
        <f t="shared" si="6"/>
        <v>#N/A</v>
      </c>
      <c r="AL31" t="e">
        <f t="shared" si="7"/>
        <v>#N/A</v>
      </c>
      <c r="AQ31" s="123"/>
      <c r="AR31" s="123"/>
      <c r="AS31" s="123"/>
      <c r="AT31" s="2982"/>
      <c r="AU31" s="123"/>
      <c r="AV31" s="123"/>
      <c r="AW31" s="2990"/>
      <c r="AX31" s="2984"/>
      <c r="AY31" s="2985"/>
      <c r="AZ31" s="2986"/>
      <c r="BA31" s="2987"/>
      <c r="BB31" s="3194"/>
    </row>
    <row r="32" spans="1:54" ht="58.2" thickBot="1" x14ac:dyDescent="0.3">
      <c r="A32" s="2628" t="s">
        <v>2633</v>
      </c>
      <c r="B32" s="2640" t="s">
        <v>2634</v>
      </c>
      <c r="C32" s="2908" t="s">
        <v>9219</v>
      </c>
      <c r="D32" s="2934">
        <v>2.2000000000000002</v>
      </c>
      <c r="E32" s="838" t="s">
        <v>2635</v>
      </c>
      <c r="F32" s="2629" t="s">
        <v>2636</v>
      </c>
      <c r="G32" s="2643" t="s">
        <v>2637</v>
      </c>
      <c r="H32" s="2644" t="s">
        <v>2638</v>
      </c>
      <c r="I32" s="1458" t="str">
        <f t="shared" si="1"/>
        <v>5-DaHall 1-PDU-13-30-5</v>
      </c>
      <c r="J32" s="1459" t="str">
        <f t="shared" si="2"/>
        <v>5-DaHall 1-PDU-14-30-3</v>
      </c>
      <c r="K32" s="1568">
        <v>220</v>
      </c>
      <c r="L32" s="1569">
        <v>30</v>
      </c>
      <c r="M32" s="2365" t="s">
        <v>6542</v>
      </c>
      <c r="N32" s="1570">
        <v>5</v>
      </c>
      <c r="O32" s="1571">
        <v>220</v>
      </c>
      <c r="P32" s="1572">
        <v>30</v>
      </c>
      <c r="Q32" s="2395" t="s">
        <v>6549</v>
      </c>
      <c r="R32" s="1573">
        <v>3</v>
      </c>
      <c r="S32" s="3609"/>
      <c r="T32" s="2644" t="s">
        <v>2639</v>
      </c>
      <c r="U32" s="3469"/>
      <c r="V32" s="2605" t="s">
        <v>2640</v>
      </c>
      <c r="W32" s="3499"/>
      <c r="X32" s="3498"/>
      <c r="Y32" s="330">
        <f>SUM('5층_부하량(월간_AVG)'!D338:F338)</f>
        <v>0</v>
      </c>
      <c r="Z32" s="329">
        <f>SUM('5층_부하량(월간_AVG)'!D396:F396)</f>
        <v>0</v>
      </c>
      <c r="AA32" s="2437">
        <f t="shared" si="13"/>
        <v>0</v>
      </c>
      <c r="AB32" s="2695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3112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3162">
        <f>VLOOKUP(I32&amp;J32,'7층~4층_매핑테이블'!$I$6:$P$2020,8,0)</f>
        <v>1.9369999999999998</v>
      </c>
      <c r="AE32" s="3147" t="e">
        <f>SUM(AB32:AC32)</f>
        <v>#N/A</v>
      </c>
      <c r="AF32" s="2452"/>
      <c r="AH32" s="2351" t="e">
        <f t="shared" si="4"/>
        <v>#N/A</v>
      </c>
      <c r="AI32" s="2351" t="e">
        <f t="shared" si="5"/>
        <v>#N/A</v>
      </c>
      <c r="AJ32" s="123" t="e">
        <f t="shared" si="0"/>
        <v>#N/A</v>
      </c>
      <c r="AK32" t="e">
        <f t="shared" si="6"/>
        <v>#N/A</v>
      </c>
      <c r="AL32" t="e">
        <f t="shared" si="7"/>
        <v>#N/A</v>
      </c>
      <c r="AQ32" s="123"/>
      <c r="AR32" s="123"/>
      <c r="AS32" s="123"/>
      <c r="AT32" s="2982"/>
      <c r="AU32" s="123"/>
      <c r="AV32" s="123"/>
      <c r="AW32" s="2990"/>
      <c r="AX32" s="2984"/>
      <c r="AY32" s="2985"/>
      <c r="AZ32" s="2986"/>
      <c r="BA32" s="2987"/>
      <c r="BB32" s="3194"/>
    </row>
    <row r="33" spans="1:54" ht="18" thickTop="1" x14ac:dyDescent="0.25">
      <c r="A33" s="1081" t="s">
        <v>2641</v>
      </c>
      <c r="B33" s="828"/>
      <c r="C33" s="2893"/>
      <c r="D33" s="2935"/>
      <c r="E33" s="1656"/>
      <c r="F33" s="828"/>
      <c r="G33" s="874"/>
      <c r="H33" s="875"/>
      <c r="I33" s="1574"/>
      <c r="J33" s="1575"/>
      <c r="K33" s="1576"/>
      <c r="L33" s="1577"/>
      <c r="M33" s="874"/>
      <c r="N33" s="1578"/>
      <c r="O33" s="1579"/>
      <c r="P33" s="1580"/>
      <c r="Q33" s="875"/>
      <c r="R33" s="1581"/>
      <c r="S33" s="874"/>
      <c r="T33" s="875"/>
      <c r="U33" s="884"/>
      <c r="V33" s="885"/>
      <c r="W33" s="829"/>
      <c r="X33" s="830"/>
      <c r="Y33" s="835"/>
      <c r="Z33" s="835"/>
      <c r="AA33" s="2461"/>
      <c r="AB33" s="2698"/>
      <c r="AC33" s="3114"/>
      <c r="AD33" s="3162">
        <f>VLOOKUP(I33&amp;J33,'7층~4층_매핑테이블'!$I$6:$P$2020,8,0)</f>
        <v>0</v>
      </c>
      <c r="AE33" s="3138"/>
      <c r="AF33" s="2454" t="s">
        <v>1265</v>
      </c>
      <c r="AH33" s="2351">
        <f t="shared" si="4"/>
        <v>0</v>
      </c>
      <c r="AI33" s="2351">
        <f t="shared" si="5"/>
        <v>0</v>
      </c>
      <c r="AJ33" s="123" t="str">
        <f t="shared" si="0"/>
        <v>무부하 랙</v>
      </c>
      <c r="AK33" t="str">
        <f t="shared" si="6"/>
        <v/>
      </c>
      <c r="AL33" t="str">
        <f t="shared" si="7"/>
        <v/>
      </c>
      <c r="AQ33" s="123"/>
      <c r="AR33" s="123"/>
      <c r="AS33" s="123"/>
      <c r="AT33" s="2982"/>
      <c r="AU33" s="123"/>
      <c r="AV33" s="123"/>
      <c r="AW33" s="2990"/>
      <c r="AX33" s="2984"/>
      <c r="AY33" s="2985"/>
      <c r="AZ33" s="2986"/>
      <c r="BA33" s="2987"/>
      <c r="BB33" s="3194"/>
    </row>
    <row r="34" spans="1:54" ht="34.799999999999997" x14ac:dyDescent="0.25">
      <c r="A34" s="2620" t="s">
        <v>2642</v>
      </c>
      <c r="B34" s="2621" t="s">
        <v>2643</v>
      </c>
      <c r="C34" s="2891" t="s">
        <v>9174</v>
      </c>
      <c r="D34" s="2933">
        <v>2.2000000000000002</v>
      </c>
      <c r="E34" s="837" t="s">
        <v>2644</v>
      </c>
      <c r="F34" s="250" t="s">
        <v>2645</v>
      </c>
      <c r="G34" s="2633" t="s">
        <v>2646</v>
      </c>
      <c r="H34" s="2634" t="s">
        <v>2647</v>
      </c>
      <c r="I34" s="1458" t="str">
        <f>"5-DaHall 1-PDU-"&amp;M34&amp;"-"&amp;L34&amp;"-"&amp;N34</f>
        <v>5-DaHall 1-PDU-11-30-6</v>
      </c>
      <c r="J34" s="1459" t="str">
        <f>"5-DaHall 1-PDU-"&amp;Q34&amp;"-"&amp;P34&amp;"-"&amp;R34</f>
        <v>5-DaHall 1-PDU-12-30-4</v>
      </c>
      <c r="K34" s="1558">
        <v>220</v>
      </c>
      <c r="L34" s="1559">
        <v>30</v>
      </c>
      <c r="M34" s="2364" t="s">
        <v>6541</v>
      </c>
      <c r="N34" s="1560">
        <v>6</v>
      </c>
      <c r="O34" s="1561">
        <v>220</v>
      </c>
      <c r="P34" s="1562">
        <v>30</v>
      </c>
      <c r="Q34" s="2394" t="s">
        <v>6548</v>
      </c>
      <c r="R34" s="1563">
        <v>4</v>
      </c>
      <c r="S34" s="3608" t="s">
        <v>2480</v>
      </c>
      <c r="T34" s="3611" t="s">
        <v>2481</v>
      </c>
      <c r="U34" s="3468" t="s">
        <v>2482</v>
      </c>
      <c r="V34" s="3465" t="s">
        <v>2483</v>
      </c>
      <c r="W34" s="3468" t="s">
        <v>2484</v>
      </c>
      <c r="X34" s="3465" t="s">
        <v>2485</v>
      </c>
      <c r="Y34" s="253">
        <f>SUM('5층_부하량(월간_AVG)'!N318:P318)</f>
        <v>0</v>
      </c>
      <c r="Z34" s="253">
        <f>SUM('5층_부하량(월간_AVG)'!N376:P376)</f>
        <v>0</v>
      </c>
      <c r="AA34" s="2436">
        <f t="shared" ref="AA34:AA41" si="14">SUM(Y34:Z34)</f>
        <v>0</v>
      </c>
      <c r="AB34" s="2691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3109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3162">
        <f>VLOOKUP(I34&amp;J34,'7층~4층_매핑테이블'!$I$6:$P$2020,8,0)</f>
        <v>0.755</v>
      </c>
      <c r="AE34" s="3144" t="e">
        <f>SUM(AB34:AC34)</f>
        <v>#N/A</v>
      </c>
      <c r="AF34" s="2488" t="s">
        <v>2648</v>
      </c>
      <c r="AH34" s="2351" t="e">
        <f t="shared" si="4"/>
        <v>#N/A</v>
      </c>
      <c r="AI34" s="2351" t="e">
        <f t="shared" si="5"/>
        <v>#N/A</v>
      </c>
      <c r="AJ34" s="123" t="e">
        <f t="shared" si="0"/>
        <v>#N/A</v>
      </c>
      <c r="AK34" t="e">
        <f t="shared" si="6"/>
        <v>#N/A</v>
      </c>
      <c r="AL34" t="e">
        <f t="shared" si="7"/>
        <v>#N/A</v>
      </c>
      <c r="AQ34" s="123"/>
      <c r="AR34" s="123"/>
      <c r="AS34" s="123"/>
      <c r="AT34" s="2982"/>
      <c r="AU34" s="123"/>
      <c r="AV34" s="123"/>
      <c r="AW34" s="2990"/>
      <c r="AX34" s="2984"/>
      <c r="AY34" s="2985"/>
      <c r="AZ34" s="2986"/>
      <c r="BA34" s="2987"/>
      <c r="BB34" s="3194"/>
    </row>
    <row r="35" spans="1:54" ht="34.799999999999997" x14ac:dyDescent="0.25">
      <c r="A35" s="2620" t="s">
        <v>2649</v>
      </c>
      <c r="B35" s="2119" t="s">
        <v>2650</v>
      </c>
      <c r="C35" s="2891" t="s">
        <v>9174</v>
      </c>
      <c r="D35" s="2933">
        <v>2.2000000000000002</v>
      </c>
      <c r="E35" s="837" t="s">
        <v>2651</v>
      </c>
      <c r="F35" s="250" t="s">
        <v>2652</v>
      </c>
      <c r="G35" s="2633" t="s">
        <v>2653</v>
      </c>
      <c r="H35" s="2634" t="s">
        <v>2654</v>
      </c>
      <c r="I35" s="1458" t="str">
        <f t="shared" ref="I35:I98" si="15">"5-DaHall 1-PDU-"&amp;M35&amp;"-"&amp;L35&amp;"-"&amp;N35</f>
        <v>5-DaHall 1-PDU-11-20-8</v>
      </c>
      <c r="J35" s="1459" t="str">
        <f t="shared" ref="J35:J50" si="16">"5-DaHall 1-PDU-"&amp;Q35&amp;"-"&amp;P35&amp;"-"&amp;R35</f>
        <v>5-DaHall 1-PDU-12-30-6</v>
      </c>
      <c r="K35" s="1558">
        <v>220</v>
      </c>
      <c r="L35" s="1559">
        <v>20</v>
      </c>
      <c r="M35" s="2364" t="s">
        <v>6541</v>
      </c>
      <c r="N35" s="1560">
        <v>8</v>
      </c>
      <c r="O35" s="1561">
        <v>220</v>
      </c>
      <c r="P35" s="1562">
        <v>30</v>
      </c>
      <c r="Q35" s="2394" t="s">
        <v>6548</v>
      </c>
      <c r="R35" s="1563">
        <v>6</v>
      </c>
      <c r="S35" s="3608"/>
      <c r="T35" s="3611"/>
      <c r="U35" s="3472"/>
      <c r="V35" s="3471"/>
      <c r="W35" s="3472"/>
      <c r="X35" s="3471"/>
      <c r="Y35" s="253">
        <f>SUM('5층_부하량(월간_AVG)'!N319:P319)</f>
        <v>0</v>
      </c>
      <c r="Z35" s="253">
        <f>SUM('5층_부하량(월간_AVG)'!N377:P377)</f>
        <v>0</v>
      </c>
      <c r="AA35" s="2436">
        <f t="shared" si="14"/>
        <v>0</v>
      </c>
      <c r="AB35" s="2691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3109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3162">
        <f>VLOOKUP(I35&amp;J35,'7층~4층_매핑테이블'!$I$6:$P$2020,8,0)</f>
        <v>0</v>
      </c>
      <c r="AE35" s="3144" t="e">
        <f t="shared" ref="AE35:AE40" si="17">SUM(AB35:AC35)</f>
        <v>#N/A</v>
      </c>
      <c r="AF35" s="2489" t="s">
        <v>2655</v>
      </c>
      <c r="AH35" s="2351" t="e">
        <f t="shared" si="4"/>
        <v>#N/A</v>
      </c>
      <c r="AI35" s="2351" t="e">
        <f t="shared" si="5"/>
        <v>#N/A</v>
      </c>
      <c r="AJ35" s="123" t="e">
        <f t="shared" si="0"/>
        <v>#N/A</v>
      </c>
      <c r="AK35" t="e">
        <f t="shared" si="6"/>
        <v>#N/A</v>
      </c>
      <c r="AL35" t="e">
        <f t="shared" si="7"/>
        <v>#N/A</v>
      </c>
      <c r="AQ35" s="123"/>
      <c r="AR35" s="123"/>
      <c r="AS35" s="123"/>
      <c r="AT35" s="2982"/>
      <c r="AU35" s="123"/>
      <c r="AV35" s="123"/>
      <c r="AW35" s="2990"/>
      <c r="AX35" s="2984"/>
      <c r="AY35" s="2985"/>
      <c r="AZ35" s="2986"/>
      <c r="BA35" s="2987"/>
      <c r="BB35" s="3194"/>
    </row>
    <row r="36" spans="1:54" ht="28.8" x14ac:dyDescent="0.25">
      <c r="A36" s="2620" t="s">
        <v>2656</v>
      </c>
      <c r="B36" s="250" t="s">
        <v>2657</v>
      </c>
      <c r="C36" s="2632"/>
      <c r="D36" s="2929"/>
      <c r="E36" s="250" t="s">
        <v>2658</v>
      </c>
      <c r="F36" s="250" t="s">
        <v>2659</v>
      </c>
      <c r="G36" s="2633" t="s">
        <v>2660</v>
      </c>
      <c r="H36" s="2634" t="s">
        <v>2661</v>
      </c>
      <c r="I36" s="1458" t="str">
        <f t="shared" si="15"/>
        <v>5-DaHall 1-PDU-11-20-10</v>
      </c>
      <c r="J36" s="1459" t="str">
        <f t="shared" si="16"/>
        <v>5-DaHall 1-PDU-12-30-8</v>
      </c>
      <c r="K36" s="1558">
        <v>220</v>
      </c>
      <c r="L36" s="1559">
        <v>20</v>
      </c>
      <c r="M36" s="2364" t="s">
        <v>6541</v>
      </c>
      <c r="N36" s="1560">
        <v>10</v>
      </c>
      <c r="O36" s="1561">
        <v>220</v>
      </c>
      <c r="P36" s="1562">
        <v>30</v>
      </c>
      <c r="Q36" s="2394" t="s">
        <v>6548</v>
      </c>
      <c r="R36" s="1563">
        <v>8</v>
      </c>
      <c r="S36" s="3608"/>
      <c r="T36" s="3611"/>
      <c r="U36" s="3472"/>
      <c r="V36" s="3471"/>
      <c r="W36" s="3472"/>
      <c r="X36" s="3471"/>
      <c r="Y36" s="253">
        <f>SUM('5층_부하량(월간_AVG)'!N320:P320)</f>
        <v>0</v>
      </c>
      <c r="Z36" s="253">
        <f>SUM('5층_부하량(월간_AVG)'!N378:P378)</f>
        <v>0</v>
      </c>
      <c r="AA36" s="2436">
        <f t="shared" si="14"/>
        <v>0</v>
      </c>
      <c r="AB36" s="2691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3109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3162">
        <f>VLOOKUP(I36&amp;J36,'7층~4층_매핑테이블'!$I$6:$P$2020,8,0)</f>
        <v>0</v>
      </c>
      <c r="AE36" s="3144" t="e">
        <f t="shared" si="17"/>
        <v>#N/A</v>
      </c>
      <c r="AF36" s="2451"/>
      <c r="AH36" s="2351" t="e">
        <f t="shared" si="4"/>
        <v>#N/A</v>
      </c>
      <c r="AI36" s="2351" t="e">
        <f t="shared" si="5"/>
        <v>#N/A</v>
      </c>
      <c r="AJ36" s="123" t="e">
        <f t="shared" si="0"/>
        <v>#N/A</v>
      </c>
      <c r="AK36" t="e">
        <f t="shared" si="6"/>
        <v>#N/A</v>
      </c>
      <c r="AL36" t="e">
        <f t="shared" si="7"/>
        <v>#N/A</v>
      </c>
      <c r="AQ36" s="123"/>
      <c r="AR36" s="123"/>
      <c r="AS36" s="123"/>
      <c r="AT36" s="2982"/>
      <c r="AU36" s="123"/>
      <c r="AV36" s="123"/>
      <c r="AW36" s="2990"/>
      <c r="AX36" s="2984"/>
      <c r="AY36" s="2985"/>
      <c r="AZ36" s="2986"/>
      <c r="BA36" s="2987"/>
      <c r="BB36" s="3194"/>
    </row>
    <row r="37" spans="1:54" ht="28.8" x14ac:dyDescent="0.25">
      <c r="A37" s="2620" t="s">
        <v>2109</v>
      </c>
      <c r="B37" s="250" t="s">
        <v>2662</v>
      </c>
      <c r="C37" s="3023" t="s">
        <v>9300</v>
      </c>
      <c r="D37" s="2929"/>
      <c r="E37" s="250" t="s">
        <v>2663</v>
      </c>
      <c r="F37" s="250" t="s">
        <v>2664</v>
      </c>
      <c r="G37" s="2633" t="s">
        <v>2665</v>
      </c>
      <c r="H37" s="2634" t="s">
        <v>2666</v>
      </c>
      <c r="I37" s="1458" t="str">
        <f t="shared" si="15"/>
        <v>5-DaHall 1-PDU-11-20-12</v>
      </c>
      <c r="J37" s="1459" t="str">
        <f t="shared" si="16"/>
        <v>5-DaHall 1-PDU-12-20-10</v>
      </c>
      <c r="K37" s="1558">
        <v>220</v>
      </c>
      <c r="L37" s="1559">
        <v>20</v>
      </c>
      <c r="M37" s="2364" t="s">
        <v>6541</v>
      </c>
      <c r="N37" s="1560">
        <v>12</v>
      </c>
      <c r="O37" s="1561">
        <v>220</v>
      </c>
      <c r="P37" s="1562">
        <v>20</v>
      </c>
      <c r="Q37" s="2394" t="s">
        <v>6548</v>
      </c>
      <c r="R37" s="1563">
        <v>10</v>
      </c>
      <c r="S37" s="3608"/>
      <c r="T37" s="3611"/>
      <c r="U37" s="3472"/>
      <c r="V37" s="3471"/>
      <c r="W37" s="3472"/>
      <c r="X37" s="3471"/>
      <c r="Y37" s="253">
        <f>SUM('5층_부하량(월간_AVG)'!N321:P321)</f>
        <v>0</v>
      </c>
      <c r="Z37" s="253">
        <f>SUM('5층_부하량(월간_AVG)'!N379:P379)</f>
        <v>0</v>
      </c>
      <c r="AA37" s="2436">
        <f t="shared" si="14"/>
        <v>0</v>
      </c>
      <c r="AB37" s="2691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3109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3162">
        <f>VLOOKUP(I37&amp;J37,'7층~4층_매핑테이블'!$I$6:$P$2020,8,0)</f>
        <v>0</v>
      </c>
      <c r="AE37" s="3144" t="e">
        <f t="shared" si="17"/>
        <v>#N/A</v>
      </c>
      <c r="AF37" s="2451"/>
      <c r="AH37" s="2351" t="e">
        <f t="shared" si="4"/>
        <v>#N/A</v>
      </c>
      <c r="AI37" s="2351" t="e">
        <f t="shared" si="5"/>
        <v>#N/A</v>
      </c>
      <c r="AJ37" s="123" t="e">
        <f t="shared" si="0"/>
        <v>#N/A</v>
      </c>
      <c r="AK37" t="e">
        <f t="shared" si="6"/>
        <v>#N/A</v>
      </c>
      <c r="AL37" t="e">
        <f t="shared" si="7"/>
        <v>#N/A</v>
      </c>
      <c r="AQ37" s="123"/>
      <c r="AR37" s="123"/>
      <c r="AS37" s="123"/>
      <c r="AT37" s="2982"/>
      <c r="AU37" s="123"/>
      <c r="AV37" s="123"/>
      <c r="AW37" s="2990"/>
      <c r="AX37" s="2984"/>
      <c r="AY37" s="2985"/>
      <c r="AZ37" s="2986"/>
      <c r="BA37" s="2987"/>
      <c r="BB37" s="3194"/>
    </row>
    <row r="38" spans="1:54" ht="28.8" x14ac:dyDescent="0.25">
      <c r="A38" s="2620" t="s">
        <v>2116</v>
      </c>
      <c r="B38" s="250" t="s">
        <v>2667</v>
      </c>
      <c r="C38" s="2632"/>
      <c r="D38" s="2929"/>
      <c r="E38" s="250" t="s">
        <v>2668</v>
      </c>
      <c r="F38" s="250" t="s">
        <v>2669</v>
      </c>
      <c r="G38" s="2633" t="s">
        <v>2670</v>
      </c>
      <c r="H38" s="2634" t="s">
        <v>2671</v>
      </c>
      <c r="I38" s="1458" t="str">
        <f t="shared" si="15"/>
        <v>5-DaHall 1-PDU-11-20-14</v>
      </c>
      <c r="J38" s="1459" t="str">
        <f t="shared" si="16"/>
        <v>5-DaHall 1-PDU-12-20-12</v>
      </c>
      <c r="K38" s="1558">
        <v>220</v>
      </c>
      <c r="L38" s="1559">
        <v>20</v>
      </c>
      <c r="M38" s="2364" t="s">
        <v>6541</v>
      </c>
      <c r="N38" s="1560">
        <v>14</v>
      </c>
      <c r="O38" s="1561">
        <v>220</v>
      </c>
      <c r="P38" s="1562">
        <v>20</v>
      </c>
      <c r="Q38" s="2394" t="s">
        <v>6548</v>
      </c>
      <c r="R38" s="1563">
        <v>12</v>
      </c>
      <c r="S38" s="3608"/>
      <c r="T38" s="3611"/>
      <c r="U38" s="3472"/>
      <c r="V38" s="3471"/>
      <c r="W38" s="3472"/>
      <c r="X38" s="3471"/>
      <c r="Y38" s="253">
        <f>SUM('5층_부하량(월간_AVG)'!N322:P322)</f>
        <v>0</v>
      </c>
      <c r="Z38" s="253">
        <f>SUM('5층_부하량(월간_AVG)'!N380:P380)</f>
        <v>0</v>
      </c>
      <c r="AA38" s="2436">
        <f t="shared" si="14"/>
        <v>0</v>
      </c>
      <c r="AB38" s="2691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3109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3162">
        <f>VLOOKUP(I38&amp;J38,'7층~4층_매핑테이블'!$I$6:$P$2020,8,0)</f>
        <v>0</v>
      </c>
      <c r="AE38" s="3144" t="e">
        <f t="shared" si="17"/>
        <v>#N/A</v>
      </c>
      <c r="AF38" s="2451"/>
      <c r="AH38" s="2351" t="e">
        <f t="shared" si="4"/>
        <v>#N/A</v>
      </c>
      <c r="AI38" s="2351" t="e">
        <f t="shared" si="5"/>
        <v>#N/A</v>
      </c>
      <c r="AJ38" s="123" t="e">
        <f t="shared" si="0"/>
        <v>#N/A</v>
      </c>
      <c r="AK38" t="e">
        <f t="shared" si="6"/>
        <v>#N/A</v>
      </c>
      <c r="AL38" t="e">
        <f t="shared" si="7"/>
        <v>#N/A</v>
      </c>
      <c r="AQ38" s="123"/>
      <c r="AR38" s="123"/>
      <c r="AS38" s="123"/>
      <c r="AT38" s="2982"/>
      <c r="AU38" s="123"/>
      <c r="AV38" s="123"/>
      <c r="AW38" s="2990"/>
      <c r="AX38" s="2984"/>
      <c r="AY38" s="2985"/>
      <c r="AZ38" s="2986"/>
      <c r="BA38" s="2987"/>
      <c r="BB38" s="3194"/>
    </row>
    <row r="39" spans="1:54" ht="28.8" x14ac:dyDescent="0.25">
      <c r="A39" s="2620" t="s">
        <v>2122</v>
      </c>
      <c r="B39" s="250" t="s">
        <v>2672</v>
      </c>
      <c r="C39" s="2632" t="s">
        <v>9226</v>
      </c>
      <c r="D39" s="2929">
        <v>2.2000000000000002</v>
      </c>
      <c r="E39" s="250" t="s">
        <v>2673</v>
      </c>
      <c r="F39" s="250" t="s">
        <v>2674</v>
      </c>
      <c r="G39" s="2633" t="s">
        <v>2675</v>
      </c>
      <c r="H39" s="2634" t="s">
        <v>2676</v>
      </c>
      <c r="I39" s="1458" t="str">
        <f t="shared" si="15"/>
        <v>5-DaHall 1-PDU-11-20-16</v>
      </c>
      <c r="J39" s="1459" t="str">
        <f t="shared" si="16"/>
        <v>5-DaHall 1-PDU-12-20-14</v>
      </c>
      <c r="K39" s="1558">
        <v>220</v>
      </c>
      <c r="L39" s="1559">
        <v>20</v>
      </c>
      <c r="M39" s="2364" t="s">
        <v>6541</v>
      </c>
      <c r="N39" s="1560">
        <v>16</v>
      </c>
      <c r="O39" s="1561">
        <v>220</v>
      </c>
      <c r="P39" s="1562">
        <v>20</v>
      </c>
      <c r="Q39" s="2394" t="s">
        <v>6548</v>
      </c>
      <c r="R39" s="1563">
        <v>14</v>
      </c>
      <c r="S39" s="3608"/>
      <c r="T39" s="3611"/>
      <c r="U39" s="3472"/>
      <c r="V39" s="3471"/>
      <c r="W39" s="3472"/>
      <c r="X39" s="3471"/>
      <c r="Y39" s="253">
        <f>SUM('5층_부하량(월간_AVG)'!N323:P323)</f>
        <v>0</v>
      </c>
      <c r="Z39" s="253">
        <f>SUM('5층_부하량(월간_AVG)'!N381:P381)</f>
        <v>0</v>
      </c>
      <c r="AA39" s="2436">
        <f t="shared" si="14"/>
        <v>0</v>
      </c>
      <c r="AB39" s="2691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3109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3162">
        <f>VLOOKUP(I39&amp;J39,'7층~4층_매핑테이블'!$I$6:$P$2020,8,0)</f>
        <v>0</v>
      </c>
      <c r="AE39" s="3144" t="e">
        <f t="shared" si="17"/>
        <v>#N/A</v>
      </c>
      <c r="AF39" s="2451"/>
      <c r="AH39" s="2351" t="e">
        <f t="shared" si="4"/>
        <v>#N/A</v>
      </c>
      <c r="AI39" s="2351" t="e">
        <f t="shared" si="5"/>
        <v>#N/A</v>
      </c>
      <c r="AJ39" s="123" t="e">
        <f t="shared" si="0"/>
        <v>#N/A</v>
      </c>
      <c r="AK39" t="e">
        <f t="shared" si="6"/>
        <v>#N/A</v>
      </c>
      <c r="AL39" t="e">
        <f t="shared" si="7"/>
        <v>#N/A</v>
      </c>
      <c r="AQ39" s="123"/>
      <c r="AR39" s="123"/>
      <c r="AS39" s="123"/>
      <c r="AT39" s="2982"/>
      <c r="AU39" s="123"/>
      <c r="AV39" s="123"/>
      <c r="AW39" s="2990"/>
      <c r="AX39" s="2984"/>
      <c r="AY39" s="2985"/>
      <c r="AZ39" s="2986"/>
      <c r="BA39" s="2987"/>
      <c r="BB39" s="3194"/>
    </row>
    <row r="40" spans="1:54" ht="28.8" x14ac:dyDescent="0.25">
      <c r="A40" s="2620" t="s">
        <v>2128</v>
      </c>
      <c r="B40" s="2621" t="s">
        <v>2677</v>
      </c>
      <c r="C40" s="2632" t="s">
        <v>9226</v>
      </c>
      <c r="D40" s="2933">
        <v>2.2000000000000002</v>
      </c>
      <c r="E40" s="250" t="s">
        <v>2678</v>
      </c>
      <c r="F40" s="250" t="s">
        <v>2679</v>
      </c>
      <c r="G40" s="2633" t="s">
        <v>2680</v>
      </c>
      <c r="H40" s="2634" t="s">
        <v>2681</v>
      </c>
      <c r="I40" s="1458" t="str">
        <f t="shared" si="15"/>
        <v>5-DaHall 1-PDU-11-20-18</v>
      </c>
      <c r="J40" s="1459" t="str">
        <f t="shared" si="16"/>
        <v>5-DaHall 1-PDU-12-20-16</v>
      </c>
      <c r="K40" s="1558">
        <v>220</v>
      </c>
      <c r="L40" s="1559">
        <v>20</v>
      </c>
      <c r="M40" s="2364" t="s">
        <v>6541</v>
      </c>
      <c r="N40" s="1560">
        <v>18</v>
      </c>
      <c r="O40" s="1561">
        <v>220</v>
      </c>
      <c r="P40" s="1562">
        <v>20</v>
      </c>
      <c r="Q40" s="2394" t="s">
        <v>6548</v>
      </c>
      <c r="R40" s="1563">
        <v>16</v>
      </c>
      <c r="S40" s="3608"/>
      <c r="T40" s="3611"/>
      <c r="U40" s="3472"/>
      <c r="V40" s="3471"/>
      <c r="W40" s="3472"/>
      <c r="X40" s="3471"/>
      <c r="Y40" s="253">
        <f>SUM('5층_부하량(월간_AVG)'!N324:P324)</f>
        <v>0</v>
      </c>
      <c r="Z40" s="253">
        <f>SUM('5층_부하량(월간_AVG)'!N382:P382)</f>
        <v>0</v>
      </c>
      <c r="AA40" s="2436">
        <f t="shared" si="14"/>
        <v>0</v>
      </c>
      <c r="AB40" s="2691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3109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3162">
        <f>VLOOKUP(I40&amp;J40,'7층~4층_매핑테이블'!$I$6:$P$2020,8,0)</f>
        <v>2.145</v>
      </c>
      <c r="AE40" s="3144" t="e">
        <f t="shared" si="17"/>
        <v>#N/A</v>
      </c>
      <c r="AF40" s="2451"/>
      <c r="AH40" s="2351" t="e">
        <f t="shared" si="4"/>
        <v>#N/A</v>
      </c>
      <c r="AI40" s="2351" t="e">
        <f t="shared" si="5"/>
        <v>#N/A</v>
      </c>
      <c r="AJ40" s="123" t="e">
        <f t="shared" si="0"/>
        <v>#N/A</v>
      </c>
      <c r="AK40" t="e">
        <f t="shared" si="6"/>
        <v>#N/A</v>
      </c>
      <c r="AL40" t="e">
        <f t="shared" si="7"/>
        <v>#N/A</v>
      </c>
      <c r="AQ40" s="123"/>
      <c r="AR40" s="123"/>
      <c r="AS40" s="123"/>
      <c r="AT40" s="2982"/>
      <c r="AU40" s="123"/>
      <c r="AV40" s="123"/>
      <c r="AW40" s="2990"/>
      <c r="AX40" s="2984"/>
      <c r="AY40" s="2985"/>
      <c r="AZ40" s="2986"/>
      <c r="BA40" s="2987"/>
      <c r="BB40" s="3194"/>
    </row>
    <row r="41" spans="1:54" ht="29.4" thickBot="1" x14ac:dyDescent="0.3">
      <c r="A41" s="2628" t="s">
        <v>2134</v>
      </c>
      <c r="B41" s="2640" t="s">
        <v>2682</v>
      </c>
      <c r="C41" s="2656" t="s">
        <v>9226</v>
      </c>
      <c r="D41" s="2934">
        <v>2.2000000000000002</v>
      </c>
      <c r="E41" s="2629" t="s">
        <v>2683</v>
      </c>
      <c r="F41" s="2629" t="s">
        <v>2684</v>
      </c>
      <c r="G41" s="2643" t="s">
        <v>2685</v>
      </c>
      <c r="H41" s="2644" t="s">
        <v>2686</v>
      </c>
      <c r="I41" s="1458" t="str">
        <f t="shared" si="15"/>
        <v>5-DaHall 1-PDU-11-20-20</v>
      </c>
      <c r="J41" s="1459" t="str">
        <f t="shared" si="16"/>
        <v>5-DaHall 1-PDU-12-20-18</v>
      </c>
      <c r="K41" s="1568">
        <v>220</v>
      </c>
      <c r="L41" s="1569">
        <v>20</v>
      </c>
      <c r="M41" s="2365" t="s">
        <v>6541</v>
      </c>
      <c r="N41" s="1570">
        <v>20</v>
      </c>
      <c r="O41" s="1571">
        <v>220</v>
      </c>
      <c r="P41" s="1572">
        <v>20</v>
      </c>
      <c r="Q41" s="2395" t="s">
        <v>6548</v>
      </c>
      <c r="R41" s="1573">
        <v>18</v>
      </c>
      <c r="S41" s="3609"/>
      <c r="T41" s="3612"/>
      <c r="U41" s="3499"/>
      <c r="V41" s="3498"/>
      <c r="W41" s="3499"/>
      <c r="X41" s="3498"/>
      <c r="Y41" s="329">
        <f>SUM('5층_부하량(월간_AVG)'!N325:P325)</f>
        <v>0</v>
      </c>
      <c r="Z41" s="329">
        <f>SUM('5층_부하량(월간_AVG)'!N383:P383)</f>
        <v>0</v>
      </c>
      <c r="AA41" s="2437">
        <f t="shared" si="14"/>
        <v>0</v>
      </c>
      <c r="AB41" s="2695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3112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3162">
        <f>VLOOKUP(I41&amp;J41,'7층~4층_매핑테이블'!$I$6:$P$2020,8,0)</f>
        <v>1.145</v>
      </c>
      <c r="AE41" s="3147" t="e">
        <f>SUM(AB41:AC41)</f>
        <v>#N/A</v>
      </c>
      <c r="AF41" s="2452"/>
      <c r="AH41" s="2351" t="e">
        <f t="shared" si="4"/>
        <v>#N/A</v>
      </c>
      <c r="AI41" s="2351" t="e">
        <f t="shared" si="5"/>
        <v>#N/A</v>
      </c>
      <c r="AJ41" s="123" t="e">
        <f t="shared" si="0"/>
        <v>#N/A</v>
      </c>
      <c r="AK41" t="e">
        <f t="shared" si="6"/>
        <v>#N/A</v>
      </c>
      <c r="AL41" t="e">
        <f t="shared" si="7"/>
        <v>#N/A</v>
      </c>
      <c r="AQ41" s="123"/>
      <c r="AR41" s="123"/>
      <c r="AS41" s="123"/>
      <c r="AT41" s="2982"/>
      <c r="AU41" s="123"/>
      <c r="AV41" s="123"/>
      <c r="AW41" s="2990"/>
      <c r="AX41" s="2984"/>
      <c r="AY41" s="2985"/>
      <c r="AZ41" s="2986"/>
      <c r="BA41" s="2987"/>
      <c r="BB41" s="3194"/>
    </row>
    <row r="42" spans="1:54" ht="27.75" customHeight="1" thickTop="1" x14ac:dyDescent="0.25">
      <c r="A42" s="1082"/>
      <c r="B42" s="828" t="s">
        <v>2687</v>
      </c>
      <c r="C42" s="971"/>
      <c r="D42" s="2935"/>
      <c r="E42" s="3039" t="s">
        <v>2688</v>
      </c>
      <c r="F42" s="3039" t="s">
        <v>2689</v>
      </c>
      <c r="G42" s="3017" t="s">
        <v>2690</v>
      </c>
      <c r="H42" s="3016" t="s">
        <v>2691</v>
      </c>
      <c r="I42" s="1458" t="str">
        <f t="shared" si="15"/>
        <v>5-DaHall 1-PDU-13-20-11</v>
      </c>
      <c r="J42" s="1459" t="str">
        <f t="shared" si="16"/>
        <v>5-DaHall 1-PDU-14-30-9</v>
      </c>
      <c r="K42" s="2192">
        <v>220</v>
      </c>
      <c r="L42" s="2193">
        <v>20</v>
      </c>
      <c r="M42" s="2379" t="s">
        <v>6542</v>
      </c>
      <c r="N42" s="2194">
        <v>11</v>
      </c>
      <c r="O42" s="2195">
        <v>220</v>
      </c>
      <c r="P42" s="2196">
        <v>30</v>
      </c>
      <c r="Q42" s="2404" t="s">
        <v>6549</v>
      </c>
      <c r="R42" s="2197">
        <v>9</v>
      </c>
      <c r="S42" s="3641" t="s">
        <v>2631</v>
      </c>
      <c r="T42" s="3633" t="s">
        <v>2639</v>
      </c>
      <c r="U42" s="3487" t="s">
        <v>2632</v>
      </c>
      <c r="V42" s="3488" t="s">
        <v>2640</v>
      </c>
      <c r="W42" s="3487" t="s">
        <v>2484</v>
      </c>
      <c r="X42" s="3488" t="s">
        <v>2485</v>
      </c>
      <c r="Y42" s="3040">
        <f>SUM('5층_부하량(월간_AVG)'!D341:F341)</f>
        <v>0</v>
      </c>
      <c r="Z42" s="831">
        <f>SUM('5층_부하량(월간_AVG)'!D399:F399)</f>
        <v>0</v>
      </c>
      <c r="AA42" s="2439">
        <f>SUM(Y42:Z42)</f>
        <v>0</v>
      </c>
      <c r="AB42" s="2700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3115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3162">
        <f>VLOOKUP(I42&amp;J42,'7층~4층_매핑테이블'!$I$6:$P$2020,8,0)</f>
        <v>0</v>
      </c>
      <c r="AE42" s="3138" t="e">
        <f>SUM(AB42:AC42)</f>
        <v>#N/A</v>
      </c>
      <c r="AF42" s="2454" t="s">
        <v>1265</v>
      </c>
      <c r="AH42" s="2351" t="e">
        <f t="shared" si="4"/>
        <v>#N/A</v>
      </c>
      <c r="AI42" s="2351" t="e">
        <f t="shared" si="5"/>
        <v>#N/A</v>
      </c>
      <c r="AJ42" s="123" t="e">
        <f t="shared" si="0"/>
        <v>#N/A</v>
      </c>
      <c r="AK42" t="e">
        <f t="shared" si="6"/>
        <v>#N/A</v>
      </c>
      <c r="AL42" t="e">
        <f t="shared" si="7"/>
        <v>#N/A</v>
      </c>
      <c r="AQ42" s="123"/>
      <c r="AR42" s="123"/>
      <c r="AS42" s="123"/>
      <c r="AT42" s="2982"/>
      <c r="AU42" s="123"/>
      <c r="AV42" s="123"/>
      <c r="AW42" s="2990"/>
      <c r="AX42" s="2984"/>
      <c r="AY42" s="2985"/>
      <c r="AZ42" s="2986"/>
      <c r="BA42" s="2987"/>
      <c r="BB42" s="3194"/>
    </row>
    <row r="43" spans="1:54" ht="34.799999999999997" x14ac:dyDescent="0.25">
      <c r="A43" s="2620" t="s">
        <v>2692</v>
      </c>
      <c r="B43" s="2621" t="s">
        <v>2693</v>
      </c>
      <c r="C43" s="2891" t="s">
        <v>9186</v>
      </c>
      <c r="D43" s="2933">
        <v>2.2000000000000002</v>
      </c>
      <c r="E43" s="837" t="s">
        <v>2694</v>
      </c>
      <c r="F43" s="250" t="s">
        <v>2695</v>
      </c>
      <c r="G43" s="2633" t="s">
        <v>2696</v>
      </c>
      <c r="H43" s="2634" t="s">
        <v>2697</v>
      </c>
      <c r="I43" s="1458" t="str">
        <f t="shared" si="15"/>
        <v>5-DaHall 1-PDU-13-20-13</v>
      </c>
      <c r="J43" s="1459" t="str">
        <f t="shared" si="16"/>
        <v>5-DaHall 1-PDU-14-20-11</v>
      </c>
      <c r="K43" s="1558">
        <v>220</v>
      </c>
      <c r="L43" s="1559">
        <v>20</v>
      </c>
      <c r="M43" s="2364" t="s">
        <v>6542</v>
      </c>
      <c r="N43" s="1560">
        <v>13</v>
      </c>
      <c r="O43" s="1561">
        <v>220</v>
      </c>
      <c r="P43" s="1562">
        <v>20</v>
      </c>
      <c r="Q43" s="2394" t="s">
        <v>6549</v>
      </c>
      <c r="R43" s="1563">
        <v>11</v>
      </c>
      <c r="S43" s="3608"/>
      <c r="T43" s="3611"/>
      <c r="U43" s="3468"/>
      <c r="V43" s="3465"/>
      <c r="W43" s="3468"/>
      <c r="X43" s="3471"/>
      <c r="Y43" s="253">
        <f>SUM('5층_부하량(월간_AVG)'!D342:F342)</f>
        <v>0</v>
      </c>
      <c r="Z43" s="253">
        <f>SUM('5층_부하량(월간_AVG)'!D400:F400)</f>
        <v>0</v>
      </c>
      <c r="AA43" s="2436">
        <f t="shared" ref="AA43:AA46" si="18">SUM(Y43:Z43)</f>
        <v>0</v>
      </c>
      <c r="AB43" s="2691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3109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3162">
        <f>VLOOKUP(I43&amp;J43,'7층~4층_매핑테이블'!$I$6:$P$2020,8,0)</f>
        <v>0.108</v>
      </c>
      <c r="AE43" s="3144" t="e">
        <f t="shared" ref="AE43:AE44" si="19">SUM(AB43:AC43)</f>
        <v>#N/A</v>
      </c>
      <c r="AF43" s="2451"/>
      <c r="AH43" s="2351" t="e">
        <f t="shared" si="4"/>
        <v>#N/A</v>
      </c>
      <c r="AI43" s="2351" t="e">
        <f t="shared" si="5"/>
        <v>#N/A</v>
      </c>
      <c r="AJ43" s="123" t="e">
        <f t="shared" si="0"/>
        <v>#N/A</v>
      </c>
      <c r="AK43" t="e">
        <f t="shared" si="6"/>
        <v>#N/A</v>
      </c>
      <c r="AL43" t="e">
        <f t="shared" si="7"/>
        <v>#N/A</v>
      </c>
      <c r="AQ43" s="123"/>
      <c r="AR43" s="123"/>
      <c r="AS43" s="123"/>
      <c r="AT43" s="2982"/>
      <c r="AU43" s="123"/>
      <c r="AV43" s="123"/>
      <c r="AW43" s="2990"/>
      <c r="AX43" s="2984"/>
      <c r="AY43" s="2985"/>
      <c r="AZ43" s="2986"/>
      <c r="BA43" s="2987"/>
      <c r="BB43" s="3194"/>
    </row>
    <row r="44" spans="1:54" ht="34.799999999999997" x14ac:dyDescent="0.25">
      <c r="A44" s="2620" t="s">
        <v>2698</v>
      </c>
      <c r="B44" s="2621" t="s">
        <v>2699</v>
      </c>
      <c r="C44" s="2891" t="s">
        <v>9219</v>
      </c>
      <c r="D44" s="2933">
        <v>3.3</v>
      </c>
      <c r="E44" s="837" t="s">
        <v>2700</v>
      </c>
      <c r="F44" s="250" t="s">
        <v>2701</v>
      </c>
      <c r="G44" s="2633" t="s">
        <v>2702</v>
      </c>
      <c r="H44" s="2634" t="s">
        <v>2703</v>
      </c>
      <c r="I44" s="1458" t="str">
        <f t="shared" si="15"/>
        <v>5-DaHall 1-PDU-13-20-15</v>
      </c>
      <c r="J44" s="1459" t="str">
        <f t="shared" si="16"/>
        <v>5-DaHall 1-PDU-14-20-13</v>
      </c>
      <c r="K44" s="1558">
        <v>220</v>
      </c>
      <c r="L44" s="1559">
        <v>20</v>
      </c>
      <c r="M44" s="2364" t="s">
        <v>6542</v>
      </c>
      <c r="N44" s="1560">
        <v>15</v>
      </c>
      <c r="O44" s="1561">
        <v>220</v>
      </c>
      <c r="P44" s="1562">
        <v>20</v>
      </c>
      <c r="Q44" s="2394" t="s">
        <v>6549</v>
      </c>
      <c r="R44" s="1563">
        <v>13</v>
      </c>
      <c r="S44" s="3608"/>
      <c r="T44" s="3611"/>
      <c r="U44" s="3468"/>
      <c r="V44" s="3465"/>
      <c r="W44" s="3468"/>
      <c r="X44" s="3471"/>
      <c r="Y44" s="253">
        <f>SUM('5층_부하량(월간_AVG)'!D343:F343)</f>
        <v>0</v>
      </c>
      <c r="Z44" s="253">
        <f>SUM('5층_부하량(월간_AVG)'!D401:F401)</f>
        <v>0</v>
      </c>
      <c r="AA44" s="2436">
        <f t="shared" si="18"/>
        <v>0</v>
      </c>
      <c r="AB44" s="2691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3109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3162">
        <f>VLOOKUP(I44&amp;J44,'7층~4층_매핑테이블'!$I$6:$P$2020,8,0)</f>
        <v>0.35299999999999998</v>
      </c>
      <c r="AE44" s="3144" t="e">
        <f t="shared" si="19"/>
        <v>#N/A</v>
      </c>
      <c r="AF44" s="2451"/>
      <c r="AH44" s="2351" t="e">
        <f t="shared" si="4"/>
        <v>#N/A</v>
      </c>
      <c r="AI44" s="2351" t="e">
        <f t="shared" si="5"/>
        <v>#N/A</v>
      </c>
      <c r="AJ44" s="123" t="e">
        <f t="shared" si="0"/>
        <v>#N/A</v>
      </c>
      <c r="AK44" t="e">
        <f t="shared" si="6"/>
        <v>#N/A</v>
      </c>
      <c r="AL44" t="e">
        <f t="shared" si="7"/>
        <v>#N/A</v>
      </c>
      <c r="AQ44" s="123"/>
      <c r="AR44" s="123"/>
      <c r="AS44" s="123"/>
      <c r="AT44" s="2982"/>
      <c r="AU44" s="123"/>
      <c r="AV44" s="123"/>
      <c r="AW44" s="2990"/>
      <c r="AX44" s="2984"/>
      <c r="AY44" s="2985"/>
      <c r="AZ44" s="2986"/>
      <c r="BA44" s="2987"/>
      <c r="BB44" s="3194"/>
    </row>
    <row r="45" spans="1:54" ht="28.8" x14ac:dyDescent="0.25">
      <c r="A45" s="3454" t="s">
        <v>2146</v>
      </c>
      <c r="B45" s="3470" t="s">
        <v>2704</v>
      </c>
      <c r="C45" s="3587" t="s">
        <v>9174</v>
      </c>
      <c r="D45" s="3569">
        <v>3</v>
      </c>
      <c r="E45" s="837" t="s">
        <v>2705</v>
      </c>
      <c r="F45" s="250" t="s">
        <v>2706</v>
      </c>
      <c r="G45" s="2633" t="s">
        <v>2707</v>
      </c>
      <c r="H45" s="2634" t="s">
        <v>2708</v>
      </c>
      <c r="I45" s="1458" t="str">
        <f t="shared" si="15"/>
        <v>5-DaHall 1-PDU-13-20-17</v>
      </c>
      <c r="J45" s="1459" t="str">
        <f t="shared" si="16"/>
        <v>5-DaHall 1-PDU-14-20-15</v>
      </c>
      <c r="K45" s="1558">
        <v>220</v>
      </c>
      <c r="L45" s="1559">
        <v>20</v>
      </c>
      <c r="M45" s="2364" t="s">
        <v>6542</v>
      </c>
      <c r="N45" s="1560">
        <v>17</v>
      </c>
      <c r="O45" s="1561">
        <v>220</v>
      </c>
      <c r="P45" s="1562">
        <v>20</v>
      </c>
      <c r="Q45" s="2394" t="s">
        <v>6549</v>
      </c>
      <c r="R45" s="1563">
        <v>15</v>
      </c>
      <c r="S45" s="3608"/>
      <c r="T45" s="3611"/>
      <c r="U45" s="3468"/>
      <c r="V45" s="3465"/>
      <c r="W45" s="3468"/>
      <c r="X45" s="3471"/>
      <c r="Y45" s="253">
        <f>SUM('5층_부하량(월간_AVG)'!D344:F344)</f>
        <v>0</v>
      </c>
      <c r="Z45" s="253">
        <f>SUM('5층_부하량(월간_AVG)'!D402:F402)</f>
        <v>0</v>
      </c>
      <c r="AA45" s="2436">
        <f t="shared" si="18"/>
        <v>0</v>
      </c>
      <c r="AB45" s="2691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3109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162">
        <f>VLOOKUP(I45&amp;J45,'7층~4층_매핑테이블'!$I$6:$P$2020,8,0)</f>
        <v>0</v>
      </c>
      <c r="AE45" s="3145" t="e">
        <f>SUM(AB45:AC46)</f>
        <v>#N/A</v>
      </c>
      <c r="AF45" s="2631" t="s">
        <v>1585</v>
      </c>
      <c r="AH45" s="2351" t="e">
        <f t="shared" si="4"/>
        <v>#N/A</v>
      </c>
      <c r="AI45" s="2351" t="e">
        <f t="shared" si="5"/>
        <v>#N/A</v>
      </c>
      <c r="AJ45" s="123" t="e">
        <f t="shared" si="0"/>
        <v>#N/A</v>
      </c>
      <c r="AK45" t="e">
        <f t="shared" si="6"/>
        <v>#N/A</v>
      </c>
      <c r="AL45" t="e">
        <f t="shared" si="7"/>
        <v>#N/A</v>
      </c>
      <c r="AQ45" s="123"/>
      <c r="AR45" s="123"/>
      <c r="AS45" s="123"/>
      <c r="AT45" s="2982"/>
      <c r="AU45" s="123"/>
      <c r="AV45" s="123"/>
      <c r="AW45" s="2990"/>
      <c r="AX45" s="2984"/>
      <c r="AY45" s="2985"/>
      <c r="AZ45" s="2986"/>
      <c r="BA45" s="2987"/>
      <c r="BB45" s="3194"/>
    </row>
    <row r="46" spans="1:54" ht="57.6" x14ac:dyDescent="0.25">
      <c r="A46" s="3454"/>
      <c r="B46" s="3470"/>
      <c r="C46" s="3585"/>
      <c r="D46" s="3571"/>
      <c r="E46" s="2909" t="s">
        <v>2709</v>
      </c>
      <c r="F46" s="2632" t="s">
        <v>2710</v>
      </c>
      <c r="G46" s="2633" t="s">
        <v>2711</v>
      </c>
      <c r="H46" s="2634" t="s">
        <v>2712</v>
      </c>
      <c r="I46" s="1458" t="str">
        <f t="shared" si="15"/>
        <v>5-DaHall 1-PDU-15-30-12</v>
      </c>
      <c r="J46" s="1459" t="str">
        <f t="shared" si="16"/>
        <v>5-DaHall 1-PDU-16-30-12</v>
      </c>
      <c r="K46" s="1564">
        <v>220</v>
      </c>
      <c r="L46" s="1565">
        <v>30</v>
      </c>
      <c r="M46" s="2364" t="s">
        <v>6543</v>
      </c>
      <c r="N46" s="1560">
        <v>12</v>
      </c>
      <c r="O46" s="1566">
        <v>220</v>
      </c>
      <c r="P46" s="1567">
        <v>30</v>
      </c>
      <c r="Q46" s="2394" t="s">
        <v>6550</v>
      </c>
      <c r="R46" s="1563">
        <v>12</v>
      </c>
      <c r="S46" s="2633" t="s">
        <v>2568</v>
      </c>
      <c r="T46" s="2634" t="s">
        <v>2569</v>
      </c>
      <c r="U46" s="2609" t="s">
        <v>2570</v>
      </c>
      <c r="V46" s="2604" t="s">
        <v>2571</v>
      </c>
      <c r="W46" s="3468"/>
      <c r="X46" s="3471"/>
      <c r="Y46" s="268">
        <f>SUM('5층_부하량(월간_AVG)'!N361:P361)</f>
        <v>0</v>
      </c>
      <c r="Z46" s="268">
        <f>SUM('5층_부하량(월간_AVG)'!N420:P420)</f>
        <v>0</v>
      </c>
      <c r="AA46" s="2443">
        <f t="shared" si="18"/>
        <v>0</v>
      </c>
      <c r="AB46" s="2702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3116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162">
        <f>VLOOKUP(I46&amp;J46,'7층~4층_매핑테이블'!$I$6:$P$2020,8,0)</f>
        <v>0.85599999999999998</v>
      </c>
      <c r="AE46" s="3146" t="e">
        <f>$AE$45</f>
        <v>#N/A</v>
      </c>
      <c r="AF46" s="2490" t="s">
        <v>2713</v>
      </c>
      <c r="AH46" s="2351" t="e">
        <f t="shared" si="4"/>
        <v>#N/A</v>
      </c>
      <c r="AI46" s="2351" t="e">
        <f t="shared" si="5"/>
        <v>#N/A</v>
      </c>
      <c r="AJ46" s="123" t="e">
        <f t="shared" si="0"/>
        <v>#N/A</v>
      </c>
      <c r="AK46" t="e">
        <f t="shared" si="6"/>
        <v>#N/A</v>
      </c>
      <c r="AL46" t="e">
        <f t="shared" si="7"/>
        <v>#N/A</v>
      </c>
      <c r="AQ46" s="123"/>
      <c r="AR46" s="123"/>
      <c r="AS46" s="123"/>
      <c r="AT46" s="2982"/>
      <c r="AU46" s="123"/>
      <c r="AV46" s="123"/>
      <c r="AW46" s="2990"/>
      <c r="AX46" s="2984"/>
      <c r="AY46" s="2985"/>
      <c r="AZ46" s="2986"/>
      <c r="BA46" s="2987"/>
      <c r="BB46" s="3194"/>
    </row>
    <row r="47" spans="1:54" ht="57.6" x14ac:dyDescent="0.25">
      <c r="A47" s="3454" t="s">
        <v>2158</v>
      </c>
      <c r="B47" s="3470" t="s">
        <v>2714</v>
      </c>
      <c r="C47" s="3587" t="s">
        <v>9174</v>
      </c>
      <c r="D47" s="3569">
        <v>2.2000000000000002</v>
      </c>
      <c r="E47" s="837" t="s">
        <v>2715</v>
      </c>
      <c r="F47" s="250" t="s">
        <v>2716</v>
      </c>
      <c r="G47" s="2633" t="s">
        <v>2717</v>
      </c>
      <c r="H47" s="2634" t="s">
        <v>2718</v>
      </c>
      <c r="I47" s="1458" t="str">
        <f t="shared" si="15"/>
        <v>5-DaHall 1-PDU-13-20-19</v>
      </c>
      <c r="J47" s="1459" t="str">
        <f t="shared" si="16"/>
        <v>5-DaHall 1-PDU-14-20-17</v>
      </c>
      <c r="K47" s="1558">
        <v>220</v>
      </c>
      <c r="L47" s="1559">
        <v>20</v>
      </c>
      <c r="M47" s="2364" t="s">
        <v>6542</v>
      </c>
      <c r="N47" s="1560">
        <v>19</v>
      </c>
      <c r="O47" s="1561">
        <v>220</v>
      </c>
      <c r="P47" s="1562">
        <v>20</v>
      </c>
      <c r="Q47" s="2394" t="s">
        <v>6549</v>
      </c>
      <c r="R47" s="1563">
        <v>17</v>
      </c>
      <c r="S47" s="2633" t="s">
        <v>2631</v>
      </c>
      <c r="T47" s="2634" t="s">
        <v>2639</v>
      </c>
      <c r="U47" s="2609" t="s">
        <v>2632</v>
      </c>
      <c r="V47" s="2604" t="s">
        <v>2640</v>
      </c>
      <c r="W47" s="3468"/>
      <c r="X47" s="3471"/>
      <c r="Y47" s="253">
        <f>SUM('5층_부하량(월간_AVG)'!D345:F345)</f>
        <v>0</v>
      </c>
      <c r="Z47" s="253">
        <f>SUM('5층_부하량(월간_AVG)'!D403:F403)</f>
        <v>0</v>
      </c>
      <c r="AA47" s="3520">
        <f>SUM(Y47:Z48)</f>
        <v>0</v>
      </c>
      <c r="AB47" s="2694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3111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162">
        <f>VLOOKUP(I47&amp;J47,'7층~4층_매핑테이블'!$I$6:$P$2020,8,0)</f>
        <v>1.3819999999999999</v>
      </c>
      <c r="AE47" s="3145" t="e">
        <f>SUM(AB47:AC48)</f>
        <v>#N/A</v>
      </c>
      <c r="AF47" s="3670" t="s">
        <v>1585</v>
      </c>
      <c r="AH47" s="2351" t="e">
        <f t="shared" si="4"/>
        <v>#N/A</v>
      </c>
      <c r="AI47" s="2351" t="e">
        <f t="shared" si="5"/>
        <v>#N/A</v>
      </c>
      <c r="AJ47" s="123" t="e">
        <f t="shared" si="0"/>
        <v>#N/A</v>
      </c>
      <c r="AK47" t="e">
        <f t="shared" si="6"/>
        <v>#N/A</v>
      </c>
      <c r="AL47" t="e">
        <f t="shared" si="7"/>
        <v>#N/A</v>
      </c>
      <c r="AQ47" s="123"/>
      <c r="AR47" s="123"/>
      <c r="AS47" s="123"/>
      <c r="AT47" s="2982"/>
      <c r="AU47" s="123"/>
      <c r="AV47" s="123"/>
      <c r="AW47" s="2990"/>
      <c r="AX47" s="2984"/>
      <c r="AY47" s="2985"/>
      <c r="AZ47" s="2986"/>
      <c r="BA47" s="2987"/>
      <c r="BB47" s="3194"/>
    </row>
    <row r="48" spans="1:54" ht="57.6" x14ac:dyDescent="0.25">
      <c r="A48" s="3454"/>
      <c r="B48" s="3470"/>
      <c r="C48" s="3585"/>
      <c r="D48" s="3571"/>
      <c r="E48" s="837" t="s">
        <v>2719</v>
      </c>
      <c r="F48" s="250" t="s">
        <v>2720</v>
      </c>
      <c r="G48" s="2633" t="s">
        <v>2721</v>
      </c>
      <c r="H48" s="2634" t="s">
        <v>2722</v>
      </c>
      <c r="I48" s="1458" t="str">
        <f t="shared" si="15"/>
        <v>5-DaHall 1-PDU-11-20-22</v>
      </c>
      <c r="J48" s="1459" t="str">
        <f t="shared" si="16"/>
        <v>5-DaHall 1-PDU-12-20-22</v>
      </c>
      <c r="K48" s="1558">
        <v>220</v>
      </c>
      <c r="L48" s="1559">
        <v>20</v>
      </c>
      <c r="M48" s="2364" t="s">
        <v>6541</v>
      </c>
      <c r="N48" s="1560">
        <v>22</v>
      </c>
      <c r="O48" s="1561">
        <v>220</v>
      </c>
      <c r="P48" s="1562">
        <v>20</v>
      </c>
      <c r="Q48" s="2394" t="s">
        <v>6548</v>
      </c>
      <c r="R48" s="1563">
        <v>22</v>
      </c>
      <c r="S48" s="2647" t="s">
        <v>2480</v>
      </c>
      <c r="T48" s="2634" t="s">
        <v>2481</v>
      </c>
      <c r="U48" s="2609" t="s">
        <v>2482</v>
      </c>
      <c r="V48" s="2604" t="s">
        <v>2483</v>
      </c>
      <c r="W48" s="3468"/>
      <c r="X48" s="3471"/>
      <c r="Y48" s="253">
        <f>SUM('5층_부하량(월간_AVG)'!N326:P326)</f>
        <v>0</v>
      </c>
      <c r="Z48" s="253">
        <f>SUM('5층_부하량(월간_AVG)'!N385:P385)</f>
        <v>0</v>
      </c>
      <c r="AA48" s="3522"/>
      <c r="AB48" s="2694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3111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162">
        <f>VLOOKUP(I48&amp;J48,'7층~4층_매핑테이블'!$I$6:$P$2020,8,0)</f>
        <v>0</v>
      </c>
      <c r="AE48" s="3146" t="e">
        <f>$AE$47</f>
        <v>#N/A</v>
      </c>
      <c r="AF48" s="3670"/>
      <c r="AH48" s="2351" t="e">
        <f t="shared" si="4"/>
        <v>#N/A</v>
      </c>
      <c r="AI48" s="2351" t="e">
        <f t="shared" si="5"/>
        <v>#N/A</v>
      </c>
      <c r="AJ48" s="123" t="e">
        <f t="shared" si="0"/>
        <v>#N/A</v>
      </c>
      <c r="AK48" t="e">
        <f t="shared" si="6"/>
        <v>#N/A</v>
      </c>
      <c r="AL48" t="e">
        <f t="shared" si="7"/>
        <v>#N/A</v>
      </c>
      <c r="AQ48" s="123"/>
      <c r="AR48" s="123"/>
      <c r="AS48" s="123"/>
      <c r="AT48" s="2982"/>
      <c r="AU48" s="123"/>
      <c r="AV48" s="123"/>
      <c r="AW48" s="2990"/>
      <c r="AX48" s="2984"/>
      <c r="AY48" s="2985"/>
      <c r="AZ48" s="2986"/>
      <c r="BA48" s="2987"/>
      <c r="BB48" s="3194"/>
    </row>
    <row r="49" spans="1:54" ht="34.799999999999997" x14ac:dyDescent="0.25">
      <c r="A49" s="2620" t="s">
        <v>2164</v>
      </c>
      <c r="B49" s="2621" t="s">
        <v>2723</v>
      </c>
      <c r="C49" s="2891" t="s">
        <v>9174</v>
      </c>
      <c r="D49" s="2933">
        <v>2.2000000000000002</v>
      </c>
      <c r="E49" s="837" t="s">
        <v>2724</v>
      </c>
      <c r="F49" s="250" t="s">
        <v>2725</v>
      </c>
      <c r="G49" s="2633" t="s">
        <v>2726</v>
      </c>
      <c r="H49" s="2634" t="s">
        <v>2727</v>
      </c>
      <c r="I49" s="1458" t="str">
        <f t="shared" si="15"/>
        <v>5-DaHall 1-PDU-13-20-21</v>
      </c>
      <c r="J49" s="1459" t="str">
        <f t="shared" si="16"/>
        <v>5-DaHall 1-PDU-14-20-19</v>
      </c>
      <c r="K49" s="1558">
        <v>220</v>
      </c>
      <c r="L49" s="1559">
        <v>20</v>
      </c>
      <c r="M49" s="2364" t="s">
        <v>6542</v>
      </c>
      <c r="N49" s="1560">
        <v>21</v>
      </c>
      <c r="O49" s="1561">
        <v>220</v>
      </c>
      <c r="P49" s="1562">
        <v>20</v>
      </c>
      <c r="Q49" s="2394" t="s">
        <v>6549</v>
      </c>
      <c r="R49" s="1563">
        <v>19</v>
      </c>
      <c r="S49" s="3608" t="s">
        <v>2631</v>
      </c>
      <c r="T49" s="3611" t="s">
        <v>2639</v>
      </c>
      <c r="U49" s="3468" t="s">
        <v>2632</v>
      </c>
      <c r="V49" s="3465" t="s">
        <v>2640</v>
      </c>
      <c r="W49" s="3468"/>
      <c r="X49" s="3471"/>
      <c r="Y49" s="253">
        <f>SUM('5층_부하량(월간_AVG)'!D346:F346)</f>
        <v>0</v>
      </c>
      <c r="Z49" s="253">
        <f>SUM('5층_부하량(월간_AVG)'!D404:F404)</f>
        <v>0</v>
      </c>
      <c r="AA49" s="2436">
        <f t="shared" ref="AA49" si="20">SUM(Y49:Z49)</f>
        <v>0</v>
      </c>
      <c r="AB49" s="2691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3109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3162">
        <f>VLOOKUP(I49&amp;J49,'7층~4층_매핑테이블'!$I$6:$P$2020,8,0)</f>
        <v>1.2669999999999999</v>
      </c>
      <c r="AE49" s="3144" t="e">
        <f t="shared" ref="AE49" si="21">SUM(AB49:AC49)</f>
        <v>#N/A</v>
      </c>
      <c r="AF49" s="2451"/>
      <c r="AH49" s="2351" t="e">
        <f t="shared" si="4"/>
        <v>#N/A</v>
      </c>
      <c r="AI49" s="2351" t="e">
        <f t="shared" si="5"/>
        <v>#N/A</v>
      </c>
      <c r="AJ49" s="123" t="e">
        <f t="shared" si="0"/>
        <v>#N/A</v>
      </c>
      <c r="AK49" t="e">
        <f t="shared" si="6"/>
        <v>#N/A</v>
      </c>
      <c r="AL49" t="e">
        <f t="shared" si="7"/>
        <v>#N/A</v>
      </c>
      <c r="AQ49" s="123"/>
      <c r="AR49" s="123"/>
      <c r="AS49" s="123"/>
      <c r="AT49" s="2982"/>
      <c r="AU49" s="123"/>
      <c r="AV49" s="123"/>
      <c r="AW49" s="2990"/>
      <c r="AX49" s="2984"/>
      <c r="AY49" s="2985"/>
      <c r="AZ49" s="2986"/>
      <c r="BA49" s="2987"/>
      <c r="BB49" s="3194"/>
    </row>
    <row r="50" spans="1:54" ht="28.8" x14ac:dyDescent="0.25">
      <c r="A50" s="3454" t="s">
        <v>2170</v>
      </c>
      <c r="B50" s="3470" t="s">
        <v>2728</v>
      </c>
      <c r="C50" s="3587" t="s">
        <v>9228</v>
      </c>
      <c r="D50" s="3569">
        <v>3.3</v>
      </c>
      <c r="E50" s="837" t="s">
        <v>2729</v>
      </c>
      <c r="F50" s="250" t="s">
        <v>2730</v>
      </c>
      <c r="G50" s="2633" t="s">
        <v>2731</v>
      </c>
      <c r="H50" s="2634" t="s">
        <v>2732</v>
      </c>
      <c r="I50" s="1458" t="str">
        <f t="shared" si="15"/>
        <v>5-DaHall 1-PDU-13-20-23</v>
      </c>
      <c r="J50" s="1459" t="str">
        <f t="shared" si="16"/>
        <v>5-DaHall 1-PDU-14-20-21</v>
      </c>
      <c r="K50" s="1558">
        <v>220</v>
      </c>
      <c r="L50" s="1559">
        <v>20</v>
      </c>
      <c r="M50" s="2364" t="s">
        <v>6542</v>
      </c>
      <c r="N50" s="1560">
        <v>23</v>
      </c>
      <c r="O50" s="1561">
        <v>220</v>
      </c>
      <c r="P50" s="1562">
        <v>20</v>
      </c>
      <c r="Q50" s="2394" t="s">
        <v>6549</v>
      </c>
      <c r="R50" s="1563">
        <v>21</v>
      </c>
      <c r="S50" s="3672"/>
      <c r="T50" s="3671"/>
      <c r="U50" s="3468"/>
      <c r="V50" s="3471"/>
      <c r="W50" s="3468"/>
      <c r="X50" s="3471"/>
      <c r="Y50" s="253">
        <f>SUM('5층_부하량(월간_AVG)'!D347:F347)</f>
        <v>0</v>
      </c>
      <c r="Z50" s="253">
        <f>SUM('5층_부하량(월간_AVG)'!D405:F405)</f>
        <v>0</v>
      </c>
      <c r="AA50" s="3520">
        <f>SUM(Y50:Z51)</f>
        <v>0</v>
      </c>
      <c r="AB50" s="2694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3111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162">
        <f>VLOOKUP(I50&amp;J50,'7층~4층_매핑테이블'!$I$6:$P$2020,8,0)</f>
        <v>2.9870000000000001</v>
      </c>
      <c r="AE50" s="3145" t="e">
        <f>SUM(AB50:AC51)</f>
        <v>#N/A</v>
      </c>
      <c r="AF50" s="2451"/>
      <c r="AH50" s="2351" t="e">
        <f t="shared" si="4"/>
        <v>#N/A</v>
      </c>
      <c r="AI50" s="2351" t="e">
        <f t="shared" si="5"/>
        <v>#N/A</v>
      </c>
      <c r="AJ50" s="123" t="e">
        <f t="shared" si="0"/>
        <v>#N/A</v>
      </c>
      <c r="AK50" t="e">
        <f t="shared" si="6"/>
        <v>#N/A</v>
      </c>
      <c r="AL50" t="e">
        <f t="shared" si="7"/>
        <v>#N/A</v>
      </c>
      <c r="AQ50" s="123"/>
      <c r="AR50" s="123"/>
      <c r="AS50" s="123"/>
      <c r="AT50" s="2982"/>
      <c r="AU50" s="123"/>
      <c r="AV50" s="123"/>
      <c r="AW50" s="2990"/>
      <c r="AX50" s="2984"/>
      <c r="AY50" s="2985"/>
      <c r="AZ50" s="2986"/>
      <c r="BA50" s="2987"/>
      <c r="BB50" s="3194"/>
    </row>
    <row r="51" spans="1:54" ht="57.6" x14ac:dyDescent="0.25">
      <c r="A51" s="3454"/>
      <c r="B51" s="3470"/>
      <c r="C51" s="3585"/>
      <c r="D51" s="3571"/>
      <c r="E51" s="837" t="s">
        <v>2733</v>
      </c>
      <c r="F51" s="2680"/>
      <c r="G51" s="2633" t="s">
        <v>2734</v>
      </c>
      <c r="H51" s="2674"/>
      <c r="I51" s="1458" t="str">
        <f t="shared" si="15"/>
        <v>5-DaHall 1-PDU-11-20-30</v>
      </c>
      <c r="J51" s="1582"/>
      <c r="K51" s="1558">
        <v>220</v>
      </c>
      <c r="L51" s="1559">
        <v>20</v>
      </c>
      <c r="M51" s="2364" t="s">
        <v>6541</v>
      </c>
      <c r="N51" s="1560">
        <v>30</v>
      </c>
      <c r="O51" s="1583"/>
      <c r="P51" s="1584"/>
      <c r="Q51" s="2674"/>
      <c r="R51" s="1585"/>
      <c r="S51" s="2647" t="s">
        <v>2480</v>
      </c>
      <c r="T51" s="867"/>
      <c r="U51" s="2609" t="s">
        <v>2482</v>
      </c>
      <c r="V51" s="867"/>
      <c r="W51" s="3468"/>
      <c r="X51" s="867"/>
      <c r="Y51" s="253">
        <f>SUM('5층_부하량(월간_AVG)'!N330:P330)</f>
        <v>0</v>
      </c>
      <c r="Z51" s="867"/>
      <c r="AA51" s="3522"/>
      <c r="AB51" s="2694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3111"/>
      <c r="AD51" s="3162">
        <f>VLOOKUP(I51&amp;J51,'7층~4층_매핑테이블'!$I$6:$P$2020,8,0)</f>
        <v>0</v>
      </c>
      <c r="AE51" s="3146" t="e">
        <f>$AE$50</f>
        <v>#N/A</v>
      </c>
      <c r="AF51" s="2451" t="s">
        <v>2735</v>
      </c>
      <c r="AH51" s="2351" t="e">
        <f t="shared" si="4"/>
        <v>#N/A</v>
      </c>
      <c r="AI51" s="2351" t="e">
        <f t="shared" si="5"/>
        <v>#N/A</v>
      </c>
      <c r="AJ51" s="123" t="e">
        <f t="shared" si="0"/>
        <v>#N/A</v>
      </c>
      <c r="AK51" t="e">
        <f t="shared" si="6"/>
        <v>#N/A</v>
      </c>
      <c r="AL51" t="e">
        <f t="shared" si="7"/>
        <v>#N/A</v>
      </c>
      <c r="AQ51" s="123"/>
      <c r="AR51" s="123"/>
      <c r="AS51" s="123"/>
      <c r="AT51" s="2982"/>
      <c r="AU51" s="123"/>
      <c r="AV51" s="123"/>
      <c r="AW51" s="2990"/>
      <c r="AX51" s="2984"/>
      <c r="AY51" s="2985"/>
      <c r="AZ51" s="2986"/>
      <c r="BA51" s="2987"/>
      <c r="BB51" s="3194"/>
    </row>
    <row r="52" spans="1:54" ht="58.2" thickBot="1" x14ac:dyDescent="0.3">
      <c r="A52" s="2628" t="s">
        <v>2176</v>
      </c>
      <c r="B52" s="2640" t="s">
        <v>2736</v>
      </c>
      <c r="C52" s="2908" t="s">
        <v>9228</v>
      </c>
      <c r="D52" s="2934">
        <v>3.3</v>
      </c>
      <c r="E52" s="838" t="s">
        <v>2737</v>
      </c>
      <c r="F52" s="2629" t="s">
        <v>2738</v>
      </c>
      <c r="G52" s="2643" t="s">
        <v>2739</v>
      </c>
      <c r="H52" s="2644" t="s">
        <v>2740</v>
      </c>
      <c r="I52" s="1458" t="str">
        <f t="shared" si="15"/>
        <v>5-DaHall 1-PDU-13-20-25</v>
      </c>
      <c r="J52" s="1459" t="str">
        <f>"5-DaHall 1-PDU-"&amp;Q52&amp;"-"&amp;P52&amp;"-"&amp;R52</f>
        <v>5-DaHall 1-PDU-14-20-23</v>
      </c>
      <c r="K52" s="1568">
        <v>220</v>
      </c>
      <c r="L52" s="1569">
        <v>20</v>
      </c>
      <c r="M52" s="2365" t="s">
        <v>6542</v>
      </c>
      <c r="N52" s="1570">
        <v>25</v>
      </c>
      <c r="O52" s="1571">
        <v>220</v>
      </c>
      <c r="P52" s="1572">
        <v>20</v>
      </c>
      <c r="Q52" s="2395" t="s">
        <v>6549</v>
      </c>
      <c r="R52" s="1573">
        <v>23</v>
      </c>
      <c r="S52" s="2643" t="s">
        <v>2631</v>
      </c>
      <c r="T52" s="2644" t="s">
        <v>2639</v>
      </c>
      <c r="U52" s="2611" t="s">
        <v>2632</v>
      </c>
      <c r="V52" s="2605" t="s">
        <v>2640</v>
      </c>
      <c r="W52" s="3469"/>
      <c r="X52" s="2605" t="s">
        <v>2485</v>
      </c>
      <c r="Y52" s="329">
        <f>SUM('5층_부하량(월간_AVG)'!D348:F348)</f>
        <v>0</v>
      </c>
      <c r="Z52" s="329">
        <f>SUM('5층_부하량(월간_AVG)'!D406:F406)</f>
        <v>0</v>
      </c>
      <c r="AA52" s="2437">
        <f t="shared" ref="AA52:AA59" si="22">SUM(Y52:Z52)</f>
        <v>0</v>
      </c>
      <c r="AB52" s="2695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3112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3162">
        <f>VLOOKUP(I52&amp;J52,'7층~4층_매핑테이블'!$I$6:$P$2020,8,0)</f>
        <v>1.093</v>
      </c>
      <c r="AE52" s="3147" t="e">
        <f>SUM(AB52:AC52)</f>
        <v>#N/A</v>
      </c>
      <c r="AF52" s="2452"/>
      <c r="AH52" s="2351" t="e">
        <f t="shared" si="4"/>
        <v>#N/A</v>
      </c>
      <c r="AI52" s="2351" t="e">
        <f t="shared" si="5"/>
        <v>#N/A</v>
      </c>
      <c r="AJ52" s="123" t="e">
        <f t="shared" si="0"/>
        <v>#N/A</v>
      </c>
      <c r="AK52" t="e">
        <f t="shared" si="6"/>
        <v>#N/A</v>
      </c>
      <c r="AL52" t="e">
        <f t="shared" si="7"/>
        <v>#N/A</v>
      </c>
      <c r="AQ52" s="123"/>
      <c r="AR52" s="123"/>
      <c r="AS52" s="123"/>
      <c r="AT52" s="2982"/>
      <c r="AU52" s="123"/>
      <c r="AV52" s="123"/>
      <c r="AW52" s="2990"/>
      <c r="AX52" s="2984"/>
      <c r="AY52" s="2985"/>
      <c r="AZ52" s="2986"/>
      <c r="BA52" s="2987"/>
      <c r="BB52" s="3194"/>
    </row>
    <row r="53" spans="1:54" ht="29.4" thickTop="1" x14ac:dyDescent="0.25">
      <c r="A53" s="1082"/>
      <c r="B53" s="828" t="s">
        <v>2741</v>
      </c>
      <c r="C53" s="2893"/>
      <c r="D53" s="2935"/>
      <c r="E53" s="1656" t="s">
        <v>2742</v>
      </c>
      <c r="F53" s="828" t="s">
        <v>2743</v>
      </c>
      <c r="G53" s="874" t="s">
        <v>2744</v>
      </c>
      <c r="H53" s="875" t="s">
        <v>2745</v>
      </c>
      <c r="I53" s="1458" t="str">
        <f t="shared" si="15"/>
        <v>5-DaHall 1-PDU-13-20-31</v>
      </c>
      <c r="J53" s="1459" t="str">
        <f t="shared" ref="J53:J102" si="23">"5-DaHall 1-PDU-"&amp;Q53&amp;"-"&amp;P53&amp;"-"&amp;R53</f>
        <v>5-DaHall 1-PDU-14-20-29</v>
      </c>
      <c r="K53" s="1586">
        <v>220</v>
      </c>
      <c r="L53" s="1587">
        <v>20</v>
      </c>
      <c r="M53" s="2383" t="s">
        <v>6542</v>
      </c>
      <c r="N53" s="1578">
        <v>31</v>
      </c>
      <c r="O53" s="1588">
        <v>220</v>
      </c>
      <c r="P53" s="1589">
        <v>20</v>
      </c>
      <c r="Q53" s="2408" t="s">
        <v>6549</v>
      </c>
      <c r="R53" s="1581">
        <v>29</v>
      </c>
      <c r="S53" s="3607" t="s">
        <v>2631</v>
      </c>
      <c r="T53" s="3610" t="s">
        <v>2639</v>
      </c>
      <c r="U53" s="3467" t="s">
        <v>2632</v>
      </c>
      <c r="V53" s="3497" t="s">
        <v>2640</v>
      </c>
      <c r="W53" s="3467" t="s">
        <v>2484</v>
      </c>
      <c r="X53" s="3497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39">
        <f t="shared" si="22"/>
        <v>0</v>
      </c>
      <c r="AB53" s="2700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3115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3162">
        <f>VLOOKUP(I53&amp;J53,'7층~4층_매핑테이블'!$I$6:$P$2020,8,0)</f>
        <v>0</v>
      </c>
      <c r="AE53" s="3138" t="e">
        <f>SUM(AB53:AC53)</f>
        <v>#N/A</v>
      </c>
      <c r="AF53" s="2454" t="s">
        <v>1265</v>
      </c>
      <c r="AH53" s="2351" t="e">
        <f t="shared" si="4"/>
        <v>#N/A</v>
      </c>
      <c r="AI53" s="2351" t="e">
        <f t="shared" si="5"/>
        <v>#N/A</v>
      </c>
      <c r="AJ53" s="123" t="e">
        <f t="shared" si="0"/>
        <v>#N/A</v>
      </c>
      <c r="AK53" t="e">
        <f t="shared" si="6"/>
        <v>#N/A</v>
      </c>
      <c r="AL53" t="e">
        <f t="shared" si="7"/>
        <v>#N/A</v>
      </c>
      <c r="AQ53" s="123"/>
      <c r="AR53" s="123"/>
      <c r="AS53" s="123"/>
      <c r="AT53" s="2982"/>
      <c r="AU53" s="123"/>
      <c r="AV53" s="123"/>
      <c r="AW53" s="2990"/>
      <c r="AX53" s="2984"/>
      <c r="AY53" s="2985"/>
      <c r="AZ53" s="2986"/>
      <c r="BA53" s="2987"/>
      <c r="BB53" s="3194"/>
    </row>
    <row r="54" spans="1:54" ht="28.8" x14ac:dyDescent="0.25">
      <c r="A54" s="1083"/>
      <c r="B54" s="2680" t="s">
        <v>2746</v>
      </c>
      <c r="C54" s="2906"/>
      <c r="D54" s="2929"/>
      <c r="E54" s="1662" t="s">
        <v>2747</v>
      </c>
      <c r="F54" s="2680" t="s">
        <v>2748</v>
      </c>
      <c r="G54" s="2678" t="s">
        <v>2749</v>
      </c>
      <c r="H54" s="2674" t="s">
        <v>2750</v>
      </c>
      <c r="I54" s="1458" t="str">
        <f t="shared" si="15"/>
        <v>5-DaHall 1-PDU-13-30-4</v>
      </c>
      <c r="J54" s="1459" t="str">
        <f t="shared" si="23"/>
        <v>5-DaHall 1-PDU-14-20-31</v>
      </c>
      <c r="K54" s="1591">
        <v>220</v>
      </c>
      <c r="L54" s="1592">
        <v>30</v>
      </c>
      <c r="M54" s="2384" t="s">
        <v>6542</v>
      </c>
      <c r="N54" s="1593">
        <v>4</v>
      </c>
      <c r="O54" s="1594">
        <v>220</v>
      </c>
      <c r="P54" s="1584">
        <v>20</v>
      </c>
      <c r="Q54" s="2409" t="s">
        <v>6549</v>
      </c>
      <c r="R54" s="1585">
        <v>31</v>
      </c>
      <c r="S54" s="3608"/>
      <c r="T54" s="3611"/>
      <c r="U54" s="3468"/>
      <c r="V54" s="3471"/>
      <c r="W54" s="3468"/>
      <c r="X54" s="3471"/>
      <c r="Y54" s="834">
        <f>SUM('5층_부하량(월간_AVG)'!N337:P337)</f>
        <v>0</v>
      </c>
      <c r="Z54" s="834">
        <f>SUM('5층_부하량(월간_AVG)'!D410:F410)</f>
        <v>0</v>
      </c>
      <c r="AA54" s="2441">
        <f t="shared" si="22"/>
        <v>0</v>
      </c>
      <c r="AB54" s="2704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3117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3162">
        <f>VLOOKUP(I54&amp;J54,'7층~4층_매핑테이블'!$I$6:$P$2020,8,0)</f>
        <v>0</v>
      </c>
      <c r="AE54" s="3149" t="e">
        <f>SUM(AB54:AC54)</f>
        <v>#N/A</v>
      </c>
      <c r="AF54" s="2456" t="s">
        <v>1265</v>
      </c>
      <c r="AH54" s="2351" t="e">
        <f t="shared" si="4"/>
        <v>#N/A</v>
      </c>
      <c r="AI54" s="2351" t="e">
        <f t="shared" si="5"/>
        <v>#N/A</v>
      </c>
      <c r="AJ54" s="123" t="e">
        <f t="shared" si="0"/>
        <v>#N/A</v>
      </c>
      <c r="AK54" t="e">
        <f t="shared" si="6"/>
        <v>#N/A</v>
      </c>
      <c r="AL54" t="e">
        <f t="shared" si="7"/>
        <v>#N/A</v>
      </c>
      <c r="AQ54" s="123"/>
      <c r="AR54" s="123"/>
      <c r="AS54" s="123"/>
      <c r="AT54" s="2982"/>
      <c r="AU54" s="123"/>
      <c r="AV54" s="123"/>
      <c r="AW54" s="2990"/>
      <c r="AX54" s="2984"/>
      <c r="AY54" s="2985"/>
      <c r="AZ54" s="2986"/>
      <c r="BA54" s="2987"/>
      <c r="BB54" s="3194"/>
    </row>
    <row r="55" spans="1:54" ht="28.8" x14ac:dyDescent="0.25">
      <c r="A55" s="2620" t="s">
        <v>2751</v>
      </c>
      <c r="B55" s="2621" t="s">
        <v>2752</v>
      </c>
      <c r="C55" s="2891" t="s">
        <v>9229</v>
      </c>
      <c r="D55" s="2933">
        <v>2.2000000000000002</v>
      </c>
      <c r="E55" s="837" t="s">
        <v>2753</v>
      </c>
      <c r="F55" s="250" t="s">
        <v>2754</v>
      </c>
      <c r="G55" s="2633" t="s">
        <v>2755</v>
      </c>
      <c r="H55" s="2634" t="s">
        <v>2756</v>
      </c>
      <c r="I55" s="1458" t="str">
        <f t="shared" si="15"/>
        <v>5-DaHall 1-PDU-13-30-6</v>
      </c>
      <c r="J55" s="1459" t="str">
        <f t="shared" si="23"/>
        <v>5-DaHall 1-PDU-14-30-4</v>
      </c>
      <c r="K55" s="1558">
        <v>220</v>
      </c>
      <c r="L55" s="1559">
        <v>30</v>
      </c>
      <c r="M55" s="2364" t="s">
        <v>6542</v>
      </c>
      <c r="N55" s="1560">
        <v>6</v>
      </c>
      <c r="O55" s="1561">
        <v>220</v>
      </c>
      <c r="P55" s="1562">
        <v>30</v>
      </c>
      <c r="Q55" s="2394" t="s">
        <v>6549</v>
      </c>
      <c r="R55" s="1563">
        <v>4</v>
      </c>
      <c r="S55" s="3608"/>
      <c r="T55" s="3611"/>
      <c r="U55" s="3468"/>
      <c r="V55" s="3471"/>
      <c r="W55" s="3468"/>
      <c r="X55" s="3471"/>
      <c r="Y55" s="253">
        <f>SUM('5층_부하량(월간_AVG)'!N338:P338)</f>
        <v>0</v>
      </c>
      <c r="Z55" s="253">
        <f>SUM('5층_부하량(월간_AVG)'!N396:P396)</f>
        <v>0</v>
      </c>
      <c r="AA55" s="2436">
        <f t="shared" si="22"/>
        <v>0</v>
      </c>
      <c r="AB55" s="2691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3109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3162">
        <f>VLOOKUP(I55&amp;J55,'7층~4층_매핑테이블'!$I$6:$P$2020,8,0)</f>
        <v>2.9530000000000003</v>
      </c>
      <c r="AE55" s="3144" t="e">
        <f>SUM(AB55:AC55)</f>
        <v>#N/A</v>
      </c>
      <c r="AF55" s="2451"/>
      <c r="AH55" s="2351" t="e">
        <f t="shared" si="4"/>
        <v>#N/A</v>
      </c>
      <c r="AI55" s="2351" t="e">
        <f t="shared" si="5"/>
        <v>#N/A</v>
      </c>
      <c r="AJ55" s="123" t="e">
        <f t="shared" si="0"/>
        <v>#N/A</v>
      </c>
      <c r="AK55" t="e">
        <f t="shared" si="6"/>
        <v>#N/A</v>
      </c>
      <c r="AL55" t="e">
        <f t="shared" si="7"/>
        <v>#N/A</v>
      </c>
      <c r="AQ55" s="123"/>
      <c r="AR55" s="123"/>
      <c r="AS55" s="123"/>
      <c r="AT55" s="2982"/>
      <c r="AU55" s="123"/>
      <c r="AV55" s="123"/>
      <c r="AW55" s="2990"/>
      <c r="AX55" s="2984"/>
      <c r="AY55" s="2985"/>
      <c r="AZ55" s="2986"/>
      <c r="BA55" s="2987"/>
      <c r="BB55" s="3194"/>
    </row>
    <row r="56" spans="1:54" ht="28.8" x14ac:dyDescent="0.25">
      <c r="A56" s="2620" t="s">
        <v>2757</v>
      </c>
      <c r="B56" s="2621" t="s">
        <v>2758</v>
      </c>
      <c r="C56" s="2891" t="s">
        <v>9229</v>
      </c>
      <c r="D56" s="2933">
        <v>2.2000000000000002</v>
      </c>
      <c r="E56" s="837" t="s">
        <v>2759</v>
      </c>
      <c r="F56" s="250" t="s">
        <v>2760</v>
      </c>
      <c r="G56" s="2633" t="s">
        <v>2761</v>
      </c>
      <c r="H56" s="2634" t="s">
        <v>2762</v>
      </c>
      <c r="I56" s="1458" t="str">
        <f t="shared" si="15"/>
        <v>5-DaHall 1-PDU-13-30-8</v>
      </c>
      <c r="J56" s="1459" t="str">
        <f t="shared" si="23"/>
        <v>5-DaHall 1-PDU-14-30-6</v>
      </c>
      <c r="K56" s="1558">
        <v>220</v>
      </c>
      <c r="L56" s="1559">
        <v>30</v>
      </c>
      <c r="M56" s="2364" t="s">
        <v>6542</v>
      </c>
      <c r="N56" s="1560">
        <v>8</v>
      </c>
      <c r="O56" s="1561">
        <v>220</v>
      </c>
      <c r="P56" s="1562">
        <v>30</v>
      </c>
      <c r="Q56" s="2394" t="s">
        <v>6549</v>
      </c>
      <c r="R56" s="1563">
        <v>6</v>
      </c>
      <c r="S56" s="3608"/>
      <c r="T56" s="3611"/>
      <c r="U56" s="3468"/>
      <c r="V56" s="3471"/>
      <c r="W56" s="3468"/>
      <c r="X56" s="3471"/>
      <c r="Y56" s="253">
        <f>SUM('5층_부하량(월간_AVG)'!N339:P339)</f>
        <v>0</v>
      </c>
      <c r="Z56" s="253">
        <f>SUM('5층_부하량(월간_AVG)'!N397:P397)</f>
        <v>0</v>
      </c>
      <c r="AA56" s="2436">
        <f t="shared" si="22"/>
        <v>0</v>
      </c>
      <c r="AB56" s="2691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3109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3162">
        <f>VLOOKUP(I56&amp;J56,'7층~4층_매핑테이블'!$I$6:$P$2020,8,0)</f>
        <v>1.54</v>
      </c>
      <c r="AE56" s="3144" t="e">
        <f t="shared" ref="AE56:AE59" si="24">SUM(AB56:AC56)</f>
        <v>#N/A</v>
      </c>
      <c r="AF56" s="2451"/>
      <c r="AH56" s="2351" t="e">
        <f t="shared" si="4"/>
        <v>#N/A</v>
      </c>
      <c r="AI56" s="2351" t="e">
        <f t="shared" si="5"/>
        <v>#N/A</v>
      </c>
      <c r="AJ56" s="123" t="e">
        <f t="shared" si="0"/>
        <v>#N/A</v>
      </c>
      <c r="AK56" t="e">
        <f t="shared" si="6"/>
        <v>#N/A</v>
      </c>
      <c r="AL56" t="e">
        <f t="shared" si="7"/>
        <v>#N/A</v>
      </c>
      <c r="AQ56" s="123"/>
      <c r="AR56" s="123"/>
      <c r="AS56" s="123"/>
      <c r="AT56" s="2982"/>
      <c r="AU56" s="123"/>
      <c r="AV56" s="123"/>
      <c r="AW56" s="2990"/>
      <c r="AX56" s="2984"/>
      <c r="AY56" s="2985"/>
      <c r="AZ56" s="2986"/>
      <c r="BA56" s="2987"/>
      <c r="BB56" s="3194"/>
    </row>
    <row r="57" spans="1:54" ht="28.8" x14ac:dyDescent="0.25">
      <c r="A57" s="2620" t="s">
        <v>2763</v>
      </c>
      <c r="B57" s="2621" t="s">
        <v>2764</v>
      </c>
      <c r="C57" s="2891"/>
      <c r="D57" s="2929"/>
      <c r="E57" s="837" t="s">
        <v>2765</v>
      </c>
      <c r="F57" s="250" t="s">
        <v>2766</v>
      </c>
      <c r="G57" s="2633" t="s">
        <v>2767</v>
      </c>
      <c r="H57" s="2634" t="s">
        <v>2768</v>
      </c>
      <c r="I57" s="1458" t="str">
        <f t="shared" si="15"/>
        <v>5-DaHall 1-PDU-13-30-10</v>
      </c>
      <c r="J57" s="1459" t="str">
        <f t="shared" si="23"/>
        <v>5-DaHall 1-PDU-14-30-8</v>
      </c>
      <c r="K57" s="1558">
        <v>220</v>
      </c>
      <c r="L57" s="1559">
        <v>30</v>
      </c>
      <c r="M57" s="2364" t="s">
        <v>6542</v>
      </c>
      <c r="N57" s="1560">
        <v>10</v>
      </c>
      <c r="O57" s="1561">
        <v>220</v>
      </c>
      <c r="P57" s="1562">
        <v>30</v>
      </c>
      <c r="Q57" s="2394" t="s">
        <v>6549</v>
      </c>
      <c r="R57" s="1563">
        <v>8</v>
      </c>
      <c r="S57" s="3608"/>
      <c r="T57" s="3611"/>
      <c r="U57" s="3468"/>
      <c r="V57" s="3471"/>
      <c r="W57" s="3468"/>
      <c r="X57" s="3471"/>
      <c r="Y57" s="253">
        <f>SUM('5층_부하량(월간_AVG)'!N340:P340)</f>
        <v>0</v>
      </c>
      <c r="Z57" s="253">
        <f>SUM('5층_부하량(월간_AVG)'!N398:P398)</f>
        <v>0</v>
      </c>
      <c r="AA57" s="2436">
        <f t="shared" si="22"/>
        <v>0</v>
      </c>
      <c r="AB57" s="2691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3109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3162">
        <f>VLOOKUP(I57&amp;J57,'7층~4층_매핑테이블'!$I$6:$P$2020,8,0)</f>
        <v>0</v>
      </c>
      <c r="AE57" s="3144" t="e">
        <f t="shared" si="24"/>
        <v>#N/A</v>
      </c>
      <c r="AF57" s="2451"/>
      <c r="AH57" s="2351" t="e">
        <f t="shared" si="4"/>
        <v>#N/A</v>
      </c>
      <c r="AI57" s="2351" t="e">
        <f t="shared" si="5"/>
        <v>#N/A</v>
      </c>
      <c r="AJ57" s="123" t="e">
        <f t="shared" si="0"/>
        <v>#N/A</v>
      </c>
      <c r="AK57" t="e">
        <f t="shared" si="6"/>
        <v>#N/A</v>
      </c>
      <c r="AL57" t="e">
        <f t="shared" si="7"/>
        <v>#N/A</v>
      </c>
      <c r="AQ57" s="123"/>
      <c r="AR57" s="123"/>
      <c r="AS57" s="123"/>
      <c r="AT57" s="2982"/>
      <c r="AU57" s="123"/>
      <c r="AV57" s="123"/>
      <c r="AW57" s="2990"/>
      <c r="AX57" s="2984"/>
      <c r="AY57" s="2985"/>
      <c r="AZ57" s="2986"/>
      <c r="BA57" s="2987"/>
      <c r="BB57" s="3194"/>
    </row>
    <row r="58" spans="1:54" ht="28.8" x14ac:dyDescent="0.25">
      <c r="A58" s="2620" t="s">
        <v>2769</v>
      </c>
      <c r="B58" s="2621" t="s">
        <v>2770</v>
      </c>
      <c r="C58" s="2891"/>
      <c r="D58" s="2929"/>
      <c r="E58" s="837" t="s">
        <v>2209</v>
      </c>
      <c r="F58" s="250" t="s">
        <v>2210</v>
      </c>
      <c r="G58" s="2633" t="s">
        <v>2771</v>
      </c>
      <c r="H58" s="2634" t="s">
        <v>2772</v>
      </c>
      <c r="I58" s="1458" t="str">
        <f t="shared" si="15"/>
        <v>5-DaHall 1-PDU-13-20-12</v>
      </c>
      <c r="J58" s="1459" t="str">
        <f t="shared" si="23"/>
        <v>5-DaHall 1-PDU-14-30-10</v>
      </c>
      <c r="K58" s="1558">
        <v>220</v>
      </c>
      <c r="L58" s="1559">
        <v>20</v>
      </c>
      <c r="M58" s="2364" t="s">
        <v>6542</v>
      </c>
      <c r="N58" s="1560">
        <v>12</v>
      </c>
      <c r="O58" s="1561">
        <v>220</v>
      </c>
      <c r="P58" s="1562">
        <v>30</v>
      </c>
      <c r="Q58" s="2394" t="s">
        <v>6549</v>
      </c>
      <c r="R58" s="1563">
        <v>10</v>
      </c>
      <c r="S58" s="3608"/>
      <c r="T58" s="3611"/>
      <c r="U58" s="3468"/>
      <c r="V58" s="3471"/>
      <c r="W58" s="3468"/>
      <c r="X58" s="3471"/>
      <c r="Y58" s="253">
        <f>SUM('5층_부하량(월간_AVG)'!N341:P341)</f>
        <v>0</v>
      </c>
      <c r="Z58" s="253">
        <f>SUM('5층_부하량(월간_AVG)'!N399:P399)</f>
        <v>0</v>
      </c>
      <c r="AA58" s="2436">
        <f t="shared" si="22"/>
        <v>0</v>
      </c>
      <c r="AB58" s="2691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3109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3162">
        <f>VLOOKUP(I58&amp;J58,'7층~4층_매핑테이블'!$I$6:$P$2020,8,0)</f>
        <v>0</v>
      </c>
      <c r="AE58" s="3144" t="e">
        <f t="shared" si="24"/>
        <v>#N/A</v>
      </c>
      <c r="AF58" s="2451"/>
      <c r="AH58" s="2351" t="e">
        <f t="shared" si="4"/>
        <v>#N/A</v>
      </c>
      <c r="AI58" s="2351" t="e">
        <f t="shared" si="5"/>
        <v>#N/A</v>
      </c>
      <c r="AJ58" s="123" t="e">
        <f t="shared" si="0"/>
        <v>#N/A</v>
      </c>
      <c r="AK58" t="e">
        <f t="shared" si="6"/>
        <v>#N/A</v>
      </c>
      <c r="AL58" t="e">
        <f t="shared" si="7"/>
        <v>#N/A</v>
      </c>
      <c r="AQ58" s="123"/>
      <c r="AR58" s="123"/>
      <c r="AS58" s="123"/>
      <c r="AT58" s="2982"/>
      <c r="AU58" s="123"/>
      <c r="AV58" s="123"/>
      <c r="AW58" s="2990"/>
      <c r="AX58" s="2984"/>
      <c r="AY58" s="2985"/>
      <c r="AZ58" s="2986"/>
      <c r="BA58" s="2987"/>
      <c r="BB58" s="3194"/>
    </row>
    <row r="59" spans="1:54" ht="28.8" x14ac:dyDescent="0.25">
      <c r="A59" s="2620" t="s">
        <v>2773</v>
      </c>
      <c r="B59" s="2621" t="s">
        <v>2774</v>
      </c>
      <c r="C59" s="2907"/>
      <c r="D59" s="2929"/>
      <c r="E59" s="837" t="s">
        <v>2215</v>
      </c>
      <c r="F59" s="250" t="s">
        <v>2216</v>
      </c>
      <c r="G59" s="2633" t="s">
        <v>2775</v>
      </c>
      <c r="H59" s="2634" t="s">
        <v>2776</v>
      </c>
      <c r="I59" s="1458" t="str">
        <f t="shared" si="15"/>
        <v>5-DaHall 1-PDU-13-20-14</v>
      </c>
      <c r="J59" s="1459" t="str">
        <f t="shared" si="23"/>
        <v>5-DaHall 1-PDU-14-20-12</v>
      </c>
      <c r="K59" s="1558">
        <v>220</v>
      </c>
      <c r="L59" s="1559">
        <v>20</v>
      </c>
      <c r="M59" s="2364" t="s">
        <v>6542</v>
      </c>
      <c r="N59" s="1560">
        <v>14</v>
      </c>
      <c r="O59" s="1561">
        <v>220</v>
      </c>
      <c r="P59" s="1562">
        <v>20</v>
      </c>
      <c r="Q59" s="2394" t="s">
        <v>6549</v>
      </c>
      <c r="R59" s="1563">
        <v>12</v>
      </c>
      <c r="S59" s="3608"/>
      <c r="T59" s="3611"/>
      <c r="U59" s="3468"/>
      <c r="V59" s="3471"/>
      <c r="W59" s="3468"/>
      <c r="X59" s="3471"/>
      <c r="Y59" s="253">
        <f>SUM('5층_부하량(월간_AVG)'!N342:P342)</f>
        <v>0</v>
      </c>
      <c r="Z59" s="253">
        <f>SUM('5층_부하량(월간_AVG)'!N400:P400)</f>
        <v>0</v>
      </c>
      <c r="AA59" s="2436">
        <f t="shared" si="22"/>
        <v>0</v>
      </c>
      <c r="AB59" s="2691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3109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3162">
        <f>VLOOKUP(I59&amp;J59,'7층~4층_매핑테이블'!$I$6:$P$2020,8,0)</f>
        <v>0</v>
      </c>
      <c r="AE59" s="3144" t="e">
        <f t="shared" si="24"/>
        <v>#N/A</v>
      </c>
      <c r="AF59" s="2451"/>
      <c r="AH59" s="2351" t="e">
        <f t="shared" si="4"/>
        <v>#N/A</v>
      </c>
      <c r="AI59" s="2351" t="e">
        <f t="shared" si="5"/>
        <v>#N/A</v>
      </c>
      <c r="AJ59" s="123" t="e">
        <f t="shared" si="0"/>
        <v>#N/A</v>
      </c>
      <c r="AK59" t="e">
        <f t="shared" si="6"/>
        <v>#N/A</v>
      </c>
      <c r="AL59" t="e">
        <f t="shared" si="7"/>
        <v>#N/A</v>
      </c>
      <c r="AQ59" s="123"/>
      <c r="AR59" s="123"/>
      <c r="AS59" s="123"/>
      <c r="AT59" s="2982"/>
      <c r="AU59" s="123"/>
      <c r="AV59" s="123"/>
      <c r="AW59" s="2990"/>
      <c r="AX59" s="2984"/>
      <c r="AY59" s="2985"/>
      <c r="AZ59" s="2986"/>
      <c r="BA59" s="2987"/>
      <c r="BB59" s="3194"/>
    </row>
    <row r="60" spans="1:54" ht="28.8" x14ac:dyDescent="0.25">
      <c r="A60" s="3459" t="s">
        <v>2777</v>
      </c>
      <c r="B60" s="3470" t="s">
        <v>2778</v>
      </c>
      <c r="C60" s="3585" t="s">
        <v>9219</v>
      </c>
      <c r="D60" s="3569">
        <v>2.2000000000000002</v>
      </c>
      <c r="E60" s="837" t="s">
        <v>2779</v>
      </c>
      <c r="F60" s="250" t="s">
        <v>2780</v>
      </c>
      <c r="G60" s="2633" t="s">
        <v>2781</v>
      </c>
      <c r="H60" s="2634" t="s">
        <v>2782</v>
      </c>
      <c r="I60" s="1458" t="str">
        <f t="shared" si="15"/>
        <v>5-DaHall 1-PDU-13-20-16</v>
      </c>
      <c r="J60" s="1459" t="str">
        <f t="shared" si="23"/>
        <v>5-DaHall 1-PDU-14-20-14</v>
      </c>
      <c r="K60" s="1558">
        <v>220</v>
      </c>
      <c r="L60" s="1559">
        <v>20</v>
      </c>
      <c r="M60" s="2364" t="s">
        <v>6542</v>
      </c>
      <c r="N60" s="1560">
        <v>16</v>
      </c>
      <c r="O60" s="1561">
        <v>220</v>
      </c>
      <c r="P60" s="1562">
        <v>20</v>
      </c>
      <c r="Q60" s="2394" t="s">
        <v>6549</v>
      </c>
      <c r="R60" s="1563">
        <v>14</v>
      </c>
      <c r="S60" s="3608"/>
      <c r="T60" s="3611"/>
      <c r="U60" s="3468"/>
      <c r="V60" s="3471"/>
      <c r="W60" s="3468"/>
      <c r="X60" s="3471"/>
      <c r="Y60" s="253">
        <f>SUM('5층_부하량(월간_AVG)'!N343:P343)</f>
        <v>0</v>
      </c>
      <c r="Z60" s="253">
        <f>SUM('5층_부하량(월간_AVG)'!N401:P401)</f>
        <v>0</v>
      </c>
      <c r="AA60" s="3520">
        <f>SUM(Y60:Z61)</f>
        <v>0</v>
      </c>
      <c r="AB60" s="2694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3111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162">
        <f>VLOOKUP(I60&amp;J60,'7층~4층_매핑테이블'!$I$6:$P$2020,8,0)</f>
        <v>1.577</v>
      </c>
      <c r="AE60" s="3145" t="e">
        <f>SUM(AB60:AC61)</f>
        <v>#N/A</v>
      </c>
      <c r="AF60" s="2451"/>
      <c r="AH60" s="2351" t="e">
        <f t="shared" si="4"/>
        <v>#N/A</v>
      </c>
      <c r="AI60" s="2351" t="e">
        <f t="shared" si="5"/>
        <v>#N/A</v>
      </c>
      <c r="AJ60" s="123" t="e">
        <f t="shared" si="0"/>
        <v>#N/A</v>
      </c>
      <c r="AK60" t="e">
        <f t="shared" si="6"/>
        <v>#N/A</v>
      </c>
      <c r="AL60" t="e">
        <f t="shared" si="7"/>
        <v>#N/A</v>
      </c>
      <c r="AQ60" s="123"/>
      <c r="AR60" s="123"/>
      <c r="AS60" s="123"/>
      <c r="AT60" s="2982"/>
      <c r="AU60" s="123"/>
      <c r="AV60" s="123"/>
      <c r="AW60" s="2990"/>
      <c r="AX60" s="2984"/>
      <c r="AY60" s="2985"/>
      <c r="AZ60" s="2986"/>
      <c r="BA60" s="2987"/>
      <c r="BB60" s="3194"/>
    </row>
    <row r="61" spans="1:54" ht="58.2" thickBot="1" x14ac:dyDescent="0.3">
      <c r="A61" s="3462"/>
      <c r="B61" s="3582"/>
      <c r="C61" s="3586"/>
      <c r="D61" s="3570"/>
      <c r="E61" s="838" t="s">
        <v>2783</v>
      </c>
      <c r="F61" s="2629" t="s">
        <v>2784</v>
      </c>
      <c r="G61" s="2643" t="s">
        <v>2785</v>
      </c>
      <c r="H61" s="2644" t="s">
        <v>2786</v>
      </c>
      <c r="I61" s="1458" t="str">
        <f t="shared" si="15"/>
        <v>5-DaHall 1-PDU-11-20-24</v>
      </c>
      <c r="J61" s="1459" t="str">
        <f t="shared" si="23"/>
        <v>5-DaHall 1-PDU-12-20-24</v>
      </c>
      <c r="K61" s="1568">
        <v>220</v>
      </c>
      <c r="L61" s="1569">
        <v>20</v>
      </c>
      <c r="M61" s="2365" t="s">
        <v>6541</v>
      </c>
      <c r="N61" s="1570">
        <v>24</v>
      </c>
      <c r="O61" s="1571">
        <v>220</v>
      </c>
      <c r="P61" s="1572">
        <v>20</v>
      </c>
      <c r="Q61" s="2395" t="s">
        <v>6548</v>
      </c>
      <c r="R61" s="1573">
        <v>24</v>
      </c>
      <c r="S61" s="872" t="s">
        <v>2480</v>
      </c>
      <c r="T61" s="2644" t="s">
        <v>2481</v>
      </c>
      <c r="U61" s="2611" t="s">
        <v>2482</v>
      </c>
      <c r="V61" s="2605" t="s">
        <v>2483</v>
      </c>
      <c r="W61" s="3469"/>
      <c r="X61" s="3498"/>
      <c r="Y61" s="329">
        <f>'5층_부하량(월간_AVG)'!O327</f>
        <v>0</v>
      </c>
      <c r="Z61" s="329">
        <f>'5층_부하량(월간_AVG)'!O386</f>
        <v>0</v>
      </c>
      <c r="AA61" s="3627"/>
      <c r="AB61" s="2706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3118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162">
        <f>VLOOKUP(I61&amp;J61,'7층~4층_매핑테이블'!$I$6:$P$2020,8,0)</f>
        <v>0.77800000000000002</v>
      </c>
      <c r="AE61" s="3150" t="e">
        <f>$AE$60</f>
        <v>#N/A</v>
      </c>
      <c r="AF61" s="2452"/>
      <c r="AH61" s="2351" t="e">
        <f t="shared" si="4"/>
        <v>#N/A</v>
      </c>
      <c r="AI61" s="2351" t="e">
        <f t="shared" si="5"/>
        <v>#N/A</v>
      </c>
      <c r="AJ61" s="123" t="e">
        <f t="shared" si="0"/>
        <v>#N/A</v>
      </c>
      <c r="AK61" t="e">
        <f t="shared" si="6"/>
        <v>#N/A</v>
      </c>
      <c r="AL61" t="e">
        <f t="shared" si="7"/>
        <v>#N/A</v>
      </c>
      <c r="AQ61" s="123"/>
      <c r="AR61" s="123"/>
      <c r="AS61" s="123"/>
      <c r="AT61" s="2982"/>
      <c r="AU61" s="123"/>
      <c r="AV61" s="123"/>
      <c r="AW61" s="2990"/>
      <c r="AX61" s="2984"/>
      <c r="AY61" s="2985"/>
      <c r="AZ61" s="2986"/>
      <c r="BA61" s="2987"/>
      <c r="BB61" s="3194"/>
    </row>
    <row r="62" spans="1:54" ht="27" customHeight="1" thickTop="1" x14ac:dyDescent="0.25">
      <c r="A62" s="1083"/>
      <c r="B62" s="2680" t="s">
        <v>2787</v>
      </c>
      <c r="C62" s="886"/>
      <c r="D62" s="2936"/>
      <c r="E62" s="2680" t="s">
        <v>2788</v>
      </c>
      <c r="F62" s="2680" t="s">
        <v>2789</v>
      </c>
      <c r="G62" s="2678" t="s">
        <v>2790</v>
      </c>
      <c r="H62" s="2674" t="s">
        <v>2791</v>
      </c>
      <c r="I62" s="1458" t="str">
        <f t="shared" si="15"/>
        <v>5-DaHall 1-PDU-13-20-22</v>
      </c>
      <c r="J62" s="1459" t="str">
        <f t="shared" si="23"/>
        <v>5-DaHall 1-PDU-14-20-20</v>
      </c>
      <c r="K62" s="1591">
        <v>220</v>
      </c>
      <c r="L62" s="1592">
        <v>20</v>
      </c>
      <c r="M62" s="2384" t="s">
        <v>6542</v>
      </c>
      <c r="N62" s="1593">
        <v>22</v>
      </c>
      <c r="O62" s="1594">
        <v>220</v>
      </c>
      <c r="P62" s="1584">
        <v>20</v>
      </c>
      <c r="Q62" s="2409" t="s">
        <v>6549</v>
      </c>
      <c r="R62" s="1585">
        <v>20</v>
      </c>
      <c r="S62" s="3674"/>
      <c r="T62" s="3632"/>
      <c r="U62" s="3478"/>
      <c r="V62" s="3477"/>
      <c r="W62" s="3478"/>
      <c r="X62" s="3477"/>
      <c r="Y62" s="834">
        <f>SUM('5층_부하량(월간_AVG)'!N346:P346)</f>
        <v>0</v>
      </c>
      <c r="Z62" s="834">
        <f>SUM('5층_부하량(월간_AVG)'!N404:P404)</f>
        <v>0</v>
      </c>
      <c r="AA62" s="2441">
        <f t="shared" ref="AA62:AA81" si="25">SUM(Y62:Z62)</f>
        <v>0</v>
      </c>
      <c r="AB62" s="2704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3117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3162">
        <f>VLOOKUP(I62&amp;J62,'7층~4층_매핑테이블'!$I$6:$P$2020,8,0)</f>
        <v>0</v>
      </c>
      <c r="AE62" s="3138" t="e">
        <f>SUM(AB62:AC62)</f>
        <v>#N/A</v>
      </c>
      <c r="AF62" s="2456" t="s">
        <v>1265</v>
      </c>
      <c r="AH62" s="2351" t="e">
        <f t="shared" si="4"/>
        <v>#N/A</v>
      </c>
      <c r="AI62" s="2351" t="e">
        <f t="shared" si="5"/>
        <v>#N/A</v>
      </c>
      <c r="AJ62" s="123" t="e">
        <f t="shared" si="0"/>
        <v>#N/A</v>
      </c>
      <c r="AK62" t="e">
        <f t="shared" si="6"/>
        <v>#N/A</v>
      </c>
      <c r="AL62" t="e">
        <f t="shared" si="7"/>
        <v>#N/A</v>
      </c>
      <c r="AQ62" s="123"/>
      <c r="AR62" s="123"/>
      <c r="AS62" s="123"/>
      <c r="AT62" s="2982"/>
      <c r="AU62" s="123"/>
      <c r="AV62" s="123"/>
      <c r="AW62" s="2990"/>
      <c r="AX62" s="2984"/>
      <c r="AY62" s="2985"/>
      <c r="AZ62" s="2986"/>
      <c r="BA62" s="2987"/>
      <c r="BB62" s="3194"/>
    </row>
    <row r="63" spans="1:54" ht="28.8" x14ac:dyDescent="0.25">
      <c r="A63" s="1083"/>
      <c r="B63" s="2680" t="s">
        <v>2792</v>
      </c>
      <c r="C63" s="886"/>
      <c r="D63" s="2929"/>
      <c r="E63" s="2680" t="s">
        <v>2793</v>
      </c>
      <c r="F63" s="2680" t="s">
        <v>2794</v>
      </c>
      <c r="G63" s="2678" t="s">
        <v>2795</v>
      </c>
      <c r="H63" s="2674" t="s">
        <v>2796</v>
      </c>
      <c r="I63" s="1458" t="str">
        <f t="shared" si="15"/>
        <v>5-DaHall 1-PDU-13-20-24</v>
      </c>
      <c r="J63" s="1459" t="str">
        <f t="shared" si="23"/>
        <v>5-DaHall 1-PDU-14-20-22</v>
      </c>
      <c r="K63" s="1591">
        <v>220</v>
      </c>
      <c r="L63" s="1592">
        <v>20</v>
      </c>
      <c r="M63" s="2384" t="s">
        <v>6542</v>
      </c>
      <c r="N63" s="1593">
        <v>24</v>
      </c>
      <c r="O63" s="1594">
        <v>220</v>
      </c>
      <c r="P63" s="1584">
        <v>20</v>
      </c>
      <c r="Q63" s="2409" t="s">
        <v>6549</v>
      </c>
      <c r="R63" s="1585">
        <v>22</v>
      </c>
      <c r="S63" s="3674"/>
      <c r="T63" s="3632"/>
      <c r="U63" s="3478"/>
      <c r="V63" s="3477"/>
      <c r="W63" s="3478"/>
      <c r="X63" s="3477"/>
      <c r="Y63" s="834">
        <f>SUM('5층_부하량(월간_AVG)'!N347:P347)</f>
        <v>0</v>
      </c>
      <c r="Z63" s="834">
        <f>SUM('5층_부하량(월간_AVG)'!N405:P405)</f>
        <v>0</v>
      </c>
      <c r="AA63" s="2441">
        <f t="shared" si="25"/>
        <v>0</v>
      </c>
      <c r="AB63" s="2704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3117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3162">
        <f>VLOOKUP(I63&amp;J63,'7층~4층_매핑테이블'!$I$6:$P$2020,8,0)</f>
        <v>0</v>
      </c>
      <c r="AE63" s="3149" t="e">
        <f>SUM(AB63:AC63)</f>
        <v>#N/A</v>
      </c>
      <c r="AF63" s="2456" t="s">
        <v>1265</v>
      </c>
      <c r="AH63" s="2351" t="e">
        <f t="shared" si="4"/>
        <v>#N/A</v>
      </c>
      <c r="AI63" s="2351" t="e">
        <f t="shared" si="5"/>
        <v>#N/A</v>
      </c>
      <c r="AJ63" s="123" t="e">
        <f t="shared" si="0"/>
        <v>#N/A</v>
      </c>
      <c r="AK63" t="e">
        <f t="shared" si="6"/>
        <v>#N/A</v>
      </c>
      <c r="AL63" t="e">
        <f t="shared" si="7"/>
        <v>#N/A</v>
      </c>
      <c r="AQ63" s="123"/>
      <c r="AR63" s="123"/>
      <c r="AS63" s="123"/>
      <c r="AT63" s="2982"/>
      <c r="AU63" s="123"/>
      <c r="AV63" s="123"/>
      <c r="AW63" s="2990"/>
      <c r="AX63" s="2984"/>
      <c r="AY63" s="2985"/>
      <c r="AZ63" s="2986"/>
      <c r="BA63" s="2987"/>
      <c r="BB63" s="3194"/>
    </row>
    <row r="64" spans="1:54" ht="28.8" x14ac:dyDescent="0.25">
      <c r="A64" s="2620" t="s">
        <v>2797</v>
      </c>
      <c r="B64" s="2621" t="s">
        <v>2798</v>
      </c>
      <c r="C64" s="2891" t="s">
        <v>9229</v>
      </c>
      <c r="D64" s="2933">
        <v>2.2000000000000002</v>
      </c>
      <c r="E64" s="837" t="s">
        <v>2799</v>
      </c>
      <c r="F64" s="250" t="s">
        <v>2800</v>
      </c>
      <c r="G64" s="2633" t="s">
        <v>2801</v>
      </c>
      <c r="H64" s="2634" t="s">
        <v>2802</v>
      </c>
      <c r="I64" s="1458" t="str">
        <f t="shared" si="15"/>
        <v>5-DaHall 1-PDU-13-20-26</v>
      </c>
      <c r="J64" s="1459" t="str">
        <f t="shared" si="23"/>
        <v>5-DaHall 1-PDU-14-20-24</v>
      </c>
      <c r="K64" s="1558">
        <v>220</v>
      </c>
      <c r="L64" s="1559">
        <v>20</v>
      </c>
      <c r="M64" s="2364" t="s">
        <v>6542</v>
      </c>
      <c r="N64" s="1560">
        <v>26</v>
      </c>
      <c r="O64" s="1561">
        <v>220</v>
      </c>
      <c r="P64" s="1562">
        <v>20</v>
      </c>
      <c r="Q64" s="2394" t="s">
        <v>6549</v>
      </c>
      <c r="R64" s="1563">
        <v>24</v>
      </c>
      <c r="S64" s="3674"/>
      <c r="T64" s="3632"/>
      <c r="U64" s="3478"/>
      <c r="V64" s="3477"/>
      <c r="W64" s="3478"/>
      <c r="X64" s="3477"/>
      <c r="Y64" s="253">
        <f>SUM('5층_부하량(월간_AVG)'!N348:P348)</f>
        <v>0</v>
      </c>
      <c r="Z64" s="253">
        <f>SUM('5층_부하량(월간_AVG)'!N406:P406)</f>
        <v>0</v>
      </c>
      <c r="AA64" s="2436">
        <f t="shared" si="25"/>
        <v>0</v>
      </c>
      <c r="AB64" s="2691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3109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3162">
        <f>VLOOKUP(I64&amp;J64,'7층~4층_매핑테이블'!$I$6:$P$2020,8,0)</f>
        <v>1.5409999999999999</v>
      </c>
      <c r="AE64" s="3144" t="e">
        <f>SUM(AB64:AC64)</f>
        <v>#N/A</v>
      </c>
      <c r="AF64" s="2451"/>
      <c r="AH64" s="2351" t="e">
        <f t="shared" si="4"/>
        <v>#N/A</v>
      </c>
      <c r="AI64" s="2351" t="e">
        <f t="shared" si="5"/>
        <v>#N/A</v>
      </c>
      <c r="AJ64" s="123" t="e">
        <f t="shared" si="0"/>
        <v>#N/A</v>
      </c>
      <c r="AK64" t="e">
        <f t="shared" si="6"/>
        <v>#N/A</v>
      </c>
      <c r="AL64" t="e">
        <f t="shared" si="7"/>
        <v>#N/A</v>
      </c>
      <c r="AQ64" s="123"/>
      <c r="AR64" s="123"/>
      <c r="AS64" s="123"/>
      <c r="AT64" s="2982"/>
      <c r="AU64" s="123"/>
      <c r="AV64" s="123"/>
      <c r="AW64" s="2990"/>
      <c r="AX64" s="2984"/>
      <c r="AY64" s="2985"/>
      <c r="AZ64" s="2986"/>
      <c r="BA64" s="2987"/>
      <c r="BB64" s="3194"/>
    </row>
    <row r="65" spans="1:54" x14ac:dyDescent="0.25">
      <c r="A65" s="3459" t="s">
        <v>2803</v>
      </c>
      <c r="B65" s="3480" t="s">
        <v>2804</v>
      </c>
      <c r="C65" s="3587" t="s">
        <v>9230</v>
      </c>
      <c r="D65" s="3569">
        <v>6.6</v>
      </c>
      <c r="E65" s="837"/>
      <c r="F65" s="250"/>
      <c r="G65" s="2633"/>
      <c r="H65" s="2634"/>
      <c r="I65" s="1458" t="str">
        <f t="shared" si="15"/>
        <v>5-DaHall 1-PDU-15-30-10</v>
      </c>
      <c r="J65" s="1459" t="str">
        <f t="shared" si="23"/>
        <v>5-DaHall 1-PDU-16-30-10</v>
      </c>
      <c r="K65" s="1558"/>
      <c r="L65" s="1559">
        <v>30</v>
      </c>
      <c r="M65" s="2364" t="s">
        <v>6543</v>
      </c>
      <c r="N65" s="1560">
        <v>10</v>
      </c>
      <c r="O65" s="1561"/>
      <c r="P65" s="1562">
        <v>30</v>
      </c>
      <c r="Q65" s="2394" t="s">
        <v>6550</v>
      </c>
      <c r="R65" s="1563">
        <v>10</v>
      </c>
      <c r="S65" s="3674"/>
      <c r="T65" s="3632"/>
      <c r="U65" s="3478"/>
      <c r="V65" s="3477"/>
      <c r="W65" s="3478"/>
      <c r="X65" s="3477"/>
      <c r="Y65" s="253">
        <f>SUM('5층_부하량(월간_AVG)'!N360:P360)</f>
        <v>0</v>
      </c>
      <c r="Z65" s="253">
        <f>SUM('5층_부하량(월간_AVG)'!N419:P419)</f>
        <v>0</v>
      </c>
      <c r="AA65" s="2436">
        <f t="shared" si="25"/>
        <v>0</v>
      </c>
      <c r="AB65" s="2691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3109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162">
        <f>VLOOKUP(I65&amp;J65,'7층~4층_매핑테이블'!$I$6:$P$2020,8,0)</f>
        <v>1.57</v>
      </c>
      <c r="AE65" s="3145" t="e">
        <f>SUM(AB65:AC66)</f>
        <v>#N/A</v>
      </c>
      <c r="AF65" s="2451"/>
      <c r="AH65" s="2351" t="e">
        <f t="shared" si="4"/>
        <v>#N/A</v>
      </c>
      <c r="AI65" s="2351" t="e">
        <f t="shared" si="5"/>
        <v>#N/A</v>
      </c>
      <c r="AJ65" s="123" t="e">
        <f t="shared" si="0"/>
        <v>#N/A</v>
      </c>
      <c r="AK65" t="e">
        <f t="shared" si="6"/>
        <v>#N/A</v>
      </c>
      <c r="AL65" t="e">
        <f t="shared" si="7"/>
        <v>#N/A</v>
      </c>
      <c r="AQ65" s="123"/>
      <c r="AR65" s="123"/>
      <c r="AS65" s="123"/>
      <c r="AT65" s="2982"/>
      <c r="AU65" s="123"/>
      <c r="AV65" s="123"/>
      <c r="AW65" s="2990"/>
      <c r="AX65" s="2984"/>
      <c r="AY65" s="2985"/>
      <c r="AZ65" s="2986"/>
      <c r="BA65" s="2987"/>
      <c r="BB65" s="3194"/>
    </row>
    <row r="66" spans="1:54" ht="28.8" x14ac:dyDescent="0.25">
      <c r="A66" s="3461"/>
      <c r="B66" s="3481"/>
      <c r="C66" s="3585"/>
      <c r="D66" s="3571"/>
      <c r="E66" s="837" t="s">
        <v>2805</v>
      </c>
      <c r="F66" s="250" t="s">
        <v>2806</v>
      </c>
      <c r="G66" s="2633" t="s">
        <v>2807</v>
      </c>
      <c r="H66" s="2634" t="s">
        <v>2808</v>
      </c>
      <c r="I66" s="1458" t="str">
        <f t="shared" si="15"/>
        <v>5-DaHall 1-PDU-13-20-28</v>
      </c>
      <c r="J66" s="1459" t="str">
        <f t="shared" si="23"/>
        <v>5-DaHall 1-PDU-14-20-26</v>
      </c>
      <c r="K66" s="1558">
        <v>220</v>
      </c>
      <c r="L66" s="1559">
        <v>20</v>
      </c>
      <c r="M66" s="2364" t="s">
        <v>6542</v>
      </c>
      <c r="N66" s="1560">
        <v>28</v>
      </c>
      <c r="O66" s="1561">
        <v>220</v>
      </c>
      <c r="P66" s="1562">
        <v>20</v>
      </c>
      <c r="Q66" s="2394" t="s">
        <v>6549</v>
      </c>
      <c r="R66" s="1563">
        <v>26</v>
      </c>
      <c r="S66" s="3674"/>
      <c r="T66" s="3632"/>
      <c r="U66" s="3478"/>
      <c r="V66" s="3477"/>
      <c r="W66" s="3478"/>
      <c r="X66" s="3477"/>
      <c r="Y66" s="253">
        <f>SUM('5층_부하량(월간_AVG)'!N349:P349)</f>
        <v>0</v>
      </c>
      <c r="Z66" s="253">
        <f>SUM('5층_부하량(월간_AVG)'!N407:P407)</f>
        <v>0</v>
      </c>
      <c r="AA66" s="2436">
        <f t="shared" si="25"/>
        <v>0</v>
      </c>
      <c r="AB66" s="2691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3109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162">
        <f>VLOOKUP(I66&amp;J66,'7층~4층_매핑테이블'!$I$6:$P$2020,8,0)</f>
        <v>0</v>
      </c>
      <c r="AE66" s="3146" t="e">
        <f>$AE$65</f>
        <v>#N/A</v>
      </c>
      <c r="AF66" s="2491" t="s">
        <v>2809</v>
      </c>
      <c r="AH66" s="2351" t="e">
        <f t="shared" si="4"/>
        <v>#N/A</v>
      </c>
      <c r="AI66" s="2351" t="e">
        <f t="shared" si="5"/>
        <v>#N/A</v>
      </c>
      <c r="AJ66" s="123" t="e">
        <f t="shared" si="0"/>
        <v>#N/A</v>
      </c>
      <c r="AK66" t="e">
        <f t="shared" si="6"/>
        <v>#N/A</v>
      </c>
      <c r="AL66" t="e">
        <f t="shared" si="7"/>
        <v>#N/A</v>
      </c>
      <c r="AQ66" s="123"/>
      <c r="AR66" s="123"/>
      <c r="AS66" s="123"/>
      <c r="AT66" s="2982"/>
      <c r="AU66" s="123"/>
      <c r="AV66" s="123"/>
      <c r="AW66" s="2990"/>
      <c r="AX66" s="2984"/>
      <c r="AY66" s="2985"/>
      <c r="AZ66" s="2986"/>
      <c r="BA66" s="2987"/>
      <c r="BB66" s="3194"/>
    </row>
    <row r="67" spans="1:54" x14ac:dyDescent="0.25">
      <c r="A67" s="3459" t="s">
        <v>2810</v>
      </c>
      <c r="B67" s="3480" t="s">
        <v>2811</v>
      </c>
      <c r="C67" s="3587" t="s">
        <v>9231</v>
      </c>
      <c r="D67" s="3569">
        <v>6</v>
      </c>
      <c r="E67" s="837"/>
      <c r="F67" s="250"/>
      <c r="G67" s="2633"/>
      <c r="H67" s="2634"/>
      <c r="I67" s="1458" t="str">
        <f t="shared" si="15"/>
        <v>5-DaHall 1-PDU-15-30-8</v>
      </c>
      <c r="J67" s="1459" t="str">
        <f t="shared" si="23"/>
        <v>5-DaHall 1-PDU-16-30-8</v>
      </c>
      <c r="K67" s="1558"/>
      <c r="L67" s="1559">
        <v>30</v>
      </c>
      <c r="M67" s="2364" t="s">
        <v>6543</v>
      </c>
      <c r="N67" s="1560">
        <v>8</v>
      </c>
      <c r="O67" s="1561"/>
      <c r="P67" s="1562">
        <v>30</v>
      </c>
      <c r="Q67" s="2394" t="s">
        <v>6550</v>
      </c>
      <c r="R67" s="1563">
        <v>8</v>
      </c>
      <c r="S67" s="3674"/>
      <c r="T67" s="3632"/>
      <c r="U67" s="3478"/>
      <c r="V67" s="3477"/>
      <c r="W67" s="3478"/>
      <c r="X67" s="3477"/>
      <c r="Y67" s="253">
        <f>SUM('5층_부하량(월간_AVG)'!N359:P359)</f>
        <v>0</v>
      </c>
      <c r="Z67" s="253">
        <f>SUM('5층_부하량(월간_AVG)'!N418:P418)</f>
        <v>0</v>
      </c>
      <c r="AA67" s="2436">
        <f t="shared" si="25"/>
        <v>0</v>
      </c>
      <c r="AB67" s="2691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3109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162">
        <f>VLOOKUP(I67&amp;J67,'7층~4층_매핑테이블'!$I$6:$P$2020,8,0)</f>
        <v>1.7999999999999998</v>
      </c>
      <c r="AE67" s="3145" t="e">
        <f>SUM(AB67:AC68)</f>
        <v>#N/A</v>
      </c>
      <c r="AF67" s="2491"/>
      <c r="AH67" s="2351" t="e">
        <f t="shared" si="4"/>
        <v>#N/A</v>
      </c>
      <c r="AI67" s="2351" t="e">
        <f t="shared" si="5"/>
        <v>#N/A</v>
      </c>
      <c r="AJ67" s="123" t="e">
        <f t="shared" si="0"/>
        <v>#N/A</v>
      </c>
      <c r="AK67" t="e">
        <f t="shared" si="6"/>
        <v>#N/A</v>
      </c>
      <c r="AL67" t="e">
        <f t="shared" si="7"/>
        <v>#N/A</v>
      </c>
      <c r="AQ67" s="123"/>
      <c r="AR67" s="123"/>
      <c r="AS67" s="123"/>
      <c r="AT67" s="2982"/>
      <c r="AU67" s="123"/>
      <c r="AV67" s="123"/>
      <c r="AW67" s="2990"/>
      <c r="AX67" s="2984"/>
      <c r="AY67" s="2985"/>
      <c r="AZ67" s="2986"/>
      <c r="BA67" s="2987"/>
      <c r="BB67" s="3194"/>
    </row>
    <row r="68" spans="1:54" ht="28.8" x14ac:dyDescent="0.25">
      <c r="A68" s="3461"/>
      <c r="B68" s="3481"/>
      <c r="C68" s="3585"/>
      <c r="D68" s="3571"/>
      <c r="E68" s="837" t="s">
        <v>2812</v>
      </c>
      <c r="F68" s="250" t="s">
        <v>2813</v>
      </c>
      <c r="G68" s="2633" t="s">
        <v>2814</v>
      </c>
      <c r="H68" s="2634" t="s">
        <v>2815</v>
      </c>
      <c r="I68" s="1458" t="str">
        <f t="shared" si="15"/>
        <v>5-DaHall 1-PDU-13-20-30</v>
      </c>
      <c r="J68" s="1459" t="str">
        <f t="shared" si="23"/>
        <v>5-DaHall 1-PDU-14-20-28</v>
      </c>
      <c r="K68" s="1558">
        <v>220</v>
      </c>
      <c r="L68" s="1559">
        <v>20</v>
      </c>
      <c r="M68" s="2364" t="s">
        <v>6542</v>
      </c>
      <c r="N68" s="1560">
        <v>30</v>
      </c>
      <c r="O68" s="1561">
        <v>220</v>
      </c>
      <c r="P68" s="1562">
        <v>20</v>
      </c>
      <c r="Q68" s="2394" t="s">
        <v>6549</v>
      </c>
      <c r="R68" s="1563">
        <v>28</v>
      </c>
      <c r="S68" s="3674"/>
      <c r="T68" s="3632"/>
      <c r="U68" s="3478"/>
      <c r="V68" s="3477"/>
      <c r="W68" s="3478"/>
      <c r="X68" s="3477"/>
      <c r="Y68" s="253">
        <f>SUM('5층_부하량(월간_AVG)'!N350:P350)</f>
        <v>0</v>
      </c>
      <c r="Z68" s="253">
        <f>SUM('5층_부하량(월간_AVG)'!N408:P408)</f>
        <v>0</v>
      </c>
      <c r="AA68" s="2436">
        <f t="shared" si="25"/>
        <v>0</v>
      </c>
      <c r="AB68" s="2691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3109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162">
        <f>VLOOKUP(I68&amp;J68,'7층~4층_매핑테이블'!$I$6:$P$2020,8,0)</f>
        <v>0</v>
      </c>
      <c r="AE68" s="3146" t="e">
        <f>$AE$67</f>
        <v>#N/A</v>
      </c>
      <c r="AF68" s="2451"/>
      <c r="AH68" s="2351" t="e">
        <f t="shared" si="4"/>
        <v>#N/A</v>
      </c>
      <c r="AI68" s="2351" t="e">
        <f t="shared" si="5"/>
        <v>#N/A</v>
      </c>
      <c r="AJ68" s="123" t="e">
        <f t="shared" si="0"/>
        <v>#N/A</v>
      </c>
      <c r="AK68" t="e">
        <f t="shared" si="6"/>
        <v>#N/A</v>
      </c>
      <c r="AL68" t="e">
        <f t="shared" si="7"/>
        <v>#N/A</v>
      </c>
      <c r="AQ68" s="123"/>
      <c r="AR68" s="123"/>
      <c r="AS68" s="123"/>
      <c r="AT68" s="2982"/>
      <c r="AU68" s="123"/>
      <c r="AV68" s="123"/>
      <c r="AW68" s="2990"/>
      <c r="AX68" s="2984"/>
      <c r="AY68" s="2985"/>
      <c r="AZ68" s="2986"/>
      <c r="BA68" s="2987"/>
      <c r="BB68" s="3194"/>
    </row>
    <row r="69" spans="1:54" ht="35.4" thickBot="1" x14ac:dyDescent="0.3">
      <c r="A69" s="2620" t="s">
        <v>2816</v>
      </c>
      <c r="B69" s="250" t="s">
        <v>2817</v>
      </c>
      <c r="C69" s="2908" t="s">
        <v>9231</v>
      </c>
      <c r="D69" s="2937"/>
      <c r="E69" s="837" t="s">
        <v>2818</v>
      </c>
      <c r="F69" s="250" t="s">
        <v>2819</v>
      </c>
      <c r="G69" s="2633" t="s">
        <v>2820</v>
      </c>
      <c r="H69" s="2634" t="s">
        <v>2821</v>
      </c>
      <c r="I69" s="1458" t="str">
        <f t="shared" si="15"/>
        <v>5-DaHall 1-PDU-13-20-32</v>
      </c>
      <c r="J69" s="1459" t="str">
        <f t="shared" si="23"/>
        <v>5-DaHall 1-PDU-14-20-30</v>
      </c>
      <c r="K69" s="1558">
        <v>220</v>
      </c>
      <c r="L69" s="1559">
        <v>20</v>
      </c>
      <c r="M69" s="2364" t="s">
        <v>6542</v>
      </c>
      <c r="N69" s="1560">
        <v>32</v>
      </c>
      <c r="O69" s="1561">
        <v>220</v>
      </c>
      <c r="P69" s="1562">
        <v>20</v>
      </c>
      <c r="Q69" s="2394" t="s">
        <v>6549</v>
      </c>
      <c r="R69" s="1563">
        <v>30</v>
      </c>
      <c r="S69" s="3675"/>
      <c r="T69" s="3633"/>
      <c r="U69" s="3487"/>
      <c r="V69" s="3488"/>
      <c r="W69" s="3487"/>
      <c r="X69" s="3488"/>
      <c r="Y69" s="253">
        <f>SUM('5층_부하량(월간_AVG)'!N351:P351)</f>
        <v>0</v>
      </c>
      <c r="Z69" s="253">
        <f>SUM('5층_부하량(월간_AVG)'!N409:P409)</f>
        <v>0</v>
      </c>
      <c r="AA69" s="2436">
        <f t="shared" si="25"/>
        <v>0</v>
      </c>
      <c r="AB69" s="2691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3109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3162">
        <f>VLOOKUP(I69&amp;J69,'7층~4층_매핑테이블'!$I$6:$P$2020,8,0)</f>
        <v>0</v>
      </c>
      <c r="AE69" s="3144" t="e">
        <f>SUM(AB69:AC69)</f>
        <v>#N/A</v>
      </c>
      <c r="AF69" s="2451"/>
      <c r="AH69" s="2351" t="e">
        <f t="shared" si="4"/>
        <v>#N/A</v>
      </c>
      <c r="AI69" s="2351" t="e">
        <f t="shared" si="5"/>
        <v>#N/A</v>
      </c>
      <c r="AJ69" s="123" t="e">
        <f t="shared" ref="AJ69:AJ133" si="26">IF(SIGN(AI69)&gt;=0,IF(AE69=0,"무부하 랙","적정함"),"사용초과")</f>
        <v>#N/A</v>
      </c>
      <c r="AK69" t="e">
        <f t="shared" si="6"/>
        <v>#N/A</v>
      </c>
      <c r="AL69" t="e">
        <f t="shared" si="7"/>
        <v>#N/A</v>
      </c>
      <c r="AQ69" s="123"/>
      <c r="AR69" s="123"/>
      <c r="AS69" s="123"/>
      <c r="AT69" s="2982"/>
      <c r="AU69" s="123"/>
      <c r="AV69" s="123"/>
      <c r="AW69" s="2990"/>
      <c r="AX69" s="2984"/>
      <c r="AY69" s="2985"/>
      <c r="AZ69" s="2986"/>
      <c r="BA69" s="2987"/>
      <c r="BB69" s="3194"/>
    </row>
    <row r="70" spans="1:54" ht="16.2" thickTop="1" x14ac:dyDescent="0.25">
      <c r="A70" s="2154" t="s">
        <v>1750</v>
      </c>
      <c r="B70" s="327" t="s">
        <v>2833</v>
      </c>
      <c r="C70" s="970" t="s">
        <v>2834</v>
      </c>
      <c r="D70" s="2938">
        <v>2.2000000000000002</v>
      </c>
      <c r="E70" s="327"/>
      <c r="F70" s="327"/>
      <c r="G70" s="2641"/>
      <c r="H70" s="2642"/>
      <c r="I70" s="1458" t="str">
        <f t="shared" si="15"/>
        <v>5-DaHall 1-PDU-03-30-32</v>
      </c>
      <c r="J70" s="1459" t="str">
        <f t="shared" si="23"/>
        <v>5-DaHall 1-PDU-04-30-32</v>
      </c>
      <c r="K70" s="1552"/>
      <c r="L70" s="1553">
        <v>30</v>
      </c>
      <c r="M70" s="2363" t="s">
        <v>6500</v>
      </c>
      <c r="N70" s="1554">
        <v>32</v>
      </c>
      <c r="O70" s="1555"/>
      <c r="P70" s="1556">
        <v>30</v>
      </c>
      <c r="Q70" s="2393" t="s">
        <v>6495</v>
      </c>
      <c r="R70" s="1557">
        <v>32</v>
      </c>
      <c r="S70" s="3607"/>
      <c r="T70" s="3610"/>
      <c r="U70" s="3467"/>
      <c r="V70" s="3497"/>
      <c r="W70" s="3467"/>
      <c r="X70" s="3497"/>
      <c r="Y70" s="836">
        <f>SUM('5층_부하량(월간_AVG)'!N103:P103)</f>
        <v>0</v>
      </c>
      <c r="Z70" s="836">
        <f>SUM('5층_부하량(월간_AVG)'!N133:P133)</f>
        <v>0</v>
      </c>
      <c r="AA70" s="2438">
        <f t="shared" si="25"/>
        <v>0</v>
      </c>
      <c r="AB70" s="2689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3108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3162" t="e">
        <f>VLOOKUP(I70&amp;J70,'7층~4층_매핑테이블'!$I$6:$P$2020,8,0)</f>
        <v>#N/A</v>
      </c>
      <c r="AE70" s="3143" t="e">
        <f>SUM(AB70:AC70)</f>
        <v>#N/A</v>
      </c>
      <c r="AF70" s="2453"/>
      <c r="AH70" s="2351" t="e">
        <f t="shared" ref="AH70:AH134" si="27">AE70/(24*31)</f>
        <v>#N/A</v>
      </c>
      <c r="AI70" s="2351" t="e">
        <f t="shared" ref="AI70:AI134" si="28">D70-AH70</f>
        <v>#N/A</v>
      </c>
      <c r="AJ70" s="123" t="e">
        <f t="shared" si="26"/>
        <v>#N/A</v>
      </c>
      <c r="AK70" t="e">
        <f t="shared" ref="AK70:AK133" si="29">IF(AJ70="사용초과",C70,"")</f>
        <v>#N/A</v>
      </c>
      <c r="AL70" t="e">
        <f t="shared" ref="AL70:AL133" si="30">IF(AK70="","",A70)</f>
        <v>#N/A</v>
      </c>
      <c r="AQ70" s="123"/>
      <c r="AR70" s="123"/>
      <c r="AS70" s="123"/>
      <c r="AT70" s="2982"/>
      <c r="AU70" s="123"/>
      <c r="AV70" s="123"/>
      <c r="AW70" s="2990"/>
      <c r="AX70" s="2984"/>
      <c r="AY70" s="2985"/>
      <c r="AZ70" s="2986"/>
      <c r="BA70" s="2987"/>
      <c r="BB70" s="3194"/>
    </row>
    <row r="71" spans="1:54" ht="15.6" x14ac:dyDescent="0.25">
      <c r="A71" s="2155" t="s">
        <v>2835</v>
      </c>
      <c r="B71" s="250" t="s">
        <v>2836</v>
      </c>
      <c r="C71" s="2632" t="s">
        <v>2837</v>
      </c>
      <c r="D71" s="2933">
        <v>2.2000000000000002</v>
      </c>
      <c r="E71" s="250"/>
      <c r="F71" s="250"/>
      <c r="G71" s="2633"/>
      <c r="H71" s="2634"/>
      <c r="I71" s="1458" t="str">
        <f t="shared" si="15"/>
        <v>5-DaHall 1-PDU-03-30-34</v>
      </c>
      <c r="J71" s="1459" t="str">
        <f t="shared" si="23"/>
        <v>5-DaHall 1-PDU-04-30-34</v>
      </c>
      <c r="K71" s="1558"/>
      <c r="L71" s="1559">
        <v>30</v>
      </c>
      <c r="M71" s="2364" t="s">
        <v>6500</v>
      </c>
      <c r="N71" s="1560">
        <v>34</v>
      </c>
      <c r="O71" s="1561"/>
      <c r="P71" s="1562">
        <v>30</v>
      </c>
      <c r="Q71" s="2394" t="s">
        <v>6495</v>
      </c>
      <c r="R71" s="1563">
        <v>34</v>
      </c>
      <c r="S71" s="3608"/>
      <c r="T71" s="3611"/>
      <c r="U71" s="3472"/>
      <c r="V71" s="3471"/>
      <c r="W71" s="3472"/>
      <c r="X71" s="3471"/>
      <c r="Y71" s="268">
        <f>SUM('5층_부하량(월간_AVG)'!N104:P104)</f>
        <v>0</v>
      </c>
      <c r="Z71" s="268">
        <f>SUM('5층_부하량(월간_AVG)'!N134:P134)</f>
        <v>0</v>
      </c>
      <c r="AA71" s="2436">
        <f t="shared" si="25"/>
        <v>0</v>
      </c>
      <c r="AB71" s="2691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3109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3162" t="e">
        <f>VLOOKUP(I71&amp;J71,'7층~4층_매핑테이블'!$I$6:$P$2020,8,0)</f>
        <v>#N/A</v>
      </c>
      <c r="AE71" s="3144" t="e">
        <f>SUM(AB71:AC71)</f>
        <v>#N/A</v>
      </c>
      <c r="AF71" s="2451"/>
      <c r="AH71" s="2351" t="e">
        <f t="shared" si="27"/>
        <v>#N/A</v>
      </c>
      <c r="AI71" s="2351" t="e">
        <f t="shared" si="28"/>
        <v>#N/A</v>
      </c>
      <c r="AJ71" s="123" t="e">
        <f t="shared" si="26"/>
        <v>#N/A</v>
      </c>
      <c r="AK71" t="e">
        <f t="shared" si="29"/>
        <v>#N/A</v>
      </c>
      <c r="AL71" t="e">
        <f t="shared" si="30"/>
        <v>#N/A</v>
      </c>
      <c r="AQ71" s="123"/>
      <c r="AR71" s="123"/>
      <c r="AS71" s="123"/>
      <c r="AT71" s="2982"/>
      <c r="AU71" s="123"/>
      <c r="AV71" s="123"/>
      <c r="AW71" s="2990"/>
      <c r="AX71" s="2984"/>
      <c r="AY71" s="2985"/>
      <c r="AZ71" s="2986"/>
      <c r="BA71" s="2987"/>
      <c r="BB71" s="3194"/>
    </row>
    <row r="72" spans="1:54" ht="15.6" x14ac:dyDescent="0.25">
      <c r="A72" s="2155" t="s">
        <v>1762</v>
      </c>
      <c r="B72" s="250" t="s">
        <v>2838</v>
      </c>
      <c r="C72" s="2632" t="s">
        <v>2837</v>
      </c>
      <c r="D72" s="2933">
        <v>2.2000000000000002</v>
      </c>
      <c r="E72" s="250"/>
      <c r="F72" s="250"/>
      <c r="G72" s="2633"/>
      <c r="H72" s="2634"/>
      <c r="I72" s="1458" t="str">
        <f t="shared" si="15"/>
        <v>5-DaHall 1-PDU-03-30-36</v>
      </c>
      <c r="J72" s="1459" t="str">
        <f t="shared" si="23"/>
        <v>5-DaHall 1-PDU-04-30-36</v>
      </c>
      <c r="K72" s="1558"/>
      <c r="L72" s="1559">
        <v>30</v>
      </c>
      <c r="M72" s="2364" t="s">
        <v>6500</v>
      </c>
      <c r="N72" s="1560">
        <v>36</v>
      </c>
      <c r="O72" s="1561"/>
      <c r="P72" s="1562">
        <v>30</v>
      </c>
      <c r="Q72" s="2394" t="s">
        <v>6495</v>
      </c>
      <c r="R72" s="1563">
        <v>36</v>
      </c>
      <c r="S72" s="3608"/>
      <c r="T72" s="3611"/>
      <c r="U72" s="3472"/>
      <c r="V72" s="3471"/>
      <c r="W72" s="3472"/>
      <c r="X72" s="3471"/>
      <c r="Y72" s="268">
        <f>SUM('5층_부하량(월간_AVG)'!N105:P105)</f>
        <v>0</v>
      </c>
      <c r="Z72" s="268">
        <f>SUM('5층_부하량(월간_AVG)'!N135:P135)</f>
        <v>0</v>
      </c>
      <c r="AA72" s="2436">
        <f t="shared" si="25"/>
        <v>0</v>
      </c>
      <c r="AB72" s="2691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3109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3162" t="e">
        <f>VLOOKUP(I72&amp;J72,'7층~4층_매핑테이블'!$I$6:$P$2020,8,0)</f>
        <v>#N/A</v>
      </c>
      <c r="AE72" s="3144" t="e">
        <f t="shared" ref="AE72:AE75" si="31">SUM(AB72:AC72)</f>
        <v>#N/A</v>
      </c>
      <c r="AF72" s="2451"/>
      <c r="AH72" s="2351" t="e">
        <f t="shared" si="27"/>
        <v>#N/A</v>
      </c>
      <c r="AI72" s="2351" t="e">
        <f t="shared" si="28"/>
        <v>#N/A</v>
      </c>
      <c r="AJ72" s="123" t="e">
        <f t="shared" si="26"/>
        <v>#N/A</v>
      </c>
      <c r="AK72" t="e">
        <f t="shared" si="29"/>
        <v>#N/A</v>
      </c>
      <c r="AL72" t="e">
        <f t="shared" si="30"/>
        <v>#N/A</v>
      </c>
      <c r="AQ72" s="123"/>
      <c r="AR72" s="123"/>
      <c r="AS72" s="123"/>
      <c r="AT72" s="2982"/>
      <c r="AU72" s="123"/>
      <c r="AV72" s="123"/>
      <c r="AW72" s="2990"/>
      <c r="AX72" s="2984"/>
      <c r="AY72" s="2985"/>
      <c r="AZ72" s="2986"/>
      <c r="BA72" s="2987"/>
      <c r="BB72" s="3194"/>
    </row>
    <row r="73" spans="1:54" ht="15.6" x14ac:dyDescent="0.25">
      <c r="A73" s="2155" t="s">
        <v>2839</v>
      </c>
      <c r="B73" s="250" t="s">
        <v>2840</v>
      </c>
      <c r="C73" s="2632" t="s">
        <v>2837</v>
      </c>
      <c r="D73" s="2933">
        <v>2.2000000000000002</v>
      </c>
      <c r="E73" s="250"/>
      <c r="F73" s="250"/>
      <c r="G73" s="2633"/>
      <c r="H73" s="2634"/>
      <c r="I73" s="1458" t="str">
        <f t="shared" si="15"/>
        <v>5-DaHall 1-PDU-03-30-38</v>
      </c>
      <c r="J73" s="1459" t="str">
        <f t="shared" si="23"/>
        <v>5-DaHall 1-PDU-04-30-38</v>
      </c>
      <c r="K73" s="1558"/>
      <c r="L73" s="1559">
        <v>30</v>
      </c>
      <c r="M73" s="2364" t="s">
        <v>6500</v>
      </c>
      <c r="N73" s="1560">
        <v>38</v>
      </c>
      <c r="O73" s="1561"/>
      <c r="P73" s="1562">
        <v>30</v>
      </c>
      <c r="Q73" s="2394" t="s">
        <v>6495</v>
      </c>
      <c r="R73" s="1563">
        <v>38</v>
      </c>
      <c r="S73" s="3608"/>
      <c r="T73" s="3611"/>
      <c r="U73" s="3472"/>
      <c r="V73" s="3471"/>
      <c r="W73" s="3472"/>
      <c r="X73" s="3471"/>
      <c r="Y73" s="268">
        <f>SUM('5층_부하량(월간_AVG)'!N106:P106)</f>
        <v>0</v>
      </c>
      <c r="Z73" s="268">
        <f>SUM('5층_부하량(월간_AVG)'!N136:P136)</f>
        <v>0</v>
      </c>
      <c r="AA73" s="2436">
        <f t="shared" si="25"/>
        <v>0</v>
      </c>
      <c r="AB73" s="2691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3109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3162" t="e">
        <f>VLOOKUP(I73&amp;J73,'7층~4층_매핑테이블'!$I$6:$P$2020,8,0)</f>
        <v>#N/A</v>
      </c>
      <c r="AE73" s="3144" t="e">
        <f t="shared" si="31"/>
        <v>#N/A</v>
      </c>
      <c r="AF73" s="2451"/>
      <c r="AH73" s="2351" t="e">
        <f t="shared" si="27"/>
        <v>#N/A</v>
      </c>
      <c r="AI73" s="2351" t="e">
        <f t="shared" si="28"/>
        <v>#N/A</v>
      </c>
      <c r="AJ73" s="123" t="e">
        <f t="shared" si="26"/>
        <v>#N/A</v>
      </c>
      <c r="AK73" t="e">
        <f t="shared" si="29"/>
        <v>#N/A</v>
      </c>
      <c r="AL73" t="e">
        <f t="shared" si="30"/>
        <v>#N/A</v>
      </c>
      <c r="AQ73" s="123"/>
      <c r="AR73" s="123"/>
      <c r="AS73" s="123"/>
      <c r="AT73" s="2982"/>
      <c r="AU73" s="123"/>
      <c r="AV73" s="123"/>
      <c r="AW73" s="2990"/>
      <c r="AX73" s="2984"/>
      <c r="AY73" s="2985"/>
      <c r="AZ73" s="2986"/>
      <c r="BA73" s="2987"/>
      <c r="BB73" s="3194"/>
    </row>
    <row r="74" spans="1:54" ht="15.6" x14ac:dyDescent="0.25">
      <c r="A74" s="2155" t="s">
        <v>2841</v>
      </c>
      <c r="B74" s="250" t="s">
        <v>2842</v>
      </c>
      <c r="C74" s="2632" t="s">
        <v>2837</v>
      </c>
      <c r="D74" s="2933">
        <v>2.2000000000000002</v>
      </c>
      <c r="E74" s="250"/>
      <c r="F74" s="250"/>
      <c r="G74" s="2633"/>
      <c r="H74" s="2634"/>
      <c r="I74" s="1458" t="str">
        <f t="shared" si="15"/>
        <v>5-DaHall 1-PDU-03-30-40</v>
      </c>
      <c r="J74" s="1459" t="str">
        <f t="shared" si="23"/>
        <v>5-DaHall 1-PDU-04-30-40</v>
      </c>
      <c r="K74" s="1558"/>
      <c r="L74" s="1559">
        <v>30</v>
      </c>
      <c r="M74" s="2364" t="s">
        <v>6500</v>
      </c>
      <c r="N74" s="1560">
        <v>40</v>
      </c>
      <c r="O74" s="1561"/>
      <c r="P74" s="1562">
        <v>30</v>
      </c>
      <c r="Q74" s="2394" t="s">
        <v>6495</v>
      </c>
      <c r="R74" s="1563">
        <v>40</v>
      </c>
      <c r="S74" s="3608"/>
      <c r="T74" s="3611"/>
      <c r="U74" s="3472"/>
      <c r="V74" s="3471"/>
      <c r="W74" s="3472"/>
      <c r="X74" s="3471"/>
      <c r="Y74" s="268">
        <f>SUM('5층_부하량(월간_AVG)'!N107:P107)</f>
        <v>0</v>
      </c>
      <c r="Z74" s="268">
        <f>SUM('5층_부하량(월간_AVG)'!N137:P137)</f>
        <v>0</v>
      </c>
      <c r="AA74" s="2436">
        <f t="shared" si="25"/>
        <v>0</v>
      </c>
      <c r="AB74" s="2691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3109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3162" t="e">
        <f>VLOOKUP(I74&amp;J74,'7층~4층_매핑테이블'!$I$6:$P$2020,8,0)</f>
        <v>#N/A</v>
      </c>
      <c r="AE74" s="3144" t="e">
        <f t="shared" si="31"/>
        <v>#N/A</v>
      </c>
      <c r="AF74" s="2451"/>
      <c r="AH74" s="2351" t="e">
        <f t="shared" si="27"/>
        <v>#N/A</v>
      </c>
      <c r="AI74" s="2351" t="e">
        <f t="shared" si="28"/>
        <v>#N/A</v>
      </c>
      <c r="AJ74" s="123" t="e">
        <f t="shared" si="26"/>
        <v>#N/A</v>
      </c>
      <c r="AK74" t="e">
        <f t="shared" si="29"/>
        <v>#N/A</v>
      </c>
      <c r="AL74" t="e">
        <f t="shared" si="30"/>
        <v>#N/A</v>
      </c>
      <c r="AQ74" s="123"/>
      <c r="AR74" s="123"/>
      <c r="AS74" s="123"/>
      <c r="AT74" s="2982"/>
      <c r="AU74" s="123"/>
      <c r="AV74" s="123"/>
      <c r="AW74" s="2990"/>
      <c r="AX74" s="2984"/>
      <c r="AY74" s="2985"/>
      <c r="AZ74" s="2986"/>
      <c r="BA74" s="2987"/>
      <c r="BB74" s="3194"/>
    </row>
    <row r="75" spans="1:54" ht="15.6" x14ac:dyDescent="0.25">
      <c r="A75" s="2155" t="s">
        <v>2843</v>
      </c>
      <c r="B75" s="250" t="s">
        <v>2844</v>
      </c>
      <c r="C75" s="2632" t="s">
        <v>2837</v>
      </c>
      <c r="D75" s="2933">
        <v>2.2000000000000002</v>
      </c>
      <c r="E75" s="250"/>
      <c r="F75" s="250"/>
      <c r="G75" s="2633"/>
      <c r="H75" s="2634"/>
      <c r="I75" s="1458" t="str">
        <f t="shared" si="15"/>
        <v>5-DaHall 1-PDU-03-30-42</v>
      </c>
      <c r="J75" s="1459" t="str">
        <f t="shared" si="23"/>
        <v>5-DaHall 1-PDU-04-30-42</v>
      </c>
      <c r="K75" s="1558"/>
      <c r="L75" s="1559">
        <v>30</v>
      </c>
      <c r="M75" s="2364" t="s">
        <v>6500</v>
      </c>
      <c r="N75" s="1560">
        <v>42</v>
      </c>
      <c r="O75" s="1561"/>
      <c r="P75" s="1562">
        <v>30</v>
      </c>
      <c r="Q75" s="2394" t="s">
        <v>6495</v>
      </c>
      <c r="R75" s="1563">
        <v>42</v>
      </c>
      <c r="S75" s="3608"/>
      <c r="T75" s="3611"/>
      <c r="U75" s="3472"/>
      <c r="V75" s="3471"/>
      <c r="W75" s="3472"/>
      <c r="X75" s="3471"/>
      <c r="Y75" s="268">
        <f>SUM('5층_부하량(월간_AVG)'!N108:P108)</f>
        <v>0</v>
      </c>
      <c r="Z75" s="268">
        <f>SUM('5층_부하량(월간_AVG)'!N138:P138)</f>
        <v>0</v>
      </c>
      <c r="AA75" s="2436">
        <f t="shared" si="25"/>
        <v>0</v>
      </c>
      <c r="AB75" s="2691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3109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3162" t="e">
        <f>VLOOKUP(I75&amp;J75,'7층~4층_매핑테이블'!$I$6:$P$2020,8,0)</f>
        <v>#N/A</v>
      </c>
      <c r="AE75" s="3144" t="e">
        <f t="shared" si="31"/>
        <v>#N/A</v>
      </c>
      <c r="AF75" s="2451"/>
      <c r="AH75" s="2351" t="e">
        <f t="shared" si="27"/>
        <v>#N/A</v>
      </c>
      <c r="AI75" s="2351" t="e">
        <f t="shared" si="28"/>
        <v>#N/A</v>
      </c>
      <c r="AJ75" s="123" t="e">
        <f t="shared" si="26"/>
        <v>#N/A</v>
      </c>
      <c r="AK75" t="e">
        <f t="shared" si="29"/>
        <v>#N/A</v>
      </c>
      <c r="AL75" t="e">
        <f t="shared" si="30"/>
        <v>#N/A</v>
      </c>
      <c r="AQ75" s="123"/>
      <c r="AR75" s="123"/>
      <c r="AS75" s="123"/>
      <c r="AT75" s="2982"/>
      <c r="AU75" s="123"/>
      <c r="AV75" s="123"/>
      <c r="AW75" s="2990"/>
      <c r="AX75" s="2984"/>
      <c r="AY75" s="2985"/>
      <c r="AZ75" s="2986"/>
      <c r="BA75" s="2987"/>
      <c r="BB75" s="3194"/>
    </row>
    <row r="76" spans="1:54" ht="16.2" thickBot="1" x14ac:dyDescent="0.3">
      <c r="A76" s="2156" t="s">
        <v>1794</v>
      </c>
      <c r="B76" s="2629" t="s">
        <v>2845</v>
      </c>
      <c r="C76" s="2656" t="s">
        <v>2837</v>
      </c>
      <c r="D76" s="2934">
        <v>2.2000000000000002</v>
      </c>
      <c r="E76" s="2629"/>
      <c r="F76" s="2629"/>
      <c r="G76" s="2643"/>
      <c r="H76" s="2644"/>
      <c r="I76" s="1458" t="str">
        <f t="shared" si="15"/>
        <v>5-DaHall 1-PDU-03-30-44</v>
      </c>
      <c r="J76" s="1459" t="str">
        <f t="shared" si="23"/>
        <v>5-DaHall 1-PDU-04-30-44</v>
      </c>
      <c r="K76" s="1568"/>
      <c r="L76" s="1569">
        <v>30</v>
      </c>
      <c r="M76" s="2365" t="s">
        <v>6500</v>
      </c>
      <c r="N76" s="1570">
        <v>44</v>
      </c>
      <c r="O76" s="1571"/>
      <c r="P76" s="1572">
        <v>30</v>
      </c>
      <c r="Q76" s="2395" t="s">
        <v>6495</v>
      </c>
      <c r="R76" s="1573">
        <v>44</v>
      </c>
      <c r="S76" s="3608"/>
      <c r="T76" s="3611"/>
      <c r="U76" s="3472"/>
      <c r="V76" s="3471"/>
      <c r="W76" s="3472"/>
      <c r="X76" s="3471"/>
      <c r="Y76" s="330">
        <f>SUM('5층_부하량(월간_AVG)'!N109:P109)</f>
        <v>0</v>
      </c>
      <c r="Z76" s="330">
        <f>SUM('5층_부하량(월간_AVG)'!N139:P139)</f>
        <v>0</v>
      </c>
      <c r="AA76" s="2437">
        <f t="shared" si="25"/>
        <v>0</v>
      </c>
      <c r="AB76" s="2695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3112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3162" t="e">
        <f>VLOOKUP(I76&amp;J76,'7층~4층_매핑테이블'!$I$6:$P$2020,8,0)</f>
        <v>#N/A</v>
      </c>
      <c r="AE76" s="3147" t="e">
        <f>SUM(AB76:AC76)</f>
        <v>#N/A</v>
      </c>
      <c r="AF76" s="2452"/>
      <c r="AH76" s="2351" t="e">
        <f t="shared" si="27"/>
        <v>#N/A</v>
      </c>
      <c r="AI76" s="2351" t="e">
        <f t="shared" si="28"/>
        <v>#N/A</v>
      </c>
      <c r="AJ76" s="123" t="e">
        <f t="shared" si="26"/>
        <v>#N/A</v>
      </c>
      <c r="AK76" t="e">
        <f t="shared" si="29"/>
        <v>#N/A</v>
      </c>
      <c r="AL76" t="e">
        <f t="shared" si="30"/>
        <v>#N/A</v>
      </c>
      <c r="AQ76" s="123"/>
      <c r="AR76" s="123"/>
      <c r="AS76" s="123"/>
      <c r="AT76" s="2982"/>
      <c r="AU76" s="123"/>
      <c r="AV76" s="123"/>
      <c r="AW76" s="2990"/>
      <c r="AX76" s="2984"/>
      <c r="AY76" s="2985"/>
      <c r="AZ76" s="2986"/>
      <c r="BA76" s="2987"/>
      <c r="BB76" s="3194"/>
    </row>
    <row r="77" spans="1:54" ht="16.2" thickTop="1" x14ac:dyDescent="0.25">
      <c r="A77" s="2154" t="s">
        <v>697</v>
      </c>
      <c r="B77" s="327" t="s">
        <v>2846</v>
      </c>
      <c r="C77" s="970" t="s">
        <v>2837</v>
      </c>
      <c r="D77" s="2938">
        <v>2.2000000000000002</v>
      </c>
      <c r="E77" s="327"/>
      <c r="F77" s="327"/>
      <c r="G77" s="2641"/>
      <c r="H77" s="2642"/>
      <c r="I77" s="1458" t="str">
        <f t="shared" si="15"/>
        <v>5-DaHall 1-PDU-03-30-46</v>
      </c>
      <c r="J77" s="1459" t="str">
        <f t="shared" si="23"/>
        <v>5-DaHall 1-PDU-04-30-46</v>
      </c>
      <c r="K77" s="1552"/>
      <c r="L77" s="1553">
        <v>30</v>
      </c>
      <c r="M77" s="2363" t="s">
        <v>6500</v>
      </c>
      <c r="N77" s="1554">
        <v>46</v>
      </c>
      <c r="O77" s="1555"/>
      <c r="P77" s="1556">
        <v>30</v>
      </c>
      <c r="Q77" s="2393" t="s">
        <v>6495</v>
      </c>
      <c r="R77" s="1557">
        <v>46</v>
      </c>
      <c r="S77" s="3608"/>
      <c r="T77" s="3611"/>
      <c r="U77" s="3472"/>
      <c r="V77" s="3471"/>
      <c r="W77" s="3472"/>
      <c r="X77" s="3471"/>
      <c r="Y77" s="2216">
        <f>SUM('5층_부하량(월간_AVG)'!N110:P110)</f>
        <v>0</v>
      </c>
      <c r="Z77" s="836">
        <f>SUM('5층_부하량(월간_AVG)'!N140:P140)</f>
        <v>0</v>
      </c>
      <c r="AA77" s="2442">
        <f t="shared" si="25"/>
        <v>0</v>
      </c>
      <c r="AB77" s="2707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3119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3162" t="e">
        <f>VLOOKUP(I77&amp;J77,'7층~4층_매핑테이블'!$I$6:$P$2020,8,0)</f>
        <v>#N/A</v>
      </c>
      <c r="AE77" s="3143" t="e">
        <f>SUM(AB77:AC77)</f>
        <v>#N/A</v>
      </c>
      <c r="AF77" s="2493"/>
      <c r="AH77" s="2351" t="e">
        <f t="shared" si="27"/>
        <v>#N/A</v>
      </c>
      <c r="AI77" s="2351" t="e">
        <f t="shared" si="28"/>
        <v>#N/A</v>
      </c>
      <c r="AJ77" s="123" t="e">
        <f t="shared" si="26"/>
        <v>#N/A</v>
      </c>
      <c r="AK77" t="e">
        <f t="shared" si="29"/>
        <v>#N/A</v>
      </c>
      <c r="AL77" t="e">
        <f t="shared" si="30"/>
        <v>#N/A</v>
      </c>
      <c r="AQ77" s="123"/>
      <c r="AR77" s="123"/>
      <c r="AS77" s="123"/>
      <c r="AT77" s="2982"/>
      <c r="AU77" s="123"/>
      <c r="AV77" s="123"/>
      <c r="AW77" s="2990"/>
      <c r="AX77" s="2984"/>
      <c r="AY77" s="2985"/>
      <c r="AZ77" s="2986"/>
      <c r="BA77" s="2987"/>
      <c r="BB77" s="3194"/>
    </row>
    <row r="78" spans="1:54" ht="15.6" x14ac:dyDescent="0.25">
      <c r="A78" s="2155" t="s">
        <v>1698</v>
      </c>
      <c r="B78" s="250" t="s">
        <v>2847</v>
      </c>
      <c r="C78" s="2632" t="s">
        <v>2837</v>
      </c>
      <c r="D78" s="2933">
        <v>2.2000000000000002</v>
      </c>
      <c r="E78" s="250"/>
      <c r="F78" s="250"/>
      <c r="G78" s="2633"/>
      <c r="H78" s="2634"/>
      <c r="I78" s="1458" t="str">
        <f t="shared" si="15"/>
        <v>5-DaHall 1-PDU-03-30-48</v>
      </c>
      <c r="J78" s="1459" t="str">
        <f t="shared" si="23"/>
        <v>5-DaHall 1-PDU-04-30-48</v>
      </c>
      <c r="K78" s="1558"/>
      <c r="L78" s="1559">
        <v>30</v>
      </c>
      <c r="M78" s="2364" t="s">
        <v>6500</v>
      </c>
      <c r="N78" s="1560">
        <v>48</v>
      </c>
      <c r="O78" s="1561"/>
      <c r="P78" s="1562">
        <v>30</v>
      </c>
      <c r="Q78" s="2394" t="s">
        <v>6495</v>
      </c>
      <c r="R78" s="1563">
        <v>48</v>
      </c>
      <c r="S78" s="3608"/>
      <c r="T78" s="3611"/>
      <c r="U78" s="3472"/>
      <c r="V78" s="3471"/>
      <c r="W78" s="3472"/>
      <c r="X78" s="3471"/>
      <c r="Y78" s="268">
        <f>SUM('5층_부하량(월간_AVG)'!N111:P111)</f>
        <v>0</v>
      </c>
      <c r="Z78" s="268">
        <f>SUM('5층_부하량(월간_AVG)'!N141:P141)</f>
        <v>0</v>
      </c>
      <c r="AA78" s="2436">
        <f t="shared" si="25"/>
        <v>0</v>
      </c>
      <c r="AB78" s="2691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3109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3162" t="e">
        <f>VLOOKUP(I78&amp;J78,'7층~4층_매핑테이블'!$I$6:$P$2020,8,0)</f>
        <v>#N/A</v>
      </c>
      <c r="AE78" s="3144" t="e">
        <f>SUM(AB78:AC78)</f>
        <v>#N/A</v>
      </c>
      <c r="AF78" s="2451"/>
      <c r="AH78" s="2351" t="e">
        <f t="shared" si="27"/>
        <v>#N/A</v>
      </c>
      <c r="AI78" s="2351" t="e">
        <f t="shared" si="28"/>
        <v>#N/A</v>
      </c>
      <c r="AJ78" s="123" t="e">
        <f t="shared" si="26"/>
        <v>#N/A</v>
      </c>
      <c r="AK78" t="e">
        <f t="shared" si="29"/>
        <v>#N/A</v>
      </c>
      <c r="AL78" t="e">
        <f t="shared" si="30"/>
        <v>#N/A</v>
      </c>
      <c r="AQ78" s="123"/>
      <c r="AR78" s="123"/>
      <c r="AS78" s="123"/>
      <c r="AT78" s="2982"/>
      <c r="AU78" s="123"/>
      <c r="AV78" s="123"/>
      <c r="AW78" s="2990"/>
      <c r="AX78" s="2984"/>
      <c r="AY78" s="2985"/>
      <c r="AZ78" s="2986"/>
      <c r="BA78" s="2987"/>
      <c r="BB78" s="3194"/>
    </row>
    <row r="79" spans="1:54" ht="15.6" x14ac:dyDescent="0.25">
      <c r="A79" s="2155" t="s">
        <v>1704</v>
      </c>
      <c r="B79" s="250" t="s">
        <v>2848</v>
      </c>
      <c r="C79" s="2632" t="s">
        <v>2837</v>
      </c>
      <c r="D79" s="2933">
        <v>2.2000000000000002</v>
      </c>
      <c r="E79" s="250"/>
      <c r="F79" s="250"/>
      <c r="G79" s="2633"/>
      <c r="H79" s="2634"/>
      <c r="I79" s="1458" t="str">
        <f t="shared" si="15"/>
        <v>5-DaHall 1-PDU-03-30-50</v>
      </c>
      <c r="J79" s="1459" t="str">
        <f t="shared" si="23"/>
        <v>5-DaHall 1-PDU-04-30-50</v>
      </c>
      <c r="K79" s="1558"/>
      <c r="L79" s="1559">
        <v>30</v>
      </c>
      <c r="M79" s="2364" t="s">
        <v>6500</v>
      </c>
      <c r="N79" s="1560">
        <v>50</v>
      </c>
      <c r="O79" s="1561"/>
      <c r="P79" s="1562">
        <v>30</v>
      </c>
      <c r="Q79" s="2394" t="s">
        <v>6495</v>
      </c>
      <c r="R79" s="1563">
        <v>50</v>
      </c>
      <c r="S79" s="3608"/>
      <c r="T79" s="3611"/>
      <c r="U79" s="3472"/>
      <c r="V79" s="3471"/>
      <c r="W79" s="3472"/>
      <c r="X79" s="3471"/>
      <c r="Y79" s="268">
        <f>SUM('5층_부하량(월간_AVG)'!N112:P112)</f>
        <v>0</v>
      </c>
      <c r="Z79" s="268">
        <f>SUM('5층_부하량(월간_AVG)'!N142:P142)</f>
        <v>0</v>
      </c>
      <c r="AA79" s="2436">
        <f t="shared" si="25"/>
        <v>0</v>
      </c>
      <c r="AB79" s="2691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3109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3162" t="e">
        <f>VLOOKUP(I79&amp;J79,'7층~4층_매핑테이블'!$I$6:$P$2020,8,0)</f>
        <v>#N/A</v>
      </c>
      <c r="AE79" s="3144" t="e">
        <f t="shared" ref="AE79:AE81" si="32">SUM(AB79:AC79)</f>
        <v>#N/A</v>
      </c>
      <c r="AF79" s="2451"/>
      <c r="AH79" s="2351" t="e">
        <f t="shared" si="27"/>
        <v>#N/A</v>
      </c>
      <c r="AI79" s="2351" t="e">
        <f t="shared" si="28"/>
        <v>#N/A</v>
      </c>
      <c r="AJ79" s="123" t="e">
        <f t="shared" si="26"/>
        <v>#N/A</v>
      </c>
      <c r="AK79" t="e">
        <f t="shared" si="29"/>
        <v>#N/A</v>
      </c>
      <c r="AL79" t="e">
        <f t="shared" si="30"/>
        <v>#N/A</v>
      </c>
      <c r="AQ79" s="123"/>
      <c r="AR79" s="123"/>
      <c r="AS79" s="123"/>
      <c r="AT79" s="2982"/>
      <c r="AU79" s="123"/>
      <c r="AV79" s="123"/>
      <c r="AW79" s="2990"/>
      <c r="AX79" s="2984"/>
      <c r="AY79" s="2985"/>
      <c r="AZ79" s="2986"/>
      <c r="BA79" s="2987"/>
      <c r="BB79" s="3194"/>
    </row>
    <row r="80" spans="1:54" ht="15.6" x14ac:dyDescent="0.25">
      <c r="A80" s="2155" t="s">
        <v>1710</v>
      </c>
      <c r="B80" s="250" t="s">
        <v>2849</v>
      </c>
      <c r="C80" s="2632" t="s">
        <v>2837</v>
      </c>
      <c r="D80" s="2933">
        <v>2.2000000000000002</v>
      </c>
      <c r="E80" s="250"/>
      <c r="F80" s="250"/>
      <c r="G80" s="2633"/>
      <c r="H80" s="2634"/>
      <c r="I80" s="1458" t="str">
        <f t="shared" si="15"/>
        <v>5-DaHall 1-PDU-03-30-47</v>
      </c>
      <c r="J80" s="1459" t="str">
        <f t="shared" si="23"/>
        <v>5-DaHall 1-PDU-04-30-47</v>
      </c>
      <c r="K80" s="1558"/>
      <c r="L80" s="1559">
        <v>30</v>
      </c>
      <c r="M80" s="2364" t="s">
        <v>6500</v>
      </c>
      <c r="N80" s="1560">
        <v>47</v>
      </c>
      <c r="O80" s="1561"/>
      <c r="P80" s="1562">
        <v>30</v>
      </c>
      <c r="Q80" s="2394" t="s">
        <v>6495</v>
      </c>
      <c r="R80" s="1563">
        <v>47</v>
      </c>
      <c r="S80" s="3608"/>
      <c r="T80" s="3611"/>
      <c r="U80" s="3472"/>
      <c r="V80" s="3471"/>
      <c r="W80" s="3472"/>
      <c r="X80" s="3471"/>
      <c r="Y80" s="268">
        <f>SUM('5층_부하량(월간_AVG)'!D111:F111)</f>
        <v>0</v>
      </c>
      <c r="Z80" s="268">
        <f>SUM('5층_부하량(월간_AVG)'!D141:F141)</f>
        <v>0</v>
      </c>
      <c r="AA80" s="2436">
        <f t="shared" si="25"/>
        <v>0</v>
      </c>
      <c r="AB80" s="2691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3109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3162" t="e">
        <f>VLOOKUP(I80&amp;J80,'7층~4층_매핑테이블'!$I$6:$P$2020,8,0)</f>
        <v>#N/A</v>
      </c>
      <c r="AE80" s="3144" t="e">
        <f t="shared" si="32"/>
        <v>#N/A</v>
      </c>
      <c r="AF80" s="2451"/>
      <c r="AH80" s="2351" t="e">
        <f t="shared" si="27"/>
        <v>#N/A</v>
      </c>
      <c r="AI80" s="2351" t="e">
        <f t="shared" si="28"/>
        <v>#N/A</v>
      </c>
      <c r="AJ80" s="123" t="e">
        <f t="shared" si="26"/>
        <v>#N/A</v>
      </c>
      <c r="AK80" t="e">
        <f t="shared" si="29"/>
        <v>#N/A</v>
      </c>
      <c r="AL80" t="e">
        <f t="shared" si="30"/>
        <v>#N/A</v>
      </c>
      <c r="AQ80" s="123"/>
      <c r="AR80" s="123"/>
      <c r="AS80" s="123"/>
      <c r="AT80" s="2982"/>
      <c r="AU80" s="123"/>
      <c r="AV80" s="123"/>
      <c r="AW80" s="2990"/>
      <c r="AX80" s="2984"/>
      <c r="AY80" s="2985"/>
      <c r="AZ80" s="2986"/>
      <c r="BA80" s="2987"/>
      <c r="BB80" s="3194"/>
    </row>
    <row r="81" spans="1:54" ht="15.6" x14ac:dyDescent="0.25">
      <c r="A81" s="2155" t="s">
        <v>1716</v>
      </c>
      <c r="B81" s="250" t="s">
        <v>2850</v>
      </c>
      <c r="C81" s="2632" t="s">
        <v>2837</v>
      </c>
      <c r="D81" s="2933">
        <v>2.2000000000000002</v>
      </c>
      <c r="E81" s="250"/>
      <c r="F81" s="250"/>
      <c r="G81" s="2633"/>
      <c r="H81" s="2634"/>
      <c r="I81" s="1458" t="str">
        <f t="shared" si="15"/>
        <v>5-DaHall 1-PDU-03-30-49</v>
      </c>
      <c r="J81" s="1459" t="str">
        <f t="shared" si="23"/>
        <v>5-DaHall 1-PDU-04-30-49</v>
      </c>
      <c r="K81" s="1558"/>
      <c r="L81" s="1559">
        <v>30</v>
      </c>
      <c r="M81" s="2364" t="s">
        <v>6500</v>
      </c>
      <c r="N81" s="1560">
        <v>49</v>
      </c>
      <c r="O81" s="1561"/>
      <c r="P81" s="1562">
        <v>30</v>
      </c>
      <c r="Q81" s="2394" t="s">
        <v>6495</v>
      </c>
      <c r="R81" s="1563">
        <v>49</v>
      </c>
      <c r="S81" s="3608"/>
      <c r="T81" s="3611"/>
      <c r="U81" s="3472"/>
      <c r="V81" s="3471"/>
      <c r="W81" s="3472"/>
      <c r="X81" s="3471"/>
      <c r="Y81" s="268">
        <f>SUM('5층_부하량(월간_AVG)'!D112:F112)</f>
        <v>0</v>
      </c>
      <c r="Z81" s="268">
        <f>SUM('5층_부하량(월간_AVG)'!D142:F142)</f>
        <v>0</v>
      </c>
      <c r="AA81" s="2436">
        <f t="shared" si="25"/>
        <v>0</v>
      </c>
      <c r="AB81" s="2691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3109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3162" t="e">
        <f>VLOOKUP(I81&amp;J81,'7층~4층_매핑테이블'!$I$6:$P$2020,8,0)</f>
        <v>#N/A</v>
      </c>
      <c r="AE81" s="3144" t="e">
        <f t="shared" si="32"/>
        <v>#N/A</v>
      </c>
      <c r="AF81" s="2451"/>
      <c r="AH81" s="2351" t="e">
        <f t="shared" si="27"/>
        <v>#N/A</v>
      </c>
      <c r="AI81" s="2351" t="e">
        <f t="shared" si="28"/>
        <v>#N/A</v>
      </c>
      <c r="AJ81" s="123" t="e">
        <f t="shared" si="26"/>
        <v>#N/A</v>
      </c>
      <c r="AK81" t="e">
        <f t="shared" si="29"/>
        <v>#N/A</v>
      </c>
      <c r="AL81" t="e">
        <f t="shared" si="30"/>
        <v>#N/A</v>
      </c>
      <c r="AQ81" s="123"/>
      <c r="AR81" s="123"/>
      <c r="AS81" s="123"/>
      <c r="AT81" s="2982"/>
      <c r="AU81" s="123"/>
      <c r="AV81" s="123"/>
      <c r="AW81" s="2990"/>
      <c r="AX81" s="2984"/>
      <c r="AY81" s="2985"/>
      <c r="AZ81" s="2986"/>
      <c r="BA81" s="2987"/>
      <c r="BB81" s="3194"/>
    </row>
    <row r="82" spans="1:54" ht="13.5" customHeight="1" x14ac:dyDescent="0.25">
      <c r="A82" s="3588" t="s">
        <v>1724</v>
      </c>
      <c r="B82" s="3480" t="s">
        <v>2851</v>
      </c>
      <c r="C82" s="3528" t="s">
        <v>2837</v>
      </c>
      <c r="D82" s="3559">
        <v>2.2000000000000002</v>
      </c>
      <c r="E82" s="2157"/>
      <c r="F82" s="2157"/>
      <c r="G82" s="2158"/>
      <c r="H82" s="2159"/>
      <c r="I82" s="1458" t="str">
        <f t="shared" si="15"/>
        <v>5-DaHall 1-PDU-03-30-2</v>
      </c>
      <c r="J82" s="1459" t="str">
        <f t="shared" si="23"/>
        <v>5-DaHall 1-PDU-04-30-2</v>
      </c>
      <c r="K82" s="1761"/>
      <c r="L82" s="1762">
        <v>30</v>
      </c>
      <c r="M82" s="2374" t="s">
        <v>6500</v>
      </c>
      <c r="N82" s="2160">
        <v>2</v>
      </c>
      <c r="O82" s="1764"/>
      <c r="P82" s="1765">
        <v>30</v>
      </c>
      <c r="Q82" s="2399" t="s">
        <v>6495</v>
      </c>
      <c r="R82" s="2161">
        <v>2</v>
      </c>
      <c r="S82" s="3608"/>
      <c r="T82" s="3611"/>
      <c r="U82" s="3472"/>
      <c r="V82" s="3471"/>
      <c r="W82" s="3472"/>
      <c r="X82" s="3471"/>
      <c r="Y82" s="2217">
        <f>SUM('5층_부하량(월간_AVG)'!N88:P88)</f>
        <v>0</v>
      </c>
      <c r="Z82" s="2217">
        <f>SUM('5층_부하량(월간_AVG)'!N118:P118)</f>
        <v>0</v>
      </c>
      <c r="AA82" s="3520">
        <f>SUM(Y82:Z84)</f>
        <v>0</v>
      </c>
      <c r="AB82" s="2709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3120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162">
        <f>VLOOKUP(I82&amp;J82,'7층~4층_매핑테이블'!$I$6:$P$2020,8,0)</f>
        <v>0</v>
      </c>
      <c r="AE82" s="3145" t="e">
        <f>SUM(AB82:AC84)</f>
        <v>#N/A</v>
      </c>
      <c r="AF82" s="2494"/>
      <c r="AH82" s="2351" t="e">
        <f t="shared" si="27"/>
        <v>#N/A</v>
      </c>
      <c r="AI82" s="2351" t="e">
        <f t="shared" si="28"/>
        <v>#N/A</v>
      </c>
      <c r="AJ82" s="123" t="e">
        <f t="shared" si="26"/>
        <v>#N/A</v>
      </c>
      <c r="AK82" t="e">
        <f t="shared" si="29"/>
        <v>#N/A</v>
      </c>
      <c r="AL82" t="e">
        <f t="shared" si="30"/>
        <v>#N/A</v>
      </c>
      <c r="AQ82" s="123"/>
      <c r="AR82" s="123"/>
      <c r="AS82" s="123"/>
      <c r="AT82" s="2982"/>
      <c r="AU82" s="123"/>
      <c r="AV82" s="123"/>
      <c r="AW82" s="2990"/>
      <c r="AX82" s="2984"/>
      <c r="AY82" s="2985"/>
      <c r="AZ82" s="2986"/>
      <c r="BA82" s="2987"/>
      <c r="BB82" s="3194"/>
    </row>
    <row r="83" spans="1:54" ht="13.5" customHeight="1" x14ac:dyDescent="0.25">
      <c r="A83" s="3590"/>
      <c r="B83" s="3591"/>
      <c r="C83" s="3653"/>
      <c r="D83" s="3559"/>
      <c r="E83" s="2162"/>
      <c r="F83" s="2162"/>
      <c r="G83" s="2163"/>
      <c r="H83" s="2164"/>
      <c r="I83" s="1458" t="str">
        <f t="shared" si="15"/>
        <v>5-DaHall 1-PDU-03-30-4</v>
      </c>
      <c r="J83" s="1459" t="str">
        <f t="shared" si="23"/>
        <v>5-DaHall 1-PDU-04-30-4</v>
      </c>
      <c r="K83" s="2165"/>
      <c r="L83" s="2166">
        <v>30</v>
      </c>
      <c r="M83" s="2375" t="s">
        <v>6500</v>
      </c>
      <c r="N83" s="2167">
        <v>4</v>
      </c>
      <c r="O83" s="2168"/>
      <c r="P83" s="2169">
        <v>30</v>
      </c>
      <c r="Q83" s="2400" t="s">
        <v>6495</v>
      </c>
      <c r="R83" s="2170">
        <v>4</v>
      </c>
      <c r="S83" s="3608"/>
      <c r="T83" s="3611"/>
      <c r="U83" s="3472"/>
      <c r="V83" s="3471"/>
      <c r="W83" s="3472"/>
      <c r="X83" s="3471"/>
      <c r="Y83" s="2217">
        <f>SUM('5층_부하량(월간_AVG)'!N89:P89)</f>
        <v>0</v>
      </c>
      <c r="Z83" s="2217">
        <f>SUM('5층_부하량(월간_AVG)'!N119:P119)</f>
        <v>0</v>
      </c>
      <c r="AA83" s="3521"/>
      <c r="AB83" s="2710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3121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162">
        <f>VLOOKUP(I83&amp;J83,'7층~4층_매핑테이블'!$I$6:$P$2020,8,0)</f>
        <v>0</v>
      </c>
      <c r="AE83" s="3148" t="e">
        <f>$AE$82</f>
        <v>#N/A</v>
      </c>
      <c r="AF83" s="2495"/>
      <c r="AH83" s="2351" t="e">
        <f t="shared" si="27"/>
        <v>#N/A</v>
      </c>
      <c r="AI83" s="2351" t="e">
        <f t="shared" si="28"/>
        <v>#N/A</v>
      </c>
      <c r="AJ83" s="123" t="e">
        <f t="shared" si="26"/>
        <v>#N/A</v>
      </c>
      <c r="AK83" t="e">
        <f t="shared" si="29"/>
        <v>#N/A</v>
      </c>
      <c r="AL83" t="e">
        <f t="shared" si="30"/>
        <v>#N/A</v>
      </c>
      <c r="AQ83" s="123"/>
      <c r="AR83" s="123"/>
      <c r="AS83" s="123"/>
      <c r="AT83" s="2982"/>
      <c r="AU83" s="123"/>
      <c r="AV83" s="123"/>
      <c r="AW83" s="2990"/>
      <c r="AX83" s="2984"/>
      <c r="AY83" s="2985"/>
      <c r="AZ83" s="2986"/>
      <c r="BA83" s="2987"/>
      <c r="BB83" s="3194"/>
    </row>
    <row r="84" spans="1:54" ht="13.5" customHeight="1" x14ac:dyDescent="0.25">
      <c r="A84" s="3589"/>
      <c r="B84" s="3481"/>
      <c r="C84" s="3529"/>
      <c r="D84" s="3559"/>
      <c r="E84" s="2171"/>
      <c r="F84" s="2171"/>
      <c r="G84" s="2172"/>
      <c r="H84" s="2173"/>
      <c r="I84" s="1458" t="str">
        <f t="shared" si="15"/>
        <v>5-DaHall 1-PDU-03-30-41</v>
      </c>
      <c r="J84" s="1459" t="str">
        <f t="shared" si="23"/>
        <v>5-DaHall 1-PDU-04-30-41</v>
      </c>
      <c r="K84" s="1768"/>
      <c r="L84" s="1769">
        <v>30</v>
      </c>
      <c r="M84" s="2376" t="s">
        <v>6500</v>
      </c>
      <c r="N84" s="2174">
        <v>41</v>
      </c>
      <c r="O84" s="1770"/>
      <c r="P84" s="1771">
        <v>30</v>
      </c>
      <c r="Q84" s="2401" t="s">
        <v>6495</v>
      </c>
      <c r="R84" s="2175">
        <v>41</v>
      </c>
      <c r="S84" s="3608"/>
      <c r="T84" s="3611"/>
      <c r="U84" s="3472"/>
      <c r="V84" s="3471"/>
      <c r="W84" s="3472"/>
      <c r="X84" s="3471"/>
      <c r="Y84" s="2218">
        <f>SUM('5층_부하량(월간_AVG)'!D108:F108)</f>
        <v>0</v>
      </c>
      <c r="Z84" s="2218">
        <f>SUM('5층_부하량(월간_AVG)'!D138:F138)</f>
        <v>0</v>
      </c>
      <c r="AA84" s="3522"/>
      <c r="AB84" s="2711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3122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162" t="e">
        <f>VLOOKUP(I84&amp;J84,'7층~4층_매핑테이블'!$I$6:$P$2020,8,0)</f>
        <v>#N/A</v>
      </c>
      <c r="AE84" s="3148" t="e">
        <f>$AE$82</f>
        <v>#N/A</v>
      </c>
      <c r="AF84" s="2496"/>
      <c r="AH84" s="2351" t="e">
        <f t="shared" si="27"/>
        <v>#N/A</v>
      </c>
      <c r="AI84" s="2351" t="e">
        <f t="shared" si="28"/>
        <v>#N/A</v>
      </c>
      <c r="AJ84" s="123" t="e">
        <f t="shared" si="26"/>
        <v>#N/A</v>
      </c>
      <c r="AK84" t="e">
        <f t="shared" si="29"/>
        <v>#N/A</v>
      </c>
      <c r="AL84" t="e">
        <f t="shared" si="30"/>
        <v>#N/A</v>
      </c>
      <c r="AQ84" s="123"/>
      <c r="AR84" s="123"/>
      <c r="AS84" s="123"/>
      <c r="AT84" s="2982"/>
      <c r="AU84" s="123"/>
      <c r="AV84" s="123"/>
      <c r="AW84" s="2990"/>
      <c r="AX84" s="2984"/>
      <c r="AY84" s="2985"/>
      <c r="AZ84" s="2986"/>
      <c r="BA84" s="2987"/>
      <c r="BB84" s="3194"/>
    </row>
    <row r="85" spans="1:54" ht="13.5" customHeight="1" x14ac:dyDescent="0.25">
      <c r="A85" s="3588" t="s">
        <v>1730</v>
      </c>
      <c r="B85" s="3480" t="s">
        <v>2852</v>
      </c>
      <c r="C85" s="3528" t="s">
        <v>2837</v>
      </c>
      <c r="D85" s="3559">
        <v>2.2000000000000002</v>
      </c>
      <c r="E85" s="2157"/>
      <c r="F85" s="2157"/>
      <c r="G85" s="2158"/>
      <c r="H85" s="2159"/>
      <c r="I85" s="1458" t="str">
        <f t="shared" si="15"/>
        <v>5-DaHall 1-PDU-03-30-6</v>
      </c>
      <c r="J85" s="1459" t="str">
        <f t="shared" si="23"/>
        <v>5-DaHall 1-PDU-04-30-6</v>
      </c>
      <c r="K85" s="1761"/>
      <c r="L85" s="1762">
        <v>30</v>
      </c>
      <c r="M85" s="2374" t="s">
        <v>6500</v>
      </c>
      <c r="N85" s="2160">
        <v>6</v>
      </c>
      <c r="O85" s="1764"/>
      <c r="P85" s="1765">
        <v>30</v>
      </c>
      <c r="Q85" s="2399" t="s">
        <v>6495</v>
      </c>
      <c r="R85" s="2161">
        <v>6</v>
      </c>
      <c r="S85" s="3608"/>
      <c r="T85" s="3611"/>
      <c r="U85" s="3472"/>
      <c r="V85" s="3471"/>
      <c r="W85" s="3472"/>
      <c r="X85" s="3471"/>
      <c r="Y85" s="2217">
        <f>SUM('5층_부하량(월간_AVG)'!N90:P90)</f>
        <v>0</v>
      </c>
      <c r="Z85" s="2217">
        <f>SUM('5층_부하량(월간_AVG)'!N120:P120)</f>
        <v>0</v>
      </c>
      <c r="AA85" s="3520">
        <f>SUM(Y85:Z87)</f>
        <v>0</v>
      </c>
      <c r="AB85" s="2709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3120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162">
        <f>VLOOKUP(I85&amp;J85,'7층~4층_매핑테이블'!$I$6:$P$2020,8,0)</f>
        <v>0</v>
      </c>
      <c r="AE85" s="3145" t="e">
        <f>SUM(AB85:AC87)</f>
        <v>#N/A</v>
      </c>
      <c r="AF85" s="2494"/>
      <c r="AH85" s="2351" t="e">
        <f t="shared" si="27"/>
        <v>#N/A</v>
      </c>
      <c r="AI85" s="2351" t="e">
        <f t="shared" si="28"/>
        <v>#N/A</v>
      </c>
      <c r="AJ85" s="123" t="e">
        <f t="shared" si="26"/>
        <v>#N/A</v>
      </c>
      <c r="AK85" t="e">
        <f t="shared" si="29"/>
        <v>#N/A</v>
      </c>
      <c r="AL85" t="e">
        <f t="shared" si="30"/>
        <v>#N/A</v>
      </c>
      <c r="AQ85" s="123"/>
      <c r="AR85" s="123"/>
      <c r="AS85" s="123"/>
      <c r="AT85" s="2982"/>
      <c r="AU85" s="123"/>
      <c r="AV85" s="123"/>
      <c r="AW85" s="2990"/>
      <c r="AX85" s="2984"/>
      <c r="AY85" s="2985"/>
      <c r="AZ85" s="2986"/>
      <c r="BA85" s="2987"/>
      <c r="BB85" s="3194"/>
    </row>
    <row r="86" spans="1:54" ht="13.5" customHeight="1" x14ac:dyDescent="0.25">
      <c r="A86" s="3590"/>
      <c r="B86" s="3591"/>
      <c r="C86" s="3653"/>
      <c r="D86" s="3559"/>
      <c r="E86" s="2162"/>
      <c r="F86" s="2162"/>
      <c r="G86" s="2163"/>
      <c r="H86" s="2164"/>
      <c r="I86" s="1458" t="str">
        <f t="shared" si="15"/>
        <v>5-DaHall 1-PDU-03-30-8</v>
      </c>
      <c r="J86" s="1459" t="str">
        <f t="shared" si="23"/>
        <v>5-DaHall 1-PDU-04-30-8</v>
      </c>
      <c r="K86" s="2165"/>
      <c r="L86" s="2166">
        <v>30</v>
      </c>
      <c r="M86" s="2375" t="s">
        <v>6500</v>
      </c>
      <c r="N86" s="2167">
        <v>8</v>
      </c>
      <c r="O86" s="2168"/>
      <c r="P86" s="2169">
        <v>30</v>
      </c>
      <c r="Q86" s="2400" t="s">
        <v>6495</v>
      </c>
      <c r="R86" s="2170">
        <v>8</v>
      </c>
      <c r="S86" s="3608"/>
      <c r="T86" s="3611"/>
      <c r="U86" s="3472"/>
      <c r="V86" s="3471"/>
      <c r="W86" s="3472"/>
      <c r="X86" s="3471"/>
      <c r="Y86" s="2219">
        <f>SUM('5층_부하량(월간_AVG)'!N91:P91)</f>
        <v>0</v>
      </c>
      <c r="Z86" s="2219">
        <f>SUM('5층_부하량(월간_AVG)'!N121:P121)</f>
        <v>0</v>
      </c>
      <c r="AA86" s="3521"/>
      <c r="AB86" s="2710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3121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162">
        <f>VLOOKUP(I86&amp;J86,'7층~4층_매핑테이블'!$I$6:$P$2020,8,0)</f>
        <v>0</v>
      </c>
      <c r="AE86" s="3148" t="e">
        <f>$AE$85</f>
        <v>#N/A</v>
      </c>
      <c r="AF86" s="2495"/>
      <c r="AH86" s="2351" t="e">
        <f t="shared" si="27"/>
        <v>#N/A</v>
      </c>
      <c r="AI86" s="2351" t="e">
        <f t="shared" si="28"/>
        <v>#N/A</v>
      </c>
      <c r="AJ86" s="123" t="e">
        <f t="shared" si="26"/>
        <v>#N/A</v>
      </c>
      <c r="AK86" t="e">
        <f t="shared" si="29"/>
        <v>#N/A</v>
      </c>
      <c r="AL86" t="e">
        <f t="shared" si="30"/>
        <v>#N/A</v>
      </c>
      <c r="AQ86" s="123"/>
      <c r="AR86" s="123"/>
      <c r="AS86" s="123"/>
      <c r="AT86" s="2982"/>
      <c r="AU86" s="123"/>
      <c r="AV86" s="123"/>
      <c r="AW86" s="2990"/>
      <c r="AX86" s="2984"/>
      <c r="AY86" s="2985"/>
      <c r="AZ86" s="2986"/>
      <c r="BA86" s="2987"/>
      <c r="BB86" s="3194"/>
    </row>
    <row r="87" spans="1:54" ht="14.25" customHeight="1" thickBot="1" x14ac:dyDescent="0.3">
      <c r="A87" s="3654"/>
      <c r="B87" s="3655"/>
      <c r="C87" s="3656"/>
      <c r="D87" s="3572"/>
      <c r="E87" s="2176"/>
      <c r="F87" s="2176"/>
      <c r="G87" s="2177"/>
      <c r="H87" s="2178"/>
      <c r="I87" s="1458" t="str">
        <f t="shared" si="15"/>
        <v>5-DaHall 1-PDU-03-30-43</v>
      </c>
      <c r="J87" s="1459" t="str">
        <f t="shared" si="23"/>
        <v>5-DaHall 1-PDU-04-30-43</v>
      </c>
      <c r="K87" s="2179"/>
      <c r="L87" s="2180">
        <v>30</v>
      </c>
      <c r="M87" s="2377" t="s">
        <v>6500</v>
      </c>
      <c r="N87" s="2181">
        <v>43</v>
      </c>
      <c r="O87" s="2182"/>
      <c r="P87" s="2183">
        <v>30</v>
      </c>
      <c r="Q87" s="2402" t="s">
        <v>6495</v>
      </c>
      <c r="R87" s="2184">
        <v>43</v>
      </c>
      <c r="S87" s="3608"/>
      <c r="T87" s="3611"/>
      <c r="U87" s="3472"/>
      <c r="V87" s="3471"/>
      <c r="W87" s="3472"/>
      <c r="X87" s="3471"/>
      <c r="Y87" s="2220">
        <f>SUM('5층_부하량(월간_AVG)'!D109:F109)</f>
        <v>0</v>
      </c>
      <c r="Z87" s="2220">
        <f>SUM('5층_부하량(월간_AVG)'!D139:F139)</f>
        <v>0</v>
      </c>
      <c r="AA87" s="3627"/>
      <c r="AB87" s="2712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3123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162" t="e">
        <f>VLOOKUP(I87&amp;J87,'7층~4층_매핑테이블'!$I$6:$P$2020,8,0)</f>
        <v>#N/A</v>
      </c>
      <c r="AE87" s="3148" t="e">
        <f>$AE$85</f>
        <v>#N/A</v>
      </c>
      <c r="AF87" s="2497"/>
      <c r="AH87" s="2351" t="e">
        <f t="shared" si="27"/>
        <v>#N/A</v>
      </c>
      <c r="AI87" s="2351" t="e">
        <f t="shared" si="28"/>
        <v>#N/A</v>
      </c>
      <c r="AJ87" s="123" t="e">
        <f t="shared" si="26"/>
        <v>#N/A</v>
      </c>
      <c r="AK87" t="e">
        <f t="shared" si="29"/>
        <v>#N/A</v>
      </c>
      <c r="AL87" t="e">
        <f t="shared" si="30"/>
        <v>#N/A</v>
      </c>
      <c r="AQ87" s="123"/>
      <c r="AR87" s="123"/>
      <c r="AS87" s="123"/>
      <c r="AT87" s="2982"/>
      <c r="AU87" s="123"/>
      <c r="AV87" s="123"/>
      <c r="AW87" s="2990"/>
      <c r="AX87" s="2984"/>
      <c r="AY87" s="2985"/>
      <c r="AZ87" s="2986"/>
      <c r="BA87" s="2987"/>
      <c r="BB87" s="3194"/>
    </row>
    <row r="88" spans="1:54" ht="15" thickTop="1" x14ac:dyDescent="0.25">
      <c r="A88" s="3657" t="s">
        <v>545</v>
      </c>
      <c r="B88" s="3658" t="s">
        <v>2853</v>
      </c>
      <c r="C88" s="3659" t="s">
        <v>2837</v>
      </c>
      <c r="D88" s="3573">
        <v>2.2000000000000002</v>
      </c>
      <c r="E88" s="2185"/>
      <c r="F88" s="2185"/>
      <c r="G88" s="2186"/>
      <c r="H88" s="2187"/>
      <c r="I88" s="1458" t="str">
        <f t="shared" si="15"/>
        <v>5-DaHall 1-PDU-03-30-10</v>
      </c>
      <c r="J88" s="1459" t="str">
        <f t="shared" si="23"/>
        <v>5-DaHall 1-PDU-04-30-10</v>
      </c>
      <c r="K88" s="1745"/>
      <c r="L88" s="1746">
        <v>30</v>
      </c>
      <c r="M88" s="2378" t="s">
        <v>6500</v>
      </c>
      <c r="N88" s="2188">
        <v>10</v>
      </c>
      <c r="O88" s="1748"/>
      <c r="P88" s="1749">
        <v>30</v>
      </c>
      <c r="Q88" s="2403" t="s">
        <v>6495</v>
      </c>
      <c r="R88" s="2189">
        <v>10</v>
      </c>
      <c r="S88" s="3608"/>
      <c r="T88" s="3611"/>
      <c r="U88" s="3472"/>
      <c r="V88" s="3471"/>
      <c r="W88" s="3472"/>
      <c r="X88" s="3471"/>
      <c r="Y88" s="2221">
        <f>SUM('5층_부하량(월간_AVG)'!N92:P92)</f>
        <v>0</v>
      </c>
      <c r="Z88" s="2221">
        <f>SUM('5층_부하량(월간_AVG)'!N122:P122)</f>
        <v>0</v>
      </c>
      <c r="AA88" s="3673">
        <f>SUM(Y88:Z90)</f>
        <v>0</v>
      </c>
      <c r="AB88" s="2713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3124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162">
        <f>VLOOKUP(I88&amp;J88,'7층~4층_매핑테이블'!$I$6:$P$2020,8,0)</f>
        <v>0</v>
      </c>
      <c r="AE88" s="3151" t="e">
        <f>SUM(AB88:AC90)</f>
        <v>#N/A</v>
      </c>
      <c r="AF88" s="2498"/>
      <c r="AH88" s="2351" t="e">
        <f t="shared" si="27"/>
        <v>#N/A</v>
      </c>
      <c r="AI88" s="2351" t="e">
        <f t="shared" si="28"/>
        <v>#N/A</v>
      </c>
      <c r="AJ88" s="123" t="e">
        <f t="shared" si="26"/>
        <v>#N/A</v>
      </c>
      <c r="AK88" t="e">
        <f t="shared" si="29"/>
        <v>#N/A</v>
      </c>
      <c r="AL88" t="e">
        <f t="shared" si="30"/>
        <v>#N/A</v>
      </c>
      <c r="AQ88" s="123"/>
      <c r="AR88" s="123"/>
      <c r="AS88" s="123"/>
      <c r="AT88" s="2982"/>
      <c r="AU88" s="123"/>
      <c r="AV88" s="123"/>
      <c r="AW88" s="2990"/>
      <c r="AX88" s="2984"/>
      <c r="AY88" s="2985"/>
      <c r="AZ88" s="2986"/>
      <c r="BA88" s="2987"/>
      <c r="BB88" s="3194"/>
    </row>
    <row r="89" spans="1:54" ht="13.5" customHeight="1" x14ac:dyDescent="0.25">
      <c r="A89" s="3590"/>
      <c r="B89" s="3591"/>
      <c r="C89" s="3653"/>
      <c r="D89" s="3559"/>
      <c r="E89" s="2162"/>
      <c r="F89" s="2162"/>
      <c r="G89" s="2163"/>
      <c r="H89" s="2164"/>
      <c r="I89" s="1458" t="str">
        <f t="shared" si="15"/>
        <v>5-DaHall 1-PDU-03-30-12</v>
      </c>
      <c r="J89" s="1459" t="str">
        <f t="shared" si="23"/>
        <v>5-DaHall 1-PDU-04-30-12</v>
      </c>
      <c r="K89" s="2165"/>
      <c r="L89" s="2166">
        <v>30</v>
      </c>
      <c r="M89" s="2375" t="s">
        <v>6500</v>
      </c>
      <c r="N89" s="2167">
        <v>12</v>
      </c>
      <c r="O89" s="2168"/>
      <c r="P89" s="2169">
        <v>30</v>
      </c>
      <c r="Q89" s="2400" t="s">
        <v>6495</v>
      </c>
      <c r="R89" s="2170">
        <v>12</v>
      </c>
      <c r="S89" s="3608"/>
      <c r="T89" s="3611"/>
      <c r="U89" s="3472"/>
      <c r="V89" s="3471"/>
      <c r="W89" s="3472"/>
      <c r="X89" s="3471"/>
      <c r="Y89" s="2219">
        <f>SUM('5층_부하량(월간_AVG)'!N93:P93)</f>
        <v>0</v>
      </c>
      <c r="Z89" s="2219">
        <f>SUM('5층_부하량(월간_AVG)'!N123:P123)</f>
        <v>0</v>
      </c>
      <c r="AA89" s="3521"/>
      <c r="AB89" s="2710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3121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162">
        <f>VLOOKUP(I89&amp;J89,'7층~4층_매핑테이블'!$I$6:$P$2020,8,0)</f>
        <v>0</v>
      </c>
      <c r="AE89" s="3148" t="e">
        <f>AE88</f>
        <v>#N/A</v>
      </c>
      <c r="AF89" s="2495"/>
      <c r="AH89" s="2351" t="e">
        <f t="shared" si="27"/>
        <v>#N/A</v>
      </c>
      <c r="AI89" s="2351" t="e">
        <f t="shared" si="28"/>
        <v>#N/A</v>
      </c>
      <c r="AJ89" s="123" t="e">
        <f t="shared" si="26"/>
        <v>#N/A</v>
      </c>
      <c r="AK89" t="e">
        <f t="shared" si="29"/>
        <v>#N/A</v>
      </c>
      <c r="AL89" t="e">
        <f t="shared" si="30"/>
        <v>#N/A</v>
      </c>
      <c r="AQ89" s="123"/>
      <c r="AR89" s="123"/>
      <c r="AS89" s="123"/>
      <c r="AT89" s="2982"/>
      <c r="AU89" s="123"/>
      <c r="AV89" s="123"/>
      <c r="AW89" s="2990"/>
      <c r="AX89" s="2984"/>
      <c r="AY89" s="2985"/>
      <c r="AZ89" s="2986"/>
      <c r="BA89" s="2987"/>
      <c r="BB89" s="3194"/>
    </row>
    <row r="90" spans="1:54" ht="13.5" customHeight="1" x14ac:dyDescent="0.25">
      <c r="A90" s="3589"/>
      <c r="B90" s="3481"/>
      <c r="C90" s="3529"/>
      <c r="D90" s="3559"/>
      <c r="E90" s="2171"/>
      <c r="F90" s="2171"/>
      <c r="G90" s="2172"/>
      <c r="H90" s="2173"/>
      <c r="I90" s="1458" t="str">
        <f t="shared" si="15"/>
        <v>5-DaHall 1-PDU-03-30-45</v>
      </c>
      <c r="J90" s="1459" t="str">
        <f t="shared" si="23"/>
        <v>5-DaHall 1-PDU-04-30-45</v>
      </c>
      <c r="K90" s="1768"/>
      <c r="L90" s="1769">
        <v>30</v>
      </c>
      <c r="M90" s="2376" t="s">
        <v>6500</v>
      </c>
      <c r="N90" s="2174">
        <v>45</v>
      </c>
      <c r="O90" s="1770"/>
      <c r="P90" s="1771">
        <v>30</v>
      </c>
      <c r="Q90" s="2401" t="s">
        <v>6495</v>
      </c>
      <c r="R90" s="2175">
        <v>45</v>
      </c>
      <c r="S90" s="3608"/>
      <c r="T90" s="3611"/>
      <c r="U90" s="3472"/>
      <c r="V90" s="3471"/>
      <c r="W90" s="3472"/>
      <c r="X90" s="3471"/>
      <c r="Y90" s="2218">
        <f>SUM('5층_부하량(월간_AVG)'!D110:F110)</f>
        <v>0</v>
      </c>
      <c r="Z90" s="2218">
        <f>SUM('5층_부하량(월간_AVG)'!D140:F140)</f>
        <v>0</v>
      </c>
      <c r="AA90" s="3522"/>
      <c r="AB90" s="2711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3122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162" t="e">
        <f>VLOOKUP(I90&amp;J90,'7층~4층_매핑테이블'!$I$6:$P$2020,8,0)</f>
        <v>#N/A</v>
      </c>
      <c r="AE90" s="3148" t="e">
        <f>AE89</f>
        <v>#N/A</v>
      </c>
      <c r="AF90" s="2496"/>
      <c r="AH90" s="2351" t="e">
        <f t="shared" si="27"/>
        <v>#N/A</v>
      </c>
      <c r="AI90" s="2351" t="e">
        <f t="shared" si="28"/>
        <v>#N/A</v>
      </c>
      <c r="AJ90" s="123" t="e">
        <f t="shared" si="26"/>
        <v>#N/A</v>
      </c>
      <c r="AK90" t="e">
        <f t="shared" si="29"/>
        <v>#N/A</v>
      </c>
      <c r="AL90" t="e">
        <f t="shared" si="30"/>
        <v>#N/A</v>
      </c>
      <c r="AQ90" s="123"/>
      <c r="AR90" s="123"/>
      <c r="AS90" s="123"/>
      <c r="AT90" s="2982"/>
      <c r="AU90" s="123"/>
      <c r="AV90" s="123"/>
      <c r="AW90" s="2990"/>
      <c r="AX90" s="2984"/>
      <c r="AY90" s="2985"/>
      <c r="AZ90" s="2986"/>
      <c r="BA90" s="2987"/>
      <c r="BB90" s="3194"/>
    </row>
    <row r="91" spans="1:54" ht="13.5" customHeight="1" x14ac:dyDescent="0.25">
      <c r="A91" s="3588" t="s">
        <v>540</v>
      </c>
      <c r="B91" s="3480" t="s">
        <v>2854</v>
      </c>
      <c r="C91" s="3528" t="s">
        <v>2837</v>
      </c>
      <c r="D91" s="3559">
        <v>2.2000000000000002</v>
      </c>
      <c r="E91" s="2157"/>
      <c r="F91" s="2157"/>
      <c r="G91" s="2158"/>
      <c r="H91" s="2159"/>
      <c r="I91" s="1458" t="str">
        <f t="shared" si="15"/>
        <v>5-DaHall 1-PDU-03-30-14</v>
      </c>
      <c r="J91" s="1459" t="str">
        <f t="shared" si="23"/>
        <v>5-DaHall 1-PDU-04-30-14</v>
      </c>
      <c r="K91" s="1761"/>
      <c r="L91" s="1762">
        <v>30</v>
      </c>
      <c r="M91" s="2374" t="s">
        <v>6500</v>
      </c>
      <c r="N91" s="2160">
        <v>14</v>
      </c>
      <c r="O91" s="1764"/>
      <c r="P91" s="1765">
        <v>30</v>
      </c>
      <c r="Q91" s="2399" t="s">
        <v>6495</v>
      </c>
      <c r="R91" s="2161">
        <v>14</v>
      </c>
      <c r="S91" s="3608"/>
      <c r="T91" s="3611"/>
      <c r="U91" s="3472"/>
      <c r="V91" s="3471"/>
      <c r="W91" s="3472"/>
      <c r="X91" s="3471"/>
      <c r="Y91" s="2217">
        <f>SUM('5층_부하량(월간_AVG)'!N94:P94)</f>
        <v>0</v>
      </c>
      <c r="Z91" s="2217">
        <f>SUM('5층_부하량(월간_AVG)'!N124:P124)</f>
        <v>0</v>
      </c>
      <c r="AA91" s="3520">
        <f>SUM(Y91:Z92)</f>
        <v>0</v>
      </c>
      <c r="AB91" s="2709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3120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162">
        <f>VLOOKUP(I91&amp;J91,'7층~4층_매핑테이블'!$I$6:$P$2020,8,0)</f>
        <v>0</v>
      </c>
      <c r="AE91" s="3145" t="e">
        <f>SUM(AB91:AC92)</f>
        <v>#N/A</v>
      </c>
      <c r="AF91" s="2494"/>
      <c r="AH91" s="2351" t="e">
        <f t="shared" si="27"/>
        <v>#N/A</v>
      </c>
      <c r="AI91" s="2351" t="e">
        <f t="shared" si="28"/>
        <v>#N/A</v>
      </c>
      <c r="AJ91" s="123" t="e">
        <f t="shared" si="26"/>
        <v>#N/A</v>
      </c>
      <c r="AK91" t="e">
        <f t="shared" si="29"/>
        <v>#N/A</v>
      </c>
      <c r="AL91" t="e">
        <f t="shared" si="30"/>
        <v>#N/A</v>
      </c>
      <c r="AQ91" s="123"/>
      <c r="AR91" s="123"/>
      <c r="AS91" s="123"/>
      <c r="AT91" s="2982"/>
      <c r="AU91" s="123"/>
      <c r="AV91" s="123"/>
      <c r="AW91" s="2990"/>
      <c r="AX91" s="2984"/>
      <c r="AY91" s="2985"/>
      <c r="AZ91" s="2986"/>
      <c r="BA91" s="2987"/>
      <c r="BB91" s="3194"/>
    </row>
    <row r="92" spans="1:54" ht="13.5" customHeight="1" x14ac:dyDescent="0.25">
      <c r="A92" s="3589"/>
      <c r="B92" s="3481"/>
      <c r="C92" s="3529"/>
      <c r="D92" s="3559"/>
      <c r="E92" s="2171"/>
      <c r="F92" s="2171"/>
      <c r="G92" s="2172"/>
      <c r="H92" s="2173"/>
      <c r="I92" s="1458" t="str">
        <f t="shared" si="15"/>
        <v>5-DaHall 1-PDU-03-30-37</v>
      </c>
      <c r="J92" s="1459" t="str">
        <f t="shared" si="23"/>
        <v>5-DaHall 1-PDU-04-30-37</v>
      </c>
      <c r="K92" s="1768"/>
      <c r="L92" s="1769">
        <v>30</v>
      </c>
      <c r="M92" s="2376" t="s">
        <v>6500</v>
      </c>
      <c r="N92" s="2174">
        <v>37</v>
      </c>
      <c r="O92" s="1770"/>
      <c r="P92" s="1771">
        <v>30</v>
      </c>
      <c r="Q92" s="2401" t="s">
        <v>6495</v>
      </c>
      <c r="R92" s="2175">
        <v>37</v>
      </c>
      <c r="S92" s="3608"/>
      <c r="T92" s="3611"/>
      <c r="U92" s="3472"/>
      <c r="V92" s="3471"/>
      <c r="W92" s="3472"/>
      <c r="X92" s="3471"/>
      <c r="Y92" s="2218">
        <f>SUM('5층_부하량(월간_AVG)'!D106:F106)</f>
        <v>0</v>
      </c>
      <c r="Z92" s="2218">
        <f>SUM('5층_부하량(월간_AVG)'!D136:F136)</f>
        <v>0</v>
      </c>
      <c r="AA92" s="3522"/>
      <c r="AB92" s="2711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3122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162" t="e">
        <f>VLOOKUP(I92&amp;J92,'7층~4층_매핑테이블'!$I$6:$P$2020,8,0)</f>
        <v>#N/A</v>
      </c>
      <c r="AE92" s="3146" t="e">
        <f>$AE$91</f>
        <v>#N/A</v>
      </c>
      <c r="AF92" s="2496"/>
      <c r="AH92" s="2351" t="e">
        <f t="shared" si="27"/>
        <v>#N/A</v>
      </c>
      <c r="AI92" s="2351" t="e">
        <f t="shared" si="28"/>
        <v>#N/A</v>
      </c>
      <c r="AJ92" s="123" t="e">
        <f t="shared" si="26"/>
        <v>#N/A</v>
      </c>
      <c r="AK92" t="e">
        <f t="shared" si="29"/>
        <v>#N/A</v>
      </c>
      <c r="AL92" t="e">
        <f t="shared" si="30"/>
        <v>#N/A</v>
      </c>
      <c r="AQ92" s="123"/>
      <c r="AR92" s="123"/>
      <c r="AS92" s="123"/>
      <c r="AT92" s="2982"/>
      <c r="AU92" s="123"/>
      <c r="AV92" s="123"/>
      <c r="AW92" s="2990"/>
      <c r="AX92" s="2984"/>
      <c r="AY92" s="2985"/>
      <c r="AZ92" s="2986"/>
      <c r="BA92" s="2987"/>
      <c r="BB92" s="3194"/>
    </row>
    <row r="93" spans="1:54" ht="13.5" customHeight="1" x14ac:dyDescent="0.25">
      <c r="A93" s="3588" t="s">
        <v>1644</v>
      </c>
      <c r="B93" s="3480" t="s">
        <v>2855</v>
      </c>
      <c r="C93" s="3528" t="s">
        <v>2837</v>
      </c>
      <c r="D93" s="3559">
        <v>2.2000000000000002</v>
      </c>
      <c r="E93" s="2157"/>
      <c r="F93" s="2157"/>
      <c r="G93" s="2158"/>
      <c r="H93" s="2159"/>
      <c r="I93" s="1458" t="str">
        <f t="shared" si="15"/>
        <v>5-DaHall 1-PDU-03-30-16</v>
      </c>
      <c r="J93" s="1459" t="str">
        <f t="shared" si="23"/>
        <v>5-DaHall 1-PDU-04-30-16</v>
      </c>
      <c r="K93" s="1761"/>
      <c r="L93" s="1762">
        <v>30</v>
      </c>
      <c r="M93" s="2374" t="s">
        <v>6500</v>
      </c>
      <c r="N93" s="2160">
        <v>16</v>
      </c>
      <c r="O93" s="1764"/>
      <c r="P93" s="1765">
        <v>30</v>
      </c>
      <c r="Q93" s="2399" t="s">
        <v>6495</v>
      </c>
      <c r="R93" s="2161">
        <v>16</v>
      </c>
      <c r="S93" s="3608"/>
      <c r="T93" s="3611"/>
      <c r="U93" s="3472"/>
      <c r="V93" s="3471"/>
      <c r="W93" s="3472"/>
      <c r="X93" s="3471"/>
      <c r="Y93" s="2217">
        <f>SUM('5층_부하량(월간_AVG)'!N95:P95)</f>
        <v>0</v>
      </c>
      <c r="Z93" s="2217">
        <f>SUM('5층_부하량(월간_AVG)'!N125:P125)</f>
        <v>0</v>
      </c>
      <c r="AA93" s="3520">
        <f>SUM(Y93:Z94)</f>
        <v>0</v>
      </c>
      <c r="AB93" s="2709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3120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162">
        <f>VLOOKUP(I93&amp;J93,'7층~4층_매핑테이블'!$I$6:$P$2020,8,0)</f>
        <v>0</v>
      </c>
      <c r="AE93" s="3145" t="e">
        <f>SUM(AB93:AC94)</f>
        <v>#N/A</v>
      </c>
      <c r="AF93" s="2494"/>
      <c r="AH93" s="2351" t="e">
        <f t="shared" si="27"/>
        <v>#N/A</v>
      </c>
      <c r="AI93" s="2351" t="e">
        <f t="shared" si="28"/>
        <v>#N/A</v>
      </c>
      <c r="AJ93" s="123" t="e">
        <f t="shared" si="26"/>
        <v>#N/A</v>
      </c>
      <c r="AK93" t="e">
        <f t="shared" si="29"/>
        <v>#N/A</v>
      </c>
      <c r="AL93" t="e">
        <f t="shared" si="30"/>
        <v>#N/A</v>
      </c>
      <c r="AQ93" s="123"/>
      <c r="AR93" s="123"/>
      <c r="AS93" s="123"/>
      <c r="AT93" s="2982"/>
      <c r="AU93" s="123"/>
      <c r="AV93" s="123"/>
      <c r="AW93" s="2990"/>
      <c r="AX93" s="2984"/>
      <c r="AY93" s="2985"/>
      <c r="AZ93" s="2986"/>
      <c r="BA93" s="2987"/>
      <c r="BB93" s="3194"/>
    </row>
    <row r="94" spans="1:54" ht="13.5" customHeight="1" x14ac:dyDescent="0.25">
      <c r="A94" s="3589"/>
      <c r="B94" s="3481"/>
      <c r="C94" s="3529"/>
      <c r="D94" s="3559"/>
      <c r="E94" s="2171"/>
      <c r="F94" s="2171"/>
      <c r="G94" s="2172"/>
      <c r="H94" s="2173"/>
      <c r="I94" s="1458" t="str">
        <f t="shared" si="15"/>
        <v>5-DaHall 1-PDU-03-30-39</v>
      </c>
      <c r="J94" s="1459" t="str">
        <f t="shared" si="23"/>
        <v>5-DaHall 1-PDU-04-30-39</v>
      </c>
      <c r="K94" s="1768"/>
      <c r="L94" s="1769">
        <v>30</v>
      </c>
      <c r="M94" s="2376" t="s">
        <v>6500</v>
      </c>
      <c r="N94" s="2174">
        <v>39</v>
      </c>
      <c r="O94" s="1770"/>
      <c r="P94" s="1771">
        <v>30</v>
      </c>
      <c r="Q94" s="2401" t="s">
        <v>6495</v>
      </c>
      <c r="R94" s="2175">
        <v>39</v>
      </c>
      <c r="S94" s="3608"/>
      <c r="T94" s="3611"/>
      <c r="U94" s="3472"/>
      <c r="V94" s="3471"/>
      <c r="W94" s="3472"/>
      <c r="X94" s="3471"/>
      <c r="Y94" s="2218">
        <f>SUM('5층_부하량(월간_AVG)'!D107:F107)</f>
        <v>0</v>
      </c>
      <c r="Z94" s="2218">
        <f>SUM('5층_부하량(월간_AVG)'!D137:F137)</f>
        <v>0</v>
      </c>
      <c r="AA94" s="3522"/>
      <c r="AB94" s="2711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3122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162" t="e">
        <f>VLOOKUP(I94&amp;J94,'7층~4층_매핑테이블'!$I$6:$P$2020,8,0)</f>
        <v>#N/A</v>
      </c>
      <c r="AE94" s="3146" t="e">
        <f>$AE$93</f>
        <v>#N/A</v>
      </c>
      <c r="AF94" s="2496"/>
      <c r="AH94" s="2351" t="e">
        <f t="shared" si="27"/>
        <v>#N/A</v>
      </c>
      <c r="AI94" s="2351" t="e">
        <f t="shared" si="28"/>
        <v>#N/A</v>
      </c>
      <c r="AJ94" s="123" t="e">
        <f t="shared" si="26"/>
        <v>#N/A</v>
      </c>
      <c r="AK94" t="e">
        <f t="shared" si="29"/>
        <v>#N/A</v>
      </c>
      <c r="AL94" t="e">
        <f t="shared" si="30"/>
        <v>#N/A</v>
      </c>
      <c r="AQ94" s="123"/>
      <c r="AR94" s="123"/>
      <c r="AS94" s="123"/>
      <c r="AT94" s="2982"/>
      <c r="AU94" s="123"/>
      <c r="AV94" s="123"/>
      <c r="AW94" s="2990"/>
      <c r="AX94" s="2984"/>
      <c r="AY94" s="2985"/>
      <c r="AZ94" s="2986"/>
      <c r="BA94" s="2987"/>
      <c r="BB94" s="3194"/>
    </row>
    <row r="95" spans="1:54" ht="15.6" x14ac:dyDescent="0.25">
      <c r="A95" s="2637" t="s">
        <v>1650</v>
      </c>
      <c r="B95" s="2625" t="s">
        <v>2856</v>
      </c>
      <c r="C95" s="2874" t="s">
        <v>2837</v>
      </c>
      <c r="D95" s="2933">
        <v>2.2000000000000002</v>
      </c>
      <c r="E95" s="2625"/>
      <c r="F95" s="2625"/>
      <c r="G95" s="2646"/>
      <c r="H95" s="2645"/>
      <c r="I95" s="1458" t="str">
        <f t="shared" si="15"/>
        <v>5-DaHall 1-PDU-03-30-18</v>
      </c>
      <c r="J95" s="1459" t="str">
        <f t="shared" si="23"/>
        <v>5-DaHall 1-PDU-04-30-18</v>
      </c>
      <c r="K95" s="2192"/>
      <c r="L95" s="2193">
        <v>30</v>
      </c>
      <c r="M95" s="2379" t="s">
        <v>6500</v>
      </c>
      <c r="N95" s="2194">
        <v>18</v>
      </c>
      <c r="O95" s="2195"/>
      <c r="P95" s="2196">
        <v>30</v>
      </c>
      <c r="Q95" s="2404" t="s">
        <v>6495</v>
      </c>
      <c r="R95" s="2197">
        <v>18</v>
      </c>
      <c r="S95" s="3608"/>
      <c r="T95" s="3611"/>
      <c r="U95" s="3472"/>
      <c r="V95" s="3471"/>
      <c r="W95" s="3472"/>
      <c r="X95" s="3471"/>
      <c r="Y95" s="268">
        <f>SUM('5층_부하량(월간_AVG)'!N96:P96)</f>
        <v>0</v>
      </c>
      <c r="Z95" s="268">
        <f>SUM('5층_부하량(월간_AVG)'!N126:P126)</f>
        <v>0</v>
      </c>
      <c r="AA95" s="2436">
        <f t="shared" ref="AA95:AA101" si="33">SUM(Y95:Z95)</f>
        <v>0</v>
      </c>
      <c r="AB95" s="2691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3109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3162">
        <f>VLOOKUP(I95&amp;J95,'7층~4층_매핑테이블'!$I$6:$P$2020,8,0)</f>
        <v>0</v>
      </c>
      <c r="AE95" s="3144" t="e">
        <f>SUM(AB95:AC95)</f>
        <v>#N/A</v>
      </c>
      <c r="AF95" s="2451"/>
      <c r="AH95" s="2351" t="e">
        <f t="shared" si="27"/>
        <v>#N/A</v>
      </c>
      <c r="AI95" s="2351" t="e">
        <f t="shared" si="28"/>
        <v>#N/A</v>
      </c>
      <c r="AJ95" s="123" t="e">
        <f t="shared" si="26"/>
        <v>#N/A</v>
      </c>
      <c r="AK95" t="e">
        <f t="shared" si="29"/>
        <v>#N/A</v>
      </c>
      <c r="AL95" t="e">
        <f t="shared" si="30"/>
        <v>#N/A</v>
      </c>
      <c r="AQ95" s="123"/>
      <c r="AR95" s="123"/>
      <c r="AS95" s="123"/>
      <c r="AT95" s="2982"/>
      <c r="AU95" s="123"/>
      <c r="AV95" s="123"/>
      <c r="AW95" s="2990"/>
      <c r="AX95" s="2984"/>
      <c r="AY95" s="2985"/>
      <c r="AZ95" s="2986"/>
      <c r="BA95" s="2987"/>
      <c r="BB95" s="3194"/>
    </row>
    <row r="96" spans="1:54" ht="15.6" x14ac:dyDescent="0.25">
      <c r="A96" s="2637" t="s">
        <v>1656</v>
      </c>
      <c r="B96" s="2625" t="s">
        <v>2857</v>
      </c>
      <c r="C96" s="2874" t="s">
        <v>2837</v>
      </c>
      <c r="D96" s="2933">
        <v>2.2000000000000002</v>
      </c>
      <c r="E96" s="2625"/>
      <c r="F96" s="2625"/>
      <c r="G96" s="2646"/>
      <c r="H96" s="2645"/>
      <c r="I96" s="1458" t="str">
        <f t="shared" si="15"/>
        <v>5-DaHall 1-PDU-03-30-20</v>
      </c>
      <c r="J96" s="1459" t="str">
        <f t="shared" si="23"/>
        <v>5-DaHall 1-PDU-04-30-20</v>
      </c>
      <c r="K96" s="2192"/>
      <c r="L96" s="2193">
        <v>30</v>
      </c>
      <c r="M96" s="2379" t="s">
        <v>6500</v>
      </c>
      <c r="N96" s="2194">
        <v>20</v>
      </c>
      <c r="O96" s="2195"/>
      <c r="P96" s="2196">
        <v>30</v>
      </c>
      <c r="Q96" s="2404" t="s">
        <v>6495</v>
      </c>
      <c r="R96" s="2197">
        <v>20</v>
      </c>
      <c r="S96" s="3608"/>
      <c r="T96" s="3611"/>
      <c r="U96" s="3472"/>
      <c r="V96" s="3471"/>
      <c r="W96" s="3472"/>
      <c r="X96" s="3471"/>
      <c r="Y96" s="268">
        <f>SUM('5층_부하량(월간_AVG)'!N97:P97)</f>
        <v>0</v>
      </c>
      <c r="Z96" s="268">
        <f>SUM('5층_부하량(월간_AVG)'!N127:P127)</f>
        <v>0</v>
      </c>
      <c r="AA96" s="2436">
        <f t="shared" si="33"/>
        <v>0</v>
      </c>
      <c r="AB96" s="2691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3109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3162">
        <f>VLOOKUP(I96&amp;J96,'7층~4층_매핑테이블'!$I$6:$P$2020,8,0)</f>
        <v>1.9500000000000002</v>
      </c>
      <c r="AE96" s="3144" t="e">
        <f t="shared" ref="AE96:AE110" si="34">SUM(AB96:AC96)</f>
        <v>#N/A</v>
      </c>
      <c r="AF96" s="2451"/>
      <c r="AH96" s="2351" t="e">
        <f t="shared" si="27"/>
        <v>#N/A</v>
      </c>
      <c r="AI96" s="2351" t="e">
        <f t="shared" si="28"/>
        <v>#N/A</v>
      </c>
      <c r="AJ96" s="123" t="e">
        <f t="shared" si="26"/>
        <v>#N/A</v>
      </c>
      <c r="AK96" t="e">
        <f t="shared" si="29"/>
        <v>#N/A</v>
      </c>
      <c r="AL96" t="e">
        <f t="shared" si="30"/>
        <v>#N/A</v>
      </c>
      <c r="AQ96" s="123"/>
      <c r="AR96" s="123"/>
      <c r="AS96" s="123"/>
      <c r="AT96" s="2982"/>
      <c r="AU96" s="123"/>
      <c r="AV96" s="123"/>
      <c r="AW96" s="2990"/>
      <c r="AX96" s="2984"/>
      <c r="AY96" s="2985"/>
      <c r="AZ96" s="2986"/>
      <c r="BA96" s="2987"/>
      <c r="BB96" s="3194"/>
    </row>
    <row r="97" spans="1:54" ht="15.6" x14ac:dyDescent="0.25">
      <c r="A97" s="2637" t="s">
        <v>1662</v>
      </c>
      <c r="B97" s="2625" t="s">
        <v>2858</v>
      </c>
      <c r="C97" s="2632" t="s">
        <v>2837</v>
      </c>
      <c r="D97" s="2933">
        <v>2.2000000000000002</v>
      </c>
      <c r="E97" s="250"/>
      <c r="F97" s="250"/>
      <c r="G97" s="2633"/>
      <c r="H97" s="2634"/>
      <c r="I97" s="1458" t="str">
        <f t="shared" si="15"/>
        <v>5-DaHall 1-PDU-03-30-22</v>
      </c>
      <c r="J97" s="1459" t="str">
        <f t="shared" si="23"/>
        <v>5-DaHall 1-PDU-04-30-22</v>
      </c>
      <c r="K97" s="1558"/>
      <c r="L97" s="1559">
        <v>30</v>
      </c>
      <c r="M97" s="2364" t="s">
        <v>6500</v>
      </c>
      <c r="N97" s="1560">
        <v>22</v>
      </c>
      <c r="O97" s="1561"/>
      <c r="P97" s="1562">
        <v>30</v>
      </c>
      <c r="Q97" s="2394" t="s">
        <v>6495</v>
      </c>
      <c r="R97" s="1563">
        <v>22</v>
      </c>
      <c r="S97" s="3608"/>
      <c r="T97" s="3611"/>
      <c r="U97" s="3472"/>
      <c r="V97" s="3471"/>
      <c r="W97" s="3472"/>
      <c r="X97" s="3471"/>
      <c r="Y97" s="268">
        <f>SUM('5층_부하량(월간_AVG)'!N98:P98)</f>
        <v>0</v>
      </c>
      <c r="Z97" s="268">
        <f>SUM('5층_부하량(월간_AVG)'!N128:P128)</f>
        <v>0</v>
      </c>
      <c r="AA97" s="2436">
        <f t="shared" si="33"/>
        <v>0</v>
      </c>
      <c r="AB97" s="2691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3109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3162">
        <f>VLOOKUP(I97&amp;J97,'7층~4층_매핑테이블'!$I$6:$P$2020,8,0)</f>
        <v>0</v>
      </c>
      <c r="AE97" s="3144" t="e">
        <f t="shared" si="34"/>
        <v>#N/A</v>
      </c>
      <c r="AF97" s="2451"/>
      <c r="AH97" s="2351" t="e">
        <f t="shared" si="27"/>
        <v>#N/A</v>
      </c>
      <c r="AI97" s="2351" t="e">
        <f t="shared" si="28"/>
        <v>#N/A</v>
      </c>
      <c r="AJ97" s="123" t="e">
        <f t="shared" si="26"/>
        <v>#N/A</v>
      </c>
      <c r="AK97" t="e">
        <f t="shared" si="29"/>
        <v>#N/A</v>
      </c>
      <c r="AL97" t="e">
        <f t="shared" si="30"/>
        <v>#N/A</v>
      </c>
      <c r="AQ97" s="123"/>
      <c r="AR97" s="123"/>
      <c r="AS97" s="123"/>
      <c r="AT97" s="2982"/>
      <c r="AU97" s="123"/>
      <c r="AV97" s="123"/>
      <c r="AW97" s="2990"/>
      <c r="AX97" s="2984"/>
      <c r="AY97" s="2985"/>
      <c r="AZ97" s="2986"/>
      <c r="BA97" s="2987"/>
      <c r="BB97" s="3194"/>
    </row>
    <row r="98" spans="1:54" ht="16.2" thickBot="1" x14ac:dyDescent="0.3">
      <c r="A98" s="2635" t="s">
        <v>1668</v>
      </c>
      <c r="B98" s="2629" t="s">
        <v>2859</v>
      </c>
      <c r="C98" s="2656" t="s">
        <v>2837</v>
      </c>
      <c r="D98" s="2934">
        <v>2.2000000000000002</v>
      </c>
      <c r="E98" s="2629"/>
      <c r="F98" s="2629"/>
      <c r="G98" s="2643"/>
      <c r="H98" s="2644"/>
      <c r="I98" s="1458" t="str">
        <f t="shared" si="15"/>
        <v>5-DaHall 1-PDU-03-30-24</v>
      </c>
      <c r="J98" s="1459" t="str">
        <f t="shared" si="23"/>
        <v>5-DaHall 1-PDU-04-30-24</v>
      </c>
      <c r="K98" s="1568"/>
      <c r="L98" s="1569">
        <v>30</v>
      </c>
      <c r="M98" s="2365" t="s">
        <v>6500</v>
      </c>
      <c r="N98" s="1570">
        <v>24</v>
      </c>
      <c r="O98" s="1571"/>
      <c r="P98" s="1572">
        <v>30</v>
      </c>
      <c r="Q98" s="2395" t="s">
        <v>6495</v>
      </c>
      <c r="R98" s="1573">
        <v>24</v>
      </c>
      <c r="S98" s="3608"/>
      <c r="T98" s="3611"/>
      <c r="U98" s="3472"/>
      <c r="V98" s="3471"/>
      <c r="W98" s="3472"/>
      <c r="X98" s="3471"/>
      <c r="Y98" s="330">
        <f>SUM('5층_부하량(월간_AVG)'!N99:P99)</f>
        <v>0</v>
      </c>
      <c r="Z98" s="330">
        <f>SUM('5층_부하량(월간_AVG)'!N129:P129)</f>
        <v>0</v>
      </c>
      <c r="AA98" s="2437">
        <f t="shared" si="33"/>
        <v>0</v>
      </c>
      <c r="AB98" s="2695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3112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3162">
        <f>VLOOKUP(I98&amp;J98,'7층~4층_매핑테이블'!$I$6:$P$2020,8,0)</f>
        <v>0</v>
      </c>
      <c r="AE98" s="3147" t="e">
        <f t="shared" si="34"/>
        <v>#N/A</v>
      </c>
      <c r="AF98" s="2452"/>
      <c r="AH98" s="2351" t="e">
        <f t="shared" si="27"/>
        <v>#N/A</v>
      </c>
      <c r="AI98" s="2351" t="e">
        <f t="shared" si="28"/>
        <v>#N/A</v>
      </c>
      <c r="AJ98" s="123" t="e">
        <f t="shared" si="26"/>
        <v>#N/A</v>
      </c>
      <c r="AK98" t="e">
        <f t="shared" si="29"/>
        <v>#N/A</v>
      </c>
      <c r="AL98" t="e">
        <f t="shared" si="30"/>
        <v>#N/A</v>
      </c>
      <c r="AQ98" s="123"/>
      <c r="AR98" s="123"/>
      <c r="AS98" s="123"/>
      <c r="AT98" s="2982"/>
      <c r="AU98" s="123"/>
      <c r="AV98" s="123"/>
      <c r="AW98" s="2990"/>
      <c r="AX98" s="2984"/>
      <c r="AY98" s="2985"/>
      <c r="AZ98" s="2986"/>
      <c r="BA98" s="2987"/>
      <c r="BB98" s="3194"/>
    </row>
    <row r="99" spans="1:54" ht="16.2" thickTop="1" x14ac:dyDescent="0.25">
      <c r="A99" s="2637" t="s">
        <v>360</v>
      </c>
      <c r="B99" s="2625" t="s">
        <v>2860</v>
      </c>
      <c r="C99" s="2874" t="s">
        <v>2837</v>
      </c>
      <c r="D99" s="2938">
        <v>2.2000000000000002</v>
      </c>
      <c r="E99" s="2625"/>
      <c r="F99" s="2625"/>
      <c r="G99" s="2646"/>
      <c r="H99" s="2645"/>
      <c r="I99" s="1458" t="str">
        <f t="shared" ref="I99:I102" si="35">"5-DaHall 1-PDU-"&amp;M99&amp;"-"&amp;L99&amp;"-"&amp;N99</f>
        <v>5-DaHall 1-PDU-03-30-26</v>
      </c>
      <c r="J99" s="1459" t="str">
        <f t="shared" si="23"/>
        <v>5-DaHall 1-PDU-04-30-26</v>
      </c>
      <c r="K99" s="2192"/>
      <c r="L99" s="2193">
        <v>30</v>
      </c>
      <c r="M99" s="2379" t="s">
        <v>6500</v>
      </c>
      <c r="N99" s="2194">
        <v>26</v>
      </c>
      <c r="O99" s="2195"/>
      <c r="P99" s="2196">
        <v>30</v>
      </c>
      <c r="Q99" s="2404" t="s">
        <v>6495</v>
      </c>
      <c r="R99" s="2197">
        <v>26</v>
      </c>
      <c r="S99" s="3608"/>
      <c r="T99" s="3611"/>
      <c r="U99" s="3472"/>
      <c r="V99" s="3471"/>
      <c r="W99" s="3472"/>
      <c r="X99" s="3471"/>
      <c r="Y99" s="2216">
        <f>SUM('5층_부하량(월간_AVG)'!N100:P100)</f>
        <v>0</v>
      </c>
      <c r="Z99" s="836">
        <f>SUM('5층_부하량(월간_AVG)'!N130:P130)</f>
        <v>0</v>
      </c>
      <c r="AA99" s="2442">
        <f t="shared" si="33"/>
        <v>0</v>
      </c>
      <c r="AB99" s="2707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3119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3162">
        <f>VLOOKUP(I99&amp;J99,'7층~4층_매핑테이블'!$I$6:$P$2020,8,0)</f>
        <v>2.7370000000000001</v>
      </c>
      <c r="AE99" s="3146" t="e">
        <f t="shared" si="34"/>
        <v>#N/A</v>
      </c>
      <c r="AF99" s="2493"/>
      <c r="AH99" s="2351" t="e">
        <f t="shared" si="27"/>
        <v>#N/A</v>
      </c>
      <c r="AI99" s="2351" t="e">
        <f t="shared" si="28"/>
        <v>#N/A</v>
      </c>
      <c r="AJ99" s="123" t="e">
        <f t="shared" si="26"/>
        <v>#N/A</v>
      </c>
      <c r="AK99" t="e">
        <f t="shared" si="29"/>
        <v>#N/A</v>
      </c>
      <c r="AL99" t="e">
        <f t="shared" si="30"/>
        <v>#N/A</v>
      </c>
      <c r="AQ99" s="123"/>
      <c r="AR99" s="123"/>
      <c r="AS99" s="123"/>
      <c r="AT99" s="2982"/>
      <c r="AU99" s="123"/>
      <c r="AV99" s="123"/>
      <c r="AW99" s="2990"/>
      <c r="AX99" s="2984"/>
      <c r="AY99" s="2985"/>
      <c r="AZ99" s="2986"/>
      <c r="BA99" s="2987"/>
      <c r="BB99" s="3194"/>
    </row>
    <row r="100" spans="1:54" ht="15.6" x14ac:dyDescent="0.25">
      <c r="A100" s="2155" t="s">
        <v>356</v>
      </c>
      <c r="B100" s="250" t="s">
        <v>2861</v>
      </c>
      <c r="C100" s="2632" t="s">
        <v>2837</v>
      </c>
      <c r="D100" s="2933">
        <v>2.2000000000000002</v>
      </c>
      <c r="E100" s="250"/>
      <c r="F100" s="250"/>
      <c r="G100" s="2633"/>
      <c r="H100" s="2634"/>
      <c r="I100" s="1458" t="str">
        <f t="shared" si="35"/>
        <v>5-DaHall 1-PDU-03-30-28</v>
      </c>
      <c r="J100" s="1459" t="str">
        <f t="shared" si="23"/>
        <v>5-DaHall 1-PDU-04-30-28</v>
      </c>
      <c r="K100" s="1558"/>
      <c r="L100" s="1559">
        <v>30</v>
      </c>
      <c r="M100" s="2364" t="s">
        <v>6500</v>
      </c>
      <c r="N100" s="1560">
        <v>28</v>
      </c>
      <c r="O100" s="1561"/>
      <c r="P100" s="1562">
        <v>30</v>
      </c>
      <c r="Q100" s="2394" t="s">
        <v>6495</v>
      </c>
      <c r="R100" s="1563">
        <v>28</v>
      </c>
      <c r="S100" s="3608"/>
      <c r="T100" s="3611"/>
      <c r="U100" s="3472"/>
      <c r="V100" s="3471"/>
      <c r="W100" s="3472"/>
      <c r="X100" s="3471"/>
      <c r="Y100" s="268">
        <f>SUM('5층_부하량(월간_AVG)'!N101:P101)</f>
        <v>0</v>
      </c>
      <c r="Z100" s="268">
        <f>SUM('5층_부하량(월간_AVG)'!N131:P131)</f>
        <v>0</v>
      </c>
      <c r="AA100" s="2436">
        <f t="shared" si="33"/>
        <v>0</v>
      </c>
      <c r="AB100" s="2691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3109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3162" t="e">
        <f>VLOOKUP(I100&amp;J100,'7층~4층_매핑테이블'!$I$6:$P$2020,8,0)</f>
        <v>#N/A</v>
      </c>
      <c r="AE100" s="3144" t="e">
        <f t="shared" si="34"/>
        <v>#N/A</v>
      </c>
      <c r="AF100" s="2451"/>
      <c r="AH100" s="2351" t="e">
        <f t="shared" si="27"/>
        <v>#N/A</v>
      </c>
      <c r="AI100" s="2351" t="e">
        <f t="shared" si="28"/>
        <v>#N/A</v>
      </c>
      <c r="AJ100" s="123" t="e">
        <f t="shared" si="26"/>
        <v>#N/A</v>
      </c>
      <c r="AK100" t="e">
        <f t="shared" si="29"/>
        <v>#N/A</v>
      </c>
      <c r="AL100" t="e">
        <f t="shared" si="30"/>
        <v>#N/A</v>
      </c>
      <c r="AQ100" s="123"/>
      <c r="AR100" s="123"/>
      <c r="AS100" s="123"/>
      <c r="AT100" s="2982"/>
      <c r="AU100" s="123"/>
      <c r="AV100" s="123"/>
      <c r="AW100" s="2990"/>
      <c r="AX100" s="2984"/>
      <c r="AY100" s="2985"/>
      <c r="AZ100" s="2986"/>
      <c r="BA100" s="2987"/>
      <c r="BB100" s="3194"/>
    </row>
    <row r="101" spans="1:54" ht="16.2" thickBot="1" x14ac:dyDescent="0.3">
      <c r="A101" s="2156" t="s">
        <v>352</v>
      </c>
      <c r="B101" s="2629" t="s">
        <v>2862</v>
      </c>
      <c r="C101" s="2656" t="s">
        <v>2837</v>
      </c>
      <c r="D101" s="2937"/>
      <c r="E101" s="2629"/>
      <c r="F101" s="2629"/>
      <c r="G101" s="2643"/>
      <c r="H101" s="2644"/>
      <c r="I101" s="1458" t="str">
        <f t="shared" si="35"/>
        <v>5-DaHall 1-PDU-03-30-30</v>
      </c>
      <c r="J101" s="1459" t="str">
        <f t="shared" si="23"/>
        <v>5-DaHall 1-PDU-04-30-30</v>
      </c>
      <c r="K101" s="1568"/>
      <c r="L101" s="1569">
        <v>30</v>
      </c>
      <c r="M101" s="2365" t="s">
        <v>6500</v>
      </c>
      <c r="N101" s="1570">
        <v>30</v>
      </c>
      <c r="O101" s="1571"/>
      <c r="P101" s="1572">
        <v>30</v>
      </c>
      <c r="Q101" s="2395" t="s">
        <v>6495</v>
      </c>
      <c r="R101" s="1573">
        <v>30</v>
      </c>
      <c r="S101" s="3609"/>
      <c r="T101" s="3612"/>
      <c r="U101" s="3499"/>
      <c r="V101" s="3498"/>
      <c r="W101" s="3499"/>
      <c r="X101" s="3498"/>
      <c r="Y101" s="330">
        <f>SUM('5층_부하량(월간_AVG)'!N102:P102)</f>
        <v>0</v>
      </c>
      <c r="Z101" s="330">
        <f>SUM('5층_부하량(월간_AVG)'!N132:P132)</f>
        <v>0</v>
      </c>
      <c r="AA101" s="2437">
        <f t="shared" si="33"/>
        <v>0</v>
      </c>
      <c r="AB101" s="2787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3112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3162" t="e">
        <f>VLOOKUP(I101&amp;J101,'7층~4층_매핑테이블'!$I$6:$P$2020,8,0)</f>
        <v>#N/A</v>
      </c>
      <c r="AE101" s="3147" t="e">
        <f t="shared" si="34"/>
        <v>#N/A</v>
      </c>
      <c r="AF101" s="2452"/>
      <c r="AH101" s="2351" t="e">
        <f t="shared" si="27"/>
        <v>#N/A</v>
      </c>
      <c r="AI101" s="2351" t="e">
        <f t="shared" si="28"/>
        <v>#N/A</v>
      </c>
      <c r="AJ101" s="123" t="e">
        <f t="shared" si="26"/>
        <v>#N/A</v>
      </c>
      <c r="AK101" t="e">
        <f t="shared" si="29"/>
        <v>#N/A</v>
      </c>
      <c r="AL101" t="e">
        <f t="shared" si="30"/>
        <v>#N/A</v>
      </c>
      <c r="AQ101" s="123"/>
      <c r="AR101" s="123"/>
      <c r="AS101" s="123"/>
      <c r="AT101" s="2982"/>
      <c r="AU101" s="123"/>
      <c r="AV101" s="123"/>
      <c r="AW101" s="2990"/>
      <c r="AX101" s="2984"/>
      <c r="AY101" s="2985"/>
      <c r="AZ101" s="2986"/>
      <c r="BA101" s="2987"/>
      <c r="BB101" s="3194"/>
    </row>
    <row r="102" spans="1:54" ht="30" thickTop="1" thickBot="1" x14ac:dyDescent="0.3">
      <c r="A102" s="2626" t="s">
        <v>2822</v>
      </c>
      <c r="B102" s="1371" t="s">
        <v>2823</v>
      </c>
      <c r="C102" s="2900" t="s">
        <v>9186</v>
      </c>
      <c r="D102" s="2939">
        <v>2.2000000000000002</v>
      </c>
      <c r="E102" s="2636" t="s">
        <v>2824</v>
      </c>
      <c r="F102" s="2636" t="s">
        <v>2825</v>
      </c>
      <c r="G102" s="1372" t="s">
        <v>2826</v>
      </c>
      <c r="H102" s="2630" t="s">
        <v>2827</v>
      </c>
      <c r="I102" s="1458" t="str">
        <f t="shared" si="35"/>
        <v>5-DaHall 1-PDU-01-30-46</v>
      </c>
      <c r="J102" s="1459" t="str">
        <f t="shared" si="23"/>
        <v>5-DaHall 1-PDU-02-30-46</v>
      </c>
      <c r="K102" s="1599">
        <v>220</v>
      </c>
      <c r="L102" s="1600">
        <v>30</v>
      </c>
      <c r="M102" s="2362" t="s">
        <v>6498</v>
      </c>
      <c r="N102" s="1601">
        <v>46</v>
      </c>
      <c r="O102" s="1602">
        <v>220</v>
      </c>
      <c r="P102" s="1603">
        <v>30</v>
      </c>
      <c r="Q102" s="2392" t="s">
        <v>6493</v>
      </c>
      <c r="R102" s="1604">
        <v>46</v>
      </c>
      <c r="S102" s="1372" t="s">
        <v>2828</v>
      </c>
      <c r="T102" s="2630" t="s">
        <v>2829</v>
      </c>
      <c r="U102" s="2614" t="s">
        <v>2830</v>
      </c>
      <c r="V102" s="2607" t="s">
        <v>2831</v>
      </c>
      <c r="W102" s="2614" t="s">
        <v>2484</v>
      </c>
      <c r="X102" s="2607" t="s">
        <v>2485</v>
      </c>
      <c r="Y102" s="1364">
        <f>SUM('5층_부하량(월간_AVG)'!N50:P50)</f>
        <v>0</v>
      </c>
      <c r="Z102" s="1364">
        <f>SUM('5층_부하량(월간_AVG)'!N80:P80)</f>
        <v>0</v>
      </c>
      <c r="AA102" s="2462">
        <f>SUM(Y102:Z102)</f>
        <v>0</v>
      </c>
      <c r="AB102" s="2714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3125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3162" t="e">
        <f>VLOOKUP(I102&amp;J102,'7층~4층_매핑테이블'!$I$6:$P$2020,8,0)</f>
        <v>#N/A</v>
      </c>
      <c r="AE102" s="3150" t="e">
        <f t="shared" si="34"/>
        <v>#N/A</v>
      </c>
      <c r="AF102" s="2492" t="s">
        <v>2832</v>
      </c>
      <c r="AH102" s="2351" t="e">
        <f t="shared" si="27"/>
        <v>#N/A</v>
      </c>
      <c r="AI102" s="2351" t="e">
        <f t="shared" si="28"/>
        <v>#N/A</v>
      </c>
      <c r="AJ102" s="123" t="e">
        <f t="shared" si="26"/>
        <v>#N/A</v>
      </c>
      <c r="AK102" t="e">
        <f t="shared" si="29"/>
        <v>#N/A</v>
      </c>
      <c r="AL102" t="e">
        <f t="shared" si="30"/>
        <v>#N/A</v>
      </c>
      <c r="AQ102" s="123"/>
      <c r="AR102" s="123"/>
      <c r="AS102" s="123"/>
      <c r="AT102" s="2982"/>
      <c r="AU102" s="123"/>
      <c r="AV102" s="123"/>
      <c r="AW102" s="2990"/>
      <c r="AX102" s="2984"/>
      <c r="AY102" s="2985"/>
      <c r="AZ102" s="2986"/>
      <c r="BA102" s="2987"/>
      <c r="BB102" s="3194"/>
    </row>
    <row r="103" spans="1:54" ht="22.8" thickTop="1" thickBot="1" x14ac:dyDescent="0.3">
      <c r="A103" s="2269" t="s">
        <v>9301</v>
      </c>
      <c r="B103" s="1095"/>
      <c r="C103" s="3023" t="s">
        <v>9300</v>
      </c>
      <c r="D103" s="3025"/>
      <c r="E103" s="1095"/>
      <c r="F103" s="1095"/>
      <c r="G103" s="3026"/>
      <c r="H103" s="1096"/>
      <c r="I103" s="3027"/>
      <c r="J103" s="3028"/>
      <c r="K103" s="3029"/>
      <c r="L103" s="3030"/>
      <c r="M103" s="3031"/>
      <c r="N103" s="3032"/>
      <c r="O103" s="3033"/>
      <c r="P103" s="3034"/>
      <c r="Q103" s="2410"/>
      <c r="R103" s="1681"/>
      <c r="S103" s="3026"/>
      <c r="T103" s="1096"/>
      <c r="U103" s="2271"/>
      <c r="V103" s="1119"/>
      <c r="W103" s="2271"/>
      <c r="X103" s="1119"/>
      <c r="Y103" s="3035"/>
      <c r="Z103" s="3035"/>
      <c r="AA103" s="3036"/>
      <c r="AB103" s="3037"/>
      <c r="AC103" s="3126"/>
      <c r="AD103" s="3162">
        <f>VLOOKUP(I103&amp;J103,'7층~4층_매핑테이블'!$I$6:$P$2020,8,0)</f>
        <v>0</v>
      </c>
      <c r="AE103" s="3152"/>
      <c r="AF103" s="3038"/>
      <c r="AH103" s="2351"/>
      <c r="AI103" s="2351"/>
      <c r="AJ103" s="123"/>
      <c r="AK103" t="str">
        <f t="shared" si="29"/>
        <v/>
      </c>
      <c r="AL103" t="str">
        <f t="shared" si="30"/>
        <v/>
      </c>
      <c r="AQ103" s="123"/>
      <c r="AR103" s="123"/>
      <c r="AS103" s="123"/>
      <c r="AT103" s="2982"/>
      <c r="AU103" s="123"/>
      <c r="AV103" s="123"/>
      <c r="AW103" s="2990"/>
      <c r="AX103" s="2984"/>
      <c r="AY103" s="2985"/>
      <c r="AZ103" s="2986"/>
      <c r="BA103" s="2987"/>
      <c r="BB103" s="3194"/>
    </row>
    <row r="104" spans="1:54" ht="29.4" thickTop="1" x14ac:dyDescent="0.25">
      <c r="A104" s="3015"/>
      <c r="B104" s="2625" t="s">
        <v>2863</v>
      </c>
      <c r="C104" s="2874"/>
      <c r="D104" s="2935"/>
      <c r="E104" s="2625" t="s">
        <v>2864</v>
      </c>
      <c r="F104" s="2625" t="s">
        <v>2865</v>
      </c>
      <c r="G104" s="2646" t="s">
        <v>2866</v>
      </c>
      <c r="H104" s="2645" t="s">
        <v>2867</v>
      </c>
      <c r="I104" s="2190" t="str">
        <f t="shared" ref="I104:I110" si="36">"5-DaHall1-PDU-"&amp;M104&amp;"-"&amp;L104&amp;"-"&amp;N104</f>
        <v>5-DaHall1-PDU-03-30-5</v>
      </c>
      <c r="J104" s="2191" t="str">
        <f t="shared" ref="J104:J110" si="37">"5-DaHall1-PDU-"&amp;Q104&amp;"-"&amp;P104&amp;"-"&amp;R104</f>
        <v>5-DaHall1-PDU-04-30-5</v>
      </c>
      <c r="K104" s="2192">
        <v>220</v>
      </c>
      <c r="L104" s="2193">
        <v>30</v>
      </c>
      <c r="M104" s="2379" t="s">
        <v>6500</v>
      </c>
      <c r="N104" s="2194">
        <v>5</v>
      </c>
      <c r="O104" s="2195">
        <v>220</v>
      </c>
      <c r="P104" s="2196">
        <v>30</v>
      </c>
      <c r="Q104" s="2404" t="s">
        <v>6495</v>
      </c>
      <c r="R104" s="2197">
        <v>5</v>
      </c>
      <c r="S104" s="3640" t="s">
        <v>2868</v>
      </c>
      <c r="T104" s="3632" t="s">
        <v>2869</v>
      </c>
      <c r="U104" s="3478" t="s">
        <v>2870</v>
      </c>
      <c r="V104" s="3477" t="s">
        <v>2871</v>
      </c>
      <c r="W104" s="3478" t="s">
        <v>2484</v>
      </c>
      <c r="X104" s="3477" t="s">
        <v>2485</v>
      </c>
      <c r="Y104" s="3024">
        <f>SUM('5층_부하량(월간_AVG)'!D90:F90)</f>
        <v>0</v>
      </c>
      <c r="Z104" s="3024">
        <f>SUM('5층_부하량(월간_AVG)'!D120:F120)</f>
        <v>0</v>
      </c>
      <c r="AA104" s="2442">
        <f t="shared" ref="AA104:AA110" si="38">SUM(Y104:Z104)</f>
        <v>0</v>
      </c>
      <c r="AB104" s="2707" t="e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4" s="3119" t="e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4" s="3162" t="e">
        <f>VLOOKUP(I104&amp;J104,'7층~4층_매핑테이블'!$I$6:$P$2020,8,0)</f>
        <v>#N/A</v>
      </c>
      <c r="AE104" s="3146" t="e">
        <f t="shared" si="34"/>
        <v>#N/A</v>
      </c>
      <c r="AF104" s="2493"/>
      <c r="AH104" s="2351" t="e">
        <f t="shared" si="27"/>
        <v>#N/A</v>
      </c>
      <c r="AI104" s="2351" t="e">
        <f t="shared" si="28"/>
        <v>#N/A</v>
      </c>
      <c r="AJ104" s="123" t="e">
        <f t="shared" si="26"/>
        <v>#N/A</v>
      </c>
      <c r="AK104" t="e">
        <f t="shared" si="29"/>
        <v>#N/A</v>
      </c>
      <c r="AL104" t="e">
        <f t="shared" si="30"/>
        <v>#N/A</v>
      </c>
      <c r="AQ104" s="123"/>
      <c r="AR104" s="123"/>
      <c r="AS104" s="123"/>
      <c r="AT104" s="2982"/>
      <c r="AU104" s="123"/>
      <c r="AV104" s="123"/>
      <c r="AW104" s="2990"/>
      <c r="AX104" s="2984"/>
      <c r="AY104" s="2985"/>
      <c r="AZ104" s="2986"/>
      <c r="BA104" s="2987"/>
      <c r="BB104" s="3194"/>
    </row>
    <row r="105" spans="1:54" ht="28.8" x14ac:dyDescent="0.25">
      <c r="A105" s="2620"/>
      <c r="B105" s="250" t="s">
        <v>2872</v>
      </c>
      <c r="C105" s="2632"/>
      <c r="D105" s="2929"/>
      <c r="E105" s="250" t="s">
        <v>2873</v>
      </c>
      <c r="F105" s="250" t="s">
        <v>2874</v>
      </c>
      <c r="G105" s="2633" t="s">
        <v>2875</v>
      </c>
      <c r="H105" s="2634" t="s">
        <v>2876</v>
      </c>
      <c r="I105" s="1595" t="str">
        <f t="shared" si="36"/>
        <v>5-DaHall1-PDU-03-30-7</v>
      </c>
      <c r="J105" s="1596" t="str">
        <f t="shared" si="37"/>
        <v>5-DaHall1-PDU-04-30-7</v>
      </c>
      <c r="K105" s="1558">
        <v>220</v>
      </c>
      <c r="L105" s="1559">
        <v>30</v>
      </c>
      <c r="M105" s="2364" t="s">
        <v>6500</v>
      </c>
      <c r="N105" s="1560">
        <v>7</v>
      </c>
      <c r="O105" s="1561">
        <v>220</v>
      </c>
      <c r="P105" s="1562">
        <v>30</v>
      </c>
      <c r="Q105" s="2394" t="s">
        <v>6495</v>
      </c>
      <c r="R105" s="1563">
        <v>7</v>
      </c>
      <c r="S105" s="3645"/>
      <c r="T105" s="3647"/>
      <c r="U105" s="3649"/>
      <c r="V105" s="3651"/>
      <c r="W105" s="3649"/>
      <c r="X105" s="3651"/>
      <c r="Y105" s="253">
        <f>SUM('5층_부하량(월간_AVG)'!D91:F91)</f>
        <v>0</v>
      </c>
      <c r="Z105" s="253">
        <f>SUM('5층_부하량(월간_AVG)'!D121:F121)</f>
        <v>0</v>
      </c>
      <c r="AA105" s="2436">
        <f t="shared" si="38"/>
        <v>0</v>
      </c>
      <c r="AB105" s="2691" t="e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5" s="3109" t="e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5" s="3162" t="e">
        <f>VLOOKUP(I105&amp;J105,'7층~4층_매핑테이블'!$I$6:$P$2020,8,0)</f>
        <v>#N/A</v>
      </c>
      <c r="AE105" s="3144" t="e">
        <f t="shared" si="34"/>
        <v>#N/A</v>
      </c>
      <c r="AF105" s="2451"/>
      <c r="AH105" s="2351" t="e">
        <f t="shared" si="27"/>
        <v>#N/A</v>
      </c>
      <c r="AI105" s="2351" t="e">
        <f t="shared" si="28"/>
        <v>#N/A</v>
      </c>
      <c r="AJ105" s="123" t="e">
        <f t="shared" si="26"/>
        <v>#N/A</v>
      </c>
      <c r="AK105" t="e">
        <f t="shared" si="29"/>
        <v>#N/A</v>
      </c>
      <c r="AL105" t="e">
        <f t="shared" si="30"/>
        <v>#N/A</v>
      </c>
      <c r="AQ105" s="123"/>
      <c r="AR105" s="123"/>
      <c r="AS105" s="123"/>
      <c r="AT105" s="2982"/>
      <c r="AU105" s="123"/>
      <c r="AV105" s="123"/>
      <c r="AW105" s="2990"/>
      <c r="AX105" s="2984"/>
      <c r="AY105" s="2985"/>
      <c r="AZ105" s="2986"/>
      <c r="BA105" s="2987"/>
      <c r="BB105" s="3194"/>
    </row>
    <row r="106" spans="1:54" ht="28.8" x14ac:dyDescent="0.25">
      <c r="A106" s="2620"/>
      <c r="B106" s="250" t="s">
        <v>2877</v>
      </c>
      <c r="C106" s="2632"/>
      <c r="D106" s="2929"/>
      <c r="E106" s="250" t="s">
        <v>2878</v>
      </c>
      <c r="F106" s="250" t="s">
        <v>2879</v>
      </c>
      <c r="G106" s="2633" t="s">
        <v>2880</v>
      </c>
      <c r="H106" s="2634" t="s">
        <v>2881</v>
      </c>
      <c r="I106" s="1595" t="str">
        <f t="shared" si="36"/>
        <v>5-DaHall1-PDU-03-30-9</v>
      </c>
      <c r="J106" s="1596" t="str">
        <f t="shared" si="37"/>
        <v>5-DaHall1-PDU-04-30-9</v>
      </c>
      <c r="K106" s="1558">
        <v>220</v>
      </c>
      <c r="L106" s="1559">
        <v>30</v>
      </c>
      <c r="M106" s="2364" t="s">
        <v>6500</v>
      </c>
      <c r="N106" s="1560">
        <v>9</v>
      </c>
      <c r="O106" s="1561">
        <v>220</v>
      </c>
      <c r="P106" s="1562">
        <v>30</v>
      </c>
      <c r="Q106" s="2394" t="s">
        <v>6495</v>
      </c>
      <c r="R106" s="1563">
        <v>9</v>
      </c>
      <c r="S106" s="3645"/>
      <c r="T106" s="3647"/>
      <c r="U106" s="3649"/>
      <c r="V106" s="3651"/>
      <c r="W106" s="3649"/>
      <c r="X106" s="3651"/>
      <c r="Y106" s="253">
        <f>SUM('5층_부하량(월간_AVG)'!D92:F92)</f>
        <v>0</v>
      </c>
      <c r="Z106" s="253">
        <f>SUM('5층_부하량(월간_AVG)'!D122:F122)</f>
        <v>0</v>
      </c>
      <c r="AA106" s="2436">
        <f t="shared" si="38"/>
        <v>0</v>
      </c>
      <c r="AB106" s="2691" t="e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6" s="3109" t="e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6" s="3162" t="e">
        <f>VLOOKUP(I106&amp;J106,'7층~4층_매핑테이블'!$I$6:$P$2020,8,0)</f>
        <v>#N/A</v>
      </c>
      <c r="AE106" s="3144" t="e">
        <f t="shared" si="34"/>
        <v>#N/A</v>
      </c>
      <c r="AF106" s="2451"/>
      <c r="AH106" s="2351" t="e">
        <f t="shared" si="27"/>
        <v>#N/A</v>
      </c>
      <c r="AI106" s="2351" t="e">
        <f t="shared" si="28"/>
        <v>#N/A</v>
      </c>
      <c r="AJ106" s="123" t="e">
        <f t="shared" si="26"/>
        <v>#N/A</v>
      </c>
      <c r="AK106" t="e">
        <f t="shared" si="29"/>
        <v>#N/A</v>
      </c>
      <c r="AL106" t="e">
        <f t="shared" si="30"/>
        <v>#N/A</v>
      </c>
      <c r="AQ106" s="123"/>
      <c r="AR106" s="123"/>
      <c r="AS106" s="123"/>
      <c r="AT106" s="2982"/>
      <c r="AU106" s="123"/>
      <c r="AV106" s="123"/>
      <c r="AW106" s="2990"/>
      <c r="AX106" s="2984"/>
      <c r="AY106" s="2985"/>
      <c r="AZ106" s="2986"/>
      <c r="BA106" s="2987"/>
      <c r="BB106" s="3194"/>
    </row>
    <row r="107" spans="1:54" ht="28.8" x14ac:dyDescent="0.25">
      <c r="A107" s="2620"/>
      <c r="B107" s="250" t="s">
        <v>2882</v>
      </c>
      <c r="C107" s="2632"/>
      <c r="D107" s="2929"/>
      <c r="E107" s="250" t="s">
        <v>2883</v>
      </c>
      <c r="F107" s="250" t="s">
        <v>2884</v>
      </c>
      <c r="G107" s="2633" t="s">
        <v>2885</v>
      </c>
      <c r="H107" s="2634" t="s">
        <v>2886</v>
      </c>
      <c r="I107" s="1595" t="str">
        <f t="shared" si="36"/>
        <v>5-DaHall1-PDU-03-30-11</v>
      </c>
      <c r="J107" s="1596" t="str">
        <f t="shared" si="37"/>
        <v>5-DaHall1-PDU-04-30-11</v>
      </c>
      <c r="K107" s="1558">
        <v>220</v>
      </c>
      <c r="L107" s="1559">
        <v>30</v>
      </c>
      <c r="M107" s="2364" t="s">
        <v>6500</v>
      </c>
      <c r="N107" s="1560">
        <v>11</v>
      </c>
      <c r="O107" s="1561">
        <v>220</v>
      </c>
      <c r="P107" s="1562">
        <v>30</v>
      </c>
      <c r="Q107" s="2394" t="s">
        <v>6495</v>
      </c>
      <c r="R107" s="1563">
        <v>11</v>
      </c>
      <c r="S107" s="3645"/>
      <c r="T107" s="3647"/>
      <c r="U107" s="3649"/>
      <c r="V107" s="3651"/>
      <c r="W107" s="3649"/>
      <c r="X107" s="3651"/>
      <c r="Y107" s="253">
        <f>SUM('5층_부하량(월간_AVG)'!D93:F93)</f>
        <v>0</v>
      </c>
      <c r="Z107" s="253">
        <f>SUM('5층_부하량(월간_AVG)'!D123:F123)</f>
        <v>0</v>
      </c>
      <c r="AA107" s="2436">
        <f t="shared" si="38"/>
        <v>0</v>
      </c>
      <c r="AB107" s="2691" t="e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7" s="3109" t="e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7" s="3162" t="e">
        <f>VLOOKUP(I107&amp;J107,'7층~4층_매핑테이블'!$I$6:$P$2020,8,0)</f>
        <v>#N/A</v>
      </c>
      <c r="AE107" s="3144" t="e">
        <f t="shared" si="34"/>
        <v>#N/A</v>
      </c>
      <c r="AF107" s="2451"/>
      <c r="AH107" s="2351" t="e">
        <f t="shared" si="27"/>
        <v>#N/A</v>
      </c>
      <c r="AI107" s="2351" t="e">
        <f t="shared" si="28"/>
        <v>#N/A</v>
      </c>
      <c r="AJ107" s="123" t="e">
        <f t="shared" si="26"/>
        <v>#N/A</v>
      </c>
      <c r="AK107" t="e">
        <f t="shared" si="29"/>
        <v>#N/A</v>
      </c>
      <c r="AL107" t="e">
        <f t="shared" si="30"/>
        <v>#N/A</v>
      </c>
      <c r="AQ107" s="123"/>
      <c r="AR107" s="123"/>
      <c r="AS107" s="123"/>
      <c r="AT107" s="2982"/>
      <c r="AU107" s="123"/>
      <c r="AV107" s="123"/>
      <c r="AW107" s="2990"/>
      <c r="AX107" s="2984"/>
      <c r="AY107" s="2985"/>
      <c r="AZ107" s="2986"/>
      <c r="BA107" s="2987"/>
      <c r="BB107" s="3194"/>
    </row>
    <row r="108" spans="1:54" ht="28.8" x14ac:dyDescent="0.25">
      <c r="A108" s="2620"/>
      <c r="B108" s="250" t="s">
        <v>2888</v>
      </c>
      <c r="C108" s="2632"/>
      <c r="D108" s="2929"/>
      <c r="E108" s="250" t="s">
        <v>2889</v>
      </c>
      <c r="F108" s="250" t="s">
        <v>2890</v>
      </c>
      <c r="G108" s="2633" t="s">
        <v>2891</v>
      </c>
      <c r="H108" s="2634" t="s">
        <v>2892</v>
      </c>
      <c r="I108" s="1595" t="str">
        <f t="shared" si="36"/>
        <v>5-DaHall1-PDU-03-30-13</v>
      </c>
      <c r="J108" s="1596" t="str">
        <f t="shared" si="37"/>
        <v>5-DaHall1-PDU-04-30-13</v>
      </c>
      <c r="K108" s="1558">
        <v>220</v>
      </c>
      <c r="L108" s="1559">
        <v>30</v>
      </c>
      <c r="M108" s="2364" t="s">
        <v>6500</v>
      </c>
      <c r="N108" s="1560">
        <v>13</v>
      </c>
      <c r="O108" s="1561">
        <v>220</v>
      </c>
      <c r="P108" s="1562">
        <v>30</v>
      </c>
      <c r="Q108" s="2394" t="s">
        <v>6495</v>
      </c>
      <c r="R108" s="1563">
        <v>13</v>
      </c>
      <c r="S108" s="3645"/>
      <c r="T108" s="3647"/>
      <c r="U108" s="3649"/>
      <c r="V108" s="3651"/>
      <c r="W108" s="3649"/>
      <c r="X108" s="3651"/>
      <c r="Y108" s="253">
        <f>SUM('5층_부하량(월간_AVG)'!D94:F94)</f>
        <v>0</v>
      </c>
      <c r="Z108" s="253">
        <f>SUM('5층_부하량(월간_AVG)'!D124:F124)</f>
        <v>0</v>
      </c>
      <c r="AA108" s="2436">
        <f t="shared" si="38"/>
        <v>0</v>
      </c>
      <c r="AB108" s="2691" t="e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8" s="3109" t="e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8" s="3162" t="e">
        <f>VLOOKUP(I108&amp;J108,'7층~4층_매핑테이블'!$I$6:$P$2020,8,0)</f>
        <v>#N/A</v>
      </c>
      <c r="AE108" s="3144" t="e">
        <f t="shared" si="34"/>
        <v>#N/A</v>
      </c>
      <c r="AF108" s="2451"/>
      <c r="AH108" s="2351" t="e">
        <f t="shared" si="27"/>
        <v>#N/A</v>
      </c>
      <c r="AI108" s="2351" t="e">
        <f t="shared" si="28"/>
        <v>#N/A</v>
      </c>
      <c r="AJ108" s="123" t="e">
        <f t="shared" si="26"/>
        <v>#N/A</v>
      </c>
      <c r="AK108" t="e">
        <f t="shared" si="29"/>
        <v>#N/A</v>
      </c>
      <c r="AL108" t="e">
        <f t="shared" si="30"/>
        <v>#N/A</v>
      </c>
      <c r="AQ108" s="123"/>
      <c r="AR108" s="123"/>
      <c r="AS108" s="123"/>
      <c r="AT108" s="2982"/>
      <c r="AU108" s="123"/>
      <c r="AV108" s="123"/>
      <c r="AW108" s="2990"/>
      <c r="AX108" s="2984"/>
      <c r="AY108" s="2985"/>
      <c r="AZ108" s="2986"/>
      <c r="BA108" s="2987"/>
      <c r="BB108" s="3194"/>
    </row>
    <row r="109" spans="1:54" ht="28.8" x14ac:dyDescent="0.25">
      <c r="A109" s="2620"/>
      <c r="B109" s="250" t="s">
        <v>2894</v>
      </c>
      <c r="C109" s="2632"/>
      <c r="D109" s="2929"/>
      <c r="E109" s="250" t="s">
        <v>2895</v>
      </c>
      <c r="F109" s="250" t="s">
        <v>2896</v>
      </c>
      <c r="G109" s="2633" t="s">
        <v>2897</v>
      </c>
      <c r="H109" s="2634" t="s">
        <v>2898</v>
      </c>
      <c r="I109" s="1595" t="str">
        <f t="shared" si="36"/>
        <v>5-DaHall1-PDU-03-30-15</v>
      </c>
      <c r="J109" s="1596" t="str">
        <f t="shared" si="37"/>
        <v>5-DaHall1-PDU-04-30-15</v>
      </c>
      <c r="K109" s="1558">
        <v>220</v>
      </c>
      <c r="L109" s="1559">
        <v>30</v>
      </c>
      <c r="M109" s="2364" t="s">
        <v>6500</v>
      </c>
      <c r="N109" s="1560">
        <v>15</v>
      </c>
      <c r="O109" s="1561">
        <v>220</v>
      </c>
      <c r="P109" s="1562">
        <v>30</v>
      </c>
      <c r="Q109" s="2394" t="s">
        <v>6495</v>
      </c>
      <c r="R109" s="1563">
        <v>15</v>
      </c>
      <c r="S109" s="3645"/>
      <c r="T109" s="3647"/>
      <c r="U109" s="3649"/>
      <c r="V109" s="3651"/>
      <c r="W109" s="3649"/>
      <c r="X109" s="3651"/>
      <c r="Y109" s="253">
        <f>SUM('5층_부하량(월간_AVG)'!D95:F95)</f>
        <v>0</v>
      </c>
      <c r="Z109" s="253">
        <f>SUM('5층_부하량(월간_AVG)'!D125:F125)</f>
        <v>0</v>
      </c>
      <c r="AA109" s="2436">
        <f t="shared" si="38"/>
        <v>0</v>
      </c>
      <c r="AB109" s="2691" t="e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9" s="3109" t="e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9" s="3162" t="e">
        <f>VLOOKUP(I109&amp;J109,'7층~4층_매핑테이블'!$I$6:$P$2020,8,0)</f>
        <v>#N/A</v>
      </c>
      <c r="AE109" s="3144" t="e">
        <f t="shared" si="34"/>
        <v>#N/A</v>
      </c>
      <c r="AF109" s="2451"/>
      <c r="AH109" s="2351" t="e">
        <f t="shared" si="27"/>
        <v>#N/A</v>
      </c>
      <c r="AI109" s="2351" t="e">
        <f t="shared" si="28"/>
        <v>#N/A</v>
      </c>
      <c r="AJ109" s="123" t="e">
        <f t="shared" si="26"/>
        <v>#N/A</v>
      </c>
      <c r="AK109" t="e">
        <f t="shared" si="29"/>
        <v>#N/A</v>
      </c>
      <c r="AL109" t="e">
        <f t="shared" si="30"/>
        <v>#N/A</v>
      </c>
      <c r="AQ109" s="123"/>
      <c r="AR109" s="123"/>
      <c r="AS109" s="123"/>
      <c r="AT109" s="2982"/>
      <c r="AU109" s="123"/>
      <c r="AV109" s="123"/>
      <c r="AW109" s="2990"/>
      <c r="AX109" s="2984"/>
      <c r="AY109" s="2985"/>
      <c r="AZ109" s="2986"/>
      <c r="BA109" s="2987"/>
      <c r="BB109" s="3194"/>
    </row>
    <row r="110" spans="1:54" ht="28.8" x14ac:dyDescent="0.25">
      <c r="A110" s="2620"/>
      <c r="B110" s="250" t="s">
        <v>2899</v>
      </c>
      <c r="C110" s="2632"/>
      <c r="D110" s="2929"/>
      <c r="E110" s="250" t="s">
        <v>2900</v>
      </c>
      <c r="F110" s="250" t="s">
        <v>2901</v>
      </c>
      <c r="G110" s="2633" t="s">
        <v>2902</v>
      </c>
      <c r="H110" s="2634" t="s">
        <v>2903</v>
      </c>
      <c r="I110" s="1595" t="str">
        <f t="shared" si="36"/>
        <v>5-DaHall1-PDU-03-30-17</v>
      </c>
      <c r="J110" s="1596" t="str">
        <f t="shared" si="37"/>
        <v>5-DaHall1-PDU-04-30-17</v>
      </c>
      <c r="K110" s="1558">
        <v>220</v>
      </c>
      <c r="L110" s="1559">
        <v>30</v>
      </c>
      <c r="M110" s="2364" t="s">
        <v>6500</v>
      </c>
      <c r="N110" s="1560">
        <v>17</v>
      </c>
      <c r="O110" s="1561">
        <v>220</v>
      </c>
      <c r="P110" s="1562">
        <v>30</v>
      </c>
      <c r="Q110" s="2394" t="s">
        <v>6495</v>
      </c>
      <c r="R110" s="1563">
        <v>17</v>
      </c>
      <c r="S110" s="3646"/>
      <c r="T110" s="3648"/>
      <c r="U110" s="3650"/>
      <c r="V110" s="3652"/>
      <c r="W110" s="3650"/>
      <c r="X110" s="3652"/>
      <c r="Y110" s="253">
        <f>SUM('5층_부하량(월간_AVG)'!D96:F96)</f>
        <v>0</v>
      </c>
      <c r="Z110" s="253">
        <f>SUM('5층_부하량(월간_AVG)'!D126:F126)</f>
        <v>0</v>
      </c>
      <c r="AA110" s="2436">
        <f t="shared" si="38"/>
        <v>0</v>
      </c>
      <c r="AB110" s="2691" t="e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10" s="3109" t="e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10" s="3162" t="e">
        <f>VLOOKUP(I110&amp;J110,'7층~4층_매핑테이블'!$I$6:$P$2020,8,0)</f>
        <v>#N/A</v>
      </c>
      <c r="AE110" s="3144" t="e">
        <f t="shared" si="34"/>
        <v>#N/A</v>
      </c>
      <c r="AF110" s="2451"/>
      <c r="AH110" s="2351" t="e">
        <f t="shared" si="27"/>
        <v>#N/A</v>
      </c>
      <c r="AI110" s="2351" t="e">
        <f t="shared" si="28"/>
        <v>#N/A</v>
      </c>
      <c r="AJ110" s="123" t="e">
        <f t="shared" si="26"/>
        <v>#N/A</v>
      </c>
      <c r="AK110" t="e">
        <f t="shared" si="29"/>
        <v>#N/A</v>
      </c>
      <c r="AL110" t="e">
        <f t="shared" si="30"/>
        <v>#N/A</v>
      </c>
      <c r="AQ110" s="123"/>
      <c r="AR110" s="123"/>
      <c r="AS110" s="123"/>
      <c r="AT110" s="2982"/>
      <c r="AU110" s="123"/>
      <c r="AV110" s="123"/>
      <c r="AW110" s="2990"/>
      <c r="AX110" s="2984"/>
      <c r="AY110" s="2985"/>
      <c r="AZ110" s="2986"/>
      <c r="BA110" s="2987"/>
      <c r="BB110" s="3194"/>
    </row>
    <row r="111" spans="1:54" ht="15.6" x14ac:dyDescent="0.25">
      <c r="A111" s="2620"/>
      <c r="B111" s="2680"/>
      <c r="C111" s="886"/>
      <c r="D111" s="2929"/>
      <c r="E111" s="2680"/>
      <c r="F111" s="2680"/>
      <c r="G111" s="2678"/>
      <c r="H111" s="2674"/>
      <c r="I111" s="1590"/>
      <c r="J111" s="1582"/>
      <c r="K111" s="1591"/>
      <c r="L111" s="1592"/>
      <c r="M111" s="2678"/>
      <c r="N111" s="1593"/>
      <c r="O111" s="1594"/>
      <c r="P111" s="1584"/>
      <c r="Q111" s="2674"/>
      <c r="R111" s="1585"/>
      <c r="S111" s="866"/>
      <c r="T111" s="867"/>
      <c r="U111" s="832"/>
      <c r="V111" s="833"/>
      <c r="W111" s="832"/>
      <c r="X111" s="833"/>
      <c r="Y111" s="834"/>
      <c r="Z111" s="834"/>
      <c r="AA111" s="2441"/>
      <c r="AB111" s="2704"/>
      <c r="AC111" s="3117"/>
      <c r="AD111" s="3164"/>
      <c r="AE111" s="3149"/>
      <c r="AF111" s="2499"/>
      <c r="AH111" s="2351">
        <f t="shared" si="27"/>
        <v>0</v>
      </c>
      <c r="AI111" s="2351">
        <f t="shared" si="28"/>
        <v>0</v>
      </c>
      <c r="AJ111" s="123" t="str">
        <f t="shared" si="26"/>
        <v>무부하 랙</v>
      </c>
      <c r="AK111" t="str">
        <f t="shared" si="29"/>
        <v/>
      </c>
      <c r="AL111" t="str">
        <f t="shared" si="30"/>
        <v/>
      </c>
      <c r="AQ111" s="123"/>
      <c r="AR111" s="123"/>
      <c r="AS111" s="123"/>
      <c r="AT111" s="2982"/>
      <c r="AU111" s="123"/>
      <c r="AV111" s="123"/>
      <c r="AW111" s="2990"/>
      <c r="AX111" s="2984"/>
      <c r="AY111" s="2985"/>
      <c r="AZ111" s="2986"/>
      <c r="BA111" s="2987"/>
      <c r="BB111" s="3194"/>
    </row>
    <row r="112" spans="1:54" ht="15.6" x14ac:dyDescent="0.25">
      <c r="A112" s="2620"/>
      <c r="B112" s="2680"/>
      <c r="C112" s="886"/>
      <c r="D112" s="2929"/>
      <c r="E112" s="2680"/>
      <c r="F112" s="2680"/>
      <c r="G112" s="2678"/>
      <c r="H112" s="2674"/>
      <c r="I112" s="1590"/>
      <c r="J112" s="1582"/>
      <c r="K112" s="1591"/>
      <c r="L112" s="1592"/>
      <c r="M112" s="2678"/>
      <c r="N112" s="1593"/>
      <c r="O112" s="1594"/>
      <c r="P112" s="1584"/>
      <c r="Q112" s="2674"/>
      <c r="R112" s="1585"/>
      <c r="S112" s="866"/>
      <c r="T112" s="867"/>
      <c r="U112" s="832"/>
      <c r="V112" s="833"/>
      <c r="W112" s="832"/>
      <c r="X112" s="833"/>
      <c r="Y112" s="834"/>
      <c r="Z112" s="834"/>
      <c r="AA112" s="2441"/>
      <c r="AB112" s="2704"/>
      <c r="AC112" s="3117"/>
      <c r="AD112" s="3164"/>
      <c r="AE112" s="3149"/>
      <c r="AF112" s="2499"/>
      <c r="AH112" s="2351">
        <f t="shared" si="27"/>
        <v>0</v>
      </c>
      <c r="AI112" s="2351">
        <f t="shared" si="28"/>
        <v>0</v>
      </c>
      <c r="AJ112" s="123" t="str">
        <f t="shared" si="26"/>
        <v>무부하 랙</v>
      </c>
      <c r="AK112" t="str">
        <f t="shared" si="29"/>
        <v/>
      </c>
      <c r="AL112" t="str">
        <f t="shared" si="30"/>
        <v/>
      </c>
      <c r="AQ112" s="123"/>
      <c r="AR112" s="123"/>
      <c r="AS112" s="123"/>
      <c r="AT112" s="2982"/>
      <c r="AU112" s="123"/>
      <c r="AV112" s="123"/>
      <c r="AW112" s="2990"/>
      <c r="AX112" s="2984"/>
      <c r="AY112" s="2985"/>
      <c r="AZ112" s="2986"/>
      <c r="BA112" s="2987"/>
      <c r="BB112" s="3194"/>
    </row>
    <row r="113" spans="1:54" ht="16.2" thickBot="1" x14ac:dyDescent="0.3">
      <c r="A113" s="2628"/>
      <c r="B113" s="842"/>
      <c r="C113" s="2901"/>
      <c r="D113" s="2929"/>
      <c r="E113" s="842"/>
      <c r="F113" s="842"/>
      <c r="G113" s="876"/>
      <c r="H113" s="877"/>
      <c r="I113" s="1607"/>
      <c r="J113" s="1608"/>
      <c r="K113" s="1609"/>
      <c r="L113" s="1610"/>
      <c r="M113" s="876"/>
      <c r="N113" s="1611"/>
      <c r="O113" s="1612"/>
      <c r="P113" s="1613"/>
      <c r="Q113" s="877"/>
      <c r="R113" s="1614"/>
      <c r="S113" s="870"/>
      <c r="T113" s="871"/>
      <c r="U113" s="843"/>
      <c r="V113" s="844"/>
      <c r="W113" s="843"/>
      <c r="X113" s="844"/>
      <c r="Y113" s="845"/>
      <c r="Z113" s="845"/>
      <c r="AA113" s="2463"/>
      <c r="AB113" s="2715"/>
      <c r="AC113" s="3127"/>
      <c r="AD113" s="3165"/>
      <c r="AE113" s="3153"/>
      <c r="AF113" s="2500"/>
      <c r="AH113" s="2351">
        <f t="shared" si="27"/>
        <v>0</v>
      </c>
      <c r="AI113" s="2351">
        <f t="shared" si="28"/>
        <v>0</v>
      </c>
      <c r="AJ113" s="123" t="str">
        <f t="shared" si="26"/>
        <v>무부하 랙</v>
      </c>
      <c r="AK113" t="str">
        <f t="shared" si="29"/>
        <v/>
      </c>
      <c r="AL113" t="str">
        <f t="shared" si="30"/>
        <v/>
      </c>
      <c r="AQ113" s="123"/>
      <c r="AR113" s="123"/>
      <c r="AS113" s="123"/>
      <c r="AT113" s="2982"/>
      <c r="AU113" s="123"/>
      <c r="AV113" s="123"/>
      <c r="AW113" s="2990"/>
      <c r="AX113" s="2984"/>
      <c r="AY113" s="2985"/>
      <c r="AZ113" s="2986"/>
      <c r="BA113" s="2987"/>
      <c r="BB113" s="3194"/>
    </row>
    <row r="114" spans="1:54" ht="29.4" thickTop="1" x14ac:dyDescent="0.25">
      <c r="A114" s="1081"/>
      <c r="B114" s="327" t="s">
        <v>2904</v>
      </c>
      <c r="C114" s="970"/>
      <c r="D114" s="2929"/>
      <c r="E114" s="327" t="s">
        <v>2905</v>
      </c>
      <c r="F114" s="327" t="s">
        <v>2906</v>
      </c>
      <c r="G114" s="2641" t="s">
        <v>2907</v>
      </c>
      <c r="H114" s="2642" t="s">
        <v>2908</v>
      </c>
      <c r="I114" s="1605" t="str">
        <f>"5-DaHall1-PDU-"&amp;M114&amp;"-"&amp;L114&amp;"-"&amp;N114</f>
        <v>5-DaHall1-PDU-03-30-35</v>
      </c>
      <c r="J114" s="1606" t="str">
        <f>"5-DaHall1-PDU-"&amp;Q114&amp;"-"&amp;P114&amp;"-"&amp;R114</f>
        <v>5-DaHall1-PDU-04-30-35</v>
      </c>
      <c r="K114" s="1552">
        <v>220</v>
      </c>
      <c r="L114" s="1553">
        <v>30</v>
      </c>
      <c r="M114" s="2363" t="s">
        <v>6500</v>
      </c>
      <c r="N114" s="1554">
        <v>35</v>
      </c>
      <c r="O114" s="1555">
        <v>220</v>
      </c>
      <c r="P114" s="1556">
        <v>30</v>
      </c>
      <c r="Q114" s="2393" t="s">
        <v>6495</v>
      </c>
      <c r="R114" s="1557">
        <v>35</v>
      </c>
      <c r="S114" s="3639" t="s">
        <v>2868</v>
      </c>
      <c r="T114" s="3631" t="s">
        <v>2869</v>
      </c>
      <c r="U114" s="3489" t="s">
        <v>2870</v>
      </c>
      <c r="V114" s="3491" t="s">
        <v>2871</v>
      </c>
      <c r="W114" s="3489" t="s">
        <v>2484</v>
      </c>
      <c r="X114" s="3491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38">
        <f t="shared" ref="AA114" si="39">SUM(Y114:Z114)</f>
        <v>0</v>
      </c>
      <c r="AB114" s="2689" t="e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4" s="3108" t="e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4" s="3162" t="e">
        <f>VLOOKUP(I114&amp;J114,'7층~4층_매핑테이블'!$I$6:$P$2020,8,0)</f>
        <v>#N/A</v>
      </c>
      <c r="AE114" s="3143" t="e">
        <f>SUM(AB114:AC114)</f>
        <v>#N/A</v>
      </c>
      <c r="AF114" s="2453"/>
      <c r="AH114" s="2351" t="e">
        <f t="shared" si="27"/>
        <v>#N/A</v>
      </c>
      <c r="AI114" s="2351" t="e">
        <f t="shared" si="28"/>
        <v>#N/A</v>
      </c>
      <c r="AJ114" s="123" t="e">
        <f t="shared" si="26"/>
        <v>#N/A</v>
      </c>
      <c r="AK114" t="e">
        <f t="shared" si="29"/>
        <v>#N/A</v>
      </c>
      <c r="AL114" t="e">
        <f t="shared" si="30"/>
        <v>#N/A</v>
      </c>
      <c r="AQ114" s="123"/>
      <c r="AR114" s="123"/>
      <c r="AS114" s="123"/>
      <c r="AT114" s="2982"/>
      <c r="AU114" s="123"/>
      <c r="AV114" s="123"/>
      <c r="AW114" s="2990"/>
      <c r="AX114" s="2984"/>
      <c r="AY114" s="2985"/>
      <c r="AZ114" s="2986"/>
      <c r="BA114" s="2987"/>
      <c r="BB114" s="3194"/>
    </row>
    <row r="115" spans="1:54" ht="15.6" x14ac:dyDescent="0.25">
      <c r="A115" s="2620"/>
      <c r="B115" s="250" t="s">
        <v>2909</v>
      </c>
      <c r="C115" s="2902"/>
      <c r="D115" s="2929"/>
      <c r="E115" s="2680"/>
      <c r="F115" s="2680"/>
      <c r="G115" s="1100"/>
      <c r="H115" s="1101"/>
      <c r="I115" s="1590"/>
      <c r="J115" s="1582"/>
      <c r="K115" s="1615"/>
      <c r="L115" s="1616"/>
      <c r="M115" s="1100"/>
      <c r="N115" s="1617"/>
      <c r="O115" s="1618"/>
      <c r="P115" s="1619"/>
      <c r="Q115" s="1101"/>
      <c r="R115" s="1620"/>
      <c r="S115" s="3645"/>
      <c r="T115" s="3647"/>
      <c r="U115" s="3649"/>
      <c r="V115" s="3651"/>
      <c r="W115" s="3649"/>
      <c r="X115" s="3651"/>
      <c r="Y115" s="1106"/>
      <c r="Z115" s="1106"/>
      <c r="AA115" s="2464"/>
      <c r="AB115" s="2716"/>
      <c r="AC115" s="3128"/>
      <c r="AD115" s="3166"/>
      <c r="AE115" s="3149"/>
      <c r="AF115" s="2501"/>
      <c r="AH115" s="2351">
        <f t="shared" si="27"/>
        <v>0</v>
      </c>
      <c r="AI115" s="2351">
        <f t="shared" si="28"/>
        <v>0</v>
      </c>
      <c r="AJ115" s="123" t="str">
        <f t="shared" si="26"/>
        <v>무부하 랙</v>
      </c>
      <c r="AK115" t="str">
        <f t="shared" si="29"/>
        <v/>
      </c>
      <c r="AL115" t="str">
        <f t="shared" si="30"/>
        <v/>
      </c>
      <c r="AQ115" s="123"/>
      <c r="AR115" s="123"/>
      <c r="AS115" s="123"/>
      <c r="AT115" s="2982"/>
      <c r="AU115" s="123"/>
      <c r="AV115" s="123"/>
      <c r="AW115" s="2990"/>
      <c r="AX115" s="2984"/>
      <c r="AY115" s="2985"/>
      <c r="AZ115" s="2986"/>
      <c r="BA115" s="2987"/>
      <c r="BB115" s="3194"/>
    </row>
    <row r="116" spans="1:54" ht="15.6" x14ac:dyDescent="0.25">
      <c r="A116" s="2620"/>
      <c r="B116" s="250" t="s">
        <v>2910</v>
      </c>
      <c r="C116" s="2902"/>
      <c r="D116" s="2929"/>
      <c r="E116" s="2680"/>
      <c r="F116" s="2680"/>
      <c r="G116" s="1100"/>
      <c r="H116" s="1101"/>
      <c r="I116" s="1590"/>
      <c r="J116" s="1582"/>
      <c r="K116" s="1615"/>
      <c r="L116" s="1616"/>
      <c r="M116" s="1100"/>
      <c r="N116" s="1617"/>
      <c r="O116" s="1618"/>
      <c r="P116" s="1619"/>
      <c r="Q116" s="1101"/>
      <c r="R116" s="1620"/>
      <c r="S116" s="3645"/>
      <c r="T116" s="3647"/>
      <c r="U116" s="3649"/>
      <c r="V116" s="3651"/>
      <c r="W116" s="3649"/>
      <c r="X116" s="3651"/>
      <c r="Y116" s="1106"/>
      <c r="Z116" s="1106"/>
      <c r="AA116" s="2464"/>
      <c r="AB116" s="2716"/>
      <c r="AC116" s="3128"/>
      <c r="AD116" s="3166"/>
      <c r="AE116" s="3149"/>
      <c r="AF116" s="2501"/>
      <c r="AH116" s="2351">
        <f t="shared" si="27"/>
        <v>0</v>
      </c>
      <c r="AI116" s="2351">
        <f t="shared" si="28"/>
        <v>0</v>
      </c>
      <c r="AJ116" s="123" t="str">
        <f t="shared" si="26"/>
        <v>무부하 랙</v>
      </c>
      <c r="AK116" t="str">
        <f t="shared" si="29"/>
        <v/>
      </c>
      <c r="AL116" t="str">
        <f t="shared" si="30"/>
        <v/>
      </c>
      <c r="AQ116" s="123"/>
      <c r="AR116" s="123"/>
      <c r="AS116" s="123"/>
      <c r="AT116" s="2982"/>
      <c r="AU116" s="123"/>
      <c r="AV116" s="123"/>
      <c r="AW116" s="2990"/>
      <c r="AX116" s="2984"/>
      <c r="AY116" s="2985"/>
      <c r="AZ116" s="2986"/>
      <c r="BA116" s="2987"/>
      <c r="BB116" s="3194"/>
    </row>
    <row r="117" spans="1:54" ht="15.6" x14ac:dyDescent="0.25">
      <c r="A117" s="2620"/>
      <c r="B117" s="250" t="s">
        <v>2911</v>
      </c>
      <c r="C117" s="2902"/>
      <c r="D117" s="2929"/>
      <c r="E117" s="2680"/>
      <c r="F117" s="2680"/>
      <c r="G117" s="1100"/>
      <c r="H117" s="1101"/>
      <c r="I117" s="1590"/>
      <c r="J117" s="1582"/>
      <c r="K117" s="1615"/>
      <c r="L117" s="1616"/>
      <c r="M117" s="1100"/>
      <c r="N117" s="1617"/>
      <c r="O117" s="1618"/>
      <c r="P117" s="1619"/>
      <c r="Q117" s="1101"/>
      <c r="R117" s="1620"/>
      <c r="S117" s="3645"/>
      <c r="T117" s="3647"/>
      <c r="U117" s="3649"/>
      <c r="V117" s="3651"/>
      <c r="W117" s="3649"/>
      <c r="X117" s="3651"/>
      <c r="Y117" s="1106"/>
      <c r="Z117" s="1106"/>
      <c r="AA117" s="2464"/>
      <c r="AB117" s="2716"/>
      <c r="AC117" s="3128"/>
      <c r="AD117" s="3166"/>
      <c r="AE117" s="3149"/>
      <c r="AF117" s="2501"/>
      <c r="AH117" s="2351">
        <f t="shared" si="27"/>
        <v>0</v>
      </c>
      <c r="AI117" s="2351">
        <f t="shared" si="28"/>
        <v>0</v>
      </c>
      <c r="AJ117" s="123" t="str">
        <f t="shared" si="26"/>
        <v>무부하 랙</v>
      </c>
      <c r="AK117" t="str">
        <f t="shared" si="29"/>
        <v/>
      </c>
      <c r="AL117" t="str">
        <f t="shared" si="30"/>
        <v/>
      </c>
      <c r="AQ117" s="123"/>
      <c r="AR117" s="123"/>
      <c r="AS117" s="123"/>
      <c r="AT117" s="2982"/>
      <c r="AU117" s="123"/>
      <c r="AV117" s="123"/>
      <c r="AW117" s="2990"/>
      <c r="AX117" s="2984"/>
      <c r="AY117" s="2985"/>
      <c r="AZ117" s="2986"/>
      <c r="BA117" s="2987"/>
      <c r="BB117" s="3194"/>
    </row>
    <row r="118" spans="1:54" ht="15.6" x14ac:dyDescent="0.25">
      <c r="A118" s="2620"/>
      <c r="B118" s="250" t="s">
        <v>2912</v>
      </c>
      <c r="C118" s="2902"/>
      <c r="D118" s="2929"/>
      <c r="E118" s="2680"/>
      <c r="F118" s="2680"/>
      <c r="G118" s="1100"/>
      <c r="H118" s="1101"/>
      <c r="I118" s="1590"/>
      <c r="J118" s="1582"/>
      <c r="K118" s="1615"/>
      <c r="L118" s="1616"/>
      <c r="M118" s="1100"/>
      <c r="N118" s="1617"/>
      <c r="O118" s="1618"/>
      <c r="P118" s="1619"/>
      <c r="Q118" s="1101"/>
      <c r="R118" s="1620"/>
      <c r="S118" s="3645"/>
      <c r="T118" s="3647"/>
      <c r="U118" s="3649"/>
      <c r="V118" s="3651"/>
      <c r="W118" s="3649"/>
      <c r="X118" s="3651"/>
      <c r="Y118" s="1106"/>
      <c r="Z118" s="1106"/>
      <c r="AA118" s="2464"/>
      <c r="AB118" s="2716"/>
      <c r="AC118" s="3128"/>
      <c r="AD118" s="3166"/>
      <c r="AE118" s="3149"/>
      <c r="AF118" s="2501"/>
      <c r="AH118" s="2351">
        <f t="shared" si="27"/>
        <v>0</v>
      </c>
      <c r="AI118" s="2351">
        <f t="shared" si="28"/>
        <v>0</v>
      </c>
      <c r="AJ118" s="123" t="str">
        <f t="shared" si="26"/>
        <v>무부하 랙</v>
      </c>
      <c r="AK118" t="str">
        <f t="shared" si="29"/>
        <v/>
      </c>
      <c r="AL118" t="str">
        <f t="shared" si="30"/>
        <v/>
      </c>
      <c r="AQ118" s="123"/>
      <c r="AR118" s="123"/>
      <c r="AS118" s="123"/>
      <c r="AT118" s="2982"/>
      <c r="AU118" s="123"/>
      <c r="AV118" s="123"/>
      <c r="AW118" s="2990"/>
      <c r="AX118" s="2984"/>
      <c r="AY118" s="2985"/>
      <c r="AZ118" s="2986"/>
      <c r="BA118" s="2987"/>
      <c r="BB118" s="3194"/>
    </row>
    <row r="119" spans="1:54" ht="15.6" x14ac:dyDescent="0.25">
      <c r="A119" s="2620"/>
      <c r="B119" s="250" t="s">
        <v>2913</v>
      </c>
      <c r="C119" s="2902"/>
      <c r="D119" s="2929"/>
      <c r="E119" s="2680"/>
      <c r="F119" s="2680"/>
      <c r="G119" s="1100"/>
      <c r="H119" s="1101"/>
      <c r="I119" s="1590"/>
      <c r="J119" s="1582"/>
      <c r="K119" s="1615"/>
      <c r="L119" s="1616"/>
      <c r="M119" s="1100"/>
      <c r="N119" s="1617"/>
      <c r="O119" s="1618"/>
      <c r="P119" s="1619"/>
      <c r="Q119" s="1101"/>
      <c r="R119" s="1620"/>
      <c r="S119" s="3645"/>
      <c r="T119" s="3647"/>
      <c r="U119" s="3649"/>
      <c r="V119" s="3651"/>
      <c r="W119" s="3649"/>
      <c r="X119" s="3651"/>
      <c r="Y119" s="1106"/>
      <c r="Z119" s="1106"/>
      <c r="AA119" s="2464"/>
      <c r="AB119" s="2716"/>
      <c r="AC119" s="3128"/>
      <c r="AD119" s="3166"/>
      <c r="AE119" s="3149"/>
      <c r="AF119" s="2501"/>
      <c r="AH119" s="2351">
        <f t="shared" si="27"/>
        <v>0</v>
      </c>
      <c r="AI119" s="2351">
        <f t="shared" si="28"/>
        <v>0</v>
      </c>
      <c r="AJ119" s="123" t="str">
        <f t="shared" si="26"/>
        <v>무부하 랙</v>
      </c>
      <c r="AK119" t="str">
        <f t="shared" si="29"/>
        <v/>
      </c>
      <c r="AL119" t="str">
        <f t="shared" si="30"/>
        <v/>
      </c>
      <c r="AQ119" s="123"/>
      <c r="AR119" s="123"/>
      <c r="AS119" s="123"/>
      <c r="AT119" s="2982"/>
      <c r="AU119" s="123"/>
      <c r="AV119" s="123"/>
      <c r="AW119" s="2990"/>
      <c r="AX119" s="2984"/>
      <c r="AY119" s="2985"/>
      <c r="AZ119" s="2986"/>
      <c r="BA119" s="2987"/>
      <c r="BB119" s="3194"/>
    </row>
    <row r="120" spans="1:54" ht="15.6" x14ac:dyDescent="0.25">
      <c r="A120" s="2620"/>
      <c r="B120" s="250" t="s">
        <v>2914</v>
      </c>
      <c r="C120" s="2902"/>
      <c r="D120" s="2929"/>
      <c r="E120" s="2680"/>
      <c r="F120" s="2680"/>
      <c r="G120" s="1100"/>
      <c r="H120" s="1101"/>
      <c r="I120" s="1590"/>
      <c r="J120" s="1582"/>
      <c r="K120" s="1615"/>
      <c r="L120" s="1616"/>
      <c r="M120" s="1100"/>
      <c r="N120" s="1617"/>
      <c r="O120" s="1618"/>
      <c r="P120" s="1619"/>
      <c r="Q120" s="1101"/>
      <c r="R120" s="1620"/>
      <c r="S120" s="3646"/>
      <c r="T120" s="3648"/>
      <c r="U120" s="3650"/>
      <c r="V120" s="3652"/>
      <c r="W120" s="3650"/>
      <c r="X120" s="3652"/>
      <c r="Y120" s="1106"/>
      <c r="Z120" s="1106"/>
      <c r="AA120" s="2464"/>
      <c r="AB120" s="2716"/>
      <c r="AC120" s="3128"/>
      <c r="AD120" s="3166"/>
      <c r="AE120" s="3149"/>
      <c r="AF120" s="2501"/>
      <c r="AH120" s="2351">
        <f t="shared" si="27"/>
        <v>0</v>
      </c>
      <c r="AI120" s="2351">
        <f t="shared" si="28"/>
        <v>0</v>
      </c>
      <c r="AJ120" s="123" t="str">
        <f t="shared" si="26"/>
        <v>무부하 랙</v>
      </c>
      <c r="AK120" t="str">
        <f t="shared" si="29"/>
        <v/>
      </c>
      <c r="AL120" t="str">
        <f t="shared" si="30"/>
        <v/>
      </c>
      <c r="AQ120" s="123"/>
      <c r="AR120" s="123"/>
      <c r="AS120" s="123"/>
      <c r="AT120" s="2982"/>
      <c r="AU120" s="123"/>
      <c r="AV120" s="123"/>
      <c r="AW120" s="2990"/>
      <c r="AX120" s="2984"/>
      <c r="AY120" s="2985"/>
      <c r="AZ120" s="2986"/>
      <c r="BA120" s="2987"/>
      <c r="BB120" s="3194"/>
    </row>
    <row r="121" spans="1:54" ht="15.6" x14ac:dyDescent="0.25">
      <c r="A121" s="2620"/>
      <c r="B121" s="1099"/>
      <c r="C121" s="2902"/>
      <c r="D121" s="2929"/>
      <c r="E121" s="2680"/>
      <c r="F121" s="2680"/>
      <c r="G121" s="1100"/>
      <c r="H121" s="1101"/>
      <c r="I121" s="1590"/>
      <c r="J121" s="1582"/>
      <c r="K121" s="1615"/>
      <c r="L121" s="1616"/>
      <c r="M121" s="1100"/>
      <c r="N121" s="1617"/>
      <c r="O121" s="1618"/>
      <c r="P121" s="1619"/>
      <c r="Q121" s="1101"/>
      <c r="R121" s="1620"/>
      <c r="S121" s="1102"/>
      <c r="T121" s="1103"/>
      <c r="U121" s="1104"/>
      <c r="V121" s="1105"/>
      <c r="W121" s="1104"/>
      <c r="X121" s="1105"/>
      <c r="Y121" s="1106"/>
      <c r="Z121" s="1106"/>
      <c r="AA121" s="2464"/>
      <c r="AB121" s="2716"/>
      <c r="AC121" s="3128"/>
      <c r="AD121" s="3166"/>
      <c r="AE121" s="3149"/>
      <c r="AF121" s="2501"/>
      <c r="AH121" s="2351">
        <f t="shared" si="27"/>
        <v>0</v>
      </c>
      <c r="AI121" s="2351">
        <f t="shared" si="28"/>
        <v>0</v>
      </c>
      <c r="AJ121" s="123" t="str">
        <f t="shared" si="26"/>
        <v>무부하 랙</v>
      </c>
      <c r="AK121" t="str">
        <f t="shared" si="29"/>
        <v/>
      </c>
      <c r="AL121" t="str">
        <f t="shared" si="30"/>
        <v/>
      </c>
      <c r="AQ121" s="123"/>
      <c r="AR121" s="123"/>
      <c r="AS121" s="123"/>
      <c r="AT121" s="2982"/>
      <c r="AU121" s="123"/>
      <c r="AV121" s="123"/>
      <c r="AW121" s="2990"/>
      <c r="AX121" s="2984"/>
      <c r="AY121" s="2985"/>
      <c r="AZ121" s="2986"/>
      <c r="BA121" s="2987"/>
      <c r="BB121" s="3194"/>
    </row>
    <row r="122" spans="1:54" ht="15.6" x14ac:dyDescent="0.25">
      <c r="A122" s="2620"/>
      <c r="B122" s="1099"/>
      <c r="C122" s="2902"/>
      <c r="D122" s="2929"/>
      <c r="E122" s="2680"/>
      <c r="F122" s="2680"/>
      <c r="G122" s="1100"/>
      <c r="H122" s="1101"/>
      <c r="I122" s="1590"/>
      <c r="J122" s="1582"/>
      <c r="K122" s="1615"/>
      <c r="L122" s="1616"/>
      <c r="M122" s="1100"/>
      <c r="N122" s="1617"/>
      <c r="O122" s="1618"/>
      <c r="P122" s="1619"/>
      <c r="Q122" s="1101"/>
      <c r="R122" s="1620"/>
      <c r="S122" s="1102"/>
      <c r="T122" s="1103"/>
      <c r="U122" s="1104"/>
      <c r="V122" s="1105"/>
      <c r="W122" s="1104"/>
      <c r="X122" s="1105"/>
      <c r="Y122" s="1106"/>
      <c r="Z122" s="1106"/>
      <c r="AA122" s="2464"/>
      <c r="AB122" s="2716"/>
      <c r="AC122" s="3128"/>
      <c r="AD122" s="3166"/>
      <c r="AE122" s="3149"/>
      <c r="AF122" s="2501"/>
      <c r="AH122" s="2351">
        <f t="shared" si="27"/>
        <v>0</v>
      </c>
      <c r="AI122" s="2351">
        <f t="shared" si="28"/>
        <v>0</v>
      </c>
      <c r="AJ122" s="123" t="str">
        <f t="shared" si="26"/>
        <v>무부하 랙</v>
      </c>
      <c r="AK122" t="str">
        <f t="shared" si="29"/>
        <v/>
      </c>
      <c r="AL122" t="str">
        <f t="shared" si="30"/>
        <v/>
      </c>
      <c r="AQ122" s="123"/>
      <c r="AR122" s="123"/>
      <c r="AS122" s="123"/>
      <c r="AT122" s="2982"/>
      <c r="AU122" s="123"/>
      <c r="AV122" s="123"/>
      <c r="AW122" s="2990"/>
      <c r="AX122" s="2984"/>
      <c r="AY122" s="2985"/>
      <c r="AZ122" s="2986"/>
      <c r="BA122" s="2987"/>
      <c r="BB122" s="3194"/>
    </row>
    <row r="123" spans="1:54" ht="16.2" thickBot="1" x14ac:dyDescent="0.3">
      <c r="A123" s="2628"/>
      <c r="B123" s="842"/>
      <c r="C123" s="2901"/>
      <c r="D123" s="2929"/>
      <c r="E123" s="839"/>
      <c r="F123" s="839"/>
      <c r="G123" s="876"/>
      <c r="H123" s="877"/>
      <c r="I123" s="1607"/>
      <c r="J123" s="1608"/>
      <c r="K123" s="1609"/>
      <c r="L123" s="1610"/>
      <c r="M123" s="876"/>
      <c r="N123" s="1611"/>
      <c r="O123" s="1612"/>
      <c r="P123" s="1613"/>
      <c r="Q123" s="877"/>
      <c r="R123" s="1614"/>
      <c r="S123" s="870"/>
      <c r="T123" s="871"/>
      <c r="U123" s="843"/>
      <c r="V123" s="844"/>
      <c r="W123" s="843"/>
      <c r="X123" s="844"/>
      <c r="Y123" s="845"/>
      <c r="Z123" s="845"/>
      <c r="AA123" s="2463"/>
      <c r="AB123" s="2715"/>
      <c r="AC123" s="3127"/>
      <c r="AD123" s="3165"/>
      <c r="AE123" s="3153"/>
      <c r="AF123" s="2500"/>
      <c r="AH123" s="2351">
        <f t="shared" si="27"/>
        <v>0</v>
      </c>
      <c r="AI123" s="2351">
        <f t="shared" si="28"/>
        <v>0</v>
      </c>
      <c r="AJ123" s="123" t="str">
        <f t="shared" si="26"/>
        <v>무부하 랙</v>
      </c>
      <c r="AK123" t="str">
        <f t="shared" si="29"/>
        <v/>
      </c>
      <c r="AL123" t="str">
        <f t="shared" si="30"/>
        <v/>
      </c>
      <c r="AQ123" s="123"/>
      <c r="AR123" s="123"/>
      <c r="AS123" s="123"/>
      <c r="AT123" s="2982"/>
      <c r="AU123" s="123"/>
      <c r="AV123" s="123"/>
      <c r="AW123" s="2990"/>
      <c r="AX123" s="2984"/>
      <c r="AY123" s="2985"/>
      <c r="AZ123" s="2986"/>
      <c r="BA123" s="2987"/>
      <c r="BB123" s="3194"/>
    </row>
    <row r="124" spans="1:54" ht="16.2" thickTop="1" x14ac:dyDescent="0.25">
      <c r="A124" s="1081"/>
      <c r="B124" s="327" t="s">
        <v>2915</v>
      </c>
      <c r="C124" s="970"/>
      <c r="D124" s="2929"/>
      <c r="E124" s="327"/>
      <c r="F124" s="327"/>
      <c r="G124" s="2641"/>
      <c r="H124" s="2642"/>
      <c r="I124" s="1605"/>
      <c r="J124" s="1606"/>
      <c r="K124" s="1552"/>
      <c r="L124" s="1553"/>
      <c r="M124" s="2641"/>
      <c r="N124" s="1554"/>
      <c r="O124" s="1555"/>
      <c r="P124" s="1556"/>
      <c r="Q124" s="2642"/>
      <c r="R124" s="1557"/>
      <c r="S124" s="3639"/>
      <c r="T124" s="3631"/>
      <c r="U124" s="3489"/>
      <c r="V124" s="3491"/>
      <c r="W124" s="3489"/>
      <c r="X124" s="3491"/>
      <c r="Y124" s="328"/>
      <c r="Z124" s="328"/>
      <c r="AA124" s="2438"/>
      <c r="AB124" s="2689"/>
      <c r="AC124" s="3108"/>
      <c r="AD124" s="3167"/>
      <c r="AE124" s="3143"/>
      <c r="AF124" s="2453"/>
      <c r="AH124" s="2351">
        <f t="shared" si="27"/>
        <v>0</v>
      </c>
      <c r="AI124" s="2351">
        <f t="shared" si="28"/>
        <v>0</v>
      </c>
      <c r="AJ124" s="123" t="str">
        <f t="shared" si="26"/>
        <v>무부하 랙</v>
      </c>
      <c r="AK124" t="str">
        <f t="shared" si="29"/>
        <v/>
      </c>
      <c r="AL124" t="str">
        <f t="shared" si="30"/>
        <v/>
      </c>
      <c r="AQ124" s="123"/>
      <c r="AR124" s="123"/>
      <c r="AS124" s="123"/>
      <c r="AT124" s="2982"/>
      <c r="AU124" s="123"/>
      <c r="AV124" s="123"/>
      <c r="AW124" s="2990"/>
      <c r="AX124" s="2984"/>
      <c r="AY124" s="2985"/>
      <c r="AZ124" s="2986"/>
      <c r="BA124" s="2987"/>
      <c r="BB124" s="3194"/>
    </row>
    <row r="125" spans="1:54" ht="15.6" x14ac:dyDescent="0.25">
      <c r="A125" s="2620"/>
      <c r="B125" s="250" t="s">
        <v>2916</v>
      </c>
      <c r="C125" s="2632"/>
      <c r="D125" s="2929"/>
      <c r="E125" s="250"/>
      <c r="F125" s="250"/>
      <c r="G125" s="2633"/>
      <c r="H125" s="2634"/>
      <c r="I125" s="1595"/>
      <c r="J125" s="1596"/>
      <c r="K125" s="1558"/>
      <c r="L125" s="1559"/>
      <c r="M125" s="2633"/>
      <c r="N125" s="1560"/>
      <c r="O125" s="1561"/>
      <c r="P125" s="1562"/>
      <c r="Q125" s="2634"/>
      <c r="R125" s="1563"/>
      <c r="S125" s="3640"/>
      <c r="T125" s="3632"/>
      <c r="U125" s="3478"/>
      <c r="V125" s="3477"/>
      <c r="W125" s="3478"/>
      <c r="X125" s="3477"/>
      <c r="Y125" s="253"/>
      <c r="Z125" s="253"/>
      <c r="AA125" s="2436"/>
      <c r="AB125" s="2691"/>
      <c r="AC125" s="3109"/>
      <c r="AD125" s="3168"/>
      <c r="AE125" s="3144"/>
      <c r="AF125" s="2451"/>
      <c r="AH125" s="2351">
        <f t="shared" si="27"/>
        <v>0</v>
      </c>
      <c r="AI125" s="2351">
        <f t="shared" si="28"/>
        <v>0</v>
      </c>
      <c r="AJ125" s="123" t="str">
        <f t="shared" si="26"/>
        <v>무부하 랙</v>
      </c>
      <c r="AK125" t="str">
        <f t="shared" si="29"/>
        <v/>
      </c>
      <c r="AL125" t="str">
        <f t="shared" si="30"/>
        <v/>
      </c>
      <c r="AQ125" s="123"/>
      <c r="AR125" s="123"/>
      <c r="AS125" s="123"/>
      <c r="AT125" s="2982"/>
      <c r="AU125" s="123"/>
      <c r="AV125" s="123"/>
      <c r="AW125" s="2990"/>
      <c r="AX125" s="2984"/>
      <c r="AY125" s="2985"/>
      <c r="AZ125" s="2986"/>
      <c r="BA125" s="2987"/>
      <c r="BB125" s="3194"/>
    </row>
    <row r="126" spans="1:54" ht="15.6" x14ac:dyDescent="0.25">
      <c r="A126" s="2620"/>
      <c r="B126" s="250" t="s">
        <v>2917</v>
      </c>
      <c r="C126" s="2632"/>
      <c r="D126" s="2929"/>
      <c r="E126" s="250"/>
      <c r="F126" s="250"/>
      <c r="G126" s="2633"/>
      <c r="H126" s="2634"/>
      <c r="I126" s="1595"/>
      <c r="J126" s="1596"/>
      <c r="K126" s="1558"/>
      <c r="L126" s="1559"/>
      <c r="M126" s="2633"/>
      <c r="N126" s="1560"/>
      <c r="O126" s="1561"/>
      <c r="P126" s="1562"/>
      <c r="Q126" s="2634"/>
      <c r="R126" s="1563"/>
      <c r="S126" s="3640"/>
      <c r="T126" s="3632"/>
      <c r="U126" s="3478"/>
      <c r="V126" s="3477"/>
      <c r="W126" s="3478"/>
      <c r="X126" s="3477"/>
      <c r="Y126" s="253"/>
      <c r="Z126" s="253"/>
      <c r="AA126" s="2436"/>
      <c r="AB126" s="2691"/>
      <c r="AC126" s="3109"/>
      <c r="AD126" s="3168"/>
      <c r="AE126" s="3144"/>
      <c r="AF126" s="2451"/>
      <c r="AH126" s="2351">
        <f t="shared" si="27"/>
        <v>0</v>
      </c>
      <c r="AI126" s="2351">
        <f t="shared" si="28"/>
        <v>0</v>
      </c>
      <c r="AJ126" s="123" t="str">
        <f t="shared" si="26"/>
        <v>무부하 랙</v>
      </c>
      <c r="AK126" t="str">
        <f t="shared" si="29"/>
        <v/>
      </c>
      <c r="AL126" t="str">
        <f t="shared" si="30"/>
        <v/>
      </c>
      <c r="AQ126" s="123"/>
      <c r="AR126" s="123"/>
      <c r="AS126" s="123"/>
      <c r="AT126" s="2982"/>
      <c r="AU126" s="123"/>
      <c r="AV126" s="123"/>
      <c r="AW126" s="2990"/>
      <c r="AX126" s="2984"/>
      <c r="AY126" s="2985"/>
      <c r="AZ126" s="2986"/>
      <c r="BA126" s="2987"/>
      <c r="BB126" s="3194"/>
    </row>
    <row r="127" spans="1:54" ht="15.6" x14ac:dyDescent="0.25">
      <c r="A127" s="2620"/>
      <c r="B127" s="250" t="s">
        <v>2918</v>
      </c>
      <c r="C127" s="2632"/>
      <c r="D127" s="2929"/>
      <c r="E127" s="250"/>
      <c r="F127" s="250"/>
      <c r="G127" s="2633"/>
      <c r="H127" s="2634"/>
      <c r="I127" s="1595"/>
      <c r="J127" s="1596"/>
      <c r="K127" s="1558"/>
      <c r="L127" s="1559"/>
      <c r="M127" s="2633"/>
      <c r="N127" s="1560"/>
      <c r="O127" s="1561"/>
      <c r="P127" s="1562"/>
      <c r="Q127" s="2634"/>
      <c r="R127" s="1563"/>
      <c r="S127" s="3640"/>
      <c r="T127" s="3632"/>
      <c r="U127" s="3478"/>
      <c r="V127" s="3477"/>
      <c r="W127" s="3478"/>
      <c r="X127" s="3477"/>
      <c r="Y127" s="253"/>
      <c r="Z127" s="253"/>
      <c r="AA127" s="2436"/>
      <c r="AB127" s="2691"/>
      <c r="AC127" s="3109"/>
      <c r="AD127" s="3168"/>
      <c r="AE127" s="3144"/>
      <c r="AF127" s="2451"/>
      <c r="AH127" s="2351">
        <f t="shared" si="27"/>
        <v>0</v>
      </c>
      <c r="AI127" s="2351">
        <f t="shared" si="28"/>
        <v>0</v>
      </c>
      <c r="AJ127" s="123" t="str">
        <f t="shared" si="26"/>
        <v>무부하 랙</v>
      </c>
      <c r="AK127" t="str">
        <f t="shared" si="29"/>
        <v/>
      </c>
      <c r="AL127" t="str">
        <f t="shared" si="30"/>
        <v/>
      </c>
      <c r="AQ127" s="123"/>
      <c r="AR127" s="123"/>
      <c r="AS127" s="123"/>
      <c r="AT127" s="2982"/>
      <c r="AU127" s="123"/>
      <c r="AV127" s="123"/>
      <c r="AW127" s="2990"/>
      <c r="AX127" s="2984"/>
      <c r="AY127" s="2985"/>
      <c r="AZ127" s="2986"/>
      <c r="BA127" s="2987"/>
      <c r="BB127" s="3194"/>
    </row>
    <row r="128" spans="1:54" ht="15.6" x14ac:dyDescent="0.25">
      <c r="A128" s="2620"/>
      <c r="B128" s="250" t="s">
        <v>2919</v>
      </c>
      <c r="C128" s="2632"/>
      <c r="D128" s="2929"/>
      <c r="E128" s="250"/>
      <c r="F128" s="250"/>
      <c r="G128" s="2633"/>
      <c r="H128" s="2634"/>
      <c r="I128" s="1595"/>
      <c r="J128" s="1596"/>
      <c r="K128" s="1558"/>
      <c r="L128" s="1559"/>
      <c r="M128" s="2633"/>
      <c r="N128" s="1560"/>
      <c r="O128" s="1561"/>
      <c r="P128" s="1562"/>
      <c r="Q128" s="2634"/>
      <c r="R128" s="1563"/>
      <c r="S128" s="3640"/>
      <c r="T128" s="3632"/>
      <c r="U128" s="3478"/>
      <c r="V128" s="3477"/>
      <c r="W128" s="3478"/>
      <c r="X128" s="3477"/>
      <c r="Y128" s="253"/>
      <c r="Z128" s="253"/>
      <c r="AA128" s="2436"/>
      <c r="AB128" s="2691"/>
      <c r="AC128" s="3109"/>
      <c r="AD128" s="3168"/>
      <c r="AE128" s="3144"/>
      <c r="AF128" s="2451"/>
      <c r="AH128" s="2351">
        <f t="shared" si="27"/>
        <v>0</v>
      </c>
      <c r="AI128" s="2351">
        <f t="shared" si="28"/>
        <v>0</v>
      </c>
      <c r="AJ128" s="123" t="str">
        <f t="shared" si="26"/>
        <v>무부하 랙</v>
      </c>
      <c r="AK128" t="str">
        <f t="shared" si="29"/>
        <v/>
      </c>
      <c r="AL128" t="str">
        <f t="shared" si="30"/>
        <v/>
      </c>
      <c r="AQ128" s="123"/>
      <c r="AR128" s="123"/>
      <c r="AS128" s="123"/>
      <c r="AT128" s="2982"/>
      <c r="AU128" s="123"/>
      <c r="AV128" s="123"/>
      <c r="AW128" s="2990"/>
      <c r="AX128" s="2984"/>
      <c r="AY128" s="2985"/>
      <c r="AZ128" s="2986"/>
      <c r="BA128" s="2987"/>
      <c r="BB128" s="3194"/>
    </row>
    <row r="129" spans="1:54" ht="15.6" x14ac:dyDescent="0.25">
      <c r="A129" s="2620"/>
      <c r="B129" s="250" t="s">
        <v>2920</v>
      </c>
      <c r="C129" s="2632"/>
      <c r="D129" s="2929"/>
      <c r="E129" s="250"/>
      <c r="F129" s="250"/>
      <c r="G129" s="2633"/>
      <c r="H129" s="2634"/>
      <c r="I129" s="1595"/>
      <c r="J129" s="1596"/>
      <c r="K129" s="1558"/>
      <c r="L129" s="1559"/>
      <c r="M129" s="2633"/>
      <c r="N129" s="1560"/>
      <c r="O129" s="1561"/>
      <c r="P129" s="1562"/>
      <c r="Q129" s="2634"/>
      <c r="R129" s="1563"/>
      <c r="S129" s="3641"/>
      <c r="T129" s="3633"/>
      <c r="U129" s="3487"/>
      <c r="V129" s="3488"/>
      <c r="W129" s="3487"/>
      <c r="X129" s="3488"/>
      <c r="Y129" s="253"/>
      <c r="Z129" s="253"/>
      <c r="AA129" s="2436"/>
      <c r="AB129" s="2691"/>
      <c r="AC129" s="3109"/>
      <c r="AD129" s="3168"/>
      <c r="AE129" s="3144"/>
      <c r="AF129" s="2451"/>
      <c r="AH129" s="2351">
        <f t="shared" si="27"/>
        <v>0</v>
      </c>
      <c r="AI129" s="2351">
        <f t="shared" si="28"/>
        <v>0</v>
      </c>
      <c r="AJ129" s="123" t="str">
        <f t="shared" si="26"/>
        <v>무부하 랙</v>
      </c>
      <c r="AK129" t="str">
        <f t="shared" si="29"/>
        <v/>
      </c>
      <c r="AL129" t="str">
        <f t="shared" si="30"/>
        <v/>
      </c>
      <c r="AQ129" s="123"/>
      <c r="AR129" s="123"/>
      <c r="AS129" s="123"/>
      <c r="AT129" s="2982"/>
      <c r="AU129" s="123"/>
      <c r="AV129" s="123"/>
      <c r="AW129" s="2990"/>
      <c r="AX129" s="2984"/>
      <c r="AY129" s="2985"/>
      <c r="AZ129" s="2986"/>
      <c r="BA129" s="2987"/>
      <c r="BB129" s="3194"/>
    </row>
    <row r="130" spans="1:54" ht="15.6" x14ac:dyDescent="0.25">
      <c r="A130" s="2620"/>
      <c r="B130" s="2680"/>
      <c r="C130" s="886"/>
      <c r="D130" s="2929"/>
      <c r="E130" s="2680"/>
      <c r="F130" s="2680"/>
      <c r="G130" s="2678"/>
      <c r="H130" s="2674"/>
      <c r="I130" s="1590"/>
      <c r="J130" s="1582"/>
      <c r="K130" s="1591"/>
      <c r="L130" s="1592"/>
      <c r="M130" s="2678"/>
      <c r="N130" s="1593"/>
      <c r="O130" s="1594"/>
      <c r="P130" s="1584"/>
      <c r="Q130" s="2674"/>
      <c r="R130" s="1585"/>
      <c r="S130" s="866"/>
      <c r="T130" s="867"/>
      <c r="U130" s="832"/>
      <c r="V130" s="833"/>
      <c r="W130" s="832"/>
      <c r="X130" s="833"/>
      <c r="Y130" s="834"/>
      <c r="Z130" s="834"/>
      <c r="AA130" s="2441"/>
      <c r="AB130" s="2704"/>
      <c r="AC130" s="3117"/>
      <c r="AD130" s="3164"/>
      <c r="AE130" s="3149"/>
      <c r="AF130" s="2499"/>
      <c r="AH130" s="2351">
        <f t="shared" si="27"/>
        <v>0</v>
      </c>
      <c r="AI130" s="2351">
        <f t="shared" si="28"/>
        <v>0</v>
      </c>
      <c r="AJ130" s="123" t="str">
        <f t="shared" si="26"/>
        <v>무부하 랙</v>
      </c>
      <c r="AK130" t="str">
        <f t="shared" si="29"/>
        <v/>
      </c>
      <c r="AL130" t="str">
        <f t="shared" si="30"/>
        <v/>
      </c>
      <c r="AQ130" s="123"/>
      <c r="AR130" s="123"/>
      <c r="AS130" s="123"/>
      <c r="AT130" s="2982"/>
      <c r="AU130" s="123"/>
      <c r="AV130" s="123"/>
      <c r="AW130" s="2990"/>
      <c r="AX130" s="2984"/>
      <c r="AY130" s="2985"/>
      <c r="AZ130" s="2986"/>
      <c r="BA130" s="2987"/>
      <c r="BB130" s="3194"/>
    </row>
    <row r="131" spans="1:54" ht="15.6" x14ac:dyDescent="0.25">
      <c r="A131" s="2620"/>
      <c r="B131" s="2680"/>
      <c r="C131" s="886"/>
      <c r="D131" s="2929"/>
      <c r="E131" s="2680"/>
      <c r="F131" s="2680"/>
      <c r="G131" s="2678"/>
      <c r="H131" s="2674"/>
      <c r="I131" s="1590"/>
      <c r="J131" s="1582"/>
      <c r="K131" s="1591"/>
      <c r="L131" s="1592"/>
      <c r="M131" s="2678"/>
      <c r="N131" s="1593"/>
      <c r="O131" s="1594"/>
      <c r="P131" s="1584"/>
      <c r="Q131" s="2674"/>
      <c r="R131" s="1585"/>
      <c r="S131" s="866"/>
      <c r="T131" s="867"/>
      <c r="U131" s="832"/>
      <c r="V131" s="833"/>
      <c r="W131" s="832"/>
      <c r="X131" s="833"/>
      <c r="Y131" s="834"/>
      <c r="Z131" s="834"/>
      <c r="AA131" s="2441"/>
      <c r="AB131" s="2704"/>
      <c r="AC131" s="3117"/>
      <c r="AD131" s="3164"/>
      <c r="AE131" s="3149"/>
      <c r="AF131" s="2499"/>
      <c r="AH131" s="2351">
        <f t="shared" si="27"/>
        <v>0</v>
      </c>
      <c r="AI131" s="2351">
        <f t="shared" si="28"/>
        <v>0</v>
      </c>
      <c r="AJ131" s="123" t="str">
        <f t="shared" si="26"/>
        <v>무부하 랙</v>
      </c>
      <c r="AK131" t="str">
        <f t="shared" si="29"/>
        <v/>
      </c>
      <c r="AL131" t="str">
        <f t="shared" si="30"/>
        <v/>
      </c>
      <c r="AQ131" s="123"/>
      <c r="AR131" s="123"/>
      <c r="AS131" s="123"/>
      <c r="AT131" s="2982"/>
      <c r="AU131" s="123"/>
      <c r="AV131" s="123"/>
      <c r="AW131" s="2990"/>
      <c r="AX131" s="2984"/>
      <c r="AY131" s="2985"/>
      <c r="AZ131" s="2986"/>
      <c r="BA131" s="2987"/>
      <c r="BB131" s="3194"/>
    </row>
    <row r="132" spans="1:54" ht="15.6" x14ac:dyDescent="0.25">
      <c r="A132" s="2620"/>
      <c r="B132" s="2680"/>
      <c r="C132" s="886"/>
      <c r="D132" s="2929"/>
      <c r="E132" s="2680"/>
      <c r="F132" s="2680"/>
      <c r="G132" s="2678"/>
      <c r="H132" s="2674"/>
      <c r="I132" s="1590"/>
      <c r="J132" s="1582"/>
      <c r="K132" s="1591"/>
      <c r="L132" s="1592"/>
      <c r="M132" s="2678"/>
      <c r="N132" s="1593"/>
      <c r="O132" s="1594"/>
      <c r="P132" s="1584"/>
      <c r="Q132" s="2674"/>
      <c r="R132" s="1585"/>
      <c r="S132" s="866"/>
      <c r="T132" s="867"/>
      <c r="U132" s="832"/>
      <c r="V132" s="833"/>
      <c r="W132" s="832"/>
      <c r="X132" s="833"/>
      <c r="Y132" s="834"/>
      <c r="Z132" s="834"/>
      <c r="AA132" s="2441"/>
      <c r="AB132" s="2704"/>
      <c r="AC132" s="3117"/>
      <c r="AD132" s="3164"/>
      <c r="AE132" s="3149"/>
      <c r="AF132" s="2499"/>
      <c r="AH132" s="2351">
        <f t="shared" si="27"/>
        <v>0</v>
      </c>
      <c r="AI132" s="2351">
        <f t="shared" si="28"/>
        <v>0</v>
      </c>
      <c r="AJ132" s="123" t="str">
        <f t="shared" si="26"/>
        <v>무부하 랙</v>
      </c>
      <c r="AK132" t="str">
        <f t="shared" si="29"/>
        <v/>
      </c>
      <c r="AL132" t="str">
        <f t="shared" si="30"/>
        <v/>
      </c>
      <c r="AQ132" s="123"/>
      <c r="AR132" s="123"/>
      <c r="AS132" s="123"/>
      <c r="AT132" s="2982"/>
      <c r="AU132" s="123"/>
      <c r="AV132" s="123"/>
      <c r="AW132" s="2990"/>
      <c r="AX132" s="2984"/>
      <c r="AY132" s="2985"/>
      <c r="AZ132" s="2986"/>
      <c r="BA132" s="2987"/>
      <c r="BB132" s="3194"/>
    </row>
    <row r="133" spans="1:54" ht="16.2" thickBot="1" x14ac:dyDescent="0.3">
      <c r="A133" s="2628"/>
      <c r="B133" s="839"/>
      <c r="C133" s="972"/>
      <c r="D133" s="2929"/>
      <c r="E133" s="839"/>
      <c r="F133" s="839"/>
      <c r="G133" s="2679"/>
      <c r="H133" s="2675"/>
      <c r="I133" s="1607"/>
      <c r="J133" s="1608"/>
      <c r="K133" s="1621"/>
      <c r="L133" s="1622"/>
      <c r="M133" s="2679"/>
      <c r="N133" s="1623"/>
      <c r="O133" s="1624"/>
      <c r="P133" s="1625"/>
      <c r="Q133" s="2675"/>
      <c r="R133" s="1626"/>
      <c r="S133" s="880"/>
      <c r="T133" s="881"/>
      <c r="U133" s="840"/>
      <c r="V133" s="849"/>
      <c r="W133" s="840"/>
      <c r="X133" s="849"/>
      <c r="Y133" s="850"/>
      <c r="Z133" s="850"/>
      <c r="AA133" s="2440"/>
      <c r="AB133" s="2717"/>
      <c r="AC133" s="3129"/>
      <c r="AD133" s="3169"/>
      <c r="AE133" s="3153"/>
      <c r="AF133" s="2502"/>
      <c r="AH133" s="2351">
        <f t="shared" si="27"/>
        <v>0</v>
      </c>
      <c r="AI133" s="2351">
        <f t="shared" si="28"/>
        <v>0</v>
      </c>
      <c r="AJ133" s="123" t="str">
        <f t="shared" si="26"/>
        <v>무부하 랙</v>
      </c>
      <c r="AK133" t="str">
        <f t="shared" si="29"/>
        <v/>
      </c>
      <c r="AL133" t="str">
        <f t="shared" si="30"/>
        <v/>
      </c>
      <c r="AQ133" s="123"/>
      <c r="AR133" s="123"/>
      <c r="AS133" s="123"/>
      <c r="AT133" s="2982"/>
      <c r="AU133" s="123"/>
      <c r="AV133" s="123"/>
      <c r="AW133" s="2990"/>
      <c r="AX133" s="2984"/>
      <c r="AY133" s="2985"/>
      <c r="AZ133" s="2986"/>
      <c r="BA133" s="2987"/>
      <c r="BB133" s="3194"/>
    </row>
    <row r="134" spans="1:54" ht="29.4" thickTop="1" x14ac:dyDescent="0.25">
      <c r="A134" s="1081"/>
      <c r="B134" s="327" t="s">
        <v>2921</v>
      </c>
      <c r="C134" s="970"/>
      <c r="D134" s="2929"/>
      <c r="E134" s="327" t="s">
        <v>2922</v>
      </c>
      <c r="F134" s="327" t="s">
        <v>2923</v>
      </c>
      <c r="G134" s="2641" t="s">
        <v>2924</v>
      </c>
      <c r="H134" s="2642" t="s">
        <v>2925</v>
      </c>
      <c r="I134" s="1605" t="str">
        <f t="shared" ref="I134:I141" si="40">"5-DaHall1-PDU-"&amp;M134&amp;"-"&amp;L134&amp;"-"&amp;N134</f>
        <v>5-DaHall1-PDU-05-30-1</v>
      </c>
      <c r="J134" s="1606" t="str">
        <f t="shared" ref="J134:J141" si="41">"5-DaHall1-PDU-"&amp;Q134&amp;"-"&amp;P134&amp;"-"&amp;R134</f>
        <v>5-DaHall1-PDU-06-30-1</v>
      </c>
      <c r="K134" s="1552">
        <v>220</v>
      </c>
      <c r="L134" s="1553">
        <v>30</v>
      </c>
      <c r="M134" s="2363" t="s">
        <v>6491</v>
      </c>
      <c r="N134" s="1554">
        <v>1</v>
      </c>
      <c r="O134" s="1555">
        <v>220</v>
      </c>
      <c r="P134" s="1556">
        <v>30</v>
      </c>
      <c r="Q134" s="2393" t="s">
        <v>6501</v>
      </c>
      <c r="R134" s="1557">
        <v>1</v>
      </c>
      <c r="S134" s="3607" t="s">
        <v>2926</v>
      </c>
      <c r="T134" s="3610" t="s">
        <v>2927</v>
      </c>
      <c r="U134" s="3467" t="s">
        <v>2928</v>
      </c>
      <c r="V134" s="3497" t="s">
        <v>2929</v>
      </c>
      <c r="W134" s="3467" t="s">
        <v>2484</v>
      </c>
      <c r="X134" s="3497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38">
        <f t="shared" ref="AA134:AA141" si="42">SUM(Y134:Z134)</f>
        <v>0</v>
      </c>
      <c r="AB134" s="2689" t="e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4" s="3108" t="e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4" s="3162" t="e">
        <f>VLOOKUP(I134&amp;J134,'7층~4층_매핑테이블'!$I$6:$P$2020,8,0)</f>
        <v>#N/A</v>
      </c>
      <c r="AE134" s="3143" t="e">
        <f>SUM(AB134:AC134)</f>
        <v>#N/A</v>
      </c>
      <c r="AF134" s="2453"/>
      <c r="AH134" s="2351" t="e">
        <f t="shared" si="27"/>
        <v>#N/A</v>
      </c>
      <c r="AI134" s="2351" t="e">
        <f t="shared" si="28"/>
        <v>#N/A</v>
      </c>
      <c r="AJ134" s="123" t="e">
        <f t="shared" ref="AJ134:AJ197" si="43">IF(SIGN(AI134)&gt;=0,IF(AE134=0,"무부하 랙","적정함"),"사용초과")</f>
        <v>#N/A</v>
      </c>
      <c r="AK134" t="e">
        <f t="shared" ref="AK134:AK197" si="44">IF(AJ134="사용초과",C134,"")</f>
        <v>#N/A</v>
      </c>
      <c r="AL134" t="e">
        <f t="shared" ref="AL134:AL197" si="45">IF(AK134="","",A134)</f>
        <v>#N/A</v>
      </c>
      <c r="AQ134" s="123"/>
      <c r="AR134" s="123"/>
      <c r="AS134" s="123"/>
      <c r="AT134" s="2982"/>
      <c r="AU134" s="123"/>
      <c r="AV134" s="123"/>
      <c r="AW134" s="2990"/>
      <c r="AX134" s="2984"/>
      <c r="AY134" s="2985"/>
      <c r="AZ134" s="2986"/>
      <c r="BA134" s="2987"/>
      <c r="BB134" s="3194"/>
    </row>
    <row r="135" spans="1:54" ht="28.8" x14ac:dyDescent="0.25">
      <c r="A135" s="2620"/>
      <c r="B135" s="250" t="s">
        <v>2931</v>
      </c>
      <c r="C135" s="2632"/>
      <c r="D135" s="2929"/>
      <c r="E135" s="250" t="s">
        <v>2932</v>
      </c>
      <c r="F135" s="250" t="s">
        <v>2933</v>
      </c>
      <c r="G135" s="2633" t="s">
        <v>2934</v>
      </c>
      <c r="H135" s="2634" t="s">
        <v>2935</v>
      </c>
      <c r="I135" s="1595" t="str">
        <f t="shared" si="40"/>
        <v>5-DaHall1-PDU-05-30-3</v>
      </c>
      <c r="J135" s="1596" t="str">
        <f t="shared" si="41"/>
        <v>5-DaHall1-PDU-06-30-3</v>
      </c>
      <c r="K135" s="1558">
        <v>220</v>
      </c>
      <c r="L135" s="1559">
        <v>30</v>
      </c>
      <c r="M135" s="2364" t="s">
        <v>6491</v>
      </c>
      <c r="N135" s="1560">
        <v>3</v>
      </c>
      <c r="O135" s="1561">
        <v>220</v>
      </c>
      <c r="P135" s="1562">
        <v>30</v>
      </c>
      <c r="Q135" s="2394" t="s">
        <v>6501</v>
      </c>
      <c r="R135" s="1563">
        <v>3</v>
      </c>
      <c r="S135" s="3608"/>
      <c r="T135" s="3611"/>
      <c r="U135" s="3472"/>
      <c r="V135" s="3471"/>
      <c r="W135" s="3472"/>
      <c r="X135" s="3471"/>
      <c r="Y135" s="253">
        <f>SUM('5층_부하량(월간_AVG)'!D165:F165)</f>
        <v>0</v>
      </c>
      <c r="Z135" s="253">
        <f>SUM('5층_부하량(월간_AVG)'!D196:F196)</f>
        <v>0</v>
      </c>
      <c r="AA135" s="2436">
        <f t="shared" si="42"/>
        <v>0</v>
      </c>
      <c r="AB135" s="2691" t="e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5" s="3109" t="e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5" s="3162" t="e">
        <f>VLOOKUP(I135&amp;J135,'7층~4층_매핑테이블'!$I$6:$P$2020,8,0)</f>
        <v>#N/A</v>
      </c>
      <c r="AE135" s="3144" t="e">
        <f>SUM(AB135:AC135)</f>
        <v>#N/A</v>
      </c>
      <c r="AF135" s="2451"/>
      <c r="AH135" s="2351" t="e">
        <f t="shared" ref="AH135:AH198" si="46">AE135/(24*31)</f>
        <v>#N/A</v>
      </c>
      <c r="AI135" s="2351" t="e">
        <f t="shared" ref="AI135:AI198" si="47">D135-AH135</f>
        <v>#N/A</v>
      </c>
      <c r="AJ135" s="123" t="e">
        <f t="shared" si="43"/>
        <v>#N/A</v>
      </c>
      <c r="AK135" t="e">
        <f t="shared" si="44"/>
        <v>#N/A</v>
      </c>
      <c r="AL135" t="e">
        <f t="shared" si="45"/>
        <v>#N/A</v>
      </c>
      <c r="AQ135" s="123"/>
      <c r="AR135" s="123"/>
      <c r="AS135" s="123"/>
      <c r="AT135" s="2982"/>
      <c r="AU135" s="123"/>
      <c r="AV135" s="123"/>
      <c r="AW135" s="2990"/>
      <c r="AX135" s="2984"/>
      <c r="AY135" s="2985"/>
      <c r="AZ135" s="2986"/>
      <c r="BA135" s="2987"/>
      <c r="BB135" s="3194"/>
    </row>
    <row r="136" spans="1:54" ht="28.8" x14ac:dyDescent="0.25">
      <c r="A136" s="2620"/>
      <c r="B136" s="250" t="s">
        <v>2937</v>
      </c>
      <c r="C136" s="2632"/>
      <c r="D136" s="2929"/>
      <c r="E136" s="250" t="s">
        <v>2938</v>
      </c>
      <c r="F136" s="250" t="s">
        <v>2939</v>
      </c>
      <c r="G136" s="2633" t="s">
        <v>2940</v>
      </c>
      <c r="H136" s="2634" t="s">
        <v>2941</v>
      </c>
      <c r="I136" s="1595" t="str">
        <f t="shared" si="40"/>
        <v>5-DaHall1-PDU-05-30-5</v>
      </c>
      <c r="J136" s="1596" t="str">
        <f t="shared" si="41"/>
        <v>5-DaHall1-PDU-06-30-5</v>
      </c>
      <c r="K136" s="1558">
        <v>220</v>
      </c>
      <c r="L136" s="1559">
        <v>30</v>
      </c>
      <c r="M136" s="2364" t="s">
        <v>6491</v>
      </c>
      <c r="N136" s="1560">
        <v>5</v>
      </c>
      <c r="O136" s="1561">
        <v>220</v>
      </c>
      <c r="P136" s="1562">
        <v>30</v>
      </c>
      <c r="Q136" s="2394" t="s">
        <v>6501</v>
      </c>
      <c r="R136" s="1563">
        <v>5</v>
      </c>
      <c r="S136" s="3608"/>
      <c r="T136" s="3611"/>
      <c r="U136" s="3472"/>
      <c r="V136" s="3471"/>
      <c r="W136" s="3472"/>
      <c r="X136" s="3471"/>
      <c r="Y136" s="253">
        <f>SUM('5층_부하량(월간_AVG)'!D166:F166)</f>
        <v>0</v>
      </c>
      <c r="Z136" s="253">
        <f>SUM('5층_부하량(월간_AVG)'!D197:F197)</f>
        <v>0</v>
      </c>
      <c r="AA136" s="2436">
        <f t="shared" si="42"/>
        <v>0</v>
      </c>
      <c r="AB136" s="2691" t="e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6" s="3109" t="e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6" s="3162" t="e">
        <f>VLOOKUP(I136&amp;J136,'7층~4층_매핑테이블'!$I$6:$P$2020,8,0)</f>
        <v>#N/A</v>
      </c>
      <c r="AE136" s="3144" t="e">
        <f t="shared" ref="AE136:AE141" si="48">SUM(AB136:AC136)</f>
        <v>#N/A</v>
      </c>
      <c r="AF136" s="2451"/>
      <c r="AH136" s="2351" t="e">
        <f t="shared" si="46"/>
        <v>#N/A</v>
      </c>
      <c r="AI136" s="2351" t="e">
        <f t="shared" si="47"/>
        <v>#N/A</v>
      </c>
      <c r="AJ136" s="123" t="e">
        <f t="shared" si="43"/>
        <v>#N/A</v>
      </c>
      <c r="AK136" t="e">
        <f t="shared" si="44"/>
        <v>#N/A</v>
      </c>
      <c r="AL136" t="e">
        <f t="shared" si="45"/>
        <v>#N/A</v>
      </c>
      <c r="AQ136" s="123"/>
      <c r="AR136" s="123"/>
      <c r="AS136" s="123"/>
      <c r="AT136" s="2982"/>
      <c r="AU136" s="123"/>
      <c r="AV136" s="123"/>
      <c r="AW136" s="2990"/>
      <c r="AX136" s="2984"/>
      <c r="AY136" s="2985"/>
      <c r="AZ136" s="2986"/>
      <c r="BA136" s="2987"/>
      <c r="BB136" s="3194"/>
    </row>
    <row r="137" spans="1:54" ht="28.8" x14ac:dyDescent="0.25">
      <c r="A137" s="2620"/>
      <c r="B137" s="250" t="s">
        <v>2943</v>
      </c>
      <c r="C137" s="2632"/>
      <c r="D137" s="2929"/>
      <c r="E137" s="250" t="s">
        <v>2944</v>
      </c>
      <c r="F137" s="250" t="s">
        <v>2945</v>
      </c>
      <c r="G137" s="2633" t="s">
        <v>2946</v>
      </c>
      <c r="H137" s="2634" t="s">
        <v>2947</v>
      </c>
      <c r="I137" s="1595" t="str">
        <f t="shared" si="40"/>
        <v>5-DaHall1-PDU-05-30-9</v>
      </c>
      <c r="J137" s="1596" t="str">
        <f t="shared" si="41"/>
        <v>5-DaHall1-PDU-06-30-7</v>
      </c>
      <c r="K137" s="1558">
        <v>220</v>
      </c>
      <c r="L137" s="1559">
        <v>30</v>
      </c>
      <c r="M137" s="2364" t="s">
        <v>6491</v>
      </c>
      <c r="N137" s="1560">
        <v>9</v>
      </c>
      <c r="O137" s="1561">
        <v>220</v>
      </c>
      <c r="P137" s="1562">
        <v>30</v>
      </c>
      <c r="Q137" s="2394" t="s">
        <v>6501</v>
      </c>
      <c r="R137" s="1563">
        <v>7</v>
      </c>
      <c r="S137" s="3608"/>
      <c r="T137" s="3611"/>
      <c r="U137" s="3472"/>
      <c r="V137" s="3471"/>
      <c r="W137" s="3472"/>
      <c r="X137" s="3471"/>
      <c r="Y137" s="253">
        <f>SUM('5층_부하량(월간_AVG)'!D167:F167)</f>
        <v>0</v>
      </c>
      <c r="Z137" s="253">
        <f>SUM('5층_부하량(월간_AVG)'!D198:F198)</f>
        <v>0</v>
      </c>
      <c r="AA137" s="2436">
        <f t="shared" si="42"/>
        <v>0</v>
      </c>
      <c r="AB137" s="2691" t="e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7" s="3109" t="e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7" s="3162" t="e">
        <f>VLOOKUP(I137&amp;J137,'7층~4층_매핑테이블'!$I$6:$P$2020,8,0)</f>
        <v>#N/A</v>
      </c>
      <c r="AE137" s="3144" t="e">
        <f t="shared" si="48"/>
        <v>#N/A</v>
      </c>
      <c r="AF137" s="2451"/>
      <c r="AH137" s="2351" t="e">
        <f t="shared" si="46"/>
        <v>#N/A</v>
      </c>
      <c r="AI137" s="2351" t="e">
        <f t="shared" si="47"/>
        <v>#N/A</v>
      </c>
      <c r="AJ137" s="123" t="e">
        <f t="shared" si="43"/>
        <v>#N/A</v>
      </c>
      <c r="AK137" t="e">
        <f t="shared" si="44"/>
        <v>#N/A</v>
      </c>
      <c r="AL137" t="e">
        <f t="shared" si="45"/>
        <v>#N/A</v>
      </c>
      <c r="AQ137" s="123"/>
      <c r="AR137" s="123"/>
      <c r="AS137" s="123"/>
      <c r="AT137" s="2982"/>
      <c r="AU137" s="123"/>
      <c r="AV137" s="123"/>
      <c r="AW137" s="2990"/>
      <c r="AX137" s="2984"/>
      <c r="AY137" s="2985"/>
      <c r="AZ137" s="2986"/>
      <c r="BA137" s="2987"/>
      <c r="BB137" s="3194"/>
    </row>
    <row r="138" spans="1:54" ht="28.8" x14ac:dyDescent="0.25">
      <c r="A138" s="2620"/>
      <c r="B138" s="250" t="s">
        <v>2949</v>
      </c>
      <c r="C138" s="2632"/>
      <c r="D138" s="2929"/>
      <c r="E138" s="250" t="s">
        <v>2950</v>
      </c>
      <c r="F138" s="250" t="s">
        <v>2951</v>
      </c>
      <c r="G138" s="2633" t="s">
        <v>2952</v>
      </c>
      <c r="H138" s="2634" t="s">
        <v>2953</v>
      </c>
      <c r="I138" s="1595" t="str">
        <f t="shared" si="40"/>
        <v>5-DaHall1-PDU-05-30-11</v>
      </c>
      <c r="J138" s="1596" t="str">
        <f t="shared" si="41"/>
        <v>5-DaHall1-PDU-06-30-9</v>
      </c>
      <c r="K138" s="1558">
        <v>220</v>
      </c>
      <c r="L138" s="1559">
        <v>30</v>
      </c>
      <c r="M138" s="2364" t="s">
        <v>6491</v>
      </c>
      <c r="N138" s="1560">
        <v>11</v>
      </c>
      <c r="O138" s="1561">
        <v>220</v>
      </c>
      <c r="P138" s="1562">
        <v>30</v>
      </c>
      <c r="Q138" s="2394" t="s">
        <v>6501</v>
      </c>
      <c r="R138" s="1563">
        <v>9</v>
      </c>
      <c r="S138" s="3608"/>
      <c r="T138" s="3611"/>
      <c r="U138" s="3472"/>
      <c r="V138" s="3471"/>
      <c r="W138" s="3472"/>
      <c r="X138" s="3471"/>
      <c r="Y138" s="253">
        <f>SUM('5층_부하량(월간_AVG)'!D168:F168)</f>
        <v>0</v>
      </c>
      <c r="Z138" s="253">
        <f>SUM('5층_부하량(월간_AVG)'!D199:F199)</f>
        <v>0</v>
      </c>
      <c r="AA138" s="2436">
        <f t="shared" si="42"/>
        <v>0</v>
      </c>
      <c r="AB138" s="2691" t="e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8" s="3109" t="e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8" s="3162" t="e">
        <f>VLOOKUP(I138&amp;J138,'7층~4층_매핑테이블'!$I$6:$P$2020,8,0)</f>
        <v>#N/A</v>
      </c>
      <c r="AE138" s="3144" t="e">
        <f t="shared" si="48"/>
        <v>#N/A</v>
      </c>
      <c r="AF138" s="2451"/>
      <c r="AH138" s="2351" t="e">
        <f t="shared" si="46"/>
        <v>#N/A</v>
      </c>
      <c r="AI138" s="2351" t="e">
        <f t="shared" si="47"/>
        <v>#N/A</v>
      </c>
      <c r="AJ138" s="123" t="e">
        <f t="shared" si="43"/>
        <v>#N/A</v>
      </c>
      <c r="AK138" t="e">
        <f t="shared" si="44"/>
        <v>#N/A</v>
      </c>
      <c r="AL138" t="e">
        <f t="shared" si="45"/>
        <v>#N/A</v>
      </c>
      <c r="AQ138" s="123"/>
      <c r="AR138" s="123"/>
      <c r="AS138" s="123"/>
      <c r="AT138" s="2982"/>
      <c r="AU138" s="123"/>
      <c r="AV138" s="123"/>
      <c r="AW138" s="2990"/>
      <c r="AX138" s="2984"/>
      <c r="AY138" s="2985"/>
      <c r="AZ138" s="2986"/>
      <c r="BA138" s="2987"/>
      <c r="BB138" s="3194"/>
    </row>
    <row r="139" spans="1:54" ht="28.8" x14ac:dyDescent="0.25">
      <c r="A139" s="2620"/>
      <c r="B139" s="250" t="s">
        <v>2955</v>
      </c>
      <c r="C139" s="2632"/>
      <c r="D139" s="2929"/>
      <c r="E139" s="250" t="s">
        <v>2956</v>
      </c>
      <c r="F139" s="250" t="s">
        <v>2957</v>
      </c>
      <c r="G139" s="2633" t="s">
        <v>2958</v>
      </c>
      <c r="H139" s="2634" t="s">
        <v>2959</v>
      </c>
      <c r="I139" s="1595" t="str">
        <f t="shared" si="40"/>
        <v>5-DaHall1-PDU-05-30-13</v>
      </c>
      <c r="J139" s="1596" t="str">
        <f t="shared" si="41"/>
        <v>5-DaHall1-PDU-06-30-11</v>
      </c>
      <c r="K139" s="1558">
        <v>220</v>
      </c>
      <c r="L139" s="1559">
        <v>30</v>
      </c>
      <c r="M139" s="2364" t="s">
        <v>6491</v>
      </c>
      <c r="N139" s="1560">
        <v>13</v>
      </c>
      <c r="O139" s="1561">
        <v>220</v>
      </c>
      <c r="P139" s="1562">
        <v>30</v>
      </c>
      <c r="Q139" s="2394" t="s">
        <v>6501</v>
      </c>
      <c r="R139" s="1563">
        <v>11</v>
      </c>
      <c r="S139" s="3608"/>
      <c r="T139" s="3611"/>
      <c r="U139" s="3472"/>
      <c r="V139" s="3471"/>
      <c r="W139" s="3472"/>
      <c r="X139" s="3471"/>
      <c r="Y139" s="253">
        <f>SUM('5층_부하량(월간_AVG)'!D169:F169)</f>
        <v>0</v>
      </c>
      <c r="Z139" s="253">
        <f>SUM('5층_부하량(월간_AVG)'!D200:F200)</f>
        <v>0</v>
      </c>
      <c r="AA139" s="2436">
        <f t="shared" si="42"/>
        <v>0</v>
      </c>
      <c r="AB139" s="2691" t="e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9" s="3109" t="e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9" s="3162" t="e">
        <f>VLOOKUP(I139&amp;J139,'7층~4층_매핑테이블'!$I$6:$P$2020,8,0)</f>
        <v>#N/A</v>
      </c>
      <c r="AE139" s="3144" t="e">
        <f t="shared" si="48"/>
        <v>#N/A</v>
      </c>
      <c r="AF139" s="2451"/>
      <c r="AH139" s="2351" t="e">
        <f t="shared" si="46"/>
        <v>#N/A</v>
      </c>
      <c r="AI139" s="2351" t="e">
        <f t="shared" si="47"/>
        <v>#N/A</v>
      </c>
      <c r="AJ139" s="123" t="e">
        <f t="shared" si="43"/>
        <v>#N/A</v>
      </c>
      <c r="AK139" t="e">
        <f t="shared" si="44"/>
        <v>#N/A</v>
      </c>
      <c r="AL139" t="e">
        <f t="shared" si="45"/>
        <v>#N/A</v>
      </c>
      <c r="AQ139" s="123"/>
      <c r="AR139" s="123"/>
      <c r="AS139" s="123"/>
      <c r="AT139" s="2982"/>
      <c r="AU139" s="123"/>
      <c r="AV139" s="123"/>
      <c r="AW139" s="2990"/>
      <c r="AX139" s="2984"/>
      <c r="AY139" s="2985"/>
      <c r="AZ139" s="2986"/>
      <c r="BA139" s="2987"/>
      <c r="BB139" s="3194"/>
    </row>
    <row r="140" spans="1:54" ht="28.8" x14ac:dyDescent="0.25">
      <c r="A140" s="2620"/>
      <c r="B140" s="250" t="s">
        <v>2961</v>
      </c>
      <c r="C140" s="2632"/>
      <c r="D140" s="2929"/>
      <c r="E140" s="250" t="s">
        <v>2962</v>
      </c>
      <c r="F140" s="250" t="s">
        <v>2963</v>
      </c>
      <c r="G140" s="2633" t="s">
        <v>2964</v>
      </c>
      <c r="H140" s="2634" t="s">
        <v>2965</v>
      </c>
      <c r="I140" s="1595" t="str">
        <f t="shared" si="40"/>
        <v>5-DaHall1-PDU-05-30-15</v>
      </c>
      <c r="J140" s="1596" t="str">
        <f t="shared" si="41"/>
        <v>5-DaHall1-PDU-06-30-15</v>
      </c>
      <c r="K140" s="1558">
        <v>220</v>
      </c>
      <c r="L140" s="1559">
        <v>30</v>
      </c>
      <c r="M140" s="2364" t="s">
        <v>6491</v>
      </c>
      <c r="N140" s="1560">
        <v>15</v>
      </c>
      <c r="O140" s="1561">
        <v>220</v>
      </c>
      <c r="P140" s="1562">
        <v>30</v>
      </c>
      <c r="Q140" s="2394" t="s">
        <v>6501</v>
      </c>
      <c r="R140" s="1563">
        <v>15</v>
      </c>
      <c r="S140" s="3608"/>
      <c r="T140" s="3611"/>
      <c r="U140" s="3472"/>
      <c r="V140" s="3471"/>
      <c r="W140" s="3472"/>
      <c r="X140" s="3471"/>
      <c r="Y140" s="253">
        <f>SUM('5층_부하량(월간_AVG)'!D170:F170)</f>
        <v>0</v>
      </c>
      <c r="Z140" s="253">
        <f>SUM('5층_부하량(월간_AVG)'!D202:F202)</f>
        <v>0</v>
      </c>
      <c r="AA140" s="2436">
        <f t="shared" si="42"/>
        <v>0</v>
      </c>
      <c r="AB140" s="2691" t="e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40" s="3109" t="e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40" s="3162" t="e">
        <f>VLOOKUP(I140&amp;J140,'7층~4층_매핑테이블'!$I$6:$P$2020,8,0)</f>
        <v>#N/A</v>
      </c>
      <c r="AE140" s="3144" t="e">
        <f t="shared" si="48"/>
        <v>#N/A</v>
      </c>
      <c r="AF140" s="2451"/>
      <c r="AH140" s="2351" t="e">
        <f t="shared" si="46"/>
        <v>#N/A</v>
      </c>
      <c r="AI140" s="2351" t="e">
        <f t="shared" si="47"/>
        <v>#N/A</v>
      </c>
      <c r="AJ140" s="123" t="e">
        <f t="shared" si="43"/>
        <v>#N/A</v>
      </c>
      <c r="AK140" t="e">
        <f t="shared" si="44"/>
        <v>#N/A</v>
      </c>
      <c r="AL140" t="e">
        <f t="shared" si="45"/>
        <v>#N/A</v>
      </c>
      <c r="AQ140" s="123"/>
      <c r="AR140" s="123"/>
      <c r="AS140" s="123"/>
      <c r="AT140" s="2982"/>
      <c r="AU140" s="123"/>
      <c r="AV140" s="123"/>
      <c r="AW140" s="2990"/>
      <c r="AX140" s="2984"/>
      <c r="AY140" s="2985"/>
      <c r="AZ140" s="2986"/>
      <c r="BA140" s="2987"/>
      <c r="BB140" s="3194"/>
    </row>
    <row r="141" spans="1:54" ht="28.8" x14ac:dyDescent="0.25">
      <c r="A141" s="2620"/>
      <c r="B141" s="250" t="s">
        <v>2967</v>
      </c>
      <c r="C141" s="2632"/>
      <c r="D141" s="2929"/>
      <c r="E141" s="250" t="s">
        <v>2968</v>
      </c>
      <c r="F141" s="250" t="s">
        <v>2969</v>
      </c>
      <c r="G141" s="2633" t="s">
        <v>2970</v>
      </c>
      <c r="H141" s="2634" t="s">
        <v>2971</v>
      </c>
      <c r="I141" s="1595" t="str">
        <f t="shared" si="40"/>
        <v>5-DaHall1-PDU-05-30-17</v>
      </c>
      <c r="J141" s="1596" t="str">
        <f t="shared" si="41"/>
        <v>5-DaHall1-PDU-06-30-17</v>
      </c>
      <c r="K141" s="1558">
        <v>220</v>
      </c>
      <c r="L141" s="1559">
        <v>30</v>
      </c>
      <c r="M141" s="2364" t="s">
        <v>6491</v>
      </c>
      <c r="N141" s="1560">
        <v>17</v>
      </c>
      <c r="O141" s="1561">
        <v>220</v>
      </c>
      <c r="P141" s="1562">
        <v>30</v>
      </c>
      <c r="Q141" s="2394" t="s">
        <v>6501</v>
      </c>
      <c r="R141" s="1563">
        <v>17</v>
      </c>
      <c r="S141" s="3608"/>
      <c r="T141" s="3611"/>
      <c r="U141" s="3472"/>
      <c r="V141" s="3471"/>
      <c r="W141" s="3472"/>
      <c r="X141" s="3471"/>
      <c r="Y141" s="253">
        <f>SUM('5층_부하량(월간_AVG)'!D171:F171)</f>
        <v>0</v>
      </c>
      <c r="Z141" s="253">
        <f>SUM('5층_부하량(월간_AVG)'!D203:F203)</f>
        <v>0</v>
      </c>
      <c r="AA141" s="2436">
        <f t="shared" si="42"/>
        <v>0</v>
      </c>
      <c r="AB141" s="2691" t="e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1" s="3109" t="e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1" s="3162" t="e">
        <f>VLOOKUP(I141&amp;J141,'7층~4층_매핑테이블'!$I$6:$P$2020,8,0)</f>
        <v>#N/A</v>
      </c>
      <c r="AE141" s="3144" t="e">
        <f t="shared" si="48"/>
        <v>#N/A</v>
      </c>
      <c r="AF141" s="2451"/>
      <c r="AH141" s="2351" t="e">
        <f t="shared" si="46"/>
        <v>#N/A</v>
      </c>
      <c r="AI141" s="2351" t="e">
        <f t="shared" si="47"/>
        <v>#N/A</v>
      </c>
      <c r="AJ141" s="123" t="e">
        <f t="shared" si="43"/>
        <v>#N/A</v>
      </c>
      <c r="AK141" t="e">
        <f t="shared" si="44"/>
        <v>#N/A</v>
      </c>
      <c r="AL141" t="e">
        <f t="shared" si="45"/>
        <v>#N/A</v>
      </c>
      <c r="AQ141" s="123"/>
      <c r="AR141" s="123"/>
      <c r="AS141" s="123"/>
      <c r="AT141" s="2982"/>
      <c r="AU141" s="123"/>
      <c r="AV141" s="123"/>
      <c r="AW141" s="2990"/>
      <c r="AX141" s="2984"/>
      <c r="AY141" s="2985"/>
      <c r="AZ141" s="2986"/>
      <c r="BA141" s="2987"/>
      <c r="BB141" s="3194"/>
    </row>
    <row r="142" spans="1:54" ht="15.6" x14ac:dyDescent="0.25">
      <c r="A142" s="2620"/>
      <c r="B142" s="2680"/>
      <c r="C142" s="886"/>
      <c r="D142" s="2929"/>
      <c r="E142" s="2680"/>
      <c r="F142" s="2680"/>
      <c r="G142" s="2678"/>
      <c r="H142" s="2674"/>
      <c r="I142" s="1590"/>
      <c r="J142" s="1582"/>
      <c r="K142" s="1591"/>
      <c r="L142" s="1592"/>
      <c r="M142" s="2678"/>
      <c r="N142" s="1593"/>
      <c r="O142" s="1594"/>
      <c r="P142" s="1584"/>
      <c r="Q142" s="2674"/>
      <c r="R142" s="1585"/>
      <c r="S142" s="2678"/>
      <c r="T142" s="2674"/>
      <c r="U142" s="832"/>
      <c r="V142" s="833"/>
      <c r="W142" s="832"/>
      <c r="X142" s="833"/>
      <c r="Y142" s="834"/>
      <c r="Z142" s="834"/>
      <c r="AA142" s="2441"/>
      <c r="AB142" s="2704"/>
      <c r="AC142" s="3117"/>
      <c r="AD142" s="3164"/>
      <c r="AE142" s="3149"/>
      <c r="AF142" s="2499"/>
      <c r="AH142" s="2351">
        <f t="shared" si="46"/>
        <v>0</v>
      </c>
      <c r="AI142" s="2351">
        <f t="shared" si="47"/>
        <v>0</v>
      </c>
      <c r="AJ142" s="123" t="str">
        <f t="shared" si="43"/>
        <v>무부하 랙</v>
      </c>
      <c r="AK142" t="str">
        <f t="shared" si="44"/>
        <v/>
      </c>
      <c r="AL142" t="str">
        <f t="shared" si="45"/>
        <v/>
      </c>
      <c r="AQ142" s="123"/>
      <c r="AR142" s="123"/>
      <c r="AS142" s="123"/>
      <c r="AT142" s="2982"/>
      <c r="AU142" s="123"/>
      <c r="AV142" s="123"/>
      <c r="AW142" s="2990"/>
      <c r="AX142" s="2984"/>
      <c r="AY142" s="2985"/>
      <c r="AZ142" s="2986"/>
      <c r="BA142" s="2987"/>
      <c r="BB142" s="3194"/>
    </row>
    <row r="143" spans="1:54" ht="16.2" thickBot="1" x14ac:dyDescent="0.3">
      <c r="A143" s="2628"/>
      <c r="B143" s="839"/>
      <c r="C143" s="972"/>
      <c r="D143" s="2929"/>
      <c r="E143" s="839"/>
      <c r="F143" s="839"/>
      <c r="G143" s="2679"/>
      <c r="H143" s="2675"/>
      <c r="I143" s="1607"/>
      <c r="J143" s="1608"/>
      <c r="K143" s="1621"/>
      <c r="L143" s="1622"/>
      <c r="M143" s="2679"/>
      <c r="N143" s="1623"/>
      <c r="O143" s="1624"/>
      <c r="P143" s="1625"/>
      <c r="Q143" s="2675"/>
      <c r="R143" s="1626"/>
      <c r="S143" s="2679"/>
      <c r="T143" s="2675"/>
      <c r="U143" s="840"/>
      <c r="V143" s="849"/>
      <c r="W143" s="840"/>
      <c r="X143" s="849"/>
      <c r="Y143" s="850"/>
      <c r="Z143" s="850"/>
      <c r="AA143" s="2440"/>
      <c r="AB143" s="2717"/>
      <c r="AC143" s="3129"/>
      <c r="AD143" s="3169"/>
      <c r="AE143" s="3153"/>
      <c r="AF143" s="2502"/>
      <c r="AH143" s="2351">
        <f t="shared" si="46"/>
        <v>0</v>
      </c>
      <c r="AI143" s="2351">
        <f t="shared" si="47"/>
        <v>0</v>
      </c>
      <c r="AJ143" s="123" t="str">
        <f t="shared" si="43"/>
        <v>무부하 랙</v>
      </c>
      <c r="AK143" t="str">
        <f t="shared" si="44"/>
        <v/>
      </c>
      <c r="AL143" t="str">
        <f t="shared" si="45"/>
        <v/>
      </c>
      <c r="AQ143" s="123"/>
      <c r="AR143" s="123"/>
      <c r="AS143" s="123"/>
      <c r="AT143" s="2982"/>
      <c r="AU143" s="123"/>
      <c r="AV143" s="123"/>
      <c r="AW143" s="2990"/>
      <c r="AX143" s="2984"/>
      <c r="AY143" s="2985"/>
      <c r="AZ143" s="2986"/>
      <c r="BA143" s="2987"/>
      <c r="BB143" s="3194"/>
    </row>
    <row r="144" spans="1:54" ht="29.4" thickTop="1" x14ac:dyDescent="0.25">
      <c r="A144" s="1081"/>
      <c r="B144" s="327" t="s">
        <v>2974</v>
      </c>
      <c r="C144" s="970"/>
      <c r="D144" s="2929"/>
      <c r="E144" s="327" t="s">
        <v>2975</v>
      </c>
      <c r="F144" s="327" t="s">
        <v>2976</v>
      </c>
      <c r="G144" s="2641" t="s">
        <v>2977</v>
      </c>
      <c r="H144" s="2642" t="s">
        <v>2978</v>
      </c>
      <c r="I144" s="1605" t="str">
        <f t="shared" ref="I144:I151" si="49">"5-DaHall1-PDU-"&amp;M144&amp;"-"&amp;L144&amp;"-"&amp;N144</f>
        <v>5-DaHall1-PDU-05-30-19</v>
      </c>
      <c r="J144" s="1606" t="str">
        <f t="shared" ref="J144:J151" si="50">"5-DaHall1-PDU-"&amp;Q144&amp;"-"&amp;P144&amp;"-"&amp;R144</f>
        <v>5-DaHall1-PDU-06-30-19</v>
      </c>
      <c r="K144" s="1552">
        <v>220</v>
      </c>
      <c r="L144" s="1553">
        <v>30</v>
      </c>
      <c r="M144" s="2363" t="s">
        <v>6491</v>
      </c>
      <c r="N144" s="1554">
        <v>19</v>
      </c>
      <c r="O144" s="1555">
        <v>220</v>
      </c>
      <c r="P144" s="1556">
        <v>30</v>
      </c>
      <c r="Q144" s="2393" t="s">
        <v>6501</v>
      </c>
      <c r="R144" s="1557">
        <v>19</v>
      </c>
      <c r="S144" s="3607" t="s">
        <v>2926</v>
      </c>
      <c r="T144" s="3610" t="s">
        <v>2927</v>
      </c>
      <c r="U144" s="3467" t="s">
        <v>2928</v>
      </c>
      <c r="V144" s="3497" t="s">
        <v>2929</v>
      </c>
      <c r="W144" s="3467" t="s">
        <v>2484</v>
      </c>
      <c r="X144" s="3497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38">
        <f t="shared" ref="AA144:AA151" si="51">SUM(Y144:Z144)</f>
        <v>0</v>
      </c>
      <c r="AB144" s="2689" t="e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4" s="3108" t="e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4" s="3162" t="e">
        <f>VLOOKUP(I144&amp;J144,'7층~4층_매핑테이블'!$I$6:$P$2020,8,0)</f>
        <v>#N/A</v>
      </c>
      <c r="AE144" s="3143" t="e">
        <f>SUM(AB144:AC144)</f>
        <v>#N/A</v>
      </c>
      <c r="AF144" s="2453"/>
      <c r="AH144" s="2351" t="e">
        <f t="shared" si="46"/>
        <v>#N/A</v>
      </c>
      <c r="AI144" s="2351" t="e">
        <f t="shared" si="47"/>
        <v>#N/A</v>
      </c>
      <c r="AJ144" s="123" t="e">
        <f t="shared" si="43"/>
        <v>#N/A</v>
      </c>
      <c r="AK144" t="e">
        <f t="shared" si="44"/>
        <v>#N/A</v>
      </c>
      <c r="AL144" t="e">
        <f t="shared" si="45"/>
        <v>#N/A</v>
      </c>
      <c r="AQ144" s="123"/>
      <c r="AR144" s="123"/>
      <c r="AS144" s="123"/>
      <c r="AT144" s="2982"/>
      <c r="AU144" s="123"/>
      <c r="AV144" s="123"/>
      <c r="AW144" s="2990"/>
      <c r="AX144" s="2984"/>
      <c r="AY144" s="2985"/>
      <c r="AZ144" s="2986"/>
      <c r="BA144" s="2987"/>
      <c r="BB144" s="3194"/>
    </row>
    <row r="145" spans="1:54" ht="28.8" x14ac:dyDescent="0.25">
      <c r="A145" s="2620"/>
      <c r="B145" s="250" t="s">
        <v>2980</v>
      </c>
      <c r="C145" s="2632"/>
      <c r="D145" s="2929"/>
      <c r="E145" s="250" t="s">
        <v>2981</v>
      </c>
      <c r="F145" s="250" t="s">
        <v>2982</v>
      </c>
      <c r="G145" s="2633" t="s">
        <v>2983</v>
      </c>
      <c r="H145" s="2634" t="s">
        <v>2984</v>
      </c>
      <c r="I145" s="1595" t="str">
        <f t="shared" si="49"/>
        <v>5-DaHall1-PDU-05-30-21</v>
      </c>
      <c r="J145" s="1596" t="str">
        <f t="shared" si="50"/>
        <v>5-DaHall1-PDU-06-30-21</v>
      </c>
      <c r="K145" s="1558">
        <v>220</v>
      </c>
      <c r="L145" s="1559">
        <v>30</v>
      </c>
      <c r="M145" s="2364" t="s">
        <v>6491</v>
      </c>
      <c r="N145" s="1560">
        <v>21</v>
      </c>
      <c r="O145" s="1561">
        <v>220</v>
      </c>
      <c r="P145" s="1562">
        <v>30</v>
      </c>
      <c r="Q145" s="2394" t="s">
        <v>6501</v>
      </c>
      <c r="R145" s="1563">
        <v>21</v>
      </c>
      <c r="S145" s="3608"/>
      <c r="T145" s="3611"/>
      <c r="U145" s="3472"/>
      <c r="V145" s="3471"/>
      <c r="W145" s="3472"/>
      <c r="X145" s="3471"/>
      <c r="Y145" s="253">
        <f>SUM('5층_부하량(월간_AVG)'!D174:F174)</f>
        <v>0</v>
      </c>
      <c r="Z145" s="253">
        <f>SUM('5층_부하량(월간_AVG)'!D205:F205)</f>
        <v>0</v>
      </c>
      <c r="AA145" s="2436">
        <f t="shared" si="51"/>
        <v>0</v>
      </c>
      <c r="AB145" s="2691" t="e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5" s="3109" t="e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5" s="3162" t="e">
        <f>VLOOKUP(I145&amp;J145,'7층~4층_매핑테이블'!$I$6:$P$2020,8,0)</f>
        <v>#N/A</v>
      </c>
      <c r="AE145" s="3144" t="e">
        <f>SUM(AB145:AC145)</f>
        <v>#N/A</v>
      </c>
      <c r="AF145" s="2451"/>
      <c r="AH145" s="2351" t="e">
        <f t="shared" si="46"/>
        <v>#N/A</v>
      </c>
      <c r="AI145" s="2351" t="e">
        <f t="shared" si="47"/>
        <v>#N/A</v>
      </c>
      <c r="AJ145" s="123" t="e">
        <f t="shared" si="43"/>
        <v>#N/A</v>
      </c>
      <c r="AK145" t="e">
        <f t="shared" si="44"/>
        <v>#N/A</v>
      </c>
      <c r="AL145" t="e">
        <f t="shared" si="45"/>
        <v>#N/A</v>
      </c>
      <c r="AQ145" s="123"/>
      <c r="AR145" s="123"/>
      <c r="AS145" s="123"/>
      <c r="AT145" s="2982"/>
      <c r="AU145" s="123"/>
      <c r="AV145" s="123"/>
      <c r="AW145" s="2990"/>
      <c r="AX145" s="2984"/>
      <c r="AY145" s="2985"/>
      <c r="AZ145" s="2986"/>
      <c r="BA145" s="2987"/>
      <c r="BB145" s="3194"/>
    </row>
    <row r="146" spans="1:54" ht="28.8" x14ac:dyDescent="0.25">
      <c r="A146" s="2620"/>
      <c r="B146" s="250" t="s">
        <v>2986</v>
      </c>
      <c r="C146" s="2632"/>
      <c r="D146" s="2929"/>
      <c r="E146" s="250" t="s">
        <v>2987</v>
      </c>
      <c r="F146" s="250" t="s">
        <v>2988</v>
      </c>
      <c r="G146" s="2633" t="s">
        <v>2989</v>
      </c>
      <c r="H146" s="2634" t="s">
        <v>2990</v>
      </c>
      <c r="I146" s="1595" t="str">
        <f t="shared" si="49"/>
        <v>5-DaHall1-PDU-05-30-23</v>
      </c>
      <c r="J146" s="1596" t="str">
        <f t="shared" si="50"/>
        <v>5-DaHall1-PDU-06-30-23</v>
      </c>
      <c r="K146" s="1558">
        <v>220</v>
      </c>
      <c r="L146" s="1559">
        <v>30</v>
      </c>
      <c r="M146" s="2364" t="s">
        <v>6491</v>
      </c>
      <c r="N146" s="1560">
        <v>23</v>
      </c>
      <c r="O146" s="1561">
        <v>220</v>
      </c>
      <c r="P146" s="1562">
        <v>30</v>
      </c>
      <c r="Q146" s="2394" t="s">
        <v>6501</v>
      </c>
      <c r="R146" s="1563">
        <v>23</v>
      </c>
      <c r="S146" s="3608"/>
      <c r="T146" s="3611"/>
      <c r="U146" s="3472"/>
      <c r="V146" s="3471"/>
      <c r="W146" s="3472"/>
      <c r="X146" s="3471"/>
      <c r="Y146" s="253">
        <f>SUM('5층_부하량(월간_AVG)'!D175:F175)</f>
        <v>0</v>
      </c>
      <c r="Z146" s="253">
        <f>SUM('5층_부하량(월간_AVG)'!D206:F206)</f>
        <v>0</v>
      </c>
      <c r="AA146" s="2436">
        <f t="shared" si="51"/>
        <v>0</v>
      </c>
      <c r="AB146" s="2691" t="e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6" s="3109" t="e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6" s="3162" t="e">
        <f>VLOOKUP(I146&amp;J146,'7층~4층_매핑테이블'!$I$6:$P$2020,8,0)</f>
        <v>#N/A</v>
      </c>
      <c r="AE146" s="3144" t="e">
        <f t="shared" ref="AE146:AE151" si="52">SUM(AB146:AC146)</f>
        <v>#N/A</v>
      </c>
      <c r="AF146" s="2451"/>
      <c r="AH146" s="2351" t="e">
        <f t="shared" si="46"/>
        <v>#N/A</v>
      </c>
      <c r="AI146" s="2351" t="e">
        <f t="shared" si="47"/>
        <v>#N/A</v>
      </c>
      <c r="AJ146" s="123" t="e">
        <f t="shared" si="43"/>
        <v>#N/A</v>
      </c>
      <c r="AK146" t="e">
        <f t="shared" si="44"/>
        <v>#N/A</v>
      </c>
      <c r="AL146" t="e">
        <f t="shared" si="45"/>
        <v>#N/A</v>
      </c>
      <c r="AQ146" s="123"/>
      <c r="AR146" s="123"/>
      <c r="AS146" s="123"/>
      <c r="AT146" s="2982"/>
      <c r="AU146" s="123"/>
      <c r="AV146" s="123"/>
      <c r="AW146" s="2990"/>
      <c r="AX146" s="2984"/>
      <c r="AY146" s="2985"/>
      <c r="AZ146" s="2986"/>
      <c r="BA146" s="2987"/>
      <c r="BB146" s="3194"/>
    </row>
    <row r="147" spans="1:54" ht="28.8" x14ac:dyDescent="0.25">
      <c r="A147" s="2620"/>
      <c r="B147" s="250" t="s">
        <v>2992</v>
      </c>
      <c r="C147" s="2632"/>
      <c r="D147" s="2929"/>
      <c r="E147" s="250" t="s">
        <v>2993</v>
      </c>
      <c r="F147" s="250" t="s">
        <v>2994</v>
      </c>
      <c r="G147" s="2633" t="s">
        <v>2995</v>
      </c>
      <c r="H147" s="2634" t="s">
        <v>2996</v>
      </c>
      <c r="I147" s="1595" t="str">
        <f t="shared" si="49"/>
        <v>5-DaHall1-PDU-05-30-27</v>
      </c>
      <c r="J147" s="1596" t="str">
        <f t="shared" si="50"/>
        <v>5-DaHall1-PDU-06-30-25</v>
      </c>
      <c r="K147" s="1558">
        <v>220</v>
      </c>
      <c r="L147" s="1559">
        <v>30</v>
      </c>
      <c r="M147" s="2364" t="s">
        <v>6491</v>
      </c>
      <c r="N147" s="1560">
        <v>27</v>
      </c>
      <c r="O147" s="1561">
        <v>220</v>
      </c>
      <c r="P147" s="1562">
        <v>30</v>
      </c>
      <c r="Q147" s="2394" t="s">
        <v>6501</v>
      </c>
      <c r="R147" s="1563">
        <v>25</v>
      </c>
      <c r="S147" s="3608"/>
      <c r="T147" s="3611"/>
      <c r="U147" s="3472"/>
      <c r="V147" s="3471"/>
      <c r="W147" s="3472"/>
      <c r="X147" s="3471"/>
      <c r="Y147" s="253">
        <f>SUM('5층_부하량(월간_AVG)'!D177:F177)</f>
        <v>0</v>
      </c>
      <c r="Z147" s="253">
        <f>SUM('5층_부하량(월간_AVG)'!D207:F207)</f>
        <v>0</v>
      </c>
      <c r="AA147" s="2436">
        <f t="shared" si="51"/>
        <v>0</v>
      </c>
      <c r="AB147" s="2691" t="e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7" s="3109" t="e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7" s="3162" t="e">
        <f>VLOOKUP(I147&amp;J147,'7층~4층_매핑테이블'!$I$6:$P$2020,8,0)</f>
        <v>#N/A</v>
      </c>
      <c r="AE147" s="3144" t="e">
        <f t="shared" si="52"/>
        <v>#N/A</v>
      </c>
      <c r="AF147" s="2451"/>
      <c r="AH147" s="2351" t="e">
        <f t="shared" si="46"/>
        <v>#N/A</v>
      </c>
      <c r="AI147" s="2351" t="e">
        <f t="shared" si="47"/>
        <v>#N/A</v>
      </c>
      <c r="AJ147" s="123" t="e">
        <f t="shared" si="43"/>
        <v>#N/A</v>
      </c>
      <c r="AK147" t="e">
        <f t="shared" si="44"/>
        <v>#N/A</v>
      </c>
      <c r="AL147" t="e">
        <f t="shared" si="45"/>
        <v>#N/A</v>
      </c>
      <c r="AQ147" s="123"/>
      <c r="AR147" s="123"/>
      <c r="AS147" s="123"/>
      <c r="AT147" s="2982"/>
      <c r="AU147" s="123"/>
      <c r="AV147" s="123"/>
      <c r="AW147" s="2990"/>
      <c r="AX147" s="2984"/>
      <c r="AY147" s="2985"/>
      <c r="AZ147" s="2986"/>
      <c r="BA147" s="2987"/>
      <c r="BB147" s="3194"/>
    </row>
    <row r="148" spans="1:54" ht="28.8" x14ac:dyDescent="0.25">
      <c r="A148" s="2620"/>
      <c r="B148" s="250" t="s">
        <v>2998</v>
      </c>
      <c r="C148" s="2632"/>
      <c r="D148" s="2929"/>
      <c r="E148" s="250" t="s">
        <v>2999</v>
      </c>
      <c r="F148" s="250" t="s">
        <v>3000</v>
      </c>
      <c r="G148" s="2633" t="s">
        <v>3001</v>
      </c>
      <c r="H148" s="2634" t="s">
        <v>3002</v>
      </c>
      <c r="I148" s="1595" t="str">
        <f t="shared" si="49"/>
        <v>5-DaHall1-PDU-05-30-29</v>
      </c>
      <c r="J148" s="1596" t="str">
        <f t="shared" si="50"/>
        <v>5-DaHall1-PDU-06-30-27</v>
      </c>
      <c r="K148" s="1558">
        <v>220</v>
      </c>
      <c r="L148" s="1559">
        <v>30</v>
      </c>
      <c r="M148" s="2364" t="s">
        <v>6491</v>
      </c>
      <c r="N148" s="1560">
        <v>29</v>
      </c>
      <c r="O148" s="1561">
        <v>220</v>
      </c>
      <c r="P148" s="1562">
        <v>30</v>
      </c>
      <c r="Q148" s="2394" t="s">
        <v>6501</v>
      </c>
      <c r="R148" s="1563">
        <v>27</v>
      </c>
      <c r="S148" s="3608"/>
      <c r="T148" s="3611"/>
      <c r="U148" s="3472"/>
      <c r="V148" s="3471"/>
      <c r="W148" s="3472"/>
      <c r="X148" s="3471"/>
      <c r="Y148" s="253">
        <f>SUM('5층_부하량(월간_AVG)'!D178:F178)</f>
        <v>0</v>
      </c>
      <c r="Z148" s="253">
        <f>SUM('5층_부하량(월간_AVG)'!D208:F208)</f>
        <v>0</v>
      </c>
      <c r="AA148" s="2436">
        <f t="shared" si="51"/>
        <v>0</v>
      </c>
      <c r="AB148" s="2691" t="e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8" s="3109" t="e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8" s="3162" t="e">
        <f>VLOOKUP(I148&amp;J148,'7층~4층_매핑테이블'!$I$6:$P$2020,8,0)</f>
        <v>#N/A</v>
      </c>
      <c r="AE148" s="3144" t="e">
        <f t="shared" si="52"/>
        <v>#N/A</v>
      </c>
      <c r="AF148" s="2451"/>
      <c r="AH148" s="2351" t="e">
        <f t="shared" si="46"/>
        <v>#N/A</v>
      </c>
      <c r="AI148" s="2351" t="e">
        <f t="shared" si="47"/>
        <v>#N/A</v>
      </c>
      <c r="AJ148" s="123" t="e">
        <f t="shared" si="43"/>
        <v>#N/A</v>
      </c>
      <c r="AK148" t="e">
        <f t="shared" si="44"/>
        <v>#N/A</v>
      </c>
      <c r="AL148" t="e">
        <f t="shared" si="45"/>
        <v>#N/A</v>
      </c>
      <c r="AQ148" s="123"/>
      <c r="AR148" s="123"/>
      <c r="AS148" s="123"/>
      <c r="AT148" s="2982"/>
      <c r="AU148" s="123"/>
      <c r="AV148" s="123"/>
      <c r="AW148" s="2990"/>
      <c r="AX148" s="2984"/>
      <c r="AY148" s="2985"/>
      <c r="AZ148" s="2986"/>
      <c r="BA148" s="2987"/>
      <c r="BB148" s="3194"/>
    </row>
    <row r="149" spans="1:54" ht="28.8" x14ac:dyDescent="0.25">
      <c r="A149" s="2620"/>
      <c r="B149" s="250" t="s">
        <v>3004</v>
      </c>
      <c r="C149" s="2632"/>
      <c r="D149" s="2929"/>
      <c r="E149" s="250" t="s">
        <v>3005</v>
      </c>
      <c r="F149" s="250" t="s">
        <v>3006</v>
      </c>
      <c r="G149" s="2633" t="s">
        <v>3007</v>
      </c>
      <c r="H149" s="2634" t="s">
        <v>3008</v>
      </c>
      <c r="I149" s="1595" t="str">
        <f t="shared" si="49"/>
        <v>5-DaHall1-PDU-05-30-31</v>
      </c>
      <c r="J149" s="1596" t="str">
        <f t="shared" si="50"/>
        <v>5-DaHall1-PDU-06-30-29</v>
      </c>
      <c r="K149" s="1558">
        <v>220</v>
      </c>
      <c r="L149" s="1559">
        <v>30</v>
      </c>
      <c r="M149" s="2364" t="s">
        <v>6491</v>
      </c>
      <c r="N149" s="1560">
        <v>31</v>
      </c>
      <c r="O149" s="1561">
        <v>220</v>
      </c>
      <c r="P149" s="1562">
        <v>30</v>
      </c>
      <c r="Q149" s="2394" t="s">
        <v>6501</v>
      </c>
      <c r="R149" s="1563">
        <v>29</v>
      </c>
      <c r="S149" s="3608"/>
      <c r="T149" s="3611"/>
      <c r="U149" s="3472"/>
      <c r="V149" s="3471"/>
      <c r="W149" s="3472"/>
      <c r="X149" s="3471"/>
      <c r="Y149" s="253">
        <f>SUM('5층_부하량(월간_AVG)'!D179:F179)</f>
        <v>0</v>
      </c>
      <c r="Z149" s="253">
        <f>SUM('5층_부하량(월간_AVG)'!D209:F209)</f>
        <v>0</v>
      </c>
      <c r="AA149" s="2436">
        <f t="shared" si="51"/>
        <v>0</v>
      </c>
      <c r="AB149" s="2691" t="e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9" s="3109" t="e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9" s="3162" t="e">
        <f>VLOOKUP(I149&amp;J149,'7층~4층_매핑테이블'!$I$6:$P$2020,8,0)</f>
        <v>#N/A</v>
      </c>
      <c r="AE149" s="3144" t="e">
        <f t="shared" si="52"/>
        <v>#N/A</v>
      </c>
      <c r="AF149" s="2451"/>
      <c r="AH149" s="2351" t="e">
        <f t="shared" si="46"/>
        <v>#N/A</v>
      </c>
      <c r="AI149" s="2351" t="e">
        <f t="shared" si="47"/>
        <v>#N/A</v>
      </c>
      <c r="AJ149" s="123" t="e">
        <f t="shared" si="43"/>
        <v>#N/A</v>
      </c>
      <c r="AK149" t="e">
        <f t="shared" si="44"/>
        <v>#N/A</v>
      </c>
      <c r="AL149" t="e">
        <f t="shared" si="45"/>
        <v>#N/A</v>
      </c>
      <c r="AQ149" s="123"/>
      <c r="AR149" s="123"/>
      <c r="AS149" s="123"/>
      <c r="AT149" s="2982"/>
      <c r="AU149" s="123"/>
      <c r="AV149" s="123"/>
      <c r="AW149" s="2990"/>
      <c r="AX149" s="2984"/>
      <c r="AY149" s="2985"/>
      <c r="AZ149" s="2986"/>
      <c r="BA149" s="2987"/>
      <c r="BB149" s="3194"/>
    </row>
    <row r="150" spans="1:54" ht="28.8" x14ac:dyDescent="0.25">
      <c r="A150" s="2620"/>
      <c r="B150" s="250" t="s">
        <v>3010</v>
      </c>
      <c r="C150" s="2632"/>
      <c r="D150" s="2929"/>
      <c r="E150" s="250" t="s">
        <v>3011</v>
      </c>
      <c r="F150" s="250" t="s">
        <v>3012</v>
      </c>
      <c r="G150" s="2633" t="s">
        <v>3013</v>
      </c>
      <c r="H150" s="2634" t="s">
        <v>3014</v>
      </c>
      <c r="I150" s="1595" t="str">
        <f t="shared" si="49"/>
        <v>5-DaHall1-PDU-05-30-33</v>
      </c>
      <c r="J150" s="1596" t="str">
        <f t="shared" si="50"/>
        <v>5-DaHall1-PDU-06-30-33</v>
      </c>
      <c r="K150" s="1558">
        <v>220</v>
      </c>
      <c r="L150" s="1559">
        <v>30</v>
      </c>
      <c r="M150" s="2364" t="s">
        <v>6491</v>
      </c>
      <c r="N150" s="1560">
        <v>33</v>
      </c>
      <c r="O150" s="1561">
        <v>220</v>
      </c>
      <c r="P150" s="1562">
        <v>30</v>
      </c>
      <c r="Q150" s="2394" t="s">
        <v>6501</v>
      </c>
      <c r="R150" s="1563">
        <v>33</v>
      </c>
      <c r="S150" s="3608"/>
      <c r="T150" s="3611"/>
      <c r="U150" s="3472"/>
      <c r="V150" s="3471"/>
      <c r="W150" s="3472"/>
      <c r="X150" s="3471"/>
      <c r="Y150" s="253">
        <f>SUM('5층_부하량(월간_AVG)'!D180:F180)</f>
        <v>0</v>
      </c>
      <c r="Z150" s="253">
        <f>SUM('5층_부하량(월간_AVG)'!D211:F211)</f>
        <v>0</v>
      </c>
      <c r="AA150" s="2436">
        <f t="shared" si="51"/>
        <v>0</v>
      </c>
      <c r="AB150" s="2691" t="e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50" s="3109" t="e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50" s="3162" t="e">
        <f>VLOOKUP(I150&amp;J150,'7층~4층_매핑테이블'!$I$6:$P$2020,8,0)</f>
        <v>#N/A</v>
      </c>
      <c r="AE150" s="3144" t="e">
        <f t="shared" si="52"/>
        <v>#N/A</v>
      </c>
      <c r="AF150" s="2451"/>
      <c r="AH150" s="2351" t="e">
        <f t="shared" si="46"/>
        <v>#N/A</v>
      </c>
      <c r="AI150" s="2351" t="e">
        <f t="shared" si="47"/>
        <v>#N/A</v>
      </c>
      <c r="AJ150" s="123" t="e">
        <f t="shared" si="43"/>
        <v>#N/A</v>
      </c>
      <c r="AK150" t="e">
        <f t="shared" si="44"/>
        <v>#N/A</v>
      </c>
      <c r="AL150" t="e">
        <f t="shared" si="45"/>
        <v>#N/A</v>
      </c>
      <c r="AQ150" s="123"/>
      <c r="AR150" s="123"/>
      <c r="AS150" s="123"/>
      <c r="AT150" s="2982"/>
      <c r="AU150" s="123"/>
      <c r="AV150" s="123"/>
      <c r="AW150" s="2990"/>
      <c r="AX150" s="2984"/>
      <c r="AY150" s="2985"/>
      <c r="AZ150" s="2986"/>
      <c r="BA150" s="2987"/>
      <c r="BB150" s="3194"/>
    </row>
    <row r="151" spans="1:54" ht="28.8" x14ac:dyDescent="0.25">
      <c r="A151" s="2620"/>
      <c r="B151" s="250" t="s">
        <v>3016</v>
      </c>
      <c r="C151" s="2632"/>
      <c r="D151" s="2929"/>
      <c r="E151" s="250" t="s">
        <v>3017</v>
      </c>
      <c r="F151" s="250" t="s">
        <v>3018</v>
      </c>
      <c r="G151" s="2633" t="s">
        <v>3019</v>
      </c>
      <c r="H151" s="2634" t="s">
        <v>3020</v>
      </c>
      <c r="I151" s="1595" t="str">
        <f t="shared" si="49"/>
        <v>5-DaHall1-PDU-05-30-35</v>
      </c>
      <c r="J151" s="1596" t="str">
        <f t="shared" si="50"/>
        <v>5-DaHall1-PDU-06-30-35</v>
      </c>
      <c r="K151" s="1558">
        <v>220</v>
      </c>
      <c r="L151" s="1559">
        <v>30</v>
      </c>
      <c r="M151" s="2364" t="s">
        <v>6491</v>
      </c>
      <c r="N151" s="1560">
        <v>35</v>
      </c>
      <c r="O151" s="1561">
        <v>220</v>
      </c>
      <c r="P151" s="1562">
        <v>30</v>
      </c>
      <c r="Q151" s="2394" t="s">
        <v>6501</v>
      </c>
      <c r="R151" s="1563">
        <v>35</v>
      </c>
      <c r="S151" s="3608"/>
      <c r="T151" s="3611"/>
      <c r="U151" s="3472"/>
      <c r="V151" s="3471"/>
      <c r="W151" s="3472"/>
      <c r="X151" s="3471"/>
      <c r="Y151" s="253">
        <f>SUM('5층_부하량(월간_AVG)'!D181:F181)</f>
        <v>0</v>
      </c>
      <c r="Z151" s="253">
        <f>SUM('5층_부하량(월간_AVG)'!D212:F212)</f>
        <v>0</v>
      </c>
      <c r="AA151" s="2436">
        <f t="shared" si="51"/>
        <v>0</v>
      </c>
      <c r="AB151" s="2691" t="e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1" s="3109" t="e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1" s="3162" t="e">
        <f>VLOOKUP(I151&amp;J151,'7층~4층_매핑테이블'!$I$6:$P$2020,8,0)</f>
        <v>#N/A</v>
      </c>
      <c r="AE151" s="3144" t="e">
        <f t="shared" si="52"/>
        <v>#N/A</v>
      </c>
      <c r="AF151" s="2451"/>
      <c r="AH151" s="2351" t="e">
        <f t="shared" si="46"/>
        <v>#N/A</v>
      </c>
      <c r="AI151" s="2351" t="e">
        <f t="shared" si="47"/>
        <v>#N/A</v>
      </c>
      <c r="AJ151" s="123" t="e">
        <f t="shared" si="43"/>
        <v>#N/A</v>
      </c>
      <c r="AK151" t="e">
        <f t="shared" si="44"/>
        <v>#N/A</v>
      </c>
      <c r="AL151" t="e">
        <f t="shared" si="45"/>
        <v>#N/A</v>
      </c>
      <c r="AQ151" s="123"/>
      <c r="AR151" s="123"/>
      <c r="AS151" s="123"/>
      <c r="AT151" s="2982"/>
      <c r="AU151" s="123"/>
      <c r="AV151" s="123"/>
      <c r="AW151" s="2990"/>
      <c r="AX151" s="2984"/>
      <c r="AY151" s="2985"/>
      <c r="AZ151" s="2986"/>
      <c r="BA151" s="2987"/>
      <c r="BB151" s="3194"/>
    </row>
    <row r="152" spans="1:54" ht="15.6" x14ac:dyDescent="0.25">
      <c r="A152" s="2620"/>
      <c r="B152" s="2680"/>
      <c r="C152" s="886"/>
      <c r="D152" s="2929"/>
      <c r="E152" s="2680"/>
      <c r="F152" s="2680"/>
      <c r="G152" s="2678"/>
      <c r="H152" s="2674"/>
      <c r="I152" s="1590"/>
      <c r="J152" s="1582"/>
      <c r="K152" s="1591"/>
      <c r="L152" s="1592"/>
      <c r="M152" s="2678"/>
      <c r="N152" s="1593"/>
      <c r="O152" s="1594"/>
      <c r="P152" s="1584"/>
      <c r="Q152" s="2674"/>
      <c r="R152" s="1585"/>
      <c r="S152" s="2678"/>
      <c r="T152" s="2674"/>
      <c r="U152" s="832"/>
      <c r="V152" s="833"/>
      <c r="W152" s="832"/>
      <c r="X152" s="833"/>
      <c r="Y152" s="834"/>
      <c r="Z152" s="834"/>
      <c r="AA152" s="2441"/>
      <c r="AB152" s="2704"/>
      <c r="AC152" s="3117"/>
      <c r="AD152" s="3164"/>
      <c r="AE152" s="3149"/>
      <c r="AF152" s="2499"/>
      <c r="AH152" s="2351">
        <f t="shared" si="46"/>
        <v>0</v>
      </c>
      <c r="AI152" s="2351">
        <f t="shared" si="47"/>
        <v>0</v>
      </c>
      <c r="AJ152" s="123" t="str">
        <f t="shared" si="43"/>
        <v>무부하 랙</v>
      </c>
      <c r="AK152" t="str">
        <f t="shared" si="44"/>
        <v/>
      </c>
      <c r="AL152" t="str">
        <f t="shared" si="45"/>
        <v/>
      </c>
      <c r="AQ152" s="123"/>
      <c r="AR152" s="123"/>
      <c r="AS152" s="123"/>
      <c r="AT152" s="2982"/>
      <c r="AU152" s="123"/>
      <c r="AV152" s="123"/>
      <c r="AW152" s="2990"/>
      <c r="AX152" s="2984"/>
      <c r="AY152" s="2985"/>
      <c r="AZ152" s="2986"/>
      <c r="BA152" s="2987"/>
      <c r="BB152" s="3194"/>
    </row>
    <row r="153" spans="1:54" ht="16.2" thickBot="1" x14ac:dyDescent="0.3">
      <c r="A153" s="2628"/>
      <c r="B153" s="839"/>
      <c r="C153" s="972"/>
      <c r="D153" s="2929"/>
      <c r="E153" s="839"/>
      <c r="F153" s="839"/>
      <c r="G153" s="2679"/>
      <c r="H153" s="2675"/>
      <c r="I153" s="1607"/>
      <c r="J153" s="1608"/>
      <c r="K153" s="1621"/>
      <c r="L153" s="1622"/>
      <c r="M153" s="2679"/>
      <c r="N153" s="1623"/>
      <c r="O153" s="1624"/>
      <c r="P153" s="1625"/>
      <c r="Q153" s="2675"/>
      <c r="R153" s="1626"/>
      <c r="S153" s="2679"/>
      <c r="T153" s="2675"/>
      <c r="U153" s="840"/>
      <c r="V153" s="849"/>
      <c r="W153" s="840"/>
      <c r="X153" s="849"/>
      <c r="Y153" s="850"/>
      <c r="Z153" s="850"/>
      <c r="AA153" s="2440"/>
      <c r="AB153" s="2717"/>
      <c r="AC153" s="3129"/>
      <c r="AD153" s="3169"/>
      <c r="AE153" s="3153"/>
      <c r="AF153" s="2502"/>
      <c r="AH153" s="2351">
        <f t="shared" si="46"/>
        <v>0</v>
      </c>
      <c r="AI153" s="2351">
        <f t="shared" si="47"/>
        <v>0</v>
      </c>
      <c r="AJ153" s="123" t="str">
        <f t="shared" si="43"/>
        <v>무부하 랙</v>
      </c>
      <c r="AK153" t="str">
        <f t="shared" si="44"/>
        <v/>
      </c>
      <c r="AL153" t="str">
        <f t="shared" si="45"/>
        <v/>
      </c>
      <c r="AQ153" s="123"/>
      <c r="AR153" s="123"/>
      <c r="AS153" s="123"/>
      <c r="AT153" s="2982"/>
      <c r="AU153" s="123"/>
      <c r="AV153" s="123"/>
      <c r="AW153" s="2990"/>
      <c r="AX153" s="2984"/>
      <c r="AY153" s="2985"/>
      <c r="AZ153" s="2986"/>
      <c r="BA153" s="2987"/>
      <c r="BB153" s="3194"/>
    </row>
    <row r="154" spans="1:54" ht="29.4" thickTop="1" x14ac:dyDescent="0.25">
      <c r="A154" s="1081"/>
      <c r="B154" s="327" t="s">
        <v>3023</v>
      </c>
      <c r="C154" s="970"/>
      <c r="D154" s="2929"/>
      <c r="E154" s="327" t="s">
        <v>3024</v>
      </c>
      <c r="F154" s="327" t="s">
        <v>3025</v>
      </c>
      <c r="G154" s="2641" t="s">
        <v>3026</v>
      </c>
      <c r="H154" s="2642" t="s">
        <v>3027</v>
      </c>
      <c r="I154" s="1605" t="str">
        <f t="shared" ref="I154:I161" si="53">"5-DaHall1-PDU-"&amp;M154&amp;"-"&amp;L154&amp;"-"&amp;N154</f>
        <v>5-DaHall1-PDU-05-30-37</v>
      </c>
      <c r="J154" s="1606" t="str">
        <f t="shared" ref="J154:J161" si="54">"5-DaHall1-PDU-"&amp;Q154&amp;"-"&amp;P154&amp;"-"&amp;R154</f>
        <v>5-DaHall1-PDU-06-30-37</v>
      </c>
      <c r="K154" s="1552">
        <v>220</v>
      </c>
      <c r="L154" s="1553">
        <v>30</v>
      </c>
      <c r="M154" s="2363" t="s">
        <v>6491</v>
      </c>
      <c r="N154" s="1554">
        <v>37</v>
      </c>
      <c r="O154" s="1555">
        <v>220</v>
      </c>
      <c r="P154" s="1556">
        <v>30</v>
      </c>
      <c r="Q154" s="2393" t="s">
        <v>6501</v>
      </c>
      <c r="R154" s="1557">
        <v>37</v>
      </c>
      <c r="S154" s="3607" t="s">
        <v>2926</v>
      </c>
      <c r="T154" s="3610" t="s">
        <v>2927</v>
      </c>
      <c r="U154" s="3467" t="s">
        <v>2928</v>
      </c>
      <c r="V154" s="3497" t="s">
        <v>2929</v>
      </c>
      <c r="W154" s="3467" t="s">
        <v>2484</v>
      </c>
      <c r="X154" s="3497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36">
        <f t="shared" ref="AA154:AA161" si="55">SUM(Y154:Z154)</f>
        <v>0</v>
      </c>
      <c r="AB154" s="2691" t="e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4" s="3109" t="e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4" s="3162" t="e">
        <f>VLOOKUP(I154&amp;J154,'7층~4층_매핑테이블'!$I$6:$P$2020,8,0)</f>
        <v>#N/A</v>
      </c>
      <c r="AE154" s="3143" t="e">
        <f>SUM(AB154:AC154)</f>
        <v>#N/A</v>
      </c>
      <c r="AF154" s="2453" t="s">
        <v>3028</v>
      </c>
      <c r="AH154" s="2351" t="e">
        <f t="shared" si="46"/>
        <v>#N/A</v>
      </c>
      <c r="AI154" s="2351" t="e">
        <f t="shared" si="47"/>
        <v>#N/A</v>
      </c>
      <c r="AJ154" s="123" t="e">
        <f t="shared" si="43"/>
        <v>#N/A</v>
      </c>
      <c r="AK154" t="e">
        <f t="shared" si="44"/>
        <v>#N/A</v>
      </c>
      <c r="AL154" t="e">
        <f t="shared" si="45"/>
        <v>#N/A</v>
      </c>
      <c r="AQ154" s="123"/>
      <c r="AR154" s="123"/>
      <c r="AS154" s="123"/>
      <c r="AT154" s="2982"/>
      <c r="AU154" s="123"/>
      <c r="AV154" s="123"/>
      <c r="AW154" s="2990"/>
      <c r="AX154" s="2984"/>
      <c r="AY154" s="2985"/>
      <c r="AZ154" s="2986"/>
      <c r="BA154" s="2987"/>
      <c r="BB154" s="3194"/>
    </row>
    <row r="155" spans="1:54" ht="28.8" x14ac:dyDescent="0.25">
      <c r="A155" s="2620"/>
      <c r="B155" s="250" t="s">
        <v>3029</v>
      </c>
      <c r="C155" s="2632"/>
      <c r="D155" s="2929"/>
      <c r="E155" s="250" t="s">
        <v>3030</v>
      </c>
      <c r="F155" s="250" t="s">
        <v>3031</v>
      </c>
      <c r="G155" s="2633" t="s">
        <v>3032</v>
      </c>
      <c r="H155" s="2634" t="s">
        <v>3033</v>
      </c>
      <c r="I155" s="1595" t="str">
        <f t="shared" si="53"/>
        <v>5-DaHall1-PDU-05-30-39</v>
      </c>
      <c r="J155" s="1596" t="str">
        <f t="shared" si="54"/>
        <v>5-DaHall1-PDU-06-30-39</v>
      </c>
      <c r="K155" s="1558">
        <v>220</v>
      </c>
      <c r="L155" s="1559">
        <v>30</v>
      </c>
      <c r="M155" s="2364" t="s">
        <v>6491</v>
      </c>
      <c r="N155" s="1560">
        <v>39</v>
      </c>
      <c r="O155" s="1561">
        <v>220</v>
      </c>
      <c r="P155" s="1562">
        <v>30</v>
      </c>
      <c r="Q155" s="2394" t="s">
        <v>6501</v>
      </c>
      <c r="R155" s="1563">
        <v>39</v>
      </c>
      <c r="S155" s="3608"/>
      <c r="T155" s="3611"/>
      <c r="U155" s="3472"/>
      <c r="V155" s="3471"/>
      <c r="W155" s="3472"/>
      <c r="X155" s="3471"/>
      <c r="Y155" s="253">
        <f>SUM('5층_부하량(월간_AVG)'!D183:F183)</f>
        <v>0</v>
      </c>
      <c r="Z155" s="253">
        <f>SUM('5층_부하량(월간_AVG)'!D214:F214)</f>
        <v>0</v>
      </c>
      <c r="AA155" s="2436">
        <f t="shared" si="55"/>
        <v>0</v>
      </c>
      <c r="AB155" s="2691" t="e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5" s="3109" t="e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5" s="3162" t="e">
        <f>VLOOKUP(I155&amp;J155,'7층~4층_매핑테이블'!$I$6:$P$2020,8,0)</f>
        <v>#N/A</v>
      </c>
      <c r="AE155" s="3144" t="e">
        <f>SUM(AB155:AC155)</f>
        <v>#N/A</v>
      </c>
      <c r="AF155" s="2451" t="s">
        <v>3028</v>
      </c>
      <c r="AH155" s="2351" t="e">
        <f t="shared" si="46"/>
        <v>#N/A</v>
      </c>
      <c r="AI155" s="2351" t="e">
        <f t="shared" si="47"/>
        <v>#N/A</v>
      </c>
      <c r="AJ155" s="123" t="e">
        <f t="shared" si="43"/>
        <v>#N/A</v>
      </c>
      <c r="AK155" t="e">
        <f t="shared" si="44"/>
        <v>#N/A</v>
      </c>
      <c r="AL155" t="e">
        <f t="shared" si="45"/>
        <v>#N/A</v>
      </c>
      <c r="AQ155" s="123"/>
      <c r="AR155" s="123"/>
      <c r="AS155" s="123"/>
      <c r="AT155" s="2982"/>
      <c r="AU155" s="123"/>
      <c r="AV155" s="123"/>
      <c r="AW155" s="2990"/>
      <c r="AX155" s="2984"/>
      <c r="AY155" s="2985"/>
      <c r="AZ155" s="2986"/>
      <c r="BA155" s="2987"/>
      <c r="BB155" s="3194"/>
    </row>
    <row r="156" spans="1:54" ht="28.8" x14ac:dyDescent="0.25">
      <c r="A156" s="2620"/>
      <c r="B156" s="250" t="s">
        <v>3035</v>
      </c>
      <c r="C156" s="2632"/>
      <c r="D156" s="2929"/>
      <c r="E156" s="250" t="s">
        <v>3036</v>
      </c>
      <c r="F156" s="250" t="s">
        <v>3037</v>
      </c>
      <c r="G156" s="2633" t="s">
        <v>3038</v>
      </c>
      <c r="H156" s="2634" t="s">
        <v>3039</v>
      </c>
      <c r="I156" s="1595" t="str">
        <f t="shared" si="53"/>
        <v>5-DaHall1-PDU-05-30-41</v>
      </c>
      <c r="J156" s="1596" t="str">
        <f t="shared" si="54"/>
        <v>5-DaHall1-PDU-06-30-41</v>
      </c>
      <c r="K156" s="1558">
        <v>220</v>
      </c>
      <c r="L156" s="1559">
        <v>30</v>
      </c>
      <c r="M156" s="2364" t="s">
        <v>6491</v>
      </c>
      <c r="N156" s="1560">
        <v>41</v>
      </c>
      <c r="O156" s="1561">
        <v>220</v>
      </c>
      <c r="P156" s="1562">
        <v>30</v>
      </c>
      <c r="Q156" s="2394" t="s">
        <v>6501</v>
      </c>
      <c r="R156" s="1563">
        <v>41</v>
      </c>
      <c r="S156" s="3608"/>
      <c r="T156" s="3611"/>
      <c r="U156" s="3472"/>
      <c r="V156" s="3471"/>
      <c r="W156" s="3472"/>
      <c r="X156" s="3471"/>
      <c r="Y156" s="253">
        <f>SUM('5층_부하량(월간_AVG)'!D184:F184)</f>
        <v>0</v>
      </c>
      <c r="Z156" s="253">
        <f>SUM('5층_부하량(월간_AVG)'!D215:F215)</f>
        <v>0</v>
      </c>
      <c r="AA156" s="2436">
        <f t="shared" si="55"/>
        <v>0</v>
      </c>
      <c r="AB156" s="2691" t="e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6" s="3109" t="e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6" s="3162" t="e">
        <f>VLOOKUP(I156&amp;J156,'7층~4층_매핑테이블'!$I$6:$P$2020,8,0)</f>
        <v>#N/A</v>
      </c>
      <c r="AE156" s="3144" t="e">
        <f t="shared" ref="AE156:AE161" si="56">SUM(AB156:AC156)</f>
        <v>#N/A</v>
      </c>
      <c r="AF156" s="2451" t="s">
        <v>3028</v>
      </c>
      <c r="AH156" s="2351" t="e">
        <f t="shared" si="46"/>
        <v>#N/A</v>
      </c>
      <c r="AI156" s="2351" t="e">
        <f t="shared" si="47"/>
        <v>#N/A</v>
      </c>
      <c r="AJ156" s="123" t="e">
        <f t="shared" si="43"/>
        <v>#N/A</v>
      </c>
      <c r="AK156" t="e">
        <f t="shared" si="44"/>
        <v>#N/A</v>
      </c>
      <c r="AL156" t="e">
        <f t="shared" si="45"/>
        <v>#N/A</v>
      </c>
      <c r="AQ156" s="123"/>
      <c r="AR156" s="123"/>
      <c r="AS156" s="123"/>
      <c r="AT156" s="2982"/>
      <c r="AU156" s="123"/>
      <c r="AV156" s="123"/>
      <c r="AW156" s="2990"/>
      <c r="AX156" s="2984"/>
      <c r="AY156" s="2985"/>
      <c r="AZ156" s="2986"/>
      <c r="BA156" s="2987"/>
      <c r="BB156" s="3194"/>
    </row>
    <row r="157" spans="1:54" ht="28.8" x14ac:dyDescent="0.25">
      <c r="A157" s="2620"/>
      <c r="B157" s="250" t="s">
        <v>3041</v>
      </c>
      <c r="C157" s="2632"/>
      <c r="D157" s="2929"/>
      <c r="E157" s="250" t="s">
        <v>3042</v>
      </c>
      <c r="F157" s="250" t="s">
        <v>3043</v>
      </c>
      <c r="G157" s="2633" t="s">
        <v>3044</v>
      </c>
      <c r="H157" s="2634" t="s">
        <v>3045</v>
      </c>
      <c r="I157" s="1595" t="str">
        <f t="shared" si="53"/>
        <v>5-DaHall1-PDU-05-30-45</v>
      </c>
      <c r="J157" s="1596" t="str">
        <f t="shared" si="54"/>
        <v>5-DaHall1-PDU-06-30-43</v>
      </c>
      <c r="K157" s="1558">
        <v>220</v>
      </c>
      <c r="L157" s="1559">
        <v>30</v>
      </c>
      <c r="M157" s="2364" t="s">
        <v>6491</v>
      </c>
      <c r="N157" s="1560">
        <v>45</v>
      </c>
      <c r="O157" s="1561">
        <v>220</v>
      </c>
      <c r="P157" s="1562">
        <v>30</v>
      </c>
      <c r="Q157" s="2394" t="s">
        <v>6501</v>
      </c>
      <c r="R157" s="1563">
        <v>43</v>
      </c>
      <c r="S157" s="3608"/>
      <c r="T157" s="3611"/>
      <c r="U157" s="3472"/>
      <c r="V157" s="3471"/>
      <c r="W157" s="3472"/>
      <c r="X157" s="3471"/>
      <c r="Y157" s="253">
        <f>SUM('5층_부하량(월간_AVG)'!D186:F186)</f>
        <v>0</v>
      </c>
      <c r="Z157" s="253">
        <f>SUM('5층_부하량(월간_AVG)'!D216:F216)</f>
        <v>0</v>
      </c>
      <c r="AA157" s="2436">
        <f t="shared" si="55"/>
        <v>0</v>
      </c>
      <c r="AB157" s="2691" t="e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7" s="3109" t="e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7" s="3162" t="e">
        <f>VLOOKUP(I157&amp;J157,'7층~4층_매핑테이블'!$I$6:$P$2020,8,0)</f>
        <v>#N/A</v>
      </c>
      <c r="AE157" s="3144" t="e">
        <f t="shared" si="56"/>
        <v>#N/A</v>
      </c>
      <c r="AF157" s="2451" t="s">
        <v>3028</v>
      </c>
      <c r="AH157" s="2351" t="e">
        <f t="shared" si="46"/>
        <v>#N/A</v>
      </c>
      <c r="AI157" s="2351" t="e">
        <f t="shared" si="47"/>
        <v>#N/A</v>
      </c>
      <c r="AJ157" s="123" t="e">
        <f t="shared" si="43"/>
        <v>#N/A</v>
      </c>
      <c r="AK157" t="e">
        <f t="shared" si="44"/>
        <v>#N/A</v>
      </c>
      <c r="AL157" t="e">
        <f t="shared" si="45"/>
        <v>#N/A</v>
      </c>
      <c r="AQ157" s="123"/>
      <c r="AR157" s="123"/>
      <c r="AS157" s="123"/>
      <c r="AT157" s="2982"/>
      <c r="AU157" s="123"/>
      <c r="AV157" s="123"/>
      <c r="AW157" s="2990"/>
      <c r="AX157" s="2984"/>
      <c r="AY157" s="2985"/>
      <c r="AZ157" s="2986"/>
      <c r="BA157" s="2987"/>
      <c r="BB157" s="3194"/>
    </row>
    <row r="158" spans="1:54" ht="28.8" x14ac:dyDescent="0.25">
      <c r="A158" s="2620"/>
      <c r="B158" s="250" t="s">
        <v>3047</v>
      </c>
      <c r="C158" s="2632"/>
      <c r="D158" s="2929"/>
      <c r="E158" s="250" t="s">
        <v>3048</v>
      </c>
      <c r="F158" s="250" t="s">
        <v>3049</v>
      </c>
      <c r="G158" s="2633" t="s">
        <v>3050</v>
      </c>
      <c r="H158" s="2634" t="s">
        <v>3051</v>
      </c>
      <c r="I158" s="1595" t="str">
        <f t="shared" si="53"/>
        <v>5-DaHall1-PDU-05-30-47</v>
      </c>
      <c r="J158" s="1596" t="str">
        <f t="shared" si="54"/>
        <v>5-DaHall1-PDU-06-30-45</v>
      </c>
      <c r="K158" s="1558">
        <v>220</v>
      </c>
      <c r="L158" s="1559">
        <v>30</v>
      </c>
      <c r="M158" s="2364" t="s">
        <v>6491</v>
      </c>
      <c r="N158" s="1560">
        <v>47</v>
      </c>
      <c r="O158" s="1561">
        <v>220</v>
      </c>
      <c r="P158" s="1562">
        <v>30</v>
      </c>
      <c r="Q158" s="2394" t="s">
        <v>6501</v>
      </c>
      <c r="R158" s="1563">
        <v>45</v>
      </c>
      <c r="S158" s="3608"/>
      <c r="T158" s="3611"/>
      <c r="U158" s="3472"/>
      <c r="V158" s="3471"/>
      <c r="W158" s="3472"/>
      <c r="X158" s="3471"/>
      <c r="Y158" s="253">
        <f>SUM('5층_부하량(월간_AVG)'!D187:F187)</f>
        <v>0</v>
      </c>
      <c r="Z158" s="253">
        <f>SUM('5층_부하량(월간_AVG)'!D217:F217)</f>
        <v>0</v>
      </c>
      <c r="AA158" s="2436">
        <f t="shared" si="55"/>
        <v>0</v>
      </c>
      <c r="AB158" s="2691" t="e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8" s="3109" t="e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8" s="3162" t="e">
        <f>VLOOKUP(I158&amp;J158,'7층~4층_매핑테이블'!$I$6:$P$2020,8,0)</f>
        <v>#N/A</v>
      </c>
      <c r="AE158" s="3144" t="e">
        <f t="shared" si="56"/>
        <v>#N/A</v>
      </c>
      <c r="AF158" s="2451" t="s">
        <v>3028</v>
      </c>
      <c r="AH158" s="2351" t="e">
        <f t="shared" si="46"/>
        <v>#N/A</v>
      </c>
      <c r="AI158" s="2351" t="e">
        <f t="shared" si="47"/>
        <v>#N/A</v>
      </c>
      <c r="AJ158" s="123" t="e">
        <f t="shared" si="43"/>
        <v>#N/A</v>
      </c>
      <c r="AK158" t="e">
        <f t="shared" si="44"/>
        <v>#N/A</v>
      </c>
      <c r="AL158" t="e">
        <f t="shared" si="45"/>
        <v>#N/A</v>
      </c>
      <c r="AQ158" s="123"/>
      <c r="AR158" s="123"/>
      <c r="AS158" s="123"/>
      <c r="AT158" s="2982"/>
      <c r="AU158" s="123"/>
      <c r="AV158" s="123"/>
      <c r="AW158" s="2990"/>
      <c r="AX158" s="2984"/>
      <c r="AY158" s="2985"/>
      <c r="AZ158" s="2986"/>
      <c r="BA158" s="2987"/>
      <c r="BB158" s="3194"/>
    </row>
    <row r="159" spans="1:54" ht="28.8" x14ac:dyDescent="0.25">
      <c r="A159" s="2620"/>
      <c r="B159" s="250" t="s">
        <v>3053</v>
      </c>
      <c r="C159" s="2632"/>
      <c r="D159" s="2929"/>
      <c r="E159" s="250" t="s">
        <v>3054</v>
      </c>
      <c r="F159" s="250" t="s">
        <v>3055</v>
      </c>
      <c r="G159" s="2633" t="s">
        <v>3056</v>
      </c>
      <c r="H159" s="2634" t="s">
        <v>3057</v>
      </c>
      <c r="I159" s="1595" t="str">
        <f t="shared" si="53"/>
        <v>5-DaHall1-PDU-05-30-49</v>
      </c>
      <c r="J159" s="1596" t="str">
        <f t="shared" si="54"/>
        <v>5-DaHall1-PDU-06-30-47</v>
      </c>
      <c r="K159" s="1558">
        <v>220</v>
      </c>
      <c r="L159" s="1559">
        <v>30</v>
      </c>
      <c r="M159" s="2364" t="s">
        <v>6491</v>
      </c>
      <c r="N159" s="1560">
        <v>49</v>
      </c>
      <c r="O159" s="1561">
        <v>220</v>
      </c>
      <c r="P159" s="1562">
        <v>30</v>
      </c>
      <c r="Q159" s="2394" t="s">
        <v>6501</v>
      </c>
      <c r="R159" s="1563">
        <v>47</v>
      </c>
      <c r="S159" s="3608"/>
      <c r="T159" s="3611"/>
      <c r="U159" s="3472"/>
      <c r="V159" s="3471"/>
      <c r="W159" s="3472"/>
      <c r="X159" s="3471"/>
      <c r="Y159" s="253">
        <f>SUM('5층_부하량(월간_AVG)'!D188:F188)</f>
        <v>0</v>
      </c>
      <c r="Z159" s="253">
        <f>SUM('5층_부하량(월간_AVG)'!D218:F218)</f>
        <v>0</v>
      </c>
      <c r="AA159" s="2436">
        <f t="shared" si="55"/>
        <v>0</v>
      </c>
      <c r="AB159" s="2691" t="e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9" s="3109" t="e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9" s="3162" t="e">
        <f>VLOOKUP(I159&amp;J159,'7층~4층_매핑테이블'!$I$6:$P$2020,8,0)</f>
        <v>#N/A</v>
      </c>
      <c r="AE159" s="3144" t="e">
        <f t="shared" si="56"/>
        <v>#N/A</v>
      </c>
      <c r="AF159" s="2451" t="s">
        <v>3028</v>
      </c>
      <c r="AH159" s="2351" t="e">
        <f t="shared" si="46"/>
        <v>#N/A</v>
      </c>
      <c r="AI159" s="2351" t="e">
        <f t="shared" si="47"/>
        <v>#N/A</v>
      </c>
      <c r="AJ159" s="123" t="e">
        <f t="shared" si="43"/>
        <v>#N/A</v>
      </c>
      <c r="AK159" t="e">
        <f t="shared" si="44"/>
        <v>#N/A</v>
      </c>
      <c r="AL159" t="e">
        <f t="shared" si="45"/>
        <v>#N/A</v>
      </c>
      <c r="AQ159" s="123"/>
      <c r="AR159" s="123"/>
      <c r="AS159" s="123"/>
      <c r="AT159" s="2982"/>
      <c r="AU159" s="123"/>
      <c r="AV159" s="123"/>
      <c r="AW159" s="2990"/>
      <c r="AX159" s="2984"/>
      <c r="AY159" s="2985"/>
      <c r="AZ159" s="2986"/>
      <c r="BA159" s="2987"/>
      <c r="BB159" s="3194"/>
    </row>
    <row r="160" spans="1:54" ht="28.8" x14ac:dyDescent="0.25">
      <c r="A160" s="2620"/>
      <c r="B160" s="250" t="s">
        <v>3059</v>
      </c>
      <c r="C160" s="2632"/>
      <c r="D160" s="2929"/>
      <c r="E160" s="250" t="s">
        <v>3060</v>
      </c>
      <c r="F160" s="250" t="s">
        <v>3061</v>
      </c>
      <c r="G160" s="2633" t="s">
        <v>3062</v>
      </c>
      <c r="H160" s="2634" t="s">
        <v>3063</v>
      </c>
      <c r="I160" s="1595" t="str">
        <f t="shared" si="53"/>
        <v>5-DaHall1-PDU-05-30-51</v>
      </c>
      <c r="J160" s="1596" t="str">
        <f t="shared" si="54"/>
        <v>5-DaHall1-PDU-06-30-51</v>
      </c>
      <c r="K160" s="1558">
        <v>220</v>
      </c>
      <c r="L160" s="1559">
        <v>30</v>
      </c>
      <c r="M160" s="2364" t="s">
        <v>6491</v>
      </c>
      <c r="N160" s="1560">
        <v>51</v>
      </c>
      <c r="O160" s="1561">
        <v>220</v>
      </c>
      <c r="P160" s="1562">
        <v>30</v>
      </c>
      <c r="Q160" s="2394" t="s">
        <v>6501</v>
      </c>
      <c r="R160" s="1563">
        <v>51</v>
      </c>
      <c r="S160" s="3608"/>
      <c r="T160" s="3611"/>
      <c r="U160" s="3472"/>
      <c r="V160" s="3471"/>
      <c r="W160" s="3472"/>
      <c r="X160" s="3471"/>
      <c r="Y160" s="253">
        <f>SUM('5층_부하량(월간_AVG)'!D189:F189)</f>
        <v>0</v>
      </c>
      <c r="Z160" s="253">
        <f>SUM('5층_부하량(월간_AVG)'!D220:F220)</f>
        <v>0</v>
      </c>
      <c r="AA160" s="2436">
        <f t="shared" si="55"/>
        <v>0</v>
      </c>
      <c r="AB160" s="2691" t="e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60" s="3109" t="e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60" s="3162" t="e">
        <f>VLOOKUP(I160&amp;J160,'7층~4층_매핑테이블'!$I$6:$P$2020,8,0)</f>
        <v>#N/A</v>
      </c>
      <c r="AE160" s="3144" t="e">
        <f t="shared" si="56"/>
        <v>#N/A</v>
      </c>
      <c r="AF160" s="2451" t="s">
        <v>3028</v>
      </c>
      <c r="AH160" s="2351" t="e">
        <f t="shared" si="46"/>
        <v>#N/A</v>
      </c>
      <c r="AI160" s="2351" t="e">
        <f t="shared" si="47"/>
        <v>#N/A</v>
      </c>
      <c r="AJ160" s="123" t="e">
        <f t="shared" si="43"/>
        <v>#N/A</v>
      </c>
      <c r="AK160" t="e">
        <f t="shared" si="44"/>
        <v>#N/A</v>
      </c>
      <c r="AL160" t="e">
        <f t="shared" si="45"/>
        <v>#N/A</v>
      </c>
      <c r="AQ160" s="123"/>
      <c r="AR160" s="123"/>
      <c r="AS160" s="123"/>
      <c r="AT160" s="2982"/>
      <c r="AU160" s="123"/>
      <c r="AV160" s="123"/>
      <c r="AW160" s="2990"/>
      <c r="AX160" s="2984"/>
      <c r="AY160" s="2985"/>
      <c r="AZ160" s="2986"/>
      <c r="BA160" s="2987"/>
      <c r="BB160" s="3194"/>
    </row>
    <row r="161" spans="1:55" ht="28.8" x14ac:dyDescent="0.25">
      <c r="A161" s="2620"/>
      <c r="B161" s="250" t="s">
        <v>3065</v>
      </c>
      <c r="C161" s="2632"/>
      <c r="D161" s="2929"/>
      <c r="E161" s="250" t="s">
        <v>3066</v>
      </c>
      <c r="F161" s="250" t="s">
        <v>3067</v>
      </c>
      <c r="G161" s="2633" t="s">
        <v>3068</v>
      </c>
      <c r="H161" s="2634" t="s">
        <v>3069</v>
      </c>
      <c r="I161" s="1595" t="str">
        <f t="shared" si="53"/>
        <v>5-DaHall1-PDU-05-30-53</v>
      </c>
      <c r="J161" s="1596" t="str">
        <f t="shared" si="54"/>
        <v>5-DaHall1-PDU-06-30-53</v>
      </c>
      <c r="K161" s="1558">
        <v>220</v>
      </c>
      <c r="L161" s="1559">
        <v>30</v>
      </c>
      <c r="M161" s="2364" t="s">
        <v>6491</v>
      </c>
      <c r="N161" s="1560">
        <v>53</v>
      </c>
      <c r="O161" s="1561">
        <v>220</v>
      </c>
      <c r="P161" s="1562">
        <v>30</v>
      </c>
      <c r="Q161" s="2394" t="s">
        <v>6501</v>
      </c>
      <c r="R161" s="1563">
        <v>53</v>
      </c>
      <c r="S161" s="3608"/>
      <c r="T161" s="3611"/>
      <c r="U161" s="3472"/>
      <c r="V161" s="3471"/>
      <c r="W161" s="3472"/>
      <c r="X161" s="3471"/>
      <c r="Y161" s="253">
        <f>SUM('5층_부하량(월간_AVG)'!D190:F190)</f>
        <v>0</v>
      </c>
      <c r="Z161" s="253">
        <f>SUM('5층_부하량(월간_AVG)'!D221:F221)</f>
        <v>0</v>
      </c>
      <c r="AA161" s="2436">
        <f t="shared" si="55"/>
        <v>0</v>
      </c>
      <c r="AB161" s="2691" t="e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1" s="3109" t="e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1" s="3162" t="e">
        <f>VLOOKUP(I161&amp;J161,'7층~4층_매핑테이블'!$I$6:$P$2020,8,0)</f>
        <v>#N/A</v>
      </c>
      <c r="AE161" s="3144" t="e">
        <f t="shared" si="56"/>
        <v>#N/A</v>
      </c>
      <c r="AF161" s="2451" t="s">
        <v>3028</v>
      </c>
      <c r="AH161" s="2351" t="e">
        <f t="shared" si="46"/>
        <v>#N/A</v>
      </c>
      <c r="AI161" s="2351" t="e">
        <f t="shared" si="47"/>
        <v>#N/A</v>
      </c>
      <c r="AJ161" s="123" t="e">
        <f t="shared" si="43"/>
        <v>#N/A</v>
      </c>
      <c r="AK161" t="e">
        <f t="shared" si="44"/>
        <v>#N/A</v>
      </c>
      <c r="AL161" t="e">
        <f t="shared" si="45"/>
        <v>#N/A</v>
      </c>
      <c r="AQ161" s="123"/>
      <c r="AR161" s="123"/>
      <c r="AS161" s="123"/>
      <c r="AT161" s="2982"/>
      <c r="AU161" s="123"/>
      <c r="AV161" s="123"/>
      <c r="AW161" s="2990"/>
      <c r="AX161" s="2984"/>
      <c r="AY161" s="2985"/>
      <c r="AZ161" s="2986"/>
      <c r="BA161" s="2987"/>
      <c r="BB161" s="3194"/>
    </row>
    <row r="162" spans="1:55" ht="15.6" x14ac:dyDescent="0.25">
      <c r="A162" s="2620"/>
      <c r="B162" s="2680"/>
      <c r="C162" s="886"/>
      <c r="D162" s="2929"/>
      <c r="E162" s="2680"/>
      <c r="F162" s="2680"/>
      <c r="G162" s="2678"/>
      <c r="H162" s="2674"/>
      <c r="I162" s="1590"/>
      <c r="J162" s="1582"/>
      <c r="K162" s="1591"/>
      <c r="L162" s="1592"/>
      <c r="M162" s="2678"/>
      <c r="N162" s="1593"/>
      <c r="O162" s="1594"/>
      <c r="P162" s="1584"/>
      <c r="Q162" s="2674"/>
      <c r="R162" s="1585"/>
      <c r="S162" s="2678"/>
      <c r="T162" s="2674"/>
      <c r="U162" s="832"/>
      <c r="V162" s="833"/>
      <c r="W162" s="832"/>
      <c r="X162" s="833"/>
      <c r="Y162" s="834"/>
      <c r="Z162" s="834"/>
      <c r="AA162" s="2441"/>
      <c r="AB162" s="2704"/>
      <c r="AC162" s="3117"/>
      <c r="AD162" s="3164"/>
      <c r="AE162" s="3149"/>
      <c r="AF162" s="2499"/>
      <c r="AH162" s="2351">
        <f t="shared" si="46"/>
        <v>0</v>
      </c>
      <c r="AI162" s="2351">
        <f t="shared" si="47"/>
        <v>0</v>
      </c>
      <c r="AJ162" s="123" t="str">
        <f t="shared" si="43"/>
        <v>무부하 랙</v>
      </c>
      <c r="AK162" t="str">
        <f t="shared" si="44"/>
        <v/>
      </c>
      <c r="AL162" t="str">
        <f t="shared" si="45"/>
        <v/>
      </c>
      <c r="AQ162" s="123"/>
      <c r="AR162" s="123"/>
      <c r="AS162" s="123"/>
      <c r="AT162" s="2982"/>
      <c r="AU162" s="123"/>
      <c r="AV162" s="123"/>
      <c r="AW162" s="2990"/>
      <c r="AX162" s="2984"/>
      <c r="AY162" s="2985"/>
      <c r="AZ162" s="2986"/>
      <c r="BA162" s="2987"/>
      <c r="BB162" s="3194"/>
    </row>
    <row r="163" spans="1:55" ht="16.2" thickBot="1" x14ac:dyDescent="0.3">
      <c r="A163" s="2628"/>
      <c r="B163" s="839"/>
      <c r="C163" s="972"/>
      <c r="D163" s="2940"/>
      <c r="E163" s="839"/>
      <c r="F163" s="839"/>
      <c r="G163" s="2679"/>
      <c r="H163" s="2675"/>
      <c r="I163" s="1607"/>
      <c r="J163" s="1608"/>
      <c r="K163" s="1621"/>
      <c r="L163" s="1622"/>
      <c r="M163" s="2679"/>
      <c r="N163" s="1623"/>
      <c r="O163" s="1624"/>
      <c r="P163" s="1625"/>
      <c r="Q163" s="2675"/>
      <c r="R163" s="1626"/>
      <c r="S163" s="2679"/>
      <c r="T163" s="2675"/>
      <c r="U163" s="840"/>
      <c r="V163" s="849"/>
      <c r="W163" s="840"/>
      <c r="X163" s="849"/>
      <c r="Y163" s="850"/>
      <c r="Z163" s="850"/>
      <c r="AA163" s="2440"/>
      <c r="AB163" s="2717"/>
      <c r="AC163" s="3129"/>
      <c r="AD163" s="3169"/>
      <c r="AE163" s="3153"/>
      <c r="AF163" s="2502"/>
      <c r="AH163" s="2351">
        <f t="shared" si="46"/>
        <v>0</v>
      </c>
      <c r="AI163" s="2351">
        <f t="shared" si="47"/>
        <v>0</v>
      </c>
      <c r="AJ163" s="123" t="str">
        <f t="shared" si="43"/>
        <v>무부하 랙</v>
      </c>
      <c r="AK163" t="str">
        <f t="shared" si="44"/>
        <v/>
      </c>
      <c r="AL163" t="str">
        <f t="shared" si="45"/>
        <v/>
      </c>
      <c r="AQ163" s="123"/>
      <c r="AR163" s="123"/>
      <c r="AS163" s="123"/>
      <c r="AT163" s="2982"/>
      <c r="AU163" s="123"/>
      <c r="AV163" s="123"/>
      <c r="AW163" s="2990"/>
      <c r="AX163" s="2984"/>
      <c r="AY163" s="2985"/>
      <c r="AZ163" s="2986"/>
      <c r="BA163" s="2987"/>
      <c r="BB163" s="3194"/>
    </row>
    <row r="164" spans="1:55" s="350" customFormat="1" ht="52.8" thickTop="1" x14ac:dyDescent="0.25">
      <c r="A164" s="3676" t="s">
        <v>1395</v>
      </c>
      <c r="B164" s="3678" t="s">
        <v>3721</v>
      </c>
      <c r="C164" s="3680" t="s">
        <v>3546</v>
      </c>
      <c r="D164" s="3560">
        <v>13</v>
      </c>
      <c r="E164" s="2742" t="s">
        <v>3722</v>
      </c>
      <c r="F164" s="1213" t="s">
        <v>3723</v>
      </c>
      <c r="G164" s="1214" t="s">
        <v>3724</v>
      </c>
      <c r="H164" s="1215" t="s">
        <v>3725</v>
      </c>
      <c r="I164" s="1743" t="str">
        <f t="shared" ref="I164:I173" si="57">"5-DaHall1-PDU-"&amp;M164&amp;"-"&amp;L164&amp;"-"&amp;N164</f>
        <v>5-DaHall1-PDU-19-50-22</v>
      </c>
      <c r="J164" s="1744" t="str">
        <f t="shared" ref="J164:J219" si="58">"5-DaHall1-PDU-"&amp;Q164&amp;"-"&amp;P164&amp;"-"&amp;R164</f>
        <v>5-DaHall1-PDU-20-50-22</v>
      </c>
      <c r="K164" s="1745">
        <v>220</v>
      </c>
      <c r="L164" s="1746">
        <v>50</v>
      </c>
      <c r="M164" s="2369" t="s">
        <v>6544</v>
      </c>
      <c r="N164" s="1747">
        <v>22</v>
      </c>
      <c r="O164" s="1748">
        <v>220</v>
      </c>
      <c r="P164" s="1749">
        <v>50</v>
      </c>
      <c r="Q164" s="2389" t="s">
        <v>6547</v>
      </c>
      <c r="R164" s="1750">
        <v>22</v>
      </c>
      <c r="S164" s="1216" t="s">
        <v>3533</v>
      </c>
      <c r="T164" s="1217" t="s">
        <v>3534</v>
      </c>
      <c r="U164" s="1218" t="s">
        <v>3535</v>
      </c>
      <c r="V164" s="1219" t="s">
        <v>3536</v>
      </c>
      <c r="W164" s="3682" t="s">
        <v>2484</v>
      </c>
      <c r="X164" s="3684" t="s">
        <v>2485</v>
      </c>
      <c r="Y164" s="1220">
        <f>SUM('5층_부하량(월간_AVG)'!N601:P601)</f>
        <v>0</v>
      </c>
      <c r="Z164" s="1235">
        <f>SUM('5층_부하량(월간_AVG)'!N617:P617)</f>
        <v>0</v>
      </c>
      <c r="AA164" s="3686">
        <f>SUM(Y164:Z165)</f>
        <v>0</v>
      </c>
      <c r="AB164" s="2720" t="e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4" s="3111" t="e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4" s="3162" t="e">
        <f>VLOOKUP(I164&amp;J164,'7층~4층_매핑테이블'!$I$6:$P$2020,8,0)</f>
        <v>#N/A</v>
      </c>
      <c r="AE164" s="3154" t="e">
        <f>SUM(AB164:AC165)</f>
        <v>#N/A</v>
      </c>
      <c r="AF164" s="2721"/>
      <c r="AG164"/>
      <c r="AH164" s="2351" t="e">
        <f t="shared" si="46"/>
        <v>#N/A</v>
      </c>
      <c r="AI164" s="2351" t="e">
        <f t="shared" si="47"/>
        <v>#N/A</v>
      </c>
      <c r="AJ164" s="123" t="e">
        <f t="shared" si="43"/>
        <v>#N/A</v>
      </c>
      <c r="AK164" t="e">
        <f t="shared" si="44"/>
        <v>#N/A</v>
      </c>
      <c r="AL164" t="e">
        <f t="shared" si="45"/>
        <v>#N/A</v>
      </c>
      <c r="AQ164" s="123"/>
      <c r="AR164" s="123"/>
      <c r="AS164" s="123"/>
      <c r="AT164" s="2982"/>
      <c r="AU164" s="123"/>
      <c r="AV164" s="123"/>
      <c r="AW164" s="2990"/>
      <c r="AX164" s="2984"/>
      <c r="AY164" s="2985"/>
      <c r="AZ164" s="2986"/>
      <c r="BA164" s="2987"/>
      <c r="BB164" s="3194"/>
      <c r="BC164" s="2989"/>
    </row>
    <row r="165" spans="1:55" s="350" customFormat="1" ht="52.8" thickBot="1" x14ac:dyDescent="0.3">
      <c r="A165" s="3677"/>
      <c r="B165" s="3679"/>
      <c r="C165" s="3681"/>
      <c r="D165" s="3561"/>
      <c r="E165" s="2723" t="s">
        <v>3726</v>
      </c>
      <c r="F165" s="2723" t="s">
        <v>3727</v>
      </c>
      <c r="G165" s="1236" t="s">
        <v>3728</v>
      </c>
      <c r="H165" s="1237" t="s">
        <v>3729</v>
      </c>
      <c r="I165" s="2282" t="str">
        <f t="shared" si="57"/>
        <v>5-DaHall1-PDU-21-50-22</v>
      </c>
      <c r="J165" s="2283" t="str">
        <f t="shared" si="58"/>
        <v>5-DaHall1-PDU-22-50-22</v>
      </c>
      <c r="K165" s="2179">
        <v>220</v>
      </c>
      <c r="L165" s="2180">
        <v>50</v>
      </c>
      <c r="M165" s="2927" t="s">
        <v>6545</v>
      </c>
      <c r="N165" s="2284">
        <v>22</v>
      </c>
      <c r="O165" s="2182">
        <v>220</v>
      </c>
      <c r="P165" s="2183">
        <v>50</v>
      </c>
      <c r="Q165" s="2416" t="s">
        <v>6546</v>
      </c>
      <c r="R165" s="2285">
        <v>22</v>
      </c>
      <c r="S165" s="1238" t="s">
        <v>3541</v>
      </c>
      <c r="T165" s="1239" t="s">
        <v>3542</v>
      </c>
      <c r="U165" s="1240" t="s">
        <v>3543</v>
      </c>
      <c r="V165" s="1241" t="s">
        <v>3544</v>
      </c>
      <c r="W165" s="3683"/>
      <c r="X165" s="3685"/>
      <c r="Y165" s="1242">
        <f>SUM('5층_부하량(월간_AVG)'!N633:P633)</f>
        <v>0</v>
      </c>
      <c r="Z165" s="1242">
        <f>SUM('5층_부하량(월간_AVG)'!N649:P649)</f>
        <v>0</v>
      </c>
      <c r="AA165" s="3687"/>
      <c r="AB165" s="2724" t="e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5" s="3118" t="e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5" s="3170" t="e">
        <f>VLOOKUP(I165&amp;J165,'7층~4층_매핑테이블'!$I$6:$P$2020,8,0)</f>
        <v>#N/A</v>
      </c>
      <c r="AE165" s="3155" t="e">
        <f>$AE$164</f>
        <v>#N/A</v>
      </c>
      <c r="AF165" s="2725"/>
      <c r="AG165"/>
      <c r="AH165" s="2351" t="e">
        <f t="shared" si="46"/>
        <v>#N/A</v>
      </c>
      <c r="AI165" s="2351" t="e">
        <f t="shared" si="47"/>
        <v>#N/A</v>
      </c>
      <c r="AJ165" s="123" t="e">
        <f t="shared" si="43"/>
        <v>#N/A</v>
      </c>
      <c r="AK165" t="e">
        <f t="shared" si="44"/>
        <v>#N/A</v>
      </c>
      <c r="AL165" t="e">
        <f t="shared" si="45"/>
        <v>#N/A</v>
      </c>
      <c r="AQ165" s="123"/>
      <c r="AR165" s="123"/>
      <c r="AS165" s="123"/>
      <c r="AT165" s="2982"/>
      <c r="AU165" s="123"/>
      <c r="AV165" s="123"/>
      <c r="AW165" s="2990"/>
      <c r="AX165" s="2984"/>
      <c r="AY165" s="2985"/>
      <c r="AZ165" s="2986"/>
      <c r="BA165" s="2987"/>
      <c r="BB165" s="3194"/>
      <c r="BC165" s="2989"/>
    </row>
    <row r="166" spans="1:55" s="350" customFormat="1" ht="52.8" thickTop="1" x14ac:dyDescent="0.25">
      <c r="A166" s="3676" t="s">
        <v>2887</v>
      </c>
      <c r="B166" s="3678" t="s">
        <v>3712</v>
      </c>
      <c r="C166" s="3689" t="s">
        <v>3546</v>
      </c>
      <c r="D166" s="3562">
        <v>13</v>
      </c>
      <c r="E166" s="2731" t="s">
        <v>3713</v>
      </c>
      <c r="F166" s="1243" t="s">
        <v>3714</v>
      </c>
      <c r="G166" s="1244" t="s">
        <v>3715</v>
      </c>
      <c r="H166" s="1245" t="s">
        <v>3716</v>
      </c>
      <c r="I166" s="1773" t="str">
        <f t="shared" si="57"/>
        <v>5-DaHall1-PDU-19-50-20</v>
      </c>
      <c r="J166" s="1774" t="str">
        <f t="shared" si="58"/>
        <v>5-DaHall1-PDU-20-50-20</v>
      </c>
      <c r="K166" s="1775">
        <v>220</v>
      </c>
      <c r="L166" s="1776">
        <v>50</v>
      </c>
      <c r="M166" s="2372" t="s">
        <v>6544</v>
      </c>
      <c r="N166" s="1777">
        <v>20</v>
      </c>
      <c r="O166" s="1778">
        <v>220</v>
      </c>
      <c r="P166" s="1779">
        <v>50</v>
      </c>
      <c r="Q166" s="2391" t="s">
        <v>6547</v>
      </c>
      <c r="R166" s="1780">
        <v>20</v>
      </c>
      <c r="S166" s="1246" t="s">
        <v>3533</v>
      </c>
      <c r="T166" s="1247" t="s">
        <v>3534</v>
      </c>
      <c r="U166" s="1248" t="s">
        <v>3535</v>
      </c>
      <c r="V166" s="1249" t="s">
        <v>3536</v>
      </c>
      <c r="W166" s="3691" t="s">
        <v>2484</v>
      </c>
      <c r="X166" s="3693" t="s">
        <v>2485</v>
      </c>
      <c r="Y166" s="1250">
        <f>SUM('5층_부하량(월간_AVG)'!N600:P600)</f>
        <v>0</v>
      </c>
      <c r="Z166" s="1235">
        <f>SUM('5층_부하량(월간_AVG)'!N616:P616)</f>
        <v>0</v>
      </c>
      <c r="AA166" s="3686">
        <f>SUM(Y166:Z167)</f>
        <v>0</v>
      </c>
      <c r="AB166" s="2720" t="e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6" s="3111" t="e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6" s="3162" t="e">
        <f>VLOOKUP(I166&amp;J166,'7층~4층_매핑테이블'!$I$6:$P$2020,8,0)</f>
        <v>#N/A</v>
      </c>
      <c r="AE166" s="3154" t="e">
        <f>SUM(AB166:AC167)</f>
        <v>#N/A</v>
      </c>
      <c r="AF166" s="2721"/>
      <c r="AG166"/>
      <c r="AH166" s="2351" t="e">
        <f t="shared" si="46"/>
        <v>#N/A</v>
      </c>
      <c r="AI166" s="2351" t="e">
        <f t="shared" si="47"/>
        <v>#N/A</v>
      </c>
      <c r="AJ166" s="123" t="e">
        <f t="shared" si="43"/>
        <v>#N/A</v>
      </c>
      <c r="AK166" t="e">
        <f t="shared" si="44"/>
        <v>#N/A</v>
      </c>
      <c r="AL166" t="e">
        <f t="shared" si="45"/>
        <v>#N/A</v>
      </c>
      <c r="AQ166" s="123"/>
      <c r="AR166" s="123"/>
      <c r="AS166" s="123"/>
      <c r="AT166" s="2982"/>
      <c r="AU166" s="123"/>
      <c r="AV166" s="123"/>
      <c r="AW166" s="2990"/>
      <c r="AX166" s="2984"/>
      <c r="AY166" s="2985"/>
      <c r="AZ166" s="2986"/>
      <c r="BA166" s="2987"/>
      <c r="BB166" s="3194"/>
      <c r="BC166" s="2989"/>
    </row>
    <row r="167" spans="1:55" s="350" customFormat="1" ht="52.2" x14ac:dyDescent="0.25">
      <c r="A167" s="3676"/>
      <c r="B167" s="3688"/>
      <c r="C167" s="3690"/>
      <c r="D167" s="3563"/>
      <c r="E167" s="2727" t="s">
        <v>3717</v>
      </c>
      <c r="F167" s="2727" t="s">
        <v>3718</v>
      </c>
      <c r="G167" s="1221" t="s">
        <v>3719</v>
      </c>
      <c r="H167" s="1222" t="s">
        <v>3720</v>
      </c>
      <c r="I167" s="1751" t="str">
        <f t="shared" si="57"/>
        <v>5-DaHall1-PDU-21-50-20</v>
      </c>
      <c r="J167" s="1767" t="str">
        <f t="shared" si="58"/>
        <v>5-DaHall1-PDU-22-50-20</v>
      </c>
      <c r="K167" s="1768">
        <v>220</v>
      </c>
      <c r="L167" s="1769">
        <v>50</v>
      </c>
      <c r="M167" s="2370" t="s">
        <v>6545</v>
      </c>
      <c r="N167" s="1755">
        <v>20</v>
      </c>
      <c r="O167" s="1770">
        <v>220</v>
      </c>
      <c r="P167" s="1771">
        <v>50</v>
      </c>
      <c r="Q167" s="2388" t="s">
        <v>6546</v>
      </c>
      <c r="R167" s="1772">
        <v>20</v>
      </c>
      <c r="S167" s="1223" t="s">
        <v>3541</v>
      </c>
      <c r="T167" s="1224" t="s">
        <v>3542</v>
      </c>
      <c r="U167" s="1225" t="s">
        <v>3543</v>
      </c>
      <c r="V167" s="1226" t="s">
        <v>3544</v>
      </c>
      <c r="W167" s="3692"/>
      <c r="X167" s="3694"/>
      <c r="Y167" s="1227">
        <f>SUM('5층_부하량(월간_AVG)'!N632:P632)</f>
        <v>0</v>
      </c>
      <c r="Z167" s="1227">
        <f>SUM('5층_부하량(월간_AVG)'!N648:P648)</f>
        <v>0</v>
      </c>
      <c r="AA167" s="3695"/>
      <c r="AB167" s="2720" t="e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7" s="3111" t="e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7" s="3162" t="e">
        <f>VLOOKUP(I167&amp;J167,'7층~4층_매핑테이블'!$I$6:$P$2020,8,0)</f>
        <v>#N/A</v>
      </c>
      <c r="AE167" s="3156" t="e">
        <f>$AE$166</f>
        <v>#N/A</v>
      </c>
      <c r="AF167" s="2726"/>
      <c r="AG167"/>
      <c r="AH167" s="2351" t="e">
        <f t="shared" si="46"/>
        <v>#N/A</v>
      </c>
      <c r="AI167" s="2351" t="e">
        <f t="shared" si="47"/>
        <v>#N/A</v>
      </c>
      <c r="AJ167" s="123" t="e">
        <f t="shared" si="43"/>
        <v>#N/A</v>
      </c>
      <c r="AK167" t="e">
        <f t="shared" si="44"/>
        <v>#N/A</v>
      </c>
      <c r="AL167" t="e">
        <f t="shared" si="45"/>
        <v>#N/A</v>
      </c>
      <c r="AQ167" s="123"/>
      <c r="AR167" s="123"/>
      <c r="AS167" s="123"/>
      <c r="AT167" s="2982"/>
      <c r="AU167" s="123"/>
      <c r="AV167" s="123"/>
      <c r="AW167" s="2990"/>
      <c r="AX167" s="2984"/>
      <c r="AY167" s="2985"/>
      <c r="AZ167" s="2986"/>
      <c r="BA167" s="2987"/>
      <c r="BB167" s="3194"/>
      <c r="BC167" s="2989"/>
    </row>
    <row r="168" spans="1:55" s="350" customFormat="1" ht="52.2" x14ac:dyDescent="0.25">
      <c r="A168" s="3696" t="s">
        <v>2893</v>
      </c>
      <c r="B168" s="3678" t="s">
        <v>3703</v>
      </c>
      <c r="C168" s="3690" t="s">
        <v>3546</v>
      </c>
      <c r="D168" s="3563">
        <v>13</v>
      </c>
      <c r="E168" s="2719" t="s">
        <v>3704</v>
      </c>
      <c r="F168" s="1228" t="s">
        <v>3705</v>
      </c>
      <c r="G168" s="1229" t="s">
        <v>3706</v>
      </c>
      <c r="H168" s="1230" t="s">
        <v>3707</v>
      </c>
      <c r="I168" s="1759" t="str">
        <f t="shared" si="57"/>
        <v>5-DaHall1-PDU-19-50-18</v>
      </c>
      <c r="J168" s="1760" t="str">
        <f t="shared" si="58"/>
        <v>5-DaHall1-PDU-20-50-18</v>
      </c>
      <c r="K168" s="1761">
        <v>220</v>
      </c>
      <c r="L168" s="1762">
        <v>50</v>
      </c>
      <c r="M168" s="2371" t="s">
        <v>6544</v>
      </c>
      <c r="N168" s="1763">
        <v>18</v>
      </c>
      <c r="O168" s="1764">
        <v>220</v>
      </c>
      <c r="P168" s="1765">
        <v>50</v>
      </c>
      <c r="Q168" s="2390" t="s">
        <v>6547</v>
      </c>
      <c r="R168" s="1766">
        <v>18</v>
      </c>
      <c r="S168" s="1246" t="s">
        <v>3533</v>
      </c>
      <c r="T168" s="1247" t="s">
        <v>3534</v>
      </c>
      <c r="U168" s="1248" t="s">
        <v>3535</v>
      </c>
      <c r="V168" s="1249" t="s">
        <v>3536</v>
      </c>
      <c r="W168" s="3691" t="s">
        <v>2484</v>
      </c>
      <c r="X168" s="3693" t="s">
        <v>2485</v>
      </c>
      <c r="Y168" s="1235">
        <f>SUM('5층_부하량(월간_AVG)'!N599:P599)</f>
        <v>0</v>
      </c>
      <c r="Z168" s="1250">
        <f>SUM('5층_부하량(월간_AVG)'!N615:P615)</f>
        <v>0</v>
      </c>
      <c r="AA168" s="3686">
        <f>SUM(Y168:Z169)</f>
        <v>0</v>
      </c>
      <c r="AB168" s="2720" t="e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8" s="3111" t="e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8" s="3162" t="e">
        <f>VLOOKUP(I168&amp;J168,'7층~4층_매핑테이블'!$I$6:$P$2020,8,0)</f>
        <v>#N/A</v>
      </c>
      <c r="AE168" s="3157" t="e">
        <f>SUM(AB168:AC169)</f>
        <v>#N/A</v>
      </c>
      <c r="AF168" s="2728"/>
      <c r="AG168"/>
      <c r="AH168" s="2351" t="e">
        <f t="shared" si="46"/>
        <v>#N/A</v>
      </c>
      <c r="AI168" s="2351" t="e">
        <f t="shared" si="47"/>
        <v>#N/A</v>
      </c>
      <c r="AJ168" s="123" t="e">
        <f t="shared" si="43"/>
        <v>#N/A</v>
      </c>
      <c r="AK168" t="e">
        <f t="shared" si="44"/>
        <v>#N/A</v>
      </c>
      <c r="AL168" t="e">
        <f t="shared" si="45"/>
        <v>#N/A</v>
      </c>
      <c r="AQ168" s="123"/>
      <c r="AR168" s="123"/>
      <c r="AS168" s="123"/>
      <c r="AT168" s="2982"/>
      <c r="AU168" s="123"/>
      <c r="AV168" s="123"/>
      <c r="AW168" s="2990"/>
      <c r="AX168" s="2984"/>
      <c r="AY168" s="2985"/>
      <c r="AZ168" s="2986"/>
      <c r="BA168" s="2987"/>
      <c r="BB168" s="3194"/>
      <c r="BC168" s="2989"/>
    </row>
    <row r="169" spans="1:55" s="350" customFormat="1" ht="52.2" x14ac:dyDescent="0.25">
      <c r="A169" s="3697"/>
      <c r="B169" s="3688"/>
      <c r="C169" s="3690"/>
      <c r="D169" s="3563"/>
      <c r="E169" s="2727" t="s">
        <v>3708</v>
      </c>
      <c r="F169" s="2727" t="s">
        <v>3709</v>
      </c>
      <c r="G169" s="1221" t="s">
        <v>3710</v>
      </c>
      <c r="H169" s="1222" t="s">
        <v>3711</v>
      </c>
      <c r="I169" s="1751" t="str">
        <f t="shared" si="57"/>
        <v>5-DaHall1-PDU-21-50-18</v>
      </c>
      <c r="J169" s="1767" t="str">
        <f t="shared" si="58"/>
        <v>5-DaHall1-PDU-22-50-18</v>
      </c>
      <c r="K169" s="1768">
        <v>220</v>
      </c>
      <c r="L169" s="1769">
        <v>50</v>
      </c>
      <c r="M169" s="2370" t="s">
        <v>6545</v>
      </c>
      <c r="N169" s="1755">
        <v>18</v>
      </c>
      <c r="O169" s="1770">
        <v>220</v>
      </c>
      <c r="P169" s="1771">
        <v>50</v>
      </c>
      <c r="Q169" s="2388" t="s">
        <v>6546</v>
      </c>
      <c r="R169" s="1772">
        <v>18</v>
      </c>
      <c r="S169" s="1223" t="s">
        <v>3541</v>
      </c>
      <c r="T169" s="1224" t="s">
        <v>3542</v>
      </c>
      <c r="U169" s="1255" t="s">
        <v>3543</v>
      </c>
      <c r="V169" s="1256" t="s">
        <v>3544</v>
      </c>
      <c r="W169" s="3698"/>
      <c r="X169" s="3699"/>
      <c r="Y169" s="1257">
        <f>SUM('5층_부하량(월간_AVG)'!N631:P631)</f>
        <v>0</v>
      </c>
      <c r="Z169" s="1257">
        <f>SUM('5층_부하량(월간_AVG)'!N647:P647)</f>
        <v>0</v>
      </c>
      <c r="AA169" s="3695"/>
      <c r="AB169" s="2720" t="e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9" s="3111" t="e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9" s="3162" t="e">
        <f>VLOOKUP(I169&amp;J169,'7층~4층_매핑테이블'!$I$6:$P$2020,8,0)</f>
        <v>#N/A</v>
      </c>
      <c r="AE169" s="3156" t="e">
        <f>$AE$168</f>
        <v>#N/A</v>
      </c>
      <c r="AF169" s="2729"/>
      <c r="AG169"/>
      <c r="AH169" s="2351" t="e">
        <f t="shared" si="46"/>
        <v>#N/A</v>
      </c>
      <c r="AI169" s="2351" t="e">
        <f t="shared" si="47"/>
        <v>#N/A</v>
      </c>
      <c r="AJ169" s="123" t="e">
        <f t="shared" si="43"/>
        <v>#N/A</v>
      </c>
      <c r="AK169" t="e">
        <f t="shared" si="44"/>
        <v>#N/A</v>
      </c>
      <c r="AL169" t="e">
        <f t="shared" si="45"/>
        <v>#N/A</v>
      </c>
      <c r="AQ169" s="123"/>
      <c r="AR169" s="123"/>
      <c r="AS169" s="123"/>
      <c r="AT169" s="2982"/>
      <c r="AU169" s="123"/>
      <c r="AV169" s="123"/>
      <c r="AW169" s="2990"/>
      <c r="AX169" s="2984"/>
      <c r="AY169" s="2985"/>
      <c r="AZ169" s="2986"/>
      <c r="BA169" s="2987"/>
      <c r="BB169" s="3194"/>
      <c r="BC169" s="2989"/>
    </row>
    <row r="170" spans="1:55" s="350" customFormat="1" ht="52.2" x14ac:dyDescent="0.25">
      <c r="A170" s="3676" t="s">
        <v>1432</v>
      </c>
      <c r="B170" s="3678" t="s">
        <v>3694</v>
      </c>
      <c r="C170" s="3690" t="s">
        <v>3546</v>
      </c>
      <c r="D170" s="3563">
        <v>13</v>
      </c>
      <c r="E170" s="2719" t="s">
        <v>3695</v>
      </c>
      <c r="F170" s="1228" t="s">
        <v>3696</v>
      </c>
      <c r="G170" s="1229" t="s">
        <v>3697</v>
      </c>
      <c r="H170" s="1230" t="s">
        <v>3698</v>
      </c>
      <c r="I170" s="1759" t="str">
        <f t="shared" si="57"/>
        <v>5-DaHall1-PDU-19-50-16</v>
      </c>
      <c r="J170" s="1760" t="str">
        <f t="shared" si="58"/>
        <v>5-DaHall1-PDU-20-50-16</v>
      </c>
      <c r="K170" s="1761">
        <v>220</v>
      </c>
      <c r="L170" s="1762">
        <v>50</v>
      </c>
      <c r="M170" s="2371" t="s">
        <v>6544</v>
      </c>
      <c r="N170" s="1763">
        <v>16</v>
      </c>
      <c r="O170" s="1764">
        <v>220</v>
      </c>
      <c r="P170" s="1765">
        <v>50</v>
      </c>
      <c r="Q170" s="2390" t="s">
        <v>6547</v>
      </c>
      <c r="R170" s="1766">
        <v>16</v>
      </c>
      <c r="S170" s="1231" t="s">
        <v>3623</v>
      </c>
      <c r="T170" s="1232" t="s">
        <v>3624</v>
      </c>
      <c r="U170" s="1233" t="s">
        <v>3535</v>
      </c>
      <c r="V170" s="1234" t="s">
        <v>3536</v>
      </c>
      <c r="W170" s="3700" t="s">
        <v>2484</v>
      </c>
      <c r="X170" s="3701" t="s">
        <v>2485</v>
      </c>
      <c r="Y170" s="1235">
        <f>SUM('5층_부하량(월간_AVG)'!N598:P598)</f>
        <v>0</v>
      </c>
      <c r="Z170" s="1235">
        <f>SUM('5층_부하량(월간_AVG)'!N614:P614)</f>
        <v>0</v>
      </c>
      <c r="AA170" s="3686">
        <f>SUM(Y170:Z171)</f>
        <v>0</v>
      </c>
      <c r="AB170" s="2720" t="e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70" s="3111" t="e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70" s="3162" t="e">
        <f>VLOOKUP(I170&amp;J170,'7층~4층_매핑테이블'!$I$6:$P$2020,8,0)</f>
        <v>#N/A</v>
      </c>
      <c r="AE170" s="3157" t="e">
        <f t="shared" ref="AE170" si="59">SUM(AB170:AC171)</f>
        <v>#N/A</v>
      </c>
      <c r="AF170" s="2721"/>
      <c r="AG170"/>
      <c r="AH170" s="2351" t="e">
        <f t="shared" si="46"/>
        <v>#N/A</v>
      </c>
      <c r="AI170" s="2351" t="e">
        <f t="shared" si="47"/>
        <v>#N/A</v>
      </c>
      <c r="AJ170" s="123" t="e">
        <f t="shared" si="43"/>
        <v>#N/A</v>
      </c>
      <c r="AK170" t="e">
        <f t="shared" si="44"/>
        <v>#N/A</v>
      </c>
      <c r="AL170" t="e">
        <f t="shared" si="45"/>
        <v>#N/A</v>
      </c>
      <c r="AQ170" s="123"/>
      <c r="AR170" s="123"/>
      <c r="AS170" s="123"/>
      <c r="AT170" s="2982"/>
      <c r="AU170" s="123"/>
      <c r="AV170" s="123"/>
      <c r="AW170" s="2990"/>
      <c r="AX170" s="2984"/>
      <c r="AY170" s="2985"/>
      <c r="AZ170" s="2986"/>
      <c r="BA170" s="2987"/>
      <c r="BB170" s="3194"/>
      <c r="BC170" s="2989"/>
    </row>
    <row r="171" spans="1:55" s="350" customFormat="1" ht="52.2" x14ac:dyDescent="0.25">
      <c r="A171" s="3676"/>
      <c r="B171" s="3688"/>
      <c r="C171" s="3690"/>
      <c r="D171" s="3563"/>
      <c r="E171" s="2727" t="s">
        <v>3699</v>
      </c>
      <c r="F171" s="2727" t="s">
        <v>3700</v>
      </c>
      <c r="G171" s="1221" t="s">
        <v>3701</v>
      </c>
      <c r="H171" s="1222" t="s">
        <v>3702</v>
      </c>
      <c r="I171" s="1751" t="str">
        <f t="shared" si="57"/>
        <v>5-DaHall1-PDU-21-50-16</v>
      </c>
      <c r="J171" s="1767" t="str">
        <f t="shared" si="58"/>
        <v>5-DaHall1-PDU-22-50-16</v>
      </c>
      <c r="K171" s="1768">
        <v>220</v>
      </c>
      <c r="L171" s="1769">
        <v>50</v>
      </c>
      <c r="M171" s="2370" t="s">
        <v>6545</v>
      </c>
      <c r="N171" s="1755">
        <v>16</v>
      </c>
      <c r="O171" s="1770">
        <v>220</v>
      </c>
      <c r="P171" s="1771">
        <v>50</v>
      </c>
      <c r="Q171" s="2388" t="s">
        <v>6546</v>
      </c>
      <c r="R171" s="1772">
        <v>16</v>
      </c>
      <c r="S171" s="1223" t="s">
        <v>3629</v>
      </c>
      <c r="T171" s="1224" t="s">
        <v>3630</v>
      </c>
      <c r="U171" s="1225" t="s">
        <v>3543</v>
      </c>
      <c r="V171" s="1226" t="s">
        <v>3544</v>
      </c>
      <c r="W171" s="3692"/>
      <c r="X171" s="3694"/>
      <c r="Y171" s="1227">
        <f>SUM('5층_부하량(월간_AVG)'!N630:P630)</f>
        <v>0</v>
      </c>
      <c r="Z171" s="1227">
        <f>SUM('5층_부하량(월간_AVG)'!N646:P646)</f>
        <v>0</v>
      </c>
      <c r="AA171" s="3695"/>
      <c r="AB171" s="2720" t="e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1" s="3111" t="e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1" s="3162" t="e">
        <f>VLOOKUP(I171&amp;J171,'7층~4층_매핑테이블'!$I$6:$P$2020,8,0)</f>
        <v>#N/A</v>
      </c>
      <c r="AE171" s="3156" t="e">
        <f>$AE$170</f>
        <v>#N/A</v>
      </c>
      <c r="AF171" s="2726"/>
      <c r="AG171"/>
      <c r="AH171" s="2351" t="e">
        <f t="shared" si="46"/>
        <v>#N/A</v>
      </c>
      <c r="AI171" s="2351" t="e">
        <f t="shared" si="47"/>
        <v>#N/A</v>
      </c>
      <c r="AJ171" s="123" t="e">
        <f t="shared" si="43"/>
        <v>#N/A</v>
      </c>
      <c r="AK171" t="e">
        <f t="shared" si="44"/>
        <v>#N/A</v>
      </c>
      <c r="AL171" t="e">
        <f t="shared" si="45"/>
        <v>#N/A</v>
      </c>
      <c r="AQ171" s="123"/>
      <c r="AR171" s="123"/>
      <c r="AS171" s="123"/>
      <c r="AT171" s="2982"/>
      <c r="AU171" s="123"/>
      <c r="AV171" s="123"/>
      <c r="AW171" s="2990"/>
      <c r="AX171" s="2984"/>
      <c r="AY171" s="2985"/>
      <c r="AZ171" s="2986"/>
      <c r="BA171" s="2987"/>
      <c r="BB171" s="3194"/>
      <c r="BC171" s="2989"/>
    </row>
    <row r="172" spans="1:55" s="350" customFormat="1" ht="34.799999999999997" x14ac:dyDescent="0.25">
      <c r="A172" s="3676" t="s">
        <v>1338</v>
      </c>
      <c r="B172" s="3702" t="s">
        <v>8725</v>
      </c>
      <c r="C172" s="3690" t="s">
        <v>3546</v>
      </c>
      <c r="D172" s="3704">
        <v>13</v>
      </c>
      <c r="E172" s="2731"/>
      <c r="F172" s="1243"/>
      <c r="G172" s="1229"/>
      <c r="H172" s="1230"/>
      <c r="I172" s="1759" t="str">
        <f t="shared" si="57"/>
        <v>5-DaHall1-PDU-19-30-21</v>
      </c>
      <c r="J172" s="1760" t="str">
        <f t="shared" si="58"/>
        <v>5-DaHall1-PDU-20-30-21</v>
      </c>
      <c r="K172" s="1761">
        <v>220</v>
      </c>
      <c r="L172" s="1762">
        <v>30</v>
      </c>
      <c r="M172" s="2371" t="s">
        <v>6544</v>
      </c>
      <c r="N172" s="1763">
        <v>21</v>
      </c>
      <c r="O172" s="1764">
        <v>220</v>
      </c>
      <c r="P172" s="1765">
        <v>30</v>
      </c>
      <c r="Q172" s="2390" t="s">
        <v>6547</v>
      </c>
      <c r="R172" s="1766">
        <v>21</v>
      </c>
      <c r="S172" s="1246" t="s">
        <v>3533</v>
      </c>
      <c r="T172" s="1247" t="s">
        <v>3534</v>
      </c>
      <c r="U172" s="1233" t="s">
        <v>3535</v>
      </c>
      <c r="V172" s="1234" t="s">
        <v>3536</v>
      </c>
      <c r="W172" s="3700" t="s">
        <v>2484</v>
      </c>
      <c r="X172" s="3701" t="s">
        <v>2485</v>
      </c>
      <c r="Y172" s="1235">
        <f>SUM('5층_부하량(월간_AVG)'!D601:F601)</f>
        <v>0</v>
      </c>
      <c r="Z172" s="1235">
        <f>SUM('5층_부하량(월간_AVG)'!D617:F617)</f>
        <v>0</v>
      </c>
      <c r="AA172" s="3686">
        <f t="shared" ref="AA172" si="60">SUM(Y172:Z173)</f>
        <v>0</v>
      </c>
      <c r="AB172" s="2720" t="e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2" s="3111" t="e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2" s="3162" t="e">
        <f>VLOOKUP(I172&amp;J172,'7층~4층_매핑테이블'!$I$6:$P$2020,8,0)</f>
        <v>#N/A</v>
      </c>
      <c r="AE172" s="3157" t="e">
        <f t="shared" ref="AE172" si="61">SUM(AB172:AC173)</f>
        <v>#N/A</v>
      </c>
      <c r="AF172" s="3705" t="s">
        <v>8726</v>
      </c>
      <c r="AG172"/>
      <c r="AH172" s="2351" t="e">
        <f t="shared" si="46"/>
        <v>#N/A</v>
      </c>
      <c r="AI172" s="2351" t="e">
        <f t="shared" si="47"/>
        <v>#N/A</v>
      </c>
      <c r="AJ172" s="123" t="e">
        <f t="shared" si="43"/>
        <v>#N/A</v>
      </c>
      <c r="AK172" t="e">
        <f t="shared" si="44"/>
        <v>#N/A</v>
      </c>
      <c r="AL172" t="e">
        <f t="shared" si="45"/>
        <v>#N/A</v>
      </c>
      <c r="AQ172" s="123"/>
      <c r="AR172" s="123"/>
      <c r="AS172" s="123"/>
      <c r="AT172" s="2982"/>
      <c r="AU172" s="123"/>
      <c r="AV172" s="123"/>
      <c r="AW172" s="2990"/>
      <c r="AX172" s="2984"/>
      <c r="AY172" s="2985"/>
      <c r="AZ172" s="2986"/>
      <c r="BA172" s="2987"/>
      <c r="BB172" s="3194"/>
      <c r="BC172" s="2989"/>
    </row>
    <row r="173" spans="1:55" s="350" customFormat="1" ht="34.799999999999997" x14ac:dyDescent="0.25">
      <c r="A173" s="3676"/>
      <c r="B173" s="3703"/>
      <c r="C173" s="3690"/>
      <c r="D173" s="3704"/>
      <c r="E173" s="2732"/>
      <c r="F173" s="2732"/>
      <c r="G173" s="1221"/>
      <c r="H173" s="1222"/>
      <c r="I173" s="1751" t="str">
        <f t="shared" si="57"/>
        <v>5-DaHall1-PDU-21-30-21</v>
      </c>
      <c r="J173" s="1767" t="str">
        <f t="shared" si="58"/>
        <v>5-DaHall1-PDU-22-30-21</v>
      </c>
      <c r="K173" s="1768">
        <v>220</v>
      </c>
      <c r="L173" s="1769">
        <v>30</v>
      </c>
      <c r="M173" s="2370" t="s">
        <v>6545</v>
      </c>
      <c r="N173" s="1755">
        <v>21</v>
      </c>
      <c r="O173" s="1770">
        <v>220</v>
      </c>
      <c r="P173" s="1771">
        <v>30</v>
      </c>
      <c r="Q173" s="2388" t="s">
        <v>6546</v>
      </c>
      <c r="R173" s="1772">
        <v>21</v>
      </c>
      <c r="S173" s="1223" t="s">
        <v>3541</v>
      </c>
      <c r="T173" s="1224" t="s">
        <v>3542</v>
      </c>
      <c r="U173" s="1225" t="s">
        <v>3543</v>
      </c>
      <c r="V173" s="1226" t="s">
        <v>3544</v>
      </c>
      <c r="W173" s="3692"/>
      <c r="X173" s="3694"/>
      <c r="Y173" s="1227">
        <f>SUM('5층_부하량(월간_AVG)'!D633:F633)</f>
        <v>0</v>
      </c>
      <c r="Z173" s="1227">
        <f>SUM('5층_부하량(월간_AVG)'!D649:F649)</f>
        <v>0</v>
      </c>
      <c r="AA173" s="3695"/>
      <c r="AB173" s="2720" t="e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3" s="3111" t="e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3" s="3162" t="e">
        <f>VLOOKUP(I173&amp;J173,'7층~4층_매핑테이블'!$I$6:$P$2020,8,0)</f>
        <v>#N/A</v>
      </c>
      <c r="AE173" s="3156" t="e">
        <f>$AE$172</f>
        <v>#N/A</v>
      </c>
      <c r="AF173" s="3706"/>
      <c r="AG173"/>
      <c r="AH173" s="2351" t="e">
        <f t="shared" si="46"/>
        <v>#N/A</v>
      </c>
      <c r="AI173" s="2351" t="e">
        <f t="shared" si="47"/>
        <v>#N/A</v>
      </c>
      <c r="AJ173" s="123" t="e">
        <f t="shared" si="43"/>
        <v>#N/A</v>
      </c>
      <c r="AK173" t="e">
        <f t="shared" si="44"/>
        <v>#N/A</v>
      </c>
      <c r="AL173" t="e">
        <f t="shared" si="45"/>
        <v>#N/A</v>
      </c>
      <c r="AQ173" s="123"/>
      <c r="AR173" s="123"/>
      <c r="AS173" s="123"/>
      <c r="AT173" s="2982"/>
      <c r="AU173" s="123"/>
      <c r="AV173" s="123"/>
      <c r="AW173" s="2990"/>
      <c r="AX173" s="2984"/>
      <c r="AY173" s="2985"/>
      <c r="AZ173" s="2986"/>
      <c r="BA173" s="2987"/>
      <c r="BB173" s="3194"/>
      <c r="BC173" s="2989"/>
    </row>
    <row r="174" spans="1:55" s="350" customFormat="1" ht="52.2" x14ac:dyDescent="0.25">
      <c r="A174" s="3676" t="s">
        <v>1344</v>
      </c>
      <c r="B174" s="3702" t="s">
        <v>3685</v>
      </c>
      <c r="C174" s="3690" t="s">
        <v>3546</v>
      </c>
      <c r="D174" s="3563">
        <v>13</v>
      </c>
      <c r="E174" s="2731" t="s">
        <v>3686</v>
      </c>
      <c r="F174" s="1243" t="s">
        <v>3687</v>
      </c>
      <c r="G174" s="1229" t="s">
        <v>3688</v>
      </c>
      <c r="H174" s="1230" t="s">
        <v>3689</v>
      </c>
      <c r="I174" s="1759" t="str">
        <f>"5-DaHall1-PDU-"&amp;M174&amp;"-"&amp;L174&amp;"-"&amp;N174</f>
        <v>5-DaHall1-PDU-19-30-19</v>
      </c>
      <c r="J174" s="1760" t="str">
        <f t="shared" si="58"/>
        <v>5-DaHall1-PDU-20-30-19</v>
      </c>
      <c r="K174" s="1761">
        <v>220</v>
      </c>
      <c r="L174" s="1762">
        <v>30</v>
      </c>
      <c r="M174" s="2371" t="s">
        <v>6544</v>
      </c>
      <c r="N174" s="1763">
        <v>19</v>
      </c>
      <c r="O174" s="1764">
        <v>220</v>
      </c>
      <c r="P174" s="1765">
        <v>30</v>
      </c>
      <c r="Q174" s="2390" t="s">
        <v>6547</v>
      </c>
      <c r="R174" s="1766">
        <v>19</v>
      </c>
      <c r="S174" s="1246" t="s">
        <v>3533</v>
      </c>
      <c r="T174" s="1247" t="s">
        <v>3534</v>
      </c>
      <c r="U174" s="1233" t="s">
        <v>3535</v>
      </c>
      <c r="V174" s="1234" t="s">
        <v>3536</v>
      </c>
      <c r="W174" s="3700" t="s">
        <v>2484</v>
      </c>
      <c r="X174" s="3701" t="s">
        <v>2485</v>
      </c>
      <c r="Y174" s="1235">
        <f>SUM('5층_부하량(월간_AVG)'!D600:F600)</f>
        <v>0</v>
      </c>
      <c r="Z174" s="1235">
        <f>SUM('5층_부하량(월간_AVG)'!D616:F616)</f>
        <v>0</v>
      </c>
      <c r="AA174" s="3686">
        <f t="shared" ref="AA174" si="62">SUM(Y174:Z175)</f>
        <v>0</v>
      </c>
      <c r="AB174" s="2720" t="e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4" s="3111" t="e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4" s="3162" t="e">
        <f>VLOOKUP(I174&amp;J174,'7층~4층_매핑테이블'!$I$6:$P$2020,8,0)</f>
        <v>#N/A</v>
      </c>
      <c r="AE174" s="3157" t="e">
        <f t="shared" ref="AE174" si="63">SUM(AB174:AC175)</f>
        <v>#N/A</v>
      </c>
      <c r="AF174" s="2721"/>
      <c r="AG174"/>
      <c r="AH174" s="2351" t="e">
        <f t="shared" si="46"/>
        <v>#N/A</v>
      </c>
      <c r="AI174" s="2351" t="e">
        <f t="shared" si="47"/>
        <v>#N/A</v>
      </c>
      <c r="AJ174" s="123" t="e">
        <f t="shared" si="43"/>
        <v>#N/A</v>
      </c>
      <c r="AK174" t="e">
        <f t="shared" si="44"/>
        <v>#N/A</v>
      </c>
      <c r="AL174" t="e">
        <f t="shared" si="45"/>
        <v>#N/A</v>
      </c>
      <c r="AQ174" s="123"/>
      <c r="AR174" s="123"/>
      <c r="AS174" s="123"/>
      <c r="AT174" s="2982"/>
      <c r="AU174" s="123"/>
      <c r="AV174" s="123"/>
      <c r="AW174" s="2990"/>
      <c r="AX174" s="2984"/>
      <c r="AY174" s="2985"/>
      <c r="AZ174" s="2986"/>
      <c r="BA174" s="2987"/>
      <c r="BB174" s="3194"/>
      <c r="BC174" s="2989"/>
    </row>
    <row r="175" spans="1:55" s="350" customFormat="1" ht="52.2" x14ac:dyDescent="0.25">
      <c r="A175" s="3676"/>
      <c r="B175" s="3703"/>
      <c r="C175" s="3690"/>
      <c r="D175" s="3563"/>
      <c r="E175" s="2732" t="s">
        <v>3690</v>
      </c>
      <c r="F175" s="2732" t="s">
        <v>3691</v>
      </c>
      <c r="G175" s="1221" t="s">
        <v>3692</v>
      </c>
      <c r="H175" s="1222" t="s">
        <v>3693</v>
      </c>
      <c r="I175" s="1751" t="str">
        <f>"5-DaHall1-PDU-"&amp;M175&amp;"-"&amp;L175&amp;"-"&amp;N175</f>
        <v>5-DaHall1-PDU-21-30-19</v>
      </c>
      <c r="J175" s="1767" t="str">
        <f t="shared" si="58"/>
        <v>5-DaHall1-PDU-22-30-19</v>
      </c>
      <c r="K175" s="1768">
        <v>220</v>
      </c>
      <c r="L175" s="1769">
        <v>30</v>
      </c>
      <c r="M175" s="2370" t="s">
        <v>6545</v>
      </c>
      <c r="N175" s="1755">
        <v>19</v>
      </c>
      <c r="O175" s="1770">
        <v>220</v>
      </c>
      <c r="P175" s="1771">
        <v>30</v>
      </c>
      <c r="Q175" s="2388" t="s">
        <v>6546</v>
      </c>
      <c r="R175" s="1772">
        <v>19</v>
      </c>
      <c r="S175" s="1223" t="s">
        <v>3541</v>
      </c>
      <c r="T175" s="1224" t="s">
        <v>3542</v>
      </c>
      <c r="U175" s="1225" t="s">
        <v>3543</v>
      </c>
      <c r="V175" s="1226" t="s">
        <v>3544</v>
      </c>
      <c r="W175" s="3692"/>
      <c r="X175" s="3694"/>
      <c r="Y175" s="1227">
        <f>SUM('5층_부하량(월간_AVG)'!D632:F632)</f>
        <v>0</v>
      </c>
      <c r="Z175" s="1227">
        <f>SUM('5층_부하량(월간_AVG)'!D648:F648)</f>
        <v>0</v>
      </c>
      <c r="AA175" s="3695"/>
      <c r="AB175" s="2720" t="e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5" s="3111" t="e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5" s="3162" t="e">
        <f>VLOOKUP(I175&amp;J175,'7층~4층_매핑테이블'!$I$6:$P$2020,8,0)</f>
        <v>#N/A</v>
      </c>
      <c r="AE175" s="3156" t="e">
        <f>$AE$174</f>
        <v>#N/A</v>
      </c>
      <c r="AF175" s="2726"/>
      <c r="AG175"/>
      <c r="AH175" s="2351" t="e">
        <f t="shared" si="46"/>
        <v>#N/A</v>
      </c>
      <c r="AI175" s="2351" t="e">
        <f t="shared" si="47"/>
        <v>#N/A</v>
      </c>
      <c r="AJ175" s="123" t="e">
        <f t="shared" si="43"/>
        <v>#N/A</v>
      </c>
      <c r="AK175" t="e">
        <f t="shared" si="44"/>
        <v>#N/A</v>
      </c>
      <c r="AL175" t="e">
        <f t="shared" si="45"/>
        <v>#N/A</v>
      </c>
      <c r="AQ175" s="123"/>
      <c r="AR175" s="123"/>
      <c r="AS175" s="123"/>
      <c r="AT175" s="2982"/>
      <c r="AU175" s="123"/>
      <c r="AV175" s="123"/>
      <c r="AW175" s="2990"/>
      <c r="AX175" s="2984"/>
      <c r="AY175" s="2985"/>
      <c r="AZ175" s="2986"/>
      <c r="BA175" s="2987"/>
      <c r="BB175" s="3194"/>
      <c r="BC175" s="2989"/>
    </row>
    <row r="176" spans="1:55" s="350" customFormat="1" ht="52.2" x14ac:dyDescent="0.25">
      <c r="A176" s="3676" t="s">
        <v>1351</v>
      </c>
      <c r="B176" s="3703" t="s">
        <v>3676</v>
      </c>
      <c r="C176" s="3690" t="s">
        <v>3546</v>
      </c>
      <c r="D176" s="3563">
        <v>13</v>
      </c>
      <c r="E176" s="2719" t="s">
        <v>3677</v>
      </c>
      <c r="F176" s="1228" t="s">
        <v>3678</v>
      </c>
      <c r="G176" s="1229" t="s">
        <v>3679</v>
      </c>
      <c r="H176" s="1230" t="s">
        <v>3680</v>
      </c>
      <c r="I176" s="1759" t="str">
        <f>"5-DaHall1-PDU-"&amp;M176&amp;"-"&amp;L176&amp;"-"&amp;N176</f>
        <v>5-DaHall1-PDU-19-30-17</v>
      </c>
      <c r="J176" s="1760" t="str">
        <f t="shared" si="58"/>
        <v>5-DaHall1-PDU-20-30-17</v>
      </c>
      <c r="K176" s="1761">
        <v>220</v>
      </c>
      <c r="L176" s="1762">
        <v>30</v>
      </c>
      <c r="M176" s="2371" t="s">
        <v>6544</v>
      </c>
      <c r="N176" s="1763">
        <v>17</v>
      </c>
      <c r="O176" s="1764">
        <v>220</v>
      </c>
      <c r="P176" s="1765">
        <v>30</v>
      </c>
      <c r="Q176" s="2390" t="s">
        <v>6547</v>
      </c>
      <c r="R176" s="1766">
        <v>17</v>
      </c>
      <c r="S176" s="1246" t="s">
        <v>3533</v>
      </c>
      <c r="T176" s="1247" t="s">
        <v>3534</v>
      </c>
      <c r="U176" s="1233" t="s">
        <v>3535</v>
      </c>
      <c r="V176" s="1234" t="s">
        <v>3536</v>
      </c>
      <c r="W176" s="3700" t="s">
        <v>2484</v>
      </c>
      <c r="X176" s="3701" t="s">
        <v>2485</v>
      </c>
      <c r="Y176" s="1235">
        <f>SUM('5층_부하량(월간_AVG)'!D599:F599)</f>
        <v>0</v>
      </c>
      <c r="Z176" s="1235">
        <f>SUM('5층_부하량(월간_AVG)'!D615:F615)</f>
        <v>0</v>
      </c>
      <c r="AA176" s="3686">
        <f t="shared" ref="AA176" si="64">SUM(Y176:Z177)</f>
        <v>0</v>
      </c>
      <c r="AB176" s="2720" t="e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6" s="3111" t="e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6" s="3162" t="e">
        <f>VLOOKUP(I176&amp;J176,'7층~4층_매핑테이블'!$I$6:$P$2020,8,0)</f>
        <v>#N/A</v>
      </c>
      <c r="AE176" s="3157" t="e">
        <f t="shared" ref="AE176" si="65">SUM(AB176:AC177)</f>
        <v>#N/A</v>
      </c>
      <c r="AF176" s="2721"/>
      <c r="AG176"/>
      <c r="AH176" s="2351" t="e">
        <f t="shared" si="46"/>
        <v>#N/A</v>
      </c>
      <c r="AI176" s="2351" t="e">
        <f t="shared" si="47"/>
        <v>#N/A</v>
      </c>
      <c r="AJ176" s="123" t="e">
        <f t="shared" si="43"/>
        <v>#N/A</v>
      </c>
      <c r="AK176" t="e">
        <f t="shared" si="44"/>
        <v>#N/A</v>
      </c>
      <c r="AL176" t="e">
        <f t="shared" si="45"/>
        <v>#N/A</v>
      </c>
      <c r="AQ176" s="123"/>
      <c r="AR176" s="123"/>
      <c r="AS176" s="123"/>
      <c r="AT176" s="2982"/>
      <c r="AU176" s="123"/>
      <c r="AV176" s="123"/>
      <c r="AW176" s="2990"/>
      <c r="AX176" s="2984"/>
      <c r="AY176" s="2985"/>
      <c r="AZ176" s="2986"/>
      <c r="BA176" s="2987"/>
      <c r="BB176" s="3194"/>
      <c r="BC176" s="2989"/>
    </row>
    <row r="177" spans="1:55" s="350" customFormat="1" ht="52.2" x14ac:dyDescent="0.25">
      <c r="A177" s="3676"/>
      <c r="B177" s="3703"/>
      <c r="C177" s="3690"/>
      <c r="D177" s="3563"/>
      <c r="E177" s="2727" t="s">
        <v>3681</v>
      </c>
      <c r="F177" s="2727" t="s">
        <v>3682</v>
      </c>
      <c r="G177" s="1221" t="s">
        <v>3683</v>
      </c>
      <c r="H177" s="1222" t="s">
        <v>3684</v>
      </c>
      <c r="I177" s="1751" t="str">
        <f>"5-DaHall1-PDU-"&amp;M177&amp;"-"&amp;L177&amp;"-"&amp;N177</f>
        <v>5-DaHall1-PDU-21-30-17</v>
      </c>
      <c r="J177" s="1767" t="str">
        <f t="shared" si="58"/>
        <v>5-DaHall1-PDU-22-30-17</v>
      </c>
      <c r="K177" s="1768">
        <v>220</v>
      </c>
      <c r="L177" s="1769">
        <v>30</v>
      </c>
      <c r="M177" s="2370" t="s">
        <v>6545</v>
      </c>
      <c r="N177" s="1755">
        <v>17</v>
      </c>
      <c r="O177" s="1770">
        <v>220</v>
      </c>
      <c r="P177" s="1771">
        <v>30</v>
      </c>
      <c r="Q177" s="2388" t="s">
        <v>6546</v>
      </c>
      <c r="R177" s="1772">
        <v>17</v>
      </c>
      <c r="S177" s="1223" t="s">
        <v>3541</v>
      </c>
      <c r="T177" s="1224" t="s">
        <v>3542</v>
      </c>
      <c r="U177" s="1225" t="s">
        <v>3543</v>
      </c>
      <c r="V177" s="1226" t="s">
        <v>3544</v>
      </c>
      <c r="W177" s="3692"/>
      <c r="X177" s="3694"/>
      <c r="Y177" s="1227">
        <f>SUM('5층_부하량(월간_AVG)'!D631:F631)</f>
        <v>0</v>
      </c>
      <c r="Z177" s="1227">
        <f>SUM('5층_부하량(월간_AVG)'!D647:F647)</f>
        <v>0</v>
      </c>
      <c r="AA177" s="3695"/>
      <c r="AB177" s="2720" t="e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7" s="3111" t="e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7" s="3162" t="e">
        <f>VLOOKUP(I177&amp;J177,'7층~4층_매핑테이블'!$I$6:$P$2020,8,0)</f>
        <v>#N/A</v>
      </c>
      <c r="AE177" s="3156" t="e">
        <f>$AE$176</f>
        <v>#N/A</v>
      </c>
      <c r="AF177" s="2726"/>
      <c r="AG177"/>
      <c r="AH177" s="2351" t="e">
        <f t="shared" si="46"/>
        <v>#N/A</v>
      </c>
      <c r="AI177" s="2351" t="e">
        <f t="shared" si="47"/>
        <v>#N/A</v>
      </c>
      <c r="AJ177" s="123" t="e">
        <f t="shared" si="43"/>
        <v>#N/A</v>
      </c>
      <c r="AK177" t="e">
        <f t="shared" si="44"/>
        <v>#N/A</v>
      </c>
      <c r="AL177" t="e">
        <f t="shared" si="45"/>
        <v>#N/A</v>
      </c>
      <c r="AQ177" s="123"/>
      <c r="AR177" s="123"/>
      <c r="AS177" s="123"/>
      <c r="AT177" s="2982"/>
      <c r="AU177" s="123"/>
      <c r="AV177" s="123"/>
      <c r="AW177" s="2990"/>
      <c r="AX177" s="2984"/>
      <c r="AY177" s="2985"/>
      <c r="AZ177" s="2986"/>
      <c r="BA177" s="2987"/>
      <c r="BB177" s="3194"/>
      <c r="BC177" s="2989"/>
    </row>
    <row r="178" spans="1:55" s="350" customFormat="1" ht="52.2" x14ac:dyDescent="0.25">
      <c r="A178" s="3696" t="s">
        <v>1357</v>
      </c>
      <c r="B178" s="3703" t="s">
        <v>3667</v>
      </c>
      <c r="C178" s="3690" t="s">
        <v>3546</v>
      </c>
      <c r="D178" s="3563">
        <v>13</v>
      </c>
      <c r="E178" s="2719" t="s">
        <v>3668</v>
      </c>
      <c r="F178" s="1228" t="s">
        <v>3669</v>
      </c>
      <c r="G178" s="1229" t="s">
        <v>3670</v>
      </c>
      <c r="H178" s="1230" t="s">
        <v>3671</v>
      </c>
      <c r="I178" s="1759" t="str">
        <f t="shared" ref="I178:I219" si="66">"5-DaHall1-PDU-"&amp;M178&amp;"-"&amp;L178&amp;"-"&amp;N178</f>
        <v>5-DaHall1-PDU-19-30-15</v>
      </c>
      <c r="J178" s="1760" t="str">
        <f t="shared" si="58"/>
        <v>5-DaHall1-PDU-20-30-15</v>
      </c>
      <c r="K178" s="1761">
        <v>220</v>
      </c>
      <c r="L178" s="1762">
        <v>30</v>
      </c>
      <c r="M178" s="2371" t="s">
        <v>6544</v>
      </c>
      <c r="N178" s="1763">
        <v>15</v>
      </c>
      <c r="O178" s="1764">
        <v>220</v>
      </c>
      <c r="P178" s="1765">
        <v>30</v>
      </c>
      <c r="Q178" s="2390" t="s">
        <v>6547</v>
      </c>
      <c r="R178" s="1766">
        <v>15</v>
      </c>
      <c r="S178" s="1246" t="s">
        <v>3533</v>
      </c>
      <c r="T178" s="1247" t="s">
        <v>3534</v>
      </c>
      <c r="U178" s="1248" t="s">
        <v>3535</v>
      </c>
      <c r="V178" s="1249" t="s">
        <v>3536</v>
      </c>
      <c r="W178" s="3691" t="s">
        <v>2484</v>
      </c>
      <c r="X178" s="3693" t="s">
        <v>2485</v>
      </c>
      <c r="Y178" s="1235">
        <f>SUM('5층_부하량(월간_AVG)'!D598:F598)</f>
        <v>0</v>
      </c>
      <c r="Z178" s="1235">
        <f>SUM('5층_부하량(월간_AVG)'!D614:F614)</f>
        <v>0</v>
      </c>
      <c r="AA178" s="3686">
        <f t="shared" ref="AA178" si="67">SUM(Y178:Z179)</f>
        <v>0</v>
      </c>
      <c r="AB178" s="2720" t="e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8" s="3111" t="e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8" s="3162" t="e">
        <f>VLOOKUP(I178&amp;J178,'7층~4층_매핑테이블'!$I$6:$P$2020,8,0)</f>
        <v>#N/A</v>
      </c>
      <c r="AE178" s="3157" t="e">
        <f t="shared" ref="AE178" si="68">SUM(AB178:AC179)</f>
        <v>#N/A</v>
      </c>
      <c r="AF178" s="2728"/>
      <c r="AG178"/>
      <c r="AH178" s="2351" t="e">
        <f t="shared" si="46"/>
        <v>#N/A</v>
      </c>
      <c r="AI178" s="2351" t="e">
        <f t="shared" si="47"/>
        <v>#N/A</v>
      </c>
      <c r="AJ178" s="123" t="e">
        <f t="shared" si="43"/>
        <v>#N/A</v>
      </c>
      <c r="AK178" t="e">
        <f t="shared" si="44"/>
        <v>#N/A</v>
      </c>
      <c r="AL178" t="e">
        <f t="shared" si="45"/>
        <v>#N/A</v>
      </c>
      <c r="AQ178" s="123"/>
      <c r="AR178" s="123"/>
      <c r="AS178" s="123"/>
      <c r="AT178" s="2982"/>
      <c r="AU178" s="123"/>
      <c r="AV178" s="123"/>
      <c r="AW178" s="2990"/>
      <c r="AX178" s="2984"/>
      <c r="AY178" s="2985"/>
      <c r="AZ178" s="2986"/>
      <c r="BA178" s="2987"/>
      <c r="BB178" s="3194"/>
      <c r="BC178" s="2989"/>
    </row>
    <row r="179" spans="1:55" s="350" customFormat="1" ht="52.2" x14ac:dyDescent="0.25">
      <c r="A179" s="3697"/>
      <c r="B179" s="3703"/>
      <c r="C179" s="3690"/>
      <c r="D179" s="3563"/>
      <c r="E179" s="2727" t="s">
        <v>3672</v>
      </c>
      <c r="F179" s="2727" t="s">
        <v>3673</v>
      </c>
      <c r="G179" s="1221" t="s">
        <v>3674</v>
      </c>
      <c r="H179" s="1222" t="s">
        <v>3675</v>
      </c>
      <c r="I179" s="1751" t="str">
        <f t="shared" si="66"/>
        <v>5-DaHall1-PDU-21-30-15</v>
      </c>
      <c r="J179" s="1767" t="str">
        <f t="shared" si="58"/>
        <v>5-DaHall1-PDU-22-30-15</v>
      </c>
      <c r="K179" s="1768">
        <v>220</v>
      </c>
      <c r="L179" s="1769">
        <v>30</v>
      </c>
      <c r="M179" s="2370" t="s">
        <v>6545</v>
      </c>
      <c r="N179" s="1755">
        <v>15</v>
      </c>
      <c r="O179" s="1770">
        <v>220</v>
      </c>
      <c r="P179" s="1771">
        <v>30</v>
      </c>
      <c r="Q179" s="2388" t="s">
        <v>6546</v>
      </c>
      <c r="R179" s="1772">
        <v>15</v>
      </c>
      <c r="S179" s="1223" t="s">
        <v>3541</v>
      </c>
      <c r="T179" s="1224" t="s">
        <v>3542</v>
      </c>
      <c r="U179" s="1255" t="s">
        <v>3543</v>
      </c>
      <c r="V179" s="1256" t="s">
        <v>3544</v>
      </c>
      <c r="W179" s="3698"/>
      <c r="X179" s="3699"/>
      <c r="Y179" s="1227">
        <f>SUM('5층_부하량(월간_AVG)'!D630:F630)</f>
        <v>0</v>
      </c>
      <c r="Z179" s="1227">
        <f>SUM('5층_부하량(월간_AVG)'!D646:F646)</f>
        <v>0</v>
      </c>
      <c r="AA179" s="3695"/>
      <c r="AB179" s="2720" t="e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9" s="3111" t="e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9" s="3162" t="e">
        <f>VLOOKUP(I179&amp;J179,'7층~4층_매핑테이블'!$I$6:$P$2020,8,0)</f>
        <v>#N/A</v>
      </c>
      <c r="AE179" s="3156" t="e">
        <f>$AE$178</f>
        <v>#N/A</v>
      </c>
      <c r="AF179" s="2729"/>
      <c r="AG179"/>
      <c r="AH179" s="2351" t="e">
        <f t="shared" si="46"/>
        <v>#N/A</v>
      </c>
      <c r="AI179" s="2351" t="e">
        <f t="shared" si="47"/>
        <v>#N/A</v>
      </c>
      <c r="AJ179" s="123" t="e">
        <f t="shared" si="43"/>
        <v>#N/A</v>
      </c>
      <c r="AK179" t="e">
        <f t="shared" si="44"/>
        <v>#N/A</v>
      </c>
      <c r="AL179" t="e">
        <f t="shared" si="45"/>
        <v>#N/A</v>
      </c>
      <c r="AQ179" s="123"/>
      <c r="AR179" s="123"/>
      <c r="AS179" s="123"/>
      <c r="AT179" s="2982"/>
      <c r="AU179" s="123"/>
      <c r="AV179" s="123"/>
      <c r="AW179" s="2990"/>
      <c r="AX179" s="2984"/>
      <c r="AY179" s="2985"/>
      <c r="AZ179" s="2986"/>
      <c r="BA179" s="2987"/>
      <c r="BB179" s="3194"/>
      <c r="BC179" s="2989"/>
    </row>
    <row r="180" spans="1:55" s="350" customFormat="1" ht="52.2" x14ac:dyDescent="0.25">
      <c r="A180" s="3676" t="s">
        <v>1284</v>
      </c>
      <c r="B180" s="3703" t="s">
        <v>3658</v>
      </c>
      <c r="C180" s="3690" t="s">
        <v>3546</v>
      </c>
      <c r="D180" s="3563">
        <v>13</v>
      </c>
      <c r="E180" s="2719" t="s">
        <v>3659</v>
      </c>
      <c r="F180" s="1228" t="s">
        <v>3660</v>
      </c>
      <c r="G180" s="1244" t="s">
        <v>3661</v>
      </c>
      <c r="H180" s="1245" t="s">
        <v>3662</v>
      </c>
      <c r="I180" s="1773" t="str">
        <f t="shared" si="66"/>
        <v>5-DaHall1-PDU-19-30-14</v>
      </c>
      <c r="J180" s="1774" t="str">
        <f t="shared" si="58"/>
        <v>5-DaHall1-PDU-20-30-14</v>
      </c>
      <c r="K180" s="1775">
        <v>220</v>
      </c>
      <c r="L180" s="1776">
        <v>30</v>
      </c>
      <c r="M180" s="2372" t="s">
        <v>6544</v>
      </c>
      <c r="N180" s="1777">
        <v>14</v>
      </c>
      <c r="O180" s="1778">
        <v>220</v>
      </c>
      <c r="P180" s="1779">
        <v>30</v>
      </c>
      <c r="Q180" s="2391" t="s">
        <v>6547</v>
      </c>
      <c r="R180" s="1780">
        <v>14</v>
      </c>
      <c r="S180" s="1246" t="s">
        <v>3533</v>
      </c>
      <c r="T180" s="1247" t="s">
        <v>3534</v>
      </c>
      <c r="U180" s="1233" t="s">
        <v>3535</v>
      </c>
      <c r="V180" s="1234" t="s">
        <v>3536</v>
      </c>
      <c r="W180" s="3700" t="s">
        <v>2484</v>
      </c>
      <c r="X180" s="3701" t="s">
        <v>2485</v>
      </c>
      <c r="Y180" s="1235">
        <f>SUM('5층_부하량(월간_AVG)'!N597:P597)</f>
        <v>0</v>
      </c>
      <c r="Z180" s="1235">
        <f>SUM('5층_부하량(월간_AVG)'!N613:P613)</f>
        <v>0</v>
      </c>
      <c r="AA180" s="3686">
        <f t="shared" ref="AA180" si="69">SUM(Y180:Z181)</f>
        <v>0</v>
      </c>
      <c r="AB180" s="2720" t="e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80" s="3111" t="e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80" s="3162" t="e">
        <f>VLOOKUP(I180&amp;J180,'7층~4층_매핑테이블'!$I$6:$P$2020,8,0)</f>
        <v>#N/A</v>
      </c>
      <c r="AE180" s="3157" t="e">
        <f t="shared" ref="AE180" si="70">SUM(AB180:AC181)</f>
        <v>#N/A</v>
      </c>
      <c r="AF180" s="2721"/>
      <c r="AG180"/>
      <c r="AH180" s="2351" t="e">
        <f t="shared" si="46"/>
        <v>#N/A</v>
      </c>
      <c r="AI180" s="2351" t="e">
        <f t="shared" si="47"/>
        <v>#N/A</v>
      </c>
      <c r="AJ180" s="123" t="e">
        <f t="shared" si="43"/>
        <v>#N/A</v>
      </c>
      <c r="AK180" t="e">
        <f t="shared" si="44"/>
        <v>#N/A</v>
      </c>
      <c r="AL180" t="e">
        <f t="shared" si="45"/>
        <v>#N/A</v>
      </c>
      <c r="AQ180" s="123"/>
      <c r="AR180" s="123"/>
      <c r="AS180" s="123"/>
      <c r="AT180" s="2982"/>
      <c r="AU180" s="123"/>
      <c r="AV180" s="123"/>
      <c r="AW180" s="2990"/>
      <c r="AX180" s="2984"/>
      <c r="AY180" s="2985"/>
      <c r="AZ180" s="2986"/>
      <c r="BA180" s="2987"/>
      <c r="BB180" s="3194"/>
      <c r="BC180" s="2989"/>
    </row>
    <row r="181" spans="1:55" s="350" customFormat="1" ht="52.2" x14ac:dyDescent="0.25">
      <c r="A181" s="3676"/>
      <c r="B181" s="3703"/>
      <c r="C181" s="3690"/>
      <c r="D181" s="3563"/>
      <c r="E181" s="2727" t="s">
        <v>3663</v>
      </c>
      <c r="F181" s="2727" t="s">
        <v>3664</v>
      </c>
      <c r="G181" s="1251" t="s">
        <v>3665</v>
      </c>
      <c r="H181" s="1252" t="s">
        <v>3666</v>
      </c>
      <c r="I181" s="1781" t="str">
        <f t="shared" si="66"/>
        <v>5-DaHall1-PDU-21-30-14</v>
      </c>
      <c r="J181" s="1752" t="str">
        <f t="shared" si="58"/>
        <v>5-DaHall1-PDU-22-30-14</v>
      </c>
      <c r="K181" s="1753">
        <v>220</v>
      </c>
      <c r="L181" s="1754">
        <v>30</v>
      </c>
      <c r="M181" s="2373" t="s">
        <v>6545</v>
      </c>
      <c r="N181" s="1782">
        <v>14</v>
      </c>
      <c r="O181" s="1756">
        <v>220</v>
      </c>
      <c r="P181" s="1757">
        <v>30</v>
      </c>
      <c r="Q181" s="2387" t="s">
        <v>6546</v>
      </c>
      <c r="R181" s="1758">
        <v>14</v>
      </c>
      <c r="S181" s="1223" t="s">
        <v>3541</v>
      </c>
      <c r="T181" s="1224" t="s">
        <v>3542</v>
      </c>
      <c r="U181" s="1225" t="s">
        <v>3543</v>
      </c>
      <c r="V181" s="1226" t="s">
        <v>3544</v>
      </c>
      <c r="W181" s="3692"/>
      <c r="X181" s="3694"/>
      <c r="Y181" s="1227">
        <f>SUM('5층_부하량(월간_AVG)'!N629:P629)</f>
        <v>0</v>
      </c>
      <c r="Z181" s="1227">
        <f>SUM('5층_부하량(월간_AVG)'!N645:P645)</f>
        <v>0</v>
      </c>
      <c r="AA181" s="3695"/>
      <c r="AB181" s="2720" t="e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1" s="3111" t="e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1" s="3162" t="e">
        <f>VLOOKUP(I181&amp;J181,'7층~4층_매핑테이블'!$I$6:$P$2020,8,0)</f>
        <v>#N/A</v>
      </c>
      <c r="AE181" s="3156" t="e">
        <f>$AE$180</f>
        <v>#N/A</v>
      </c>
      <c r="AF181" s="2726"/>
      <c r="AG181"/>
      <c r="AH181" s="2351" t="e">
        <f t="shared" si="46"/>
        <v>#N/A</v>
      </c>
      <c r="AI181" s="2351" t="e">
        <f t="shared" si="47"/>
        <v>#N/A</v>
      </c>
      <c r="AJ181" s="123" t="e">
        <f t="shared" si="43"/>
        <v>#N/A</v>
      </c>
      <c r="AK181" t="e">
        <f t="shared" si="44"/>
        <v>#N/A</v>
      </c>
      <c r="AL181" t="e">
        <f t="shared" si="45"/>
        <v>#N/A</v>
      </c>
      <c r="AQ181" s="123"/>
      <c r="AR181" s="123"/>
      <c r="AS181" s="123"/>
      <c r="AT181" s="2982"/>
      <c r="AU181" s="123"/>
      <c r="AV181" s="123"/>
      <c r="AW181" s="2990"/>
      <c r="AX181" s="2984"/>
      <c r="AY181" s="2985"/>
      <c r="AZ181" s="2986"/>
      <c r="BA181" s="2987"/>
      <c r="BB181" s="3194"/>
      <c r="BC181" s="2989"/>
    </row>
    <row r="182" spans="1:55" s="350" customFormat="1" ht="52.2" x14ac:dyDescent="0.25">
      <c r="A182" s="3696" t="s">
        <v>1290</v>
      </c>
      <c r="B182" s="3703" t="s">
        <v>3649</v>
      </c>
      <c r="C182" s="3690" t="s">
        <v>3546</v>
      </c>
      <c r="D182" s="3563">
        <v>13</v>
      </c>
      <c r="E182" s="2731" t="s">
        <v>3650</v>
      </c>
      <c r="F182" s="1243" t="s">
        <v>3651</v>
      </c>
      <c r="G182" s="1229" t="s">
        <v>3652</v>
      </c>
      <c r="H182" s="1230" t="s">
        <v>3653</v>
      </c>
      <c r="I182" s="1759" t="str">
        <f t="shared" si="66"/>
        <v>5-DaHall1-PDU-19-30-12</v>
      </c>
      <c r="J182" s="1760" t="str">
        <f t="shared" si="58"/>
        <v>5-DaHall1-PDU-20-30-12</v>
      </c>
      <c r="K182" s="1761">
        <v>220</v>
      </c>
      <c r="L182" s="1762">
        <v>30</v>
      </c>
      <c r="M182" s="2371" t="s">
        <v>6544</v>
      </c>
      <c r="N182" s="1763">
        <v>12</v>
      </c>
      <c r="O182" s="1764">
        <v>220</v>
      </c>
      <c r="P182" s="1765">
        <v>30</v>
      </c>
      <c r="Q182" s="2390" t="s">
        <v>6547</v>
      </c>
      <c r="R182" s="1766">
        <v>12</v>
      </c>
      <c r="S182" s="1246" t="s">
        <v>3533</v>
      </c>
      <c r="T182" s="1247" t="s">
        <v>3534</v>
      </c>
      <c r="U182" s="1248" t="s">
        <v>3535</v>
      </c>
      <c r="V182" s="1249" t="s">
        <v>3536</v>
      </c>
      <c r="W182" s="3691" t="s">
        <v>2484</v>
      </c>
      <c r="X182" s="3693" t="s">
        <v>2485</v>
      </c>
      <c r="Y182" s="1235">
        <f>SUM('5층_부하량(월간_AVG)'!N596:P596)</f>
        <v>0</v>
      </c>
      <c r="Z182" s="1250">
        <f>SUM('5층_부하량(월간_AVG)'!N612:P612)</f>
        <v>0</v>
      </c>
      <c r="AA182" s="3686">
        <f t="shared" ref="AA182" si="71">SUM(Y182:Z183)</f>
        <v>0</v>
      </c>
      <c r="AB182" s="2720" t="e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2" s="3111" t="e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2" s="3162" t="e">
        <f>VLOOKUP(I182&amp;J182,'7층~4층_매핑테이블'!$I$6:$P$2020,8,0)</f>
        <v>#N/A</v>
      </c>
      <c r="AE182" s="3157" t="e">
        <f t="shared" ref="AE182" si="72">SUM(AB182:AC183)</f>
        <v>#N/A</v>
      </c>
      <c r="AF182" s="2728"/>
      <c r="AG182"/>
      <c r="AH182" s="2351" t="e">
        <f t="shared" si="46"/>
        <v>#N/A</v>
      </c>
      <c r="AI182" s="2351" t="e">
        <f t="shared" si="47"/>
        <v>#N/A</v>
      </c>
      <c r="AJ182" s="123" t="e">
        <f t="shared" si="43"/>
        <v>#N/A</v>
      </c>
      <c r="AK182" t="e">
        <f t="shared" si="44"/>
        <v>#N/A</v>
      </c>
      <c r="AL182" t="e">
        <f t="shared" si="45"/>
        <v>#N/A</v>
      </c>
      <c r="AQ182" s="123"/>
      <c r="AR182" s="123"/>
      <c r="AS182" s="123"/>
      <c r="AT182" s="2982"/>
      <c r="AU182" s="123"/>
      <c r="AV182" s="123"/>
      <c r="AW182" s="2990"/>
      <c r="AX182" s="2984"/>
      <c r="AY182" s="2985"/>
      <c r="AZ182" s="2986"/>
      <c r="BA182" s="2987"/>
      <c r="BB182" s="3194"/>
      <c r="BC182" s="2989"/>
    </row>
    <row r="183" spans="1:55" s="350" customFormat="1" ht="52.2" x14ac:dyDescent="0.25">
      <c r="A183" s="3697"/>
      <c r="B183" s="3703"/>
      <c r="C183" s="3690"/>
      <c r="D183" s="3563"/>
      <c r="E183" s="2732" t="s">
        <v>3654</v>
      </c>
      <c r="F183" s="2732" t="s">
        <v>3655</v>
      </c>
      <c r="G183" s="1221" t="s">
        <v>3656</v>
      </c>
      <c r="H183" s="1222" t="s">
        <v>3657</v>
      </c>
      <c r="I183" s="1751" t="str">
        <f t="shared" si="66"/>
        <v>5-DaHall1-PDU-21-30-12</v>
      </c>
      <c r="J183" s="1767" t="str">
        <f t="shared" si="58"/>
        <v>5-DaHall1-PDU-22-30-12</v>
      </c>
      <c r="K183" s="1768">
        <v>220</v>
      </c>
      <c r="L183" s="1769">
        <v>30</v>
      </c>
      <c r="M183" s="2370" t="s">
        <v>6545</v>
      </c>
      <c r="N183" s="1755">
        <v>12</v>
      </c>
      <c r="O183" s="1770">
        <v>220</v>
      </c>
      <c r="P183" s="1771">
        <v>30</v>
      </c>
      <c r="Q183" s="2388" t="s">
        <v>6546</v>
      </c>
      <c r="R183" s="1772">
        <v>12</v>
      </c>
      <c r="S183" s="1223" t="s">
        <v>3541</v>
      </c>
      <c r="T183" s="1224" t="s">
        <v>3542</v>
      </c>
      <c r="U183" s="1255" t="s">
        <v>3543</v>
      </c>
      <c r="V183" s="1256" t="s">
        <v>3544</v>
      </c>
      <c r="W183" s="3698"/>
      <c r="X183" s="3699"/>
      <c r="Y183" s="1227">
        <f>SUM('5층_부하량(월간_AVG)'!N628:P628)</f>
        <v>0</v>
      </c>
      <c r="Z183" s="1257">
        <f>SUM('5층_부하량(월간_AVG)'!N644:P644)</f>
        <v>0</v>
      </c>
      <c r="AA183" s="3695"/>
      <c r="AB183" s="2720" t="e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3" s="3111" t="e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3" s="3162" t="e">
        <f>VLOOKUP(I183&amp;J183,'7층~4층_매핑테이블'!$I$6:$P$2020,8,0)</f>
        <v>#N/A</v>
      </c>
      <c r="AE183" s="3156" t="e">
        <f>$AE$182</f>
        <v>#N/A</v>
      </c>
      <c r="AF183" s="2729"/>
      <c r="AG183"/>
      <c r="AH183" s="2351" t="e">
        <f t="shared" si="46"/>
        <v>#N/A</v>
      </c>
      <c r="AI183" s="2351" t="e">
        <f t="shared" si="47"/>
        <v>#N/A</v>
      </c>
      <c r="AJ183" s="123" t="e">
        <f t="shared" si="43"/>
        <v>#N/A</v>
      </c>
      <c r="AK183" t="e">
        <f t="shared" si="44"/>
        <v>#N/A</v>
      </c>
      <c r="AL183" t="e">
        <f t="shared" si="45"/>
        <v>#N/A</v>
      </c>
      <c r="AQ183" s="123"/>
      <c r="AR183" s="123"/>
      <c r="AS183" s="123"/>
      <c r="AT183" s="2982"/>
      <c r="AU183" s="123"/>
      <c r="AV183" s="123"/>
      <c r="AW183" s="2990"/>
      <c r="AX183" s="2984"/>
      <c r="AY183" s="2985"/>
      <c r="AZ183" s="2986"/>
      <c r="BA183" s="2987"/>
      <c r="BB183" s="3194"/>
      <c r="BC183" s="2989"/>
    </row>
    <row r="184" spans="1:55" s="350" customFormat="1" ht="52.2" x14ac:dyDescent="0.25">
      <c r="A184" s="3676" t="s">
        <v>1296</v>
      </c>
      <c r="B184" s="3703" t="s">
        <v>3640</v>
      </c>
      <c r="C184" s="3690" t="s">
        <v>3546</v>
      </c>
      <c r="D184" s="3563">
        <v>13</v>
      </c>
      <c r="E184" s="2719" t="s">
        <v>3641</v>
      </c>
      <c r="F184" s="1228" t="s">
        <v>3642</v>
      </c>
      <c r="G184" s="1229" t="s">
        <v>3643</v>
      </c>
      <c r="H184" s="1230" t="s">
        <v>3644</v>
      </c>
      <c r="I184" s="1759" t="str">
        <f t="shared" si="66"/>
        <v>5-DaHall1-PDU-19-50-10</v>
      </c>
      <c r="J184" s="1760" t="str">
        <f t="shared" si="58"/>
        <v>5-DaHall1-PDU-20-50-10</v>
      </c>
      <c r="K184" s="1761">
        <v>220</v>
      </c>
      <c r="L184" s="1762">
        <v>50</v>
      </c>
      <c r="M184" s="2371" t="s">
        <v>6544</v>
      </c>
      <c r="N184" s="1763">
        <v>10</v>
      </c>
      <c r="O184" s="1764">
        <v>220</v>
      </c>
      <c r="P184" s="1765">
        <v>50</v>
      </c>
      <c r="Q184" s="2390" t="s">
        <v>6547</v>
      </c>
      <c r="R184" s="1766">
        <v>10</v>
      </c>
      <c r="S184" s="1231" t="s">
        <v>3533</v>
      </c>
      <c r="T184" s="1232" t="s">
        <v>3534</v>
      </c>
      <c r="U184" s="1233" t="s">
        <v>3535</v>
      </c>
      <c r="V184" s="1234" t="s">
        <v>3536</v>
      </c>
      <c r="W184" s="3700" t="s">
        <v>2484</v>
      </c>
      <c r="X184" s="3701" t="s">
        <v>2485</v>
      </c>
      <c r="Y184" s="1235">
        <f>SUM('5층_부하량(월간_AVG)'!N595:P595)</f>
        <v>0</v>
      </c>
      <c r="Z184" s="1235">
        <f>SUM('5층_부하량(월간_AVG)'!N611:P611)</f>
        <v>0</v>
      </c>
      <c r="AA184" s="3686">
        <f t="shared" ref="AA184" si="73">SUM(Y184:Z185)</f>
        <v>0</v>
      </c>
      <c r="AB184" s="2720" t="e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4" s="3111" t="e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4" s="3162" t="e">
        <f>VLOOKUP(I184&amp;J184,'7층~4층_매핑테이블'!$I$6:$P$2020,8,0)</f>
        <v>#N/A</v>
      </c>
      <c r="AE184" s="3157" t="e">
        <f t="shared" ref="AE184" si="74">SUM(AB184:AC185)</f>
        <v>#N/A</v>
      </c>
      <c r="AF184" s="2721"/>
      <c r="AG184"/>
      <c r="AH184" s="2351" t="e">
        <f t="shared" si="46"/>
        <v>#N/A</v>
      </c>
      <c r="AI184" s="2351" t="e">
        <f t="shared" si="47"/>
        <v>#N/A</v>
      </c>
      <c r="AJ184" s="123" t="e">
        <f t="shared" si="43"/>
        <v>#N/A</v>
      </c>
      <c r="AK184" t="e">
        <f t="shared" si="44"/>
        <v>#N/A</v>
      </c>
      <c r="AL184" t="e">
        <f t="shared" si="45"/>
        <v>#N/A</v>
      </c>
      <c r="AQ184" s="123"/>
      <c r="AR184" s="123"/>
      <c r="AS184" s="123"/>
      <c r="AT184" s="2982"/>
      <c r="AU184" s="123"/>
      <c r="AV184" s="123"/>
      <c r="AW184" s="2990"/>
      <c r="AX184" s="2984"/>
      <c r="AY184" s="2985"/>
      <c r="AZ184" s="2986"/>
      <c r="BA184" s="2987"/>
      <c r="BB184" s="3194"/>
      <c r="BC184" s="2989"/>
    </row>
    <row r="185" spans="1:55" s="350" customFormat="1" ht="52.2" x14ac:dyDescent="0.25">
      <c r="A185" s="3676"/>
      <c r="B185" s="3703"/>
      <c r="C185" s="3690"/>
      <c r="D185" s="3563"/>
      <c r="E185" s="2727" t="s">
        <v>3645</v>
      </c>
      <c r="F185" s="2727" t="s">
        <v>3646</v>
      </c>
      <c r="G185" s="1221" t="s">
        <v>3647</v>
      </c>
      <c r="H185" s="1222" t="s">
        <v>3648</v>
      </c>
      <c r="I185" s="1751" t="str">
        <f t="shared" si="66"/>
        <v>5-DaHall1-PDU-21-50-10</v>
      </c>
      <c r="J185" s="1767" t="str">
        <f t="shared" si="58"/>
        <v>5-DaHall1-PDU-22-50-10</v>
      </c>
      <c r="K185" s="1768">
        <v>220</v>
      </c>
      <c r="L185" s="1769">
        <v>50</v>
      </c>
      <c r="M185" s="2370" t="s">
        <v>6545</v>
      </c>
      <c r="N185" s="1755">
        <v>10</v>
      </c>
      <c r="O185" s="1770">
        <v>220</v>
      </c>
      <c r="P185" s="1771">
        <v>50</v>
      </c>
      <c r="Q185" s="2388" t="s">
        <v>6546</v>
      </c>
      <c r="R185" s="1772">
        <v>10</v>
      </c>
      <c r="S185" s="1223" t="s">
        <v>3541</v>
      </c>
      <c r="T185" s="1224" t="s">
        <v>3542</v>
      </c>
      <c r="U185" s="1225" t="s">
        <v>3543</v>
      </c>
      <c r="V185" s="1226" t="s">
        <v>3544</v>
      </c>
      <c r="W185" s="3692"/>
      <c r="X185" s="3694"/>
      <c r="Y185" s="1227">
        <f>SUM('5층_부하량(월간_AVG)'!N627:P627)</f>
        <v>0</v>
      </c>
      <c r="Z185" s="1227">
        <f>SUM('5층_부하량(월간_AVG)'!N643:P643)</f>
        <v>0</v>
      </c>
      <c r="AA185" s="3695"/>
      <c r="AB185" s="2720" t="e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5" s="3111" t="e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5" s="3162" t="e">
        <f>VLOOKUP(I185&amp;J185,'7층~4층_매핑테이블'!$I$6:$P$2020,8,0)</f>
        <v>#N/A</v>
      </c>
      <c r="AE185" s="3156" t="e">
        <f>$AE$184</f>
        <v>#N/A</v>
      </c>
      <c r="AF185" s="2726"/>
      <c r="AG185"/>
      <c r="AH185" s="2351" t="e">
        <f t="shared" si="46"/>
        <v>#N/A</v>
      </c>
      <c r="AI185" s="2351" t="e">
        <f t="shared" si="47"/>
        <v>#N/A</v>
      </c>
      <c r="AJ185" s="123" t="e">
        <f t="shared" si="43"/>
        <v>#N/A</v>
      </c>
      <c r="AK185" t="e">
        <f t="shared" si="44"/>
        <v>#N/A</v>
      </c>
      <c r="AL185" t="e">
        <f t="shared" si="45"/>
        <v>#N/A</v>
      </c>
      <c r="AQ185" s="123"/>
      <c r="AR185" s="123"/>
      <c r="AS185" s="123"/>
      <c r="AT185" s="2982"/>
      <c r="AU185" s="123"/>
      <c r="AV185" s="123"/>
      <c r="AW185" s="2990"/>
      <c r="AX185" s="2984"/>
      <c r="AY185" s="2985"/>
      <c r="AZ185" s="2986"/>
      <c r="BA185" s="2987"/>
      <c r="BB185" s="3194"/>
      <c r="BC185" s="2989"/>
    </row>
    <row r="186" spans="1:55" s="350" customFormat="1" ht="52.2" x14ac:dyDescent="0.25">
      <c r="A186" s="3696" t="s">
        <v>1302</v>
      </c>
      <c r="B186" s="3702" t="s">
        <v>3631</v>
      </c>
      <c r="C186" s="3690" t="s">
        <v>3546</v>
      </c>
      <c r="D186" s="3563">
        <v>13</v>
      </c>
      <c r="E186" s="2731" t="s">
        <v>3632</v>
      </c>
      <c r="F186" s="1243" t="s">
        <v>3633</v>
      </c>
      <c r="G186" s="1244" t="s">
        <v>3634</v>
      </c>
      <c r="H186" s="1245" t="s">
        <v>3635</v>
      </c>
      <c r="I186" s="1773" t="str">
        <f t="shared" si="66"/>
        <v>5-DaHall1-PDU-19-50-8</v>
      </c>
      <c r="J186" s="1774" t="str">
        <f t="shared" si="58"/>
        <v>5-DaHall1-PDU-20-50-8</v>
      </c>
      <c r="K186" s="1775">
        <v>220</v>
      </c>
      <c r="L186" s="1776">
        <v>50</v>
      </c>
      <c r="M186" s="2372" t="s">
        <v>6544</v>
      </c>
      <c r="N186" s="1777">
        <v>8</v>
      </c>
      <c r="O186" s="1778">
        <v>220</v>
      </c>
      <c r="P186" s="1779">
        <v>50</v>
      </c>
      <c r="Q186" s="2391" t="s">
        <v>6547</v>
      </c>
      <c r="R186" s="1780">
        <v>8</v>
      </c>
      <c r="S186" s="1246" t="s">
        <v>3533</v>
      </c>
      <c r="T186" s="1247" t="s">
        <v>3534</v>
      </c>
      <c r="U186" s="1248" t="s">
        <v>3535</v>
      </c>
      <c r="V186" s="1249" t="s">
        <v>3536</v>
      </c>
      <c r="W186" s="3691" t="s">
        <v>2484</v>
      </c>
      <c r="X186" s="3693" t="s">
        <v>2485</v>
      </c>
      <c r="Y186" s="1250">
        <f>SUM('5층_부하량(월간_AVG)'!N594:P594)</f>
        <v>0</v>
      </c>
      <c r="Z186" s="1250">
        <f>SUM('5층_부하량(월간_AVG)'!N610:P610)</f>
        <v>0</v>
      </c>
      <c r="AA186" s="3708">
        <f t="shared" ref="AA186" si="75">SUM(Y186:Z187)</f>
        <v>0</v>
      </c>
      <c r="AB186" s="2733" t="e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6" s="3111" t="e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6" s="3162" t="e">
        <f>VLOOKUP(I186&amp;J186,'7층~4층_매핑테이블'!$I$6:$P$2020,8,0)</f>
        <v>#N/A</v>
      </c>
      <c r="AE186" s="3157" t="e">
        <f t="shared" ref="AE186" si="76">SUM(AB186:AC187)</f>
        <v>#N/A</v>
      </c>
      <c r="AF186" s="2728"/>
      <c r="AG186"/>
      <c r="AH186" s="2351" t="e">
        <f t="shared" si="46"/>
        <v>#N/A</v>
      </c>
      <c r="AI186" s="2351" t="e">
        <f t="shared" si="47"/>
        <v>#N/A</v>
      </c>
      <c r="AJ186" s="123" t="e">
        <f t="shared" si="43"/>
        <v>#N/A</v>
      </c>
      <c r="AK186" t="e">
        <f t="shared" si="44"/>
        <v>#N/A</v>
      </c>
      <c r="AL186" t="e">
        <f t="shared" si="45"/>
        <v>#N/A</v>
      </c>
      <c r="AQ186" s="123"/>
      <c r="AR186" s="123"/>
      <c r="AS186" s="123"/>
      <c r="AT186" s="2982"/>
      <c r="AU186" s="123"/>
      <c r="AV186" s="123"/>
      <c r="AW186" s="2990"/>
      <c r="AX186" s="2984"/>
      <c r="AY186" s="2985"/>
      <c r="AZ186" s="2986"/>
      <c r="BA186" s="2987"/>
      <c r="BB186" s="3194"/>
      <c r="BC186" s="2989"/>
    </row>
    <row r="187" spans="1:55" s="350" customFormat="1" ht="52.2" x14ac:dyDescent="0.25">
      <c r="A187" s="3697"/>
      <c r="B187" s="3707"/>
      <c r="C187" s="3690"/>
      <c r="D187" s="3563"/>
      <c r="E187" s="2732" t="s">
        <v>3636</v>
      </c>
      <c r="F187" s="2732" t="s">
        <v>3637</v>
      </c>
      <c r="G187" s="1251" t="s">
        <v>3638</v>
      </c>
      <c r="H187" s="1252" t="s">
        <v>3639</v>
      </c>
      <c r="I187" s="1781" t="str">
        <f t="shared" si="66"/>
        <v>5-DaHall1-PDU-21-50-8</v>
      </c>
      <c r="J187" s="1752" t="str">
        <f t="shared" si="58"/>
        <v>5-DaHall1-PDU-22-50-8</v>
      </c>
      <c r="K187" s="1753">
        <v>220</v>
      </c>
      <c r="L187" s="1754">
        <v>50</v>
      </c>
      <c r="M187" s="2373" t="s">
        <v>6545</v>
      </c>
      <c r="N187" s="1782">
        <v>8</v>
      </c>
      <c r="O187" s="1756">
        <v>220</v>
      </c>
      <c r="P187" s="1757">
        <v>50</v>
      </c>
      <c r="Q187" s="2387" t="s">
        <v>6546</v>
      </c>
      <c r="R187" s="1758">
        <v>8</v>
      </c>
      <c r="S187" s="1253" t="s">
        <v>3541</v>
      </c>
      <c r="T187" s="1254" t="s">
        <v>3542</v>
      </c>
      <c r="U187" s="1255" t="s">
        <v>3543</v>
      </c>
      <c r="V187" s="1256" t="s">
        <v>3544</v>
      </c>
      <c r="W187" s="3698"/>
      <c r="X187" s="3699"/>
      <c r="Y187" s="1257">
        <f>SUM('5층_부하량(월간_AVG)'!N626:P626)</f>
        <v>0</v>
      </c>
      <c r="Z187" s="1257">
        <f>SUM('5층_부하량(월간_AVG)'!N642:P642)</f>
        <v>0</v>
      </c>
      <c r="AA187" s="3708"/>
      <c r="AB187" s="2720" t="e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7" s="3111" t="e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7" s="3162" t="e">
        <f>VLOOKUP(I187&amp;J187,'7층~4층_매핑테이블'!$I$6:$P$2020,8,0)</f>
        <v>#N/A</v>
      </c>
      <c r="AE187" s="3156" t="e">
        <f>$AE$186</f>
        <v>#N/A</v>
      </c>
      <c r="AF187" s="2729"/>
      <c r="AG187"/>
      <c r="AH187" s="2351" t="e">
        <f t="shared" si="46"/>
        <v>#N/A</v>
      </c>
      <c r="AI187" s="2351" t="e">
        <f t="shared" si="47"/>
        <v>#N/A</v>
      </c>
      <c r="AJ187" s="123" t="e">
        <f t="shared" si="43"/>
        <v>#N/A</v>
      </c>
      <c r="AK187" t="e">
        <f t="shared" si="44"/>
        <v>#N/A</v>
      </c>
      <c r="AL187" t="e">
        <f t="shared" si="45"/>
        <v>#N/A</v>
      </c>
      <c r="AQ187" s="123"/>
      <c r="AR187" s="123"/>
      <c r="AS187" s="123"/>
      <c r="AT187" s="2982"/>
      <c r="AU187" s="123"/>
      <c r="AV187" s="123"/>
      <c r="AW187" s="2990"/>
      <c r="AX187" s="2984"/>
      <c r="AY187" s="2985"/>
      <c r="AZ187" s="2986"/>
      <c r="BA187" s="2987"/>
      <c r="BB187" s="3194"/>
      <c r="BC187" s="2989"/>
    </row>
    <row r="188" spans="1:55" s="350" customFormat="1" ht="34.799999999999997" x14ac:dyDescent="0.25">
      <c r="A188" s="3676" t="s">
        <v>2942</v>
      </c>
      <c r="B188" s="3707" t="s">
        <v>8727</v>
      </c>
      <c r="C188" s="3690" t="s">
        <v>3546</v>
      </c>
      <c r="D188" s="3704">
        <v>13</v>
      </c>
      <c r="E188" s="2734"/>
      <c r="F188" s="2734"/>
      <c r="G188" s="2735"/>
      <c r="H188" s="2736"/>
      <c r="I188" s="1759" t="str">
        <f t="shared" si="66"/>
        <v>5-DaHall1-PDU-19-50-24</v>
      </c>
      <c r="J188" s="1760" t="str">
        <f t="shared" si="58"/>
        <v>5-DaHall1-PDU-20-50-24</v>
      </c>
      <c r="K188" s="1761">
        <v>220</v>
      </c>
      <c r="L188" s="1762">
        <v>50</v>
      </c>
      <c r="M188" s="2371" t="s">
        <v>6544</v>
      </c>
      <c r="N188" s="1763">
        <v>24</v>
      </c>
      <c r="O188" s="1764">
        <v>220</v>
      </c>
      <c r="P188" s="1765">
        <v>50</v>
      </c>
      <c r="Q188" s="2390" t="s">
        <v>6547</v>
      </c>
      <c r="R188" s="1766">
        <v>24</v>
      </c>
      <c r="S188" s="1231" t="s">
        <v>3623</v>
      </c>
      <c r="T188" s="1232" t="s">
        <v>3624</v>
      </c>
      <c r="U188" s="1233" t="s">
        <v>3535</v>
      </c>
      <c r="V188" s="1234" t="s">
        <v>3536</v>
      </c>
      <c r="W188" s="3700" t="s">
        <v>2484</v>
      </c>
      <c r="X188" s="3701" t="s">
        <v>2485</v>
      </c>
      <c r="Y188" s="1235">
        <f>SUM('5층_부하량(월간_AVG)'!N602:P602)</f>
        <v>0</v>
      </c>
      <c r="Z188" s="1235">
        <f>SUM('5층_부하량(월간_AVG)'!N618:P618)</f>
        <v>0</v>
      </c>
      <c r="AA188" s="3709">
        <f t="shared" ref="AA188" si="77">SUM(Y188:Z189)</f>
        <v>0</v>
      </c>
      <c r="AB188" s="2720" t="e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8" s="3111" t="e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8" s="3162" t="e">
        <f>VLOOKUP(I188&amp;J188,'7층~4층_매핑테이블'!$I$6:$P$2020,8,0)</f>
        <v>#N/A</v>
      </c>
      <c r="AE188" s="3157" t="e">
        <f t="shared" ref="AE188" si="78">SUM(AB188:AC189)</f>
        <v>#N/A</v>
      </c>
      <c r="AF188" s="3705" t="s">
        <v>8726</v>
      </c>
      <c r="AG188"/>
      <c r="AH188" s="2351" t="e">
        <f t="shared" si="46"/>
        <v>#N/A</v>
      </c>
      <c r="AI188" s="2351" t="e">
        <f t="shared" si="47"/>
        <v>#N/A</v>
      </c>
      <c r="AJ188" s="123" t="e">
        <f t="shared" si="43"/>
        <v>#N/A</v>
      </c>
      <c r="AK188" t="e">
        <f t="shared" si="44"/>
        <v>#N/A</v>
      </c>
      <c r="AL188" t="e">
        <f t="shared" si="45"/>
        <v>#N/A</v>
      </c>
      <c r="AQ188" s="123"/>
      <c r="AR188" s="123"/>
      <c r="AS188" s="123"/>
      <c r="AT188" s="2982"/>
      <c r="AU188" s="123"/>
      <c r="AV188" s="123"/>
      <c r="AW188" s="2990"/>
      <c r="AX188" s="2984"/>
      <c r="AY188" s="2985"/>
      <c r="AZ188" s="2986"/>
      <c r="BA188" s="2987"/>
      <c r="BB188" s="3194"/>
      <c r="BC188" s="2989"/>
    </row>
    <row r="189" spans="1:55" s="350" customFormat="1" ht="34.799999999999997" x14ac:dyDescent="0.25">
      <c r="A189" s="3676"/>
      <c r="B189" s="3702"/>
      <c r="C189" s="3690"/>
      <c r="D189" s="3704"/>
      <c r="E189" s="2737"/>
      <c r="F189" s="2737"/>
      <c r="G189" s="2738"/>
      <c r="H189" s="2739"/>
      <c r="I189" s="1751" t="str">
        <f t="shared" si="66"/>
        <v>5-DaHall1-PDU-21-50-24</v>
      </c>
      <c r="J189" s="1767" t="str">
        <f t="shared" si="58"/>
        <v>5-DaHall1-PDU-22-50-24</v>
      </c>
      <c r="K189" s="1768">
        <v>220</v>
      </c>
      <c r="L189" s="1769">
        <v>50</v>
      </c>
      <c r="M189" s="2370" t="s">
        <v>6545</v>
      </c>
      <c r="N189" s="1755">
        <v>24</v>
      </c>
      <c r="O189" s="1770">
        <v>220</v>
      </c>
      <c r="P189" s="1771">
        <v>50</v>
      </c>
      <c r="Q189" s="2388" t="s">
        <v>6546</v>
      </c>
      <c r="R189" s="1772">
        <v>24</v>
      </c>
      <c r="S189" s="1223" t="s">
        <v>3629</v>
      </c>
      <c r="T189" s="1224" t="s">
        <v>3630</v>
      </c>
      <c r="U189" s="1225" t="s">
        <v>3543</v>
      </c>
      <c r="V189" s="1226" t="s">
        <v>3544</v>
      </c>
      <c r="W189" s="3692"/>
      <c r="X189" s="3694"/>
      <c r="Y189" s="1227">
        <f>SUM('5층_부하량(월간_AVG)'!N634:P634)</f>
        <v>0</v>
      </c>
      <c r="Z189" s="1227">
        <f>SUM('5층_부하량(월간_AVG)'!N650:P650)</f>
        <v>0</v>
      </c>
      <c r="AA189" s="3710"/>
      <c r="AB189" s="2720" t="e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9" s="3111" t="e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9" s="3162" t="e">
        <f>VLOOKUP(I189&amp;J189,'7층~4층_매핑테이블'!$I$6:$P$2020,8,0)</f>
        <v>#N/A</v>
      </c>
      <c r="AE189" s="3156" t="e">
        <f>$AE$188</f>
        <v>#N/A</v>
      </c>
      <c r="AF189" s="3706"/>
      <c r="AG189"/>
      <c r="AH189" s="2351" t="e">
        <f t="shared" si="46"/>
        <v>#N/A</v>
      </c>
      <c r="AI189" s="2351" t="e">
        <f t="shared" si="47"/>
        <v>#N/A</v>
      </c>
      <c r="AJ189" s="123" t="e">
        <f t="shared" si="43"/>
        <v>#N/A</v>
      </c>
      <c r="AK189" t="e">
        <f t="shared" si="44"/>
        <v>#N/A</v>
      </c>
      <c r="AL189" t="e">
        <f t="shared" si="45"/>
        <v>#N/A</v>
      </c>
      <c r="AQ189" s="123"/>
      <c r="AR189" s="123"/>
      <c r="AS189" s="123"/>
      <c r="AT189" s="2982"/>
      <c r="AU189" s="123"/>
      <c r="AV189" s="123"/>
      <c r="AW189" s="2990"/>
      <c r="AX189" s="2984"/>
      <c r="AY189" s="2985"/>
      <c r="AZ189" s="2986"/>
      <c r="BA189" s="2987"/>
      <c r="BB189" s="3194"/>
      <c r="BC189" s="2989"/>
    </row>
    <row r="190" spans="1:55" s="350" customFormat="1" ht="52.2" x14ac:dyDescent="0.25">
      <c r="A190" s="3676" t="s">
        <v>2948</v>
      </c>
      <c r="B190" s="3707" t="s">
        <v>3618</v>
      </c>
      <c r="C190" s="3690" t="s">
        <v>3546</v>
      </c>
      <c r="D190" s="3563">
        <v>13</v>
      </c>
      <c r="E190" s="2719" t="s">
        <v>3619</v>
      </c>
      <c r="F190" s="1228" t="s">
        <v>3620</v>
      </c>
      <c r="G190" s="1229" t="s">
        <v>3621</v>
      </c>
      <c r="H190" s="1230" t="s">
        <v>3622</v>
      </c>
      <c r="I190" s="1759" t="str">
        <f t="shared" si="66"/>
        <v>5-DaHall1-PDU-19-30-6</v>
      </c>
      <c r="J190" s="1760" t="str">
        <f t="shared" si="58"/>
        <v>5-DaHall1-PDU-20-30-6</v>
      </c>
      <c r="K190" s="1761">
        <v>220</v>
      </c>
      <c r="L190" s="1762">
        <v>30</v>
      </c>
      <c r="M190" s="2371" t="s">
        <v>6544</v>
      </c>
      <c r="N190" s="1763">
        <v>6</v>
      </c>
      <c r="O190" s="1764">
        <v>220</v>
      </c>
      <c r="P190" s="1765">
        <v>30</v>
      </c>
      <c r="Q190" s="2390" t="s">
        <v>6547</v>
      </c>
      <c r="R190" s="1766">
        <v>6</v>
      </c>
      <c r="S190" s="1231" t="s">
        <v>3623</v>
      </c>
      <c r="T190" s="1232" t="s">
        <v>3624</v>
      </c>
      <c r="U190" s="1233" t="s">
        <v>3535</v>
      </c>
      <c r="V190" s="1234" t="s">
        <v>3536</v>
      </c>
      <c r="W190" s="3700" t="s">
        <v>2484</v>
      </c>
      <c r="X190" s="3701" t="s">
        <v>2485</v>
      </c>
      <c r="Y190" s="1235">
        <f>SUM('5층_부하량(월간_AVG)'!N593:P593)</f>
        <v>0</v>
      </c>
      <c r="Z190" s="1235">
        <f>SUM('5층_부하량(월간_AVG)'!N609:P609)</f>
        <v>0</v>
      </c>
      <c r="AA190" s="3686">
        <f t="shared" ref="AA190" si="79">SUM(Y190:Z191)</f>
        <v>0</v>
      </c>
      <c r="AB190" s="2720" t="e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90" s="3111" t="e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90" s="3162" t="e">
        <f>VLOOKUP(I190&amp;J190,'7층~4층_매핑테이블'!$I$6:$P$2020,8,0)</f>
        <v>#N/A</v>
      </c>
      <c r="AE190" s="3157" t="e">
        <f t="shared" ref="AE190" si="80">SUM(AB190:AC191)</f>
        <v>#N/A</v>
      </c>
      <c r="AF190" s="2721"/>
      <c r="AG190"/>
      <c r="AH190" s="2351" t="e">
        <f t="shared" si="46"/>
        <v>#N/A</v>
      </c>
      <c r="AI190" s="2351" t="e">
        <f t="shared" si="47"/>
        <v>#N/A</v>
      </c>
      <c r="AJ190" s="123" t="e">
        <f t="shared" si="43"/>
        <v>#N/A</v>
      </c>
      <c r="AK190" t="e">
        <f t="shared" si="44"/>
        <v>#N/A</v>
      </c>
      <c r="AL190" t="e">
        <f t="shared" si="45"/>
        <v>#N/A</v>
      </c>
      <c r="AQ190" s="123"/>
      <c r="AR190" s="123"/>
      <c r="AS190" s="123"/>
      <c r="AT190" s="2982"/>
      <c r="AU190" s="123"/>
      <c r="AV190" s="123"/>
      <c r="AW190" s="2990"/>
      <c r="AX190" s="2984"/>
      <c r="AY190" s="2985"/>
      <c r="AZ190" s="2986"/>
      <c r="BA190" s="2987"/>
      <c r="BB190" s="3194"/>
      <c r="BC190" s="2989"/>
    </row>
    <row r="191" spans="1:55" s="350" customFormat="1" ht="52.2" x14ac:dyDescent="0.25">
      <c r="A191" s="3676"/>
      <c r="B191" s="3702"/>
      <c r="C191" s="3690"/>
      <c r="D191" s="3563"/>
      <c r="E191" s="2727" t="s">
        <v>3625</v>
      </c>
      <c r="F191" s="2727" t="s">
        <v>3626</v>
      </c>
      <c r="G191" s="1221" t="s">
        <v>3627</v>
      </c>
      <c r="H191" s="1222" t="s">
        <v>3628</v>
      </c>
      <c r="I191" s="1751" t="str">
        <f t="shared" si="66"/>
        <v>5-DaHall1-PDU-21-30-6</v>
      </c>
      <c r="J191" s="1767" t="str">
        <f t="shared" si="58"/>
        <v>5-DaHall1-PDU-22-30-6</v>
      </c>
      <c r="K191" s="1768">
        <v>220</v>
      </c>
      <c r="L191" s="1769">
        <v>30</v>
      </c>
      <c r="M191" s="2370" t="s">
        <v>6545</v>
      </c>
      <c r="N191" s="1755">
        <v>6</v>
      </c>
      <c r="O191" s="1770">
        <v>220</v>
      </c>
      <c r="P191" s="1771">
        <v>30</v>
      </c>
      <c r="Q191" s="2388" t="s">
        <v>6546</v>
      </c>
      <c r="R191" s="1772">
        <v>6</v>
      </c>
      <c r="S191" s="1223" t="s">
        <v>3629</v>
      </c>
      <c r="T191" s="1224" t="s">
        <v>3630</v>
      </c>
      <c r="U191" s="1225" t="s">
        <v>3543</v>
      </c>
      <c r="V191" s="1226" t="s">
        <v>3544</v>
      </c>
      <c r="W191" s="3692"/>
      <c r="X191" s="3694"/>
      <c r="Y191" s="1227">
        <f>SUM('5층_부하량(월간_AVG)'!N625:P625)</f>
        <v>0</v>
      </c>
      <c r="Z191" s="1227">
        <f>SUM('5층_부하량(월간_AVG)'!N641:P641)</f>
        <v>0</v>
      </c>
      <c r="AA191" s="3695"/>
      <c r="AB191" s="2720" t="e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1" s="3111" t="e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1" s="3162" t="e">
        <f>VLOOKUP(I191&amp;J191,'7층~4층_매핑테이블'!$I$6:$P$2020,8,0)</f>
        <v>#N/A</v>
      </c>
      <c r="AE191" s="3156" t="e">
        <f>$AE$190</f>
        <v>#N/A</v>
      </c>
      <c r="AF191" s="2726"/>
      <c r="AG191"/>
      <c r="AH191" s="2351" t="e">
        <f t="shared" si="46"/>
        <v>#N/A</v>
      </c>
      <c r="AI191" s="2351" t="e">
        <f t="shared" si="47"/>
        <v>#N/A</v>
      </c>
      <c r="AJ191" s="123" t="e">
        <f t="shared" si="43"/>
        <v>#N/A</v>
      </c>
      <c r="AK191" t="e">
        <f t="shared" si="44"/>
        <v>#N/A</v>
      </c>
      <c r="AL191" t="e">
        <f t="shared" si="45"/>
        <v>#N/A</v>
      </c>
      <c r="AQ191" s="123"/>
      <c r="AR191" s="123"/>
      <c r="AS191" s="123"/>
      <c r="AT191" s="2982"/>
      <c r="AU191" s="123"/>
      <c r="AV191" s="123"/>
      <c r="AW191" s="2990"/>
      <c r="AX191" s="2984"/>
      <c r="AY191" s="2985"/>
      <c r="AZ191" s="2986"/>
      <c r="BA191" s="2987"/>
      <c r="BB191" s="3194"/>
      <c r="BC191" s="2989"/>
    </row>
    <row r="192" spans="1:55" s="350" customFormat="1" ht="52.2" x14ac:dyDescent="0.25">
      <c r="A192" s="3676" t="s">
        <v>2954</v>
      </c>
      <c r="B192" s="3707" t="s">
        <v>3609</v>
      </c>
      <c r="C192" s="3690" t="s">
        <v>3546</v>
      </c>
      <c r="D192" s="3563">
        <v>13</v>
      </c>
      <c r="E192" s="2719" t="s">
        <v>3610</v>
      </c>
      <c r="F192" s="1228" t="s">
        <v>3611</v>
      </c>
      <c r="G192" s="1244" t="s">
        <v>3612</v>
      </c>
      <c r="H192" s="1245" t="s">
        <v>3613</v>
      </c>
      <c r="I192" s="1773" t="str">
        <f t="shared" si="66"/>
        <v>5-DaHall1-PDU-19-50-4</v>
      </c>
      <c r="J192" s="1774" t="str">
        <f t="shared" si="58"/>
        <v>5-DaHall1-PDU-20-50-4</v>
      </c>
      <c r="K192" s="1775">
        <v>220</v>
      </c>
      <c r="L192" s="1776">
        <v>50</v>
      </c>
      <c r="M192" s="2372" t="s">
        <v>6544</v>
      </c>
      <c r="N192" s="1777">
        <v>4</v>
      </c>
      <c r="O192" s="1778">
        <v>220</v>
      </c>
      <c r="P192" s="1779">
        <v>50</v>
      </c>
      <c r="Q192" s="2391" t="s">
        <v>6547</v>
      </c>
      <c r="R192" s="1780">
        <v>4</v>
      </c>
      <c r="S192" s="1246" t="s">
        <v>3533</v>
      </c>
      <c r="T192" s="1247" t="s">
        <v>3534</v>
      </c>
      <c r="U192" s="1233" t="s">
        <v>3535</v>
      </c>
      <c r="V192" s="1234" t="s">
        <v>3536</v>
      </c>
      <c r="W192" s="3700" t="s">
        <v>2484</v>
      </c>
      <c r="X192" s="3701" t="s">
        <v>2485</v>
      </c>
      <c r="Y192" s="1235">
        <f>SUM('5층_부하량(월간_AVG)'!N592:P592)</f>
        <v>0</v>
      </c>
      <c r="Z192" s="1235">
        <f>SUM('5층_부하량(월간_AVG)'!N608:P608)</f>
        <v>0</v>
      </c>
      <c r="AA192" s="3686">
        <f t="shared" ref="AA192" si="81">SUM(Y192:Z193)</f>
        <v>0</v>
      </c>
      <c r="AB192" s="2720" t="e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2" s="3111" t="e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2" s="3162" t="e">
        <f>VLOOKUP(I192&amp;J192,'7층~4층_매핑테이블'!$I$6:$P$2020,8,0)</f>
        <v>#N/A</v>
      </c>
      <c r="AE192" s="3157" t="e">
        <f t="shared" ref="AE192" si="82">SUM(AB192:AC193)</f>
        <v>#N/A</v>
      </c>
      <c r="AF192" s="2721"/>
      <c r="AG192"/>
      <c r="AH192" s="2351" t="e">
        <f t="shared" si="46"/>
        <v>#N/A</v>
      </c>
      <c r="AI192" s="2351" t="e">
        <f t="shared" si="47"/>
        <v>#N/A</v>
      </c>
      <c r="AJ192" s="123" t="e">
        <f t="shared" si="43"/>
        <v>#N/A</v>
      </c>
      <c r="AK192" t="e">
        <f t="shared" si="44"/>
        <v>#N/A</v>
      </c>
      <c r="AL192" t="e">
        <f t="shared" si="45"/>
        <v>#N/A</v>
      </c>
      <c r="AQ192" s="123"/>
      <c r="AR192" s="123"/>
      <c r="AS192" s="123"/>
      <c r="AT192" s="2982"/>
      <c r="AU192" s="123"/>
      <c r="AV192" s="123"/>
      <c r="AW192" s="2990"/>
      <c r="AX192" s="2984"/>
      <c r="AY192" s="2985"/>
      <c r="AZ192" s="2986"/>
      <c r="BA192" s="2987"/>
      <c r="BB192" s="3194"/>
      <c r="BC192" s="2989"/>
    </row>
    <row r="193" spans="1:55" s="350" customFormat="1" ht="52.2" x14ac:dyDescent="0.25">
      <c r="A193" s="3676"/>
      <c r="B193" s="3702"/>
      <c r="C193" s="3690"/>
      <c r="D193" s="3563"/>
      <c r="E193" s="2727" t="s">
        <v>3614</v>
      </c>
      <c r="F193" s="2727" t="s">
        <v>3615</v>
      </c>
      <c r="G193" s="1251" t="s">
        <v>3616</v>
      </c>
      <c r="H193" s="1252" t="s">
        <v>3617</v>
      </c>
      <c r="I193" s="1781" t="str">
        <f t="shared" si="66"/>
        <v>5-DaHall1-PDU-21-50-4</v>
      </c>
      <c r="J193" s="1752" t="str">
        <f t="shared" si="58"/>
        <v>5-DaHall1-PDU-22-50-4</v>
      </c>
      <c r="K193" s="1753">
        <v>220</v>
      </c>
      <c r="L193" s="1754">
        <v>50</v>
      </c>
      <c r="M193" s="2373" t="s">
        <v>6545</v>
      </c>
      <c r="N193" s="1782">
        <v>4</v>
      </c>
      <c r="O193" s="1756">
        <v>220</v>
      </c>
      <c r="P193" s="1757">
        <v>50</v>
      </c>
      <c r="Q193" s="2387" t="s">
        <v>6546</v>
      </c>
      <c r="R193" s="1758">
        <v>4</v>
      </c>
      <c r="S193" s="1223" t="s">
        <v>3541</v>
      </c>
      <c r="T193" s="1224" t="s">
        <v>3542</v>
      </c>
      <c r="U193" s="1225" t="s">
        <v>3543</v>
      </c>
      <c r="V193" s="1226" t="s">
        <v>3544</v>
      </c>
      <c r="W193" s="3692"/>
      <c r="X193" s="3694"/>
      <c r="Y193" s="1227">
        <f>SUM('5층_부하량(월간_AVG)'!N624:P624)</f>
        <v>0</v>
      </c>
      <c r="Z193" s="1227">
        <f>SUM('5층_부하량(월간_AVG)'!N640:P640)</f>
        <v>0</v>
      </c>
      <c r="AA193" s="3695"/>
      <c r="AB193" s="2720" t="e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3" s="3111" t="e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3" s="3162" t="e">
        <f>VLOOKUP(I193&amp;J193,'7층~4층_매핑테이블'!$I$6:$P$2020,8,0)</f>
        <v>#N/A</v>
      </c>
      <c r="AE193" s="3156" t="e">
        <f>$AE$192</f>
        <v>#N/A</v>
      </c>
      <c r="AF193" s="2726"/>
      <c r="AG193"/>
      <c r="AH193" s="2351" t="e">
        <f t="shared" si="46"/>
        <v>#N/A</v>
      </c>
      <c r="AI193" s="2351" t="e">
        <f t="shared" si="47"/>
        <v>#N/A</v>
      </c>
      <c r="AJ193" s="123" t="e">
        <f t="shared" si="43"/>
        <v>#N/A</v>
      </c>
      <c r="AK193" t="e">
        <f t="shared" si="44"/>
        <v>#N/A</v>
      </c>
      <c r="AL193" t="e">
        <f t="shared" si="45"/>
        <v>#N/A</v>
      </c>
      <c r="AQ193" s="123"/>
      <c r="AR193" s="123"/>
      <c r="AS193" s="123"/>
      <c r="AT193" s="2982"/>
      <c r="AU193" s="123"/>
      <c r="AV193" s="123"/>
      <c r="AW193" s="2990"/>
      <c r="AX193" s="2984"/>
      <c r="AY193" s="2985"/>
      <c r="AZ193" s="2986"/>
      <c r="BA193" s="2987"/>
      <c r="BB193" s="3194"/>
      <c r="BC193" s="2989"/>
    </row>
    <row r="194" spans="1:55" s="350" customFormat="1" ht="52.2" x14ac:dyDescent="0.25">
      <c r="A194" s="3676" t="s">
        <v>2960</v>
      </c>
      <c r="B194" s="3707" t="s">
        <v>3600</v>
      </c>
      <c r="C194" s="3690" t="s">
        <v>3546</v>
      </c>
      <c r="D194" s="3563">
        <v>13</v>
      </c>
      <c r="E194" s="2719" t="s">
        <v>3601</v>
      </c>
      <c r="F194" s="1228" t="s">
        <v>3602</v>
      </c>
      <c r="G194" s="1244" t="s">
        <v>3603</v>
      </c>
      <c r="H194" s="1245" t="s">
        <v>3604</v>
      </c>
      <c r="I194" s="1773" t="str">
        <f t="shared" si="66"/>
        <v>5-DaHall1-PDU-19-50-2</v>
      </c>
      <c r="J194" s="1774" t="str">
        <f t="shared" si="58"/>
        <v>5-DaHall1-PDU-20-50-2</v>
      </c>
      <c r="K194" s="1775">
        <v>220</v>
      </c>
      <c r="L194" s="1776">
        <v>50</v>
      </c>
      <c r="M194" s="2372" t="s">
        <v>6544</v>
      </c>
      <c r="N194" s="1777">
        <v>2</v>
      </c>
      <c r="O194" s="1778">
        <v>220</v>
      </c>
      <c r="P194" s="1779">
        <v>50</v>
      </c>
      <c r="Q194" s="2391" t="s">
        <v>6547</v>
      </c>
      <c r="R194" s="1780">
        <v>2</v>
      </c>
      <c r="S194" s="1246" t="s">
        <v>3533</v>
      </c>
      <c r="T194" s="1247" t="s">
        <v>3534</v>
      </c>
      <c r="U194" s="1233" t="s">
        <v>3535</v>
      </c>
      <c r="V194" s="1234" t="s">
        <v>3536</v>
      </c>
      <c r="W194" s="3700" t="s">
        <v>2484</v>
      </c>
      <c r="X194" s="3701" t="s">
        <v>2485</v>
      </c>
      <c r="Y194" s="1235">
        <f>SUM('5층_부하량(월간_AVG)'!N591:P591)</f>
        <v>0</v>
      </c>
      <c r="Z194" s="1235">
        <f>SUM('5층_부하량(월간_AVG)'!N607:P607)</f>
        <v>0</v>
      </c>
      <c r="AA194" s="3686">
        <f t="shared" ref="AA194" si="83">SUM(Y194:Z195)</f>
        <v>0</v>
      </c>
      <c r="AB194" s="2720" t="e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4" s="3111" t="e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4" s="3162" t="e">
        <f>VLOOKUP(I194&amp;J194,'7층~4층_매핑테이블'!$I$6:$P$2020,8,0)</f>
        <v>#N/A</v>
      </c>
      <c r="AE194" s="3157" t="e">
        <f t="shared" ref="AE194" si="84">SUM(AB194:AC195)</f>
        <v>#N/A</v>
      </c>
      <c r="AF194" s="2721"/>
      <c r="AG194"/>
      <c r="AH194" s="2351" t="e">
        <f t="shared" si="46"/>
        <v>#N/A</v>
      </c>
      <c r="AI194" s="2351" t="e">
        <f t="shared" si="47"/>
        <v>#N/A</v>
      </c>
      <c r="AJ194" s="123" t="e">
        <f t="shared" si="43"/>
        <v>#N/A</v>
      </c>
      <c r="AK194" t="e">
        <f t="shared" si="44"/>
        <v>#N/A</v>
      </c>
      <c r="AL194" t="e">
        <f t="shared" si="45"/>
        <v>#N/A</v>
      </c>
      <c r="AQ194" s="123"/>
      <c r="AR194" s="123"/>
      <c r="AS194" s="123"/>
      <c r="AT194" s="2982"/>
      <c r="AU194" s="123"/>
      <c r="AV194" s="123"/>
      <c r="AW194" s="2990"/>
      <c r="AX194" s="2984"/>
      <c r="AY194" s="2985"/>
      <c r="AZ194" s="2986"/>
      <c r="BA194" s="2987"/>
      <c r="BB194" s="3194"/>
      <c r="BC194" s="2989"/>
    </row>
    <row r="195" spans="1:55" s="350" customFormat="1" ht="52.2" x14ac:dyDescent="0.25">
      <c r="A195" s="3676"/>
      <c r="B195" s="3702"/>
      <c r="C195" s="3690"/>
      <c r="D195" s="3563"/>
      <c r="E195" s="2727" t="s">
        <v>3605</v>
      </c>
      <c r="F195" s="2727" t="s">
        <v>3606</v>
      </c>
      <c r="G195" s="1221" t="s">
        <v>3607</v>
      </c>
      <c r="H195" s="1222" t="s">
        <v>3608</v>
      </c>
      <c r="I195" s="1751" t="str">
        <f t="shared" si="66"/>
        <v>5-DaHall1-PDU-21-50-2</v>
      </c>
      <c r="J195" s="1767" t="str">
        <f t="shared" si="58"/>
        <v>5-DaHall1-PDU-22-50-2</v>
      </c>
      <c r="K195" s="1768">
        <v>220</v>
      </c>
      <c r="L195" s="1769">
        <v>50</v>
      </c>
      <c r="M195" s="2370" t="s">
        <v>6545</v>
      </c>
      <c r="N195" s="1755">
        <v>2</v>
      </c>
      <c r="O195" s="1770">
        <v>220</v>
      </c>
      <c r="P195" s="1771">
        <v>50</v>
      </c>
      <c r="Q195" s="2388" t="s">
        <v>6546</v>
      </c>
      <c r="R195" s="1772">
        <v>2</v>
      </c>
      <c r="S195" s="1223" t="s">
        <v>3541</v>
      </c>
      <c r="T195" s="1224" t="s">
        <v>3542</v>
      </c>
      <c r="U195" s="1225" t="s">
        <v>3543</v>
      </c>
      <c r="V195" s="1226" t="s">
        <v>3544</v>
      </c>
      <c r="W195" s="3692"/>
      <c r="X195" s="3694"/>
      <c r="Y195" s="1227">
        <f>SUM('5층_부하량(월간_AVG)'!N623:P623)</f>
        <v>0</v>
      </c>
      <c r="Z195" s="1227">
        <f>SUM('5층_부하량(월간_AVG)'!N639:P639)</f>
        <v>0</v>
      </c>
      <c r="AA195" s="3695"/>
      <c r="AB195" s="2720" t="e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5" s="3111" t="e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5" s="3162" t="e">
        <f>VLOOKUP(I195&amp;J195,'7층~4층_매핑테이블'!$I$6:$P$2020,8,0)</f>
        <v>#N/A</v>
      </c>
      <c r="AE195" s="3156" t="e">
        <f>$AE$194</f>
        <v>#N/A</v>
      </c>
      <c r="AF195" s="2726"/>
      <c r="AG195"/>
      <c r="AH195" s="2351" t="e">
        <f t="shared" si="46"/>
        <v>#N/A</v>
      </c>
      <c r="AI195" s="2351" t="e">
        <f t="shared" si="47"/>
        <v>#N/A</v>
      </c>
      <c r="AJ195" s="123" t="e">
        <f t="shared" si="43"/>
        <v>#N/A</v>
      </c>
      <c r="AK195" t="e">
        <f t="shared" si="44"/>
        <v>#N/A</v>
      </c>
      <c r="AL195" t="e">
        <f t="shared" si="45"/>
        <v>#N/A</v>
      </c>
      <c r="AQ195" s="123"/>
      <c r="AR195" s="123"/>
      <c r="AS195" s="123"/>
      <c r="AT195" s="2982"/>
      <c r="AU195" s="123"/>
      <c r="AV195" s="123"/>
      <c r="AW195" s="2990"/>
      <c r="AX195" s="2984"/>
      <c r="AY195" s="2985"/>
      <c r="AZ195" s="2986"/>
      <c r="BA195" s="2987"/>
      <c r="BB195" s="3194"/>
      <c r="BC195" s="2989"/>
    </row>
    <row r="196" spans="1:55" s="350" customFormat="1" ht="52.2" x14ac:dyDescent="0.25">
      <c r="A196" s="3696" t="s">
        <v>2991</v>
      </c>
      <c r="B196" s="3707" t="s">
        <v>3591</v>
      </c>
      <c r="C196" s="3690" t="s">
        <v>3546</v>
      </c>
      <c r="D196" s="3563">
        <v>13</v>
      </c>
      <c r="E196" s="2719" t="s">
        <v>3592</v>
      </c>
      <c r="F196" s="1228" t="s">
        <v>3593</v>
      </c>
      <c r="G196" s="1229" t="s">
        <v>3594</v>
      </c>
      <c r="H196" s="1230" t="s">
        <v>3595</v>
      </c>
      <c r="I196" s="1759" t="str">
        <f t="shared" si="66"/>
        <v>5-DaHall1-PDU-19-50-13</v>
      </c>
      <c r="J196" s="1760" t="str">
        <f t="shared" si="58"/>
        <v>5-DaHall1-PDU-20-50-13</v>
      </c>
      <c r="K196" s="1761">
        <v>220</v>
      </c>
      <c r="L196" s="1762">
        <v>50</v>
      </c>
      <c r="M196" s="2371" t="s">
        <v>6544</v>
      </c>
      <c r="N196" s="1763">
        <v>13</v>
      </c>
      <c r="O196" s="1764">
        <v>220</v>
      </c>
      <c r="P196" s="1765">
        <v>50</v>
      </c>
      <c r="Q196" s="2390" t="s">
        <v>6547</v>
      </c>
      <c r="R196" s="1766">
        <v>13</v>
      </c>
      <c r="S196" s="1246" t="s">
        <v>3533</v>
      </c>
      <c r="T196" s="1247" t="s">
        <v>3534</v>
      </c>
      <c r="U196" s="1248" t="s">
        <v>3535</v>
      </c>
      <c r="V196" s="1249" t="s">
        <v>3536</v>
      </c>
      <c r="W196" s="3691" t="s">
        <v>2484</v>
      </c>
      <c r="X196" s="3693" t="s">
        <v>2485</v>
      </c>
      <c r="Y196" s="1235">
        <f>SUM('5층_부하량(월간_AVG)'!D597:F597)</f>
        <v>0</v>
      </c>
      <c r="Z196" s="1235">
        <f>SUM('5층_부하량(월간_AVG)'!D613:F613)</f>
        <v>0</v>
      </c>
      <c r="AA196" s="3686">
        <f>SUM(Y196:Z197)</f>
        <v>0</v>
      </c>
      <c r="AB196" s="2720" t="e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6" s="3111" t="e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6" s="3162" t="e">
        <f>VLOOKUP(I196&amp;J196,'7층~4층_매핑테이블'!$I$6:$P$2020,8,0)</f>
        <v>#N/A</v>
      </c>
      <c r="AE196" s="3157" t="e">
        <f t="shared" ref="AE196" si="85">SUM(AB196:AC197)</f>
        <v>#N/A</v>
      </c>
      <c r="AF196" s="2728"/>
      <c r="AG196"/>
      <c r="AH196" s="2351" t="e">
        <f t="shared" si="46"/>
        <v>#N/A</v>
      </c>
      <c r="AI196" s="2351" t="e">
        <f t="shared" si="47"/>
        <v>#N/A</v>
      </c>
      <c r="AJ196" s="123" t="e">
        <f t="shared" si="43"/>
        <v>#N/A</v>
      </c>
      <c r="AK196" t="e">
        <f t="shared" si="44"/>
        <v>#N/A</v>
      </c>
      <c r="AL196" t="e">
        <f t="shared" si="45"/>
        <v>#N/A</v>
      </c>
      <c r="AQ196" s="123"/>
      <c r="AR196" s="123"/>
      <c r="AS196" s="123"/>
      <c r="AT196" s="2982"/>
      <c r="AU196" s="123"/>
      <c r="AV196" s="123"/>
      <c r="AW196" s="2990"/>
      <c r="AX196" s="2984"/>
      <c r="AY196" s="2985"/>
      <c r="AZ196" s="2986"/>
      <c r="BA196" s="2987"/>
      <c r="BB196" s="3194"/>
      <c r="BC196" s="2989"/>
    </row>
    <row r="197" spans="1:55" s="350" customFormat="1" ht="52.2" x14ac:dyDescent="0.25">
      <c r="A197" s="3697"/>
      <c r="B197" s="3702"/>
      <c r="C197" s="3690"/>
      <c r="D197" s="3563"/>
      <c r="E197" s="2727" t="s">
        <v>3596</v>
      </c>
      <c r="F197" s="2727" t="s">
        <v>3597</v>
      </c>
      <c r="G197" s="1221" t="s">
        <v>3598</v>
      </c>
      <c r="H197" s="1222" t="s">
        <v>3599</v>
      </c>
      <c r="I197" s="1751" t="str">
        <f t="shared" si="66"/>
        <v>5-DaHall1-PDU-21-50-13</v>
      </c>
      <c r="J197" s="1767" t="str">
        <f t="shared" si="58"/>
        <v>5-DaHall1-PDU-22-50-13</v>
      </c>
      <c r="K197" s="1768">
        <v>220</v>
      </c>
      <c r="L197" s="1769">
        <v>50</v>
      </c>
      <c r="M197" s="2370" t="s">
        <v>6545</v>
      </c>
      <c r="N197" s="1755">
        <v>13</v>
      </c>
      <c r="O197" s="1770">
        <v>220</v>
      </c>
      <c r="P197" s="1771">
        <v>50</v>
      </c>
      <c r="Q197" s="2388" t="s">
        <v>6546</v>
      </c>
      <c r="R197" s="1772">
        <v>13</v>
      </c>
      <c r="S197" s="1223" t="s">
        <v>3541</v>
      </c>
      <c r="T197" s="1224" t="s">
        <v>3542</v>
      </c>
      <c r="U197" s="1255" t="s">
        <v>3543</v>
      </c>
      <c r="V197" s="1256" t="s">
        <v>3544</v>
      </c>
      <c r="W197" s="3698"/>
      <c r="X197" s="3699"/>
      <c r="Y197" s="1227">
        <f>SUM('5층_부하량(월간_AVG)'!D629:F629)</f>
        <v>0</v>
      </c>
      <c r="Z197" s="1227">
        <f>SUM('5층_부하량(월간_AVG)'!D645:F645)</f>
        <v>0</v>
      </c>
      <c r="AA197" s="3695"/>
      <c r="AB197" s="2720" t="e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7" s="3111" t="e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7" s="3162" t="e">
        <f>VLOOKUP(I197&amp;J197,'7층~4층_매핑테이블'!$I$6:$P$2020,8,0)</f>
        <v>#N/A</v>
      </c>
      <c r="AE197" s="3156" t="e">
        <f>$AE$196</f>
        <v>#N/A</v>
      </c>
      <c r="AF197" s="2729"/>
      <c r="AG197"/>
      <c r="AH197" s="2351" t="e">
        <f t="shared" si="46"/>
        <v>#N/A</v>
      </c>
      <c r="AI197" s="2351" t="e">
        <f t="shared" si="47"/>
        <v>#N/A</v>
      </c>
      <c r="AJ197" s="123" t="e">
        <f t="shared" si="43"/>
        <v>#N/A</v>
      </c>
      <c r="AK197" t="e">
        <f t="shared" si="44"/>
        <v>#N/A</v>
      </c>
      <c r="AL197" t="e">
        <f t="shared" si="45"/>
        <v>#N/A</v>
      </c>
      <c r="AQ197" s="123"/>
      <c r="AR197" s="123"/>
      <c r="AS197" s="123"/>
      <c r="AT197" s="2982"/>
      <c r="AU197" s="123"/>
      <c r="AV197" s="123"/>
      <c r="AW197" s="2990"/>
      <c r="AX197" s="2984"/>
      <c r="AY197" s="2985"/>
      <c r="AZ197" s="2986"/>
      <c r="BA197" s="2987"/>
      <c r="BB197" s="3194"/>
      <c r="BC197" s="2989"/>
    </row>
    <row r="198" spans="1:55" s="350" customFormat="1" ht="52.2" x14ac:dyDescent="0.25">
      <c r="A198" s="3676" t="s">
        <v>2997</v>
      </c>
      <c r="B198" s="3707" t="s">
        <v>3582</v>
      </c>
      <c r="C198" s="3690" t="s">
        <v>3546</v>
      </c>
      <c r="D198" s="3563">
        <v>13</v>
      </c>
      <c r="E198" s="2719" t="s">
        <v>3583</v>
      </c>
      <c r="F198" s="1228" t="s">
        <v>3584</v>
      </c>
      <c r="G198" s="1244" t="s">
        <v>3585</v>
      </c>
      <c r="H198" s="1245" t="s">
        <v>3586</v>
      </c>
      <c r="I198" s="1773" t="str">
        <f t="shared" si="66"/>
        <v>5-DaHall1-PDU-19-50-11</v>
      </c>
      <c r="J198" s="1774" t="str">
        <f t="shared" si="58"/>
        <v>5-DaHall1-PDU-20-50-11</v>
      </c>
      <c r="K198" s="1775">
        <v>220</v>
      </c>
      <c r="L198" s="1776">
        <v>50</v>
      </c>
      <c r="M198" s="2372" t="s">
        <v>6544</v>
      </c>
      <c r="N198" s="1777">
        <v>11</v>
      </c>
      <c r="O198" s="1778">
        <v>220</v>
      </c>
      <c r="P198" s="1779">
        <v>50</v>
      </c>
      <c r="Q198" s="2391" t="s">
        <v>6547</v>
      </c>
      <c r="R198" s="1780">
        <v>11</v>
      </c>
      <c r="S198" s="1246" t="s">
        <v>3533</v>
      </c>
      <c r="T198" s="1247" t="s">
        <v>3534</v>
      </c>
      <c r="U198" s="1233" t="s">
        <v>3535</v>
      </c>
      <c r="V198" s="1234" t="s">
        <v>3536</v>
      </c>
      <c r="W198" s="3700" t="s">
        <v>2484</v>
      </c>
      <c r="X198" s="3701" t="s">
        <v>2485</v>
      </c>
      <c r="Y198" s="1235">
        <f>SUM('5층_부하량(월간_AVG)'!D596:F596)</f>
        <v>0</v>
      </c>
      <c r="Z198" s="1235">
        <f>SUM('5층_부하량(월간_AVG)'!D612:F612)</f>
        <v>0</v>
      </c>
      <c r="AA198" s="3686">
        <f>SUM(Y198:Z199)</f>
        <v>0</v>
      </c>
      <c r="AB198" s="2720" t="e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8" s="3111" t="e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8" s="3162" t="e">
        <f>VLOOKUP(I198&amp;J198,'7층~4층_매핑테이블'!$I$6:$P$2020,8,0)</f>
        <v>#N/A</v>
      </c>
      <c r="AE198" s="3157" t="e">
        <f t="shared" ref="AE198" si="86">SUM(AB198:AC199)</f>
        <v>#N/A</v>
      </c>
      <c r="AF198" s="2721"/>
      <c r="AG198"/>
      <c r="AH198" s="2351" t="e">
        <f t="shared" si="46"/>
        <v>#N/A</v>
      </c>
      <c r="AI198" s="2351" t="e">
        <f t="shared" si="47"/>
        <v>#N/A</v>
      </c>
      <c r="AJ198" s="123" t="e">
        <f t="shared" ref="AJ198:AJ261" si="87">IF(SIGN(AI198)&gt;=0,IF(AE198=0,"무부하 랙","적정함"),"사용초과")</f>
        <v>#N/A</v>
      </c>
      <c r="AK198" t="e">
        <f t="shared" ref="AK198:AK261" si="88">IF(AJ198="사용초과",C198,"")</f>
        <v>#N/A</v>
      </c>
      <c r="AL198" t="e">
        <f t="shared" ref="AL198:AL261" si="89">IF(AK198="","",A198)</f>
        <v>#N/A</v>
      </c>
      <c r="AQ198" s="123"/>
      <c r="AR198" s="123"/>
      <c r="AS198" s="123"/>
      <c r="AT198" s="2982"/>
      <c r="AU198" s="123"/>
      <c r="AV198" s="123"/>
      <c r="AW198" s="2990"/>
      <c r="AX198" s="2984"/>
      <c r="AY198" s="2985"/>
      <c r="AZ198" s="2986"/>
      <c r="BA198" s="2987"/>
      <c r="BB198" s="3194"/>
      <c r="BC198" s="2989"/>
    </row>
    <row r="199" spans="1:55" s="350" customFormat="1" ht="52.2" x14ac:dyDescent="0.25">
      <c r="A199" s="3676"/>
      <c r="B199" s="3702"/>
      <c r="C199" s="3690"/>
      <c r="D199" s="3563"/>
      <c r="E199" s="2727" t="s">
        <v>3587</v>
      </c>
      <c r="F199" s="2727" t="s">
        <v>3588</v>
      </c>
      <c r="G199" s="1251" t="s">
        <v>3589</v>
      </c>
      <c r="H199" s="1252" t="s">
        <v>3590</v>
      </c>
      <c r="I199" s="1781" t="str">
        <f t="shared" si="66"/>
        <v>5-DaHall1-PDU-21-50-11</v>
      </c>
      <c r="J199" s="1752" t="str">
        <f t="shared" si="58"/>
        <v>5-DaHall1-PDU-22-50-11</v>
      </c>
      <c r="K199" s="1753">
        <v>220</v>
      </c>
      <c r="L199" s="1754">
        <v>50</v>
      </c>
      <c r="M199" s="2373" t="s">
        <v>6545</v>
      </c>
      <c r="N199" s="1782">
        <v>11</v>
      </c>
      <c r="O199" s="1756">
        <v>220</v>
      </c>
      <c r="P199" s="1757">
        <v>50</v>
      </c>
      <c r="Q199" s="2387" t="s">
        <v>6546</v>
      </c>
      <c r="R199" s="1758">
        <v>11</v>
      </c>
      <c r="S199" s="1223" t="s">
        <v>3541</v>
      </c>
      <c r="T199" s="1224" t="s">
        <v>3542</v>
      </c>
      <c r="U199" s="1225" t="s">
        <v>3543</v>
      </c>
      <c r="V199" s="1226" t="s">
        <v>3544</v>
      </c>
      <c r="W199" s="3692"/>
      <c r="X199" s="3694"/>
      <c r="Y199" s="1227">
        <f>SUM('5층_부하량(월간_AVG)'!D628:F628)</f>
        <v>0</v>
      </c>
      <c r="Z199" s="1227">
        <f>SUM('5층_부하량(월간_AVG)'!D644:F644)</f>
        <v>0</v>
      </c>
      <c r="AA199" s="3695"/>
      <c r="AB199" s="2720" t="e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9" s="3111" t="e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9" s="3162" t="e">
        <f>VLOOKUP(I199&amp;J199,'7층~4층_매핑테이블'!$I$6:$P$2020,8,0)</f>
        <v>#N/A</v>
      </c>
      <c r="AE199" s="3156" t="e">
        <f>$AE$198</f>
        <v>#N/A</v>
      </c>
      <c r="AF199" s="2726"/>
      <c r="AG199"/>
      <c r="AH199" s="2351" t="e">
        <f t="shared" ref="AH199:AH262" si="90">AE199/(24*31)</f>
        <v>#N/A</v>
      </c>
      <c r="AI199" s="2351" t="e">
        <f t="shared" ref="AI199:AI262" si="91">D199-AH199</f>
        <v>#N/A</v>
      </c>
      <c r="AJ199" s="123" t="e">
        <f t="shared" si="87"/>
        <v>#N/A</v>
      </c>
      <c r="AK199" t="e">
        <f t="shared" si="88"/>
        <v>#N/A</v>
      </c>
      <c r="AL199" t="e">
        <f t="shared" si="89"/>
        <v>#N/A</v>
      </c>
      <c r="AQ199" s="123"/>
      <c r="AR199" s="123"/>
      <c r="AS199" s="123"/>
      <c r="AT199" s="2982"/>
      <c r="AU199" s="123"/>
      <c r="AV199" s="123"/>
      <c r="AW199" s="2990"/>
      <c r="AX199" s="2984"/>
      <c r="AY199" s="2985"/>
      <c r="AZ199" s="2986"/>
      <c r="BA199" s="2987"/>
      <c r="BB199" s="3194"/>
      <c r="BC199" s="2989"/>
    </row>
    <row r="200" spans="1:55" s="350" customFormat="1" ht="52.2" x14ac:dyDescent="0.25">
      <c r="A200" s="3696" t="s">
        <v>3003</v>
      </c>
      <c r="B200" s="3707" t="s">
        <v>3573</v>
      </c>
      <c r="C200" s="3690" t="s">
        <v>3546</v>
      </c>
      <c r="D200" s="3563">
        <v>13</v>
      </c>
      <c r="E200" s="2719" t="s">
        <v>3574</v>
      </c>
      <c r="F200" s="1228" t="s">
        <v>3575</v>
      </c>
      <c r="G200" s="1229" t="s">
        <v>3576</v>
      </c>
      <c r="H200" s="1230" t="s">
        <v>3577</v>
      </c>
      <c r="I200" s="1759" t="str">
        <f t="shared" si="66"/>
        <v>5-DaHall1-PDU-19-50-9</v>
      </c>
      <c r="J200" s="1760" t="str">
        <f t="shared" si="58"/>
        <v>5-DaHall1-PDU-20-50-9</v>
      </c>
      <c r="K200" s="1761">
        <v>220</v>
      </c>
      <c r="L200" s="1762">
        <v>50</v>
      </c>
      <c r="M200" s="2371" t="s">
        <v>6544</v>
      </c>
      <c r="N200" s="1763">
        <v>9</v>
      </c>
      <c r="O200" s="1764">
        <v>220</v>
      </c>
      <c r="P200" s="1765">
        <v>50</v>
      </c>
      <c r="Q200" s="2390" t="s">
        <v>6547</v>
      </c>
      <c r="R200" s="1766">
        <v>9</v>
      </c>
      <c r="S200" s="1246" t="s">
        <v>3533</v>
      </c>
      <c r="T200" s="1247" t="s">
        <v>3534</v>
      </c>
      <c r="U200" s="1248" t="s">
        <v>3535</v>
      </c>
      <c r="V200" s="1249" t="s">
        <v>3536</v>
      </c>
      <c r="W200" s="3691" t="s">
        <v>2484</v>
      </c>
      <c r="X200" s="3693" t="s">
        <v>2485</v>
      </c>
      <c r="Y200" s="1235">
        <f>SUM('5층_부하량(월간_AVG)'!D595:F595)</f>
        <v>0</v>
      </c>
      <c r="Z200" s="1235">
        <f>SUM('5층_부하량(월간_AVG)'!D611:F611)</f>
        <v>0</v>
      </c>
      <c r="AA200" s="3686">
        <f t="shared" ref="AA200" si="92">SUM(Y200:Z201)</f>
        <v>0</v>
      </c>
      <c r="AB200" s="2720" t="e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200" s="3111" t="e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200" s="3162" t="e">
        <f>VLOOKUP(I200&amp;J200,'7층~4층_매핑테이블'!$I$6:$P$2020,8,0)</f>
        <v>#N/A</v>
      </c>
      <c r="AE200" s="3157" t="e">
        <f t="shared" ref="AE200" si="93">SUM(AB200:AC201)</f>
        <v>#N/A</v>
      </c>
      <c r="AF200" s="2728"/>
      <c r="AG200"/>
      <c r="AH200" s="2351" t="e">
        <f t="shared" si="90"/>
        <v>#N/A</v>
      </c>
      <c r="AI200" s="2351" t="e">
        <f t="shared" si="91"/>
        <v>#N/A</v>
      </c>
      <c r="AJ200" s="123" t="e">
        <f t="shared" si="87"/>
        <v>#N/A</v>
      </c>
      <c r="AK200" t="e">
        <f t="shared" si="88"/>
        <v>#N/A</v>
      </c>
      <c r="AL200" t="e">
        <f t="shared" si="89"/>
        <v>#N/A</v>
      </c>
      <c r="AQ200" s="123"/>
      <c r="AR200" s="123"/>
      <c r="AS200" s="123"/>
      <c r="AT200" s="2982"/>
      <c r="AU200" s="123"/>
      <c r="AV200" s="123"/>
      <c r="AW200" s="2990"/>
      <c r="AX200" s="2984"/>
      <c r="AY200" s="2985"/>
      <c r="AZ200" s="2986"/>
      <c r="BA200" s="2987"/>
      <c r="BB200" s="3194"/>
      <c r="BC200" s="2989"/>
    </row>
    <row r="201" spans="1:55" s="350" customFormat="1" ht="52.2" x14ac:dyDescent="0.25">
      <c r="A201" s="3697"/>
      <c r="B201" s="3702"/>
      <c r="C201" s="3690"/>
      <c r="D201" s="3563"/>
      <c r="E201" s="2727" t="s">
        <v>3578</v>
      </c>
      <c r="F201" s="2727" t="s">
        <v>3579</v>
      </c>
      <c r="G201" s="1221" t="s">
        <v>3580</v>
      </c>
      <c r="H201" s="1222" t="s">
        <v>3581</v>
      </c>
      <c r="I201" s="1751" t="str">
        <f t="shared" si="66"/>
        <v>5-DaHall1-PDU-21-50-9</v>
      </c>
      <c r="J201" s="1767" t="str">
        <f t="shared" si="58"/>
        <v>5-DaHall1-PDU-22-50-9</v>
      </c>
      <c r="K201" s="1768">
        <v>220</v>
      </c>
      <c r="L201" s="1769">
        <v>50</v>
      </c>
      <c r="M201" s="2370" t="s">
        <v>6545</v>
      </c>
      <c r="N201" s="1755">
        <v>9</v>
      </c>
      <c r="O201" s="1770">
        <v>220</v>
      </c>
      <c r="P201" s="1771">
        <v>50</v>
      </c>
      <c r="Q201" s="2388" t="s">
        <v>6546</v>
      </c>
      <c r="R201" s="1772">
        <v>9</v>
      </c>
      <c r="S201" s="1223" t="s">
        <v>3541</v>
      </c>
      <c r="T201" s="1224" t="s">
        <v>3542</v>
      </c>
      <c r="U201" s="1255" t="s">
        <v>3543</v>
      </c>
      <c r="V201" s="1256" t="s">
        <v>3544</v>
      </c>
      <c r="W201" s="3698"/>
      <c r="X201" s="3699"/>
      <c r="Y201" s="1227">
        <f>SUM('5층_부하량(월간_AVG)'!D627:F627)</f>
        <v>0</v>
      </c>
      <c r="Z201" s="1227">
        <f>SUM('5층_부하량(월간_AVG)'!D643:F643)</f>
        <v>0</v>
      </c>
      <c r="AA201" s="3695"/>
      <c r="AB201" s="2720" t="e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1" s="3111" t="e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1" s="3162" t="e">
        <f>VLOOKUP(I201&amp;J201,'7층~4층_매핑테이블'!$I$6:$P$2020,8,0)</f>
        <v>#N/A</v>
      </c>
      <c r="AE201" s="3156" t="e">
        <f>$AE$200</f>
        <v>#N/A</v>
      </c>
      <c r="AF201" s="2729"/>
      <c r="AG201"/>
      <c r="AH201" s="2351" t="e">
        <f t="shared" si="90"/>
        <v>#N/A</v>
      </c>
      <c r="AI201" s="2351" t="e">
        <f t="shared" si="91"/>
        <v>#N/A</v>
      </c>
      <c r="AJ201" s="123" t="e">
        <f t="shared" si="87"/>
        <v>#N/A</v>
      </c>
      <c r="AK201" t="e">
        <f t="shared" si="88"/>
        <v>#N/A</v>
      </c>
      <c r="AL201" t="e">
        <f t="shared" si="89"/>
        <v>#N/A</v>
      </c>
      <c r="AQ201" s="123"/>
      <c r="AR201" s="123"/>
      <c r="AS201" s="123"/>
      <c r="AT201" s="2982"/>
      <c r="AU201" s="123"/>
      <c r="AV201" s="123"/>
      <c r="AW201" s="2990"/>
      <c r="AX201" s="2984"/>
      <c r="AY201" s="2985"/>
      <c r="AZ201" s="2986"/>
      <c r="BA201" s="2987"/>
      <c r="BB201" s="3194"/>
      <c r="BC201" s="2989"/>
    </row>
    <row r="202" spans="1:55" s="350" customFormat="1" ht="52.2" x14ac:dyDescent="0.25">
      <c r="A202" s="3676" t="s">
        <v>3009</v>
      </c>
      <c r="B202" s="3707" t="s">
        <v>3564</v>
      </c>
      <c r="C202" s="3690" t="s">
        <v>3546</v>
      </c>
      <c r="D202" s="3563">
        <v>13</v>
      </c>
      <c r="E202" s="2719" t="s">
        <v>3565</v>
      </c>
      <c r="F202" s="1228" t="s">
        <v>3566</v>
      </c>
      <c r="G202" s="1244" t="s">
        <v>3567</v>
      </c>
      <c r="H202" s="1245" t="s">
        <v>3568</v>
      </c>
      <c r="I202" s="1773" t="str">
        <f t="shared" si="66"/>
        <v>5-DaHall1-PDU-19-50-7</v>
      </c>
      <c r="J202" s="1774" t="str">
        <f t="shared" si="58"/>
        <v>5-DaHall1-PDU-20-50-7</v>
      </c>
      <c r="K202" s="1775">
        <v>220</v>
      </c>
      <c r="L202" s="1776">
        <v>50</v>
      </c>
      <c r="M202" s="2372" t="s">
        <v>6544</v>
      </c>
      <c r="N202" s="1777">
        <v>7</v>
      </c>
      <c r="O202" s="1778">
        <v>220</v>
      </c>
      <c r="P202" s="1779">
        <v>50</v>
      </c>
      <c r="Q202" s="2391" t="s">
        <v>6547</v>
      </c>
      <c r="R202" s="1780">
        <v>7</v>
      </c>
      <c r="S202" s="1246" t="s">
        <v>3533</v>
      </c>
      <c r="T202" s="1247" t="s">
        <v>3534</v>
      </c>
      <c r="U202" s="1233" t="s">
        <v>3535</v>
      </c>
      <c r="V202" s="1234" t="s">
        <v>3536</v>
      </c>
      <c r="W202" s="3700" t="s">
        <v>2484</v>
      </c>
      <c r="X202" s="3701" t="s">
        <v>2485</v>
      </c>
      <c r="Y202" s="1235">
        <f>SUM('5층_부하량(월간_AVG)'!D594:F594)</f>
        <v>0</v>
      </c>
      <c r="Z202" s="1235">
        <f>SUM('5층_부하량(월간_AVG)'!D610:F610)</f>
        <v>0</v>
      </c>
      <c r="AA202" s="3686">
        <f t="shared" ref="AA202" si="94">SUM(Y202:Z203)</f>
        <v>0</v>
      </c>
      <c r="AB202" s="2720" t="e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2" s="3111" t="e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2" s="3162" t="e">
        <f>VLOOKUP(I202&amp;J202,'7층~4층_매핑테이블'!$I$6:$P$2020,8,0)</f>
        <v>#N/A</v>
      </c>
      <c r="AE202" s="3157" t="e">
        <f t="shared" ref="AE202" si="95">SUM(AB202:AC203)</f>
        <v>#N/A</v>
      </c>
      <c r="AF202" s="2721"/>
      <c r="AG202"/>
      <c r="AH202" s="2351" t="e">
        <f t="shared" si="90"/>
        <v>#N/A</v>
      </c>
      <c r="AI202" s="2351" t="e">
        <f t="shared" si="91"/>
        <v>#N/A</v>
      </c>
      <c r="AJ202" s="123" t="e">
        <f t="shared" si="87"/>
        <v>#N/A</v>
      </c>
      <c r="AK202" t="e">
        <f t="shared" si="88"/>
        <v>#N/A</v>
      </c>
      <c r="AL202" t="e">
        <f t="shared" si="89"/>
        <v>#N/A</v>
      </c>
      <c r="AQ202" s="123"/>
      <c r="AR202" s="123"/>
      <c r="AS202" s="123"/>
      <c r="AT202" s="2982"/>
      <c r="AU202" s="123"/>
      <c r="AV202" s="123"/>
      <c r="AW202" s="2990"/>
      <c r="AX202" s="2984"/>
      <c r="AY202" s="2985"/>
      <c r="AZ202" s="2986"/>
      <c r="BA202" s="2987"/>
      <c r="BB202" s="3194"/>
      <c r="BC202" s="2989"/>
    </row>
    <row r="203" spans="1:55" s="350" customFormat="1" ht="52.2" x14ac:dyDescent="0.25">
      <c r="A203" s="3676"/>
      <c r="B203" s="3702"/>
      <c r="C203" s="3690"/>
      <c r="D203" s="3563"/>
      <c r="E203" s="2727" t="s">
        <v>3569</v>
      </c>
      <c r="F203" s="2727" t="s">
        <v>3570</v>
      </c>
      <c r="G203" s="1251" t="s">
        <v>3571</v>
      </c>
      <c r="H203" s="1252" t="s">
        <v>3572</v>
      </c>
      <c r="I203" s="1781" t="str">
        <f t="shared" si="66"/>
        <v>5-DaHall1-PDU-21-50-7</v>
      </c>
      <c r="J203" s="1752" t="str">
        <f t="shared" si="58"/>
        <v>5-DaHall1-PDU-22-50-7</v>
      </c>
      <c r="K203" s="1753">
        <v>220</v>
      </c>
      <c r="L203" s="1754">
        <v>50</v>
      </c>
      <c r="M203" s="2373" t="s">
        <v>6545</v>
      </c>
      <c r="N203" s="1782">
        <v>7</v>
      </c>
      <c r="O203" s="1756">
        <v>220</v>
      </c>
      <c r="P203" s="1757">
        <v>50</v>
      </c>
      <c r="Q203" s="2387" t="s">
        <v>6546</v>
      </c>
      <c r="R203" s="1758">
        <v>7</v>
      </c>
      <c r="S203" s="1223" t="s">
        <v>3541</v>
      </c>
      <c r="T203" s="1224" t="s">
        <v>3542</v>
      </c>
      <c r="U203" s="1225" t="s">
        <v>3543</v>
      </c>
      <c r="V203" s="1226" t="s">
        <v>3544</v>
      </c>
      <c r="W203" s="3692"/>
      <c r="X203" s="3694"/>
      <c r="Y203" s="1227">
        <f>SUM('5층_부하량(월간_AVG)'!D626:F626)</f>
        <v>0</v>
      </c>
      <c r="Z203" s="1227">
        <f>SUM('5층_부하량(월간_AVG)'!D642:F642)</f>
        <v>0</v>
      </c>
      <c r="AA203" s="3695"/>
      <c r="AB203" s="2720" t="e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3" s="3111" t="e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3" s="3162" t="e">
        <f>VLOOKUP(I203&amp;J203,'7층~4층_매핑테이블'!$I$6:$P$2020,8,0)</f>
        <v>#N/A</v>
      </c>
      <c r="AE203" s="3156" t="e">
        <f>$AE$202</f>
        <v>#N/A</v>
      </c>
      <c r="AF203" s="2726"/>
      <c r="AG203"/>
      <c r="AH203" s="2351" t="e">
        <f t="shared" si="90"/>
        <v>#N/A</v>
      </c>
      <c r="AI203" s="2351" t="e">
        <f t="shared" si="91"/>
        <v>#N/A</v>
      </c>
      <c r="AJ203" s="123" t="e">
        <f t="shared" si="87"/>
        <v>#N/A</v>
      </c>
      <c r="AK203" t="e">
        <f t="shared" si="88"/>
        <v>#N/A</v>
      </c>
      <c r="AL203" t="e">
        <f t="shared" si="89"/>
        <v>#N/A</v>
      </c>
      <c r="AQ203" s="123"/>
      <c r="AR203" s="123"/>
      <c r="AS203" s="123"/>
      <c r="AT203" s="2982"/>
      <c r="AU203" s="123"/>
      <c r="AV203" s="123"/>
      <c r="AW203" s="2990"/>
      <c r="AX203" s="2984"/>
      <c r="AY203" s="2985"/>
      <c r="AZ203" s="2986"/>
      <c r="BA203" s="2987"/>
      <c r="BB203" s="3194"/>
      <c r="BC203" s="2989"/>
    </row>
    <row r="204" spans="1:55" s="350" customFormat="1" ht="51" customHeight="1" x14ac:dyDescent="0.25">
      <c r="A204" s="3696" t="s">
        <v>3040</v>
      </c>
      <c r="B204" s="3711" t="s">
        <v>8728</v>
      </c>
      <c r="C204" s="3690" t="s">
        <v>3546</v>
      </c>
      <c r="D204" s="3563">
        <v>13</v>
      </c>
      <c r="E204" s="2740" t="s">
        <v>8729</v>
      </c>
      <c r="F204" s="2740" t="s">
        <v>8730</v>
      </c>
      <c r="G204" s="2306"/>
      <c r="H204" s="2307"/>
      <c r="I204" s="1759" t="str">
        <f t="shared" si="66"/>
        <v>5-DaHall1-PDU-19-50-23</v>
      </c>
      <c r="J204" s="1760" t="str">
        <f t="shared" si="58"/>
        <v>5-DaHall1-PDU-20-50-23</v>
      </c>
      <c r="K204" s="1761">
        <v>220</v>
      </c>
      <c r="L204" s="1762">
        <v>50</v>
      </c>
      <c r="M204" s="2371" t="s">
        <v>6544</v>
      </c>
      <c r="N204" s="1763">
        <v>23</v>
      </c>
      <c r="O204" s="1764">
        <v>220</v>
      </c>
      <c r="P204" s="1765">
        <v>50</v>
      </c>
      <c r="Q204" s="2390" t="s">
        <v>6547</v>
      </c>
      <c r="R204" s="1766">
        <v>23</v>
      </c>
      <c r="S204" s="1246" t="s">
        <v>3533</v>
      </c>
      <c r="T204" s="1247" t="s">
        <v>3534</v>
      </c>
      <c r="U204" s="1248" t="s">
        <v>3535</v>
      </c>
      <c r="V204" s="1249" t="s">
        <v>3536</v>
      </c>
      <c r="W204" s="3691" t="s">
        <v>2484</v>
      </c>
      <c r="X204" s="3693" t="s">
        <v>2485</v>
      </c>
      <c r="Y204" s="1250">
        <f>SUM('5층_부하량(월간_AVG)'!D602:F602)</f>
        <v>0</v>
      </c>
      <c r="Z204" s="1235">
        <f>SUM('5층_부하량(월간_AVG)'!D618:F618)</f>
        <v>0</v>
      </c>
      <c r="AA204" s="3686">
        <f t="shared" ref="AA204" si="96">SUM(Y204:Z205)</f>
        <v>0</v>
      </c>
      <c r="AB204" s="2741" t="e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4" s="3120" t="e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4" s="3162" t="e">
        <f>VLOOKUP(I204&amp;J204,'7층~4층_매핑테이블'!$I$6:$P$2020,8,0)</f>
        <v>#N/A</v>
      </c>
      <c r="AE204" s="3157" t="e">
        <f t="shared" ref="AE204" si="97">SUM(AB204:AC205)</f>
        <v>#N/A</v>
      </c>
      <c r="AF204" s="3705" t="s">
        <v>8731</v>
      </c>
      <c r="AG204"/>
      <c r="AH204" s="2351" t="e">
        <f t="shared" si="90"/>
        <v>#N/A</v>
      </c>
      <c r="AI204" s="2351" t="e">
        <f t="shared" si="91"/>
        <v>#N/A</v>
      </c>
      <c r="AJ204" s="123" t="e">
        <f t="shared" si="87"/>
        <v>#N/A</v>
      </c>
      <c r="AK204" t="e">
        <f t="shared" si="88"/>
        <v>#N/A</v>
      </c>
      <c r="AL204" t="e">
        <f t="shared" si="89"/>
        <v>#N/A</v>
      </c>
      <c r="AQ204" s="123"/>
      <c r="AR204" s="123"/>
      <c r="AS204" s="123"/>
      <c r="AT204" s="2982"/>
      <c r="AU204" s="123"/>
      <c r="AV204" s="123"/>
      <c r="AW204" s="2990"/>
      <c r="AX204" s="2984"/>
      <c r="AY204" s="2985"/>
      <c r="AZ204" s="2986"/>
      <c r="BA204" s="2987"/>
      <c r="BB204" s="3194"/>
      <c r="BC204" s="2989"/>
    </row>
    <row r="205" spans="1:55" s="350" customFormat="1" ht="51" customHeight="1" x14ac:dyDescent="0.25">
      <c r="A205" s="3697"/>
      <c r="B205" s="3712"/>
      <c r="C205" s="3690"/>
      <c r="D205" s="3563"/>
      <c r="E205" s="2740" t="s">
        <v>8732</v>
      </c>
      <c r="F205" s="2740" t="s">
        <v>8733</v>
      </c>
      <c r="G205" s="2306"/>
      <c r="H205" s="2307"/>
      <c r="I205" s="1751" t="str">
        <f t="shared" si="66"/>
        <v>5-DaHall1-PDU-21-50-23</v>
      </c>
      <c r="J205" s="1767" t="str">
        <f t="shared" si="58"/>
        <v>5-DaHall1-PDU-22-50-23</v>
      </c>
      <c r="K205" s="1768">
        <v>220</v>
      </c>
      <c r="L205" s="1769">
        <v>50</v>
      </c>
      <c r="M205" s="2370" t="s">
        <v>6545</v>
      </c>
      <c r="N205" s="1755">
        <v>23</v>
      </c>
      <c r="O205" s="1770">
        <v>220</v>
      </c>
      <c r="P205" s="1771">
        <v>50</v>
      </c>
      <c r="Q205" s="2388" t="s">
        <v>6546</v>
      </c>
      <c r="R205" s="1772">
        <v>23</v>
      </c>
      <c r="S205" s="1223" t="s">
        <v>3541</v>
      </c>
      <c r="T205" s="1224" t="s">
        <v>3542</v>
      </c>
      <c r="U205" s="1255" t="s">
        <v>3543</v>
      </c>
      <c r="V205" s="1256" t="s">
        <v>3544</v>
      </c>
      <c r="W205" s="3698"/>
      <c r="X205" s="3699"/>
      <c r="Y205" s="1227">
        <f>SUM('5층_부하량(월간_AVG)'!D634:F634)</f>
        <v>0</v>
      </c>
      <c r="Z205" s="1257">
        <f>SUM('5층_부하량(월간_AVG)'!D650:F650)</f>
        <v>0</v>
      </c>
      <c r="AA205" s="3695"/>
      <c r="AB205" s="2733" t="e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5" s="3122" t="e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5" s="3162" t="e">
        <f>VLOOKUP(I205&amp;J205,'7층~4층_매핑테이블'!$I$6:$P$2020,8,0)</f>
        <v>#N/A</v>
      </c>
      <c r="AE205" s="3156" t="e">
        <f>$AE$204</f>
        <v>#N/A</v>
      </c>
      <c r="AF205" s="3706"/>
      <c r="AG205"/>
      <c r="AH205" s="2351" t="e">
        <f t="shared" si="90"/>
        <v>#N/A</v>
      </c>
      <c r="AI205" s="2351" t="e">
        <f t="shared" si="91"/>
        <v>#N/A</v>
      </c>
      <c r="AJ205" s="123" t="e">
        <f t="shared" si="87"/>
        <v>#N/A</v>
      </c>
      <c r="AK205" t="e">
        <f t="shared" si="88"/>
        <v>#N/A</v>
      </c>
      <c r="AL205" t="e">
        <f t="shared" si="89"/>
        <v>#N/A</v>
      </c>
      <c r="AQ205" s="123"/>
      <c r="AR205" s="123"/>
      <c r="AS205" s="123"/>
      <c r="AT205" s="2982"/>
      <c r="AU205" s="123"/>
      <c r="AV205" s="123"/>
      <c r="AW205" s="2990"/>
      <c r="AX205" s="2984"/>
      <c r="AY205" s="2985"/>
      <c r="AZ205" s="2986"/>
      <c r="BA205" s="2987"/>
      <c r="BB205" s="3194"/>
      <c r="BC205" s="2989"/>
    </row>
    <row r="206" spans="1:55" s="350" customFormat="1" ht="51" customHeight="1" x14ac:dyDescent="0.25">
      <c r="A206" s="3696" t="s">
        <v>3046</v>
      </c>
      <c r="B206" s="3707" t="s">
        <v>3555</v>
      </c>
      <c r="C206" s="3690" t="s">
        <v>3546</v>
      </c>
      <c r="D206" s="3714">
        <v>13</v>
      </c>
      <c r="E206" s="2719" t="s">
        <v>3556</v>
      </c>
      <c r="F206" s="1228" t="s">
        <v>3557</v>
      </c>
      <c r="G206" s="1229" t="s">
        <v>3558</v>
      </c>
      <c r="H206" s="1230" t="s">
        <v>3559</v>
      </c>
      <c r="I206" s="1759" t="str">
        <f t="shared" si="66"/>
        <v>5-DaHall1-PDU-19-50-5</v>
      </c>
      <c r="J206" s="1760" t="str">
        <f t="shared" si="58"/>
        <v>5-DaHall1-PDU-20-50-5</v>
      </c>
      <c r="K206" s="1761">
        <v>220</v>
      </c>
      <c r="L206" s="1762">
        <v>50</v>
      </c>
      <c r="M206" s="2371" t="s">
        <v>6544</v>
      </c>
      <c r="N206" s="1763">
        <v>5</v>
      </c>
      <c r="O206" s="1764">
        <v>220</v>
      </c>
      <c r="P206" s="1765">
        <v>50</v>
      </c>
      <c r="Q206" s="2390" t="s">
        <v>6547</v>
      </c>
      <c r="R206" s="1766">
        <v>5</v>
      </c>
      <c r="S206" s="1246" t="s">
        <v>3533</v>
      </c>
      <c r="T206" s="1247" t="s">
        <v>3534</v>
      </c>
      <c r="U206" s="1248" t="s">
        <v>3535</v>
      </c>
      <c r="V206" s="1249" t="s">
        <v>3536</v>
      </c>
      <c r="W206" s="3691" t="s">
        <v>2484</v>
      </c>
      <c r="X206" s="3693" t="s">
        <v>2485</v>
      </c>
      <c r="Y206" s="1250">
        <f>SUM('5층_부하량(월간_AVG)'!D593:F593)</f>
        <v>0</v>
      </c>
      <c r="Z206" s="1235">
        <f>SUM('5층_부하량(월간_AVG)'!D609:F609)</f>
        <v>0</v>
      </c>
      <c r="AA206" s="3686">
        <f t="shared" ref="AA206" si="98">SUM(Y206:Z207)</f>
        <v>0</v>
      </c>
      <c r="AB206" s="2741" t="e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6" s="3120" t="e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6" s="3162" t="e">
        <f>VLOOKUP(I206&amp;J206,'7층~4층_매핑테이블'!$I$6:$P$2020,8,0)</f>
        <v>#N/A</v>
      </c>
      <c r="AE206" s="3157" t="e">
        <f t="shared" ref="AE206" si="99">SUM(AB206:AC207)</f>
        <v>#N/A</v>
      </c>
      <c r="AF206" s="2728"/>
      <c r="AG206"/>
      <c r="AH206" s="2351" t="e">
        <f t="shared" si="90"/>
        <v>#N/A</v>
      </c>
      <c r="AI206" s="2351" t="e">
        <f t="shared" si="91"/>
        <v>#N/A</v>
      </c>
      <c r="AJ206" s="123" t="e">
        <f t="shared" si="87"/>
        <v>#N/A</v>
      </c>
      <c r="AK206" t="e">
        <f t="shared" si="88"/>
        <v>#N/A</v>
      </c>
      <c r="AL206" t="e">
        <f t="shared" si="89"/>
        <v>#N/A</v>
      </c>
      <c r="AQ206" s="123"/>
      <c r="AR206" s="123"/>
      <c r="AS206" s="123"/>
      <c r="AT206" s="2982"/>
      <c r="AU206" s="123"/>
      <c r="AV206" s="123"/>
      <c r="AW206" s="2990"/>
      <c r="AX206" s="2984"/>
      <c r="AY206" s="2985"/>
      <c r="AZ206" s="2986"/>
      <c r="BA206" s="2987"/>
      <c r="BB206" s="3194"/>
      <c r="BC206" s="2989"/>
    </row>
    <row r="207" spans="1:55" s="350" customFormat="1" ht="51" customHeight="1" x14ac:dyDescent="0.25">
      <c r="A207" s="3697"/>
      <c r="B207" s="3702"/>
      <c r="C207" s="3690"/>
      <c r="D207" s="3714"/>
      <c r="E207" s="2727" t="s">
        <v>3560</v>
      </c>
      <c r="F207" s="2727" t="s">
        <v>3561</v>
      </c>
      <c r="G207" s="1221" t="s">
        <v>3562</v>
      </c>
      <c r="H207" s="1222" t="s">
        <v>3563</v>
      </c>
      <c r="I207" s="1751" t="str">
        <f t="shared" si="66"/>
        <v>5-DaHall1-PDU-21-50-5</v>
      </c>
      <c r="J207" s="1767" t="str">
        <f t="shared" si="58"/>
        <v>5-DaHall1-PDU-22-50-5</v>
      </c>
      <c r="K207" s="1768">
        <v>220</v>
      </c>
      <c r="L207" s="1769">
        <v>50</v>
      </c>
      <c r="M207" s="2370" t="s">
        <v>6545</v>
      </c>
      <c r="N207" s="1755">
        <v>5</v>
      </c>
      <c r="O207" s="1770">
        <v>220</v>
      </c>
      <c r="P207" s="1771">
        <v>50</v>
      </c>
      <c r="Q207" s="2388" t="s">
        <v>6546</v>
      </c>
      <c r="R207" s="1772">
        <v>5</v>
      </c>
      <c r="S207" s="1223" t="s">
        <v>3541</v>
      </c>
      <c r="T207" s="1224" t="s">
        <v>3542</v>
      </c>
      <c r="U207" s="1255" t="s">
        <v>3543</v>
      </c>
      <c r="V207" s="1256" t="s">
        <v>3544</v>
      </c>
      <c r="W207" s="3698"/>
      <c r="X207" s="3699"/>
      <c r="Y207" s="1227">
        <f>SUM('5층_부하량(월간_AVG)'!D625:F625)</f>
        <v>0</v>
      </c>
      <c r="Z207" s="1257">
        <f>SUM('5층_부하량(월간_AVG)'!D641:F641)</f>
        <v>0</v>
      </c>
      <c r="AA207" s="3695"/>
      <c r="AB207" s="2733" t="e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7" s="3122" t="e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7" s="3162" t="e">
        <f>VLOOKUP(I207&amp;J207,'7층~4층_매핑테이블'!$I$6:$P$2020,8,0)</f>
        <v>#N/A</v>
      </c>
      <c r="AE207" s="3156" t="e">
        <f>$AE$206</f>
        <v>#N/A</v>
      </c>
      <c r="AF207" s="2729"/>
      <c r="AG207"/>
      <c r="AH207" s="2351" t="e">
        <f t="shared" si="90"/>
        <v>#N/A</v>
      </c>
      <c r="AI207" s="2351" t="e">
        <f t="shared" si="91"/>
        <v>#N/A</v>
      </c>
      <c r="AJ207" s="123" t="e">
        <f t="shared" si="87"/>
        <v>#N/A</v>
      </c>
      <c r="AK207" t="e">
        <f t="shared" si="88"/>
        <v>#N/A</v>
      </c>
      <c r="AL207" t="e">
        <f t="shared" si="89"/>
        <v>#N/A</v>
      </c>
      <c r="AQ207" s="123"/>
      <c r="AR207" s="123"/>
      <c r="AS207" s="123"/>
      <c r="AT207" s="2982"/>
      <c r="AU207" s="123"/>
      <c r="AV207" s="123"/>
      <c r="AW207" s="2990"/>
      <c r="AX207" s="2984"/>
      <c r="AY207" s="2985"/>
      <c r="AZ207" s="2986"/>
      <c r="BA207" s="2987"/>
      <c r="BB207" s="3194"/>
      <c r="BC207" s="2989"/>
    </row>
    <row r="208" spans="1:55" s="350" customFormat="1" ht="51" customHeight="1" x14ac:dyDescent="0.25">
      <c r="A208" s="3676" t="s">
        <v>3052</v>
      </c>
      <c r="B208" s="3707" t="s">
        <v>3545</v>
      </c>
      <c r="C208" s="3690" t="s">
        <v>3546</v>
      </c>
      <c r="D208" s="3563">
        <v>13</v>
      </c>
      <c r="E208" s="2719" t="s">
        <v>3547</v>
      </c>
      <c r="F208" s="1228" t="s">
        <v>3548</v>
      </c>
      <c r="G208" s="1229" t="s">
        <v>3549</v>
      </c>
      <c r="H208" s="1230" t="s">
        <v>3550</v>
      </c>
      <c r="I208" s="1759" t="str">
        <f t="shared" si="66"/>
        <v>5-DaHall1-PDU-19-50-3</v>
      </c>
      <c r="J208" s="1760" t="str">
        <f t="shared" si="58"/>
        <v>5-DaHall1-PDU-20-50-3</v>
      </c>
      <c r="K208" s="1761">
        <v>220</v>
      </c>
      <c r="L208" s="1762">
        <v>50</v>
      </c>
      <c r="M208" s="2371" t="s">
        <v>6544</v>
      </c>
      <c r="N208" s="1763">
        <v>3</v>
      </c>
      <c r="O208" s="1764">
        <v>220</v>
      </c>
      <c r="P208" s="1765">
        <v>50</v>
      </c>
      <c r="Q208" s="2390" t="s">
        <v>6547</v>
      </c>
      <c r="R208" s="1766">
        <v>3</v>
      </c>
      <c r="S208" s="1231" t="s">
        <v>3533</v>
      </c>
      <c r="T208" s="1232" t="s">
        <v>3534</v>
      </c>
      <c r="U208" s="1233" t="s">
        <v>3535</v>
      </c>
      <c r="V208" s="1234" t="s">
        <v>3536</v>
      </c>
      <c r="W208" s="3700" t="s">
        <v>2484</v>
      </c>
      <c r="X208" s="3701" t="s">
        <v>2485</v>
      </c>
      <c r="Y208" s="1235">
        <f>SUM('5층_부하량(월간_AVG)'!D592:F592)</f>
        <v>0</v>
      </c>
      <c r="Z208" s="1235">
        <f>SUM('5층_부하량(월간_AVG)'!D608:F608)</f>
        <v>0</v>
      </c>
      <c r="AA208" s="3686">
        <f>SUM(Y208:Z209)</f>
        <v>0</v>
      </c>
      <c r="AB208" s="2720" t="e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8" s="3111" t="e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8" s="3162" t="e">
        <f>VLOOKUP(I208&amp;J208,'7층~4층_매핑테이블'!$I$6:$P$2020,8,0)</f>
        <v>#N/A</v>
      </c>
      <c r="AE208" s="3157" t="e">
        <f>SUM(AB208:AC209)</f>
        <v>#N/A</v>
      </c>
      <c r="AF208" s="2721"/>
      <c r="AG208"/>
      <c r="AH208" s="2351" t="e">
        <f t="shared" si="90"/>
        <v>#N/A</v>
      </c>
      <c r="AI208" s="2351" t="e">
        <f t="shared" si="91"/>
        <v>#N/A</v>
      </c>
      <c r="AJ208" s="123" t="e">
        <f t="shared" si="87"/>
        <v>#N/A</v>
      </c>
      <c r="AK208" t="e">
        <f t="shared" si="88"/>
        <v>#N/A</v>
      </c>
      <c r="AL208" t="e">
        <f t="shared" si="89"/>
        <v>#N/A</v>
      </c>
      <c r="AQ208" s="123"/>
      <c r="AR208" s="123"/>
      <c r="AS208" s="123"/>
      <c r="AT208" s="2982"/>
      <c r="AU208" s="123"/>
      <c r="AV208" s="123"/>
      <c r="AW208" s="2990"/>
      <c r="AX208" s="2984"/>
      <c r="AY208" s="2985"/>
      <c r="AZ208" s="2986"/>
      <c r="BA208" s="2987"/>
      <c r="BB208" s="3194"/>
      <c r="BC208" s="2989"/>
    </row>
    <row r="209" spans="1:55" s="350" customFormat="1" ht="51" customHeight="1" thickBot="1" x14ac:dyDescent="0.3">
      <c r="A209" s="3676"/>
      <c r="B209" s="3702"/>
      <c r="C209" s="3713"/>
      <c r="D209" s="3715"/>
      <c r="E209" s="2727" t="s">
        <v>3551</v>
      </c>
      <c r="F209" s="2727" t="s">
        <v>3552</v>
      </c>
      <c r="G209" s="1221" t="s">
        <v>3553</v>
      </c>
      <c r="H209" s="1222" t="s">
        <v>3554</v>
      </c>
      <c r="I209" s="1751" t="str">
        <f t="shared" si="66"/>
        <v>5-DaHall1-PDU-21-50-3</v>
      </c>
      <c r="J209" s="1767" t="str">
        <f t="shared" si="58"/>
        <v>5-DaHall1-PDU-22-50-3</v>
      </c>
      <c r="K209" s="1768">
        <v>220</v>
      </c>
      <c r="L209" s="1769">
        <v>50</v>
      </c>
      <c r="M209" s="2370" t="s">
        <v>6545</v>
      </c>
      <c r="N209" s="1755">
        <v>3</v>
      </c>
      <c r="O209" s="1770">
        <v>220</v>
      </c>
      <c r="P209" s="1771">
        <v>50</v>
      </c>
      <c r="Q209" s="2388" t="s">
        <v>6546</v>
      </c>
      <c r="R209" s="1772">
        <v>3</v>
      </c>
      <c r="S209" s="1223" t="s">
        <v>3541</v>
      </c>
      <c r="T209" s="1224" t="s">
        <v>3542</v>
      </c>
      <c r="U209" s="1225" t="s">
        <v>3543</v>
      </c>
      <c r="V209" s="1226" t="s">
        <v>3544</v>
      </c>
      <c r="W209" s="3692"/>
      <c r="X209" s="3694"/>
      <c r="Y209" s="1227">
        <f>SUM('5층_부하량(월간_AVG)'!D624:F624)</f>
        <v>0</v>
      </c>
      <c r="Z209" s="1257">
        <f>SUM('5층_부하량(월간_AVG)'!D640:F640)</f>
        <v>0</v>
      </c>
      <c r="AA209" s="3695"/>
      <c r="AB209" s="2720" t="e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9" s="3111" t="e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9" s="3162" t="e">
        <f>VLOOKUP(I209&amp;J209,'7층~4층_매핑테이블'!$I$6:$P$2020,8,0)</f>
        <v>#N/A</v>
      </c>
      <c r="AE209" s="3155" t="e">
        <f>$AE$208</f>
        <v>#N/A</v>
      </c>
      <c r="AF209" s="2726"/>
      <c r="AG209"/>
      <c r="AH209" s="2351" t="e">
        <f t="shared" si="90"/>
        <v>#N/A</v>
      </c>
      <c r="AI209" s="2351" t="e">
        <f t="shared" si="91"/>
        <v>#N/A</v>
      </c>
      <c r="AJ209" s="123" t="e">
        <f t="shared" si="87"/>
        <v>#N/A</v>
      </c>
      <c r="AK209" t="e">
        <f t="shared" si="88"/>
        <v>#N/A</v>
      </c>
      <c r="AL209" t="e">
        <f t="shared" si="89"/>
        <v>#N/A</v>
      </c>
      <c r="AQ209" s="123"/>
      <c r="AR209" s="123"/>
      <c r="AS209" s="123"/>
      <c r="AT209" s="2982"/>
      <c r="AU209" s="123"/>
      <c r="AV209" s="123"/>
      <c r="AW209" s="2990"/>
      <c r="AX209" s="2984"/>
      <c r="AY209" s="2985"/>
      <c r="AZ209" s="2986"/>
      <c r="BA209" s="2987"/>
      <c r="BB209" s="3194"/>
      <c r="BC209" s="2989"/>
    </row>
    <row r="210" spans="1:55" s="350" customFormat="1" ht="51" customHeight="1" thickTop="1" x14ac:dyDescent="0.25">
      <c r="A210" s="3716" t="s">
        <v>3058</v>
      </c>
      <c r="B210" s="3717" t="s">
        <v>3528</v>
      </c>
      <c r="C210" s="3680" t="s">
        <v>5761</v>
      </c>
      <c r="D210" s="3562">
        <v>13</v>
      </c>
      <c r="E210" s="2742" t="s">
        <v>3529</v>
      </c>
      <c r="F210" s="1213" t="s">
        <v>3530</v>
      </c>
      <c r="G210" s="1214" t="s">
        <v>3531</v>
      </c>
      <c r="H210" s="1215" t="s">
        <v>3532</v>
      </c>
      <c r="I210" s="1743" t="str">
        <f t="shared" si="66"/>
        <v>5-DaHall1-PDU-19-50-1</v>
      </c>
      <c r="J210" s="1744" t="str">
        <f t="shared" si="58"/>
        <v>5-DaHall1-PDU-20-50-1</v>
      </c>
      <c r="K210" s="1745">
        <v>220</v>
      </c>
      <c r="L210" s="1746">
        <v>50</v>
      </c>
      <c r="M210" s="2369" t="s">
        <v>6544</v>
      </c>
      <c r="N210" s="1747">
        <v>1</v>
      </c>
      <c r="O210" s="1748">
        <v>220</v>
      </c>
      <c r="P210" s="1749">
        <v>50</v>
      </c>
      <c r="Q210" s="2389" t="s">
        <v>6547</v>
      </c>
      <c r="R210" s="1750">
        <v>1</v>
      </c>
      <c r="S210" s="1216" t="s">
        <v>3533</v>
      </c>
      <c r="T210" s="1217" t="s">
        <v>3534</v>
      </c>
      <c r="U210" s="1218" t="s">
        <v>3535</v>
      </c>
      <c r="V210" s="1219" t="s">
        <v>3536</v>
      </c>
      <c r="W210" s="3682" t="s">
        <v>2484</v>
      </c>
      <c r="X210" s="3684" t="s">
        <v>2485</v>
      </c>
      <c r="Y210" s="1220">
        <f>SUM('5층_부하량(월간_AVG)'!D591:F591)</f>
        <v>0</v>
      </c>
      <c r="Z210" s="1220">
        <f>SUM('5층_부하량(월간_AVG)'!D607:F607)</f>
        <v>0</v>
      </c>
      <c r="AA210" s="3718">
        <f>SUM(Y210:Z211)</f>
        <v>0</v>
      </c>
      <c r="AB210" s="2743" t="e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10" s="3130" t="e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10" s="3162" t="e">
        <f>VLOOKUP(I210&amp;J210,'7층~4층_매핑테이블'!$I$6:$P$2020,8,0)</f>
        <v>#N/A</v>
      </c>
      <c r="AE210" s="3154" t="e">
        <f>SUM(AB210:AC211)</f>
        <v>#N/A</v>
      </c>
      <c r="AF210" s="2722"/>
      <c r="AG210"/>
      <c r="AH210" s="2351" t="e">
        <f t="shared" si="90"/>
        <v>#N/A</v>
      </c>
      <c r="AI210" s="2351" t="e">
        <f t="shared" si="91"/>
        <v>#N/A</v>
      </c>
      <c r="AJ210" s="123" t="e">
        <f t="shared" si="87"/>
        <v>#N/A</v>
      </c>
      <c r="AK210" t="e">
        <f t="shared" si="88"/>
        <v>#N/A</v>
      </c>
      <c r="AL210" t="e">
        <f t="shared" si="89"/>
        <v>#N/A</v>
      </c>
      <c r="AQ210" s="123"/>
      <c r="AR210" s="123"/>
      <c r="AS210" s="123"/>
      <c r="AT210" s="2982"/>
      <c r="AU210" s="123"/>
      <c r="AV210" s="123"/>
      <c r="AW210" s="2990"/>
      <c r="AX210" s="2984"/>
      <c r="AY210" s="2985"/>
      <c r="AZ210" s="2986"/>
      <c r="BA210" s="2987"/>
      <c r="BB210" s="3194"/>
      <c r="BC210" s="2989"/>
    </row>
    <row r="211" spans="1:55" s="350" customFormat="1" ht="51.6" customHeight="1" thickBot="1" x14ac:dyDescent="0.3">
      <c r="A211" s="3676"/>
      <c r="B211" s="3702"/>
      <c r="C211" s="3681"/>
      <c r="D211" s="3715"/>
      <c r="E211" s="2727" t="s">
        <v>3537</v>
      </c>
      <c r="F211" s="2727" t="s">
        <v>3538</v>
      </c>
      <c r="G211" s="1221" t="s">
        <v>3539</v>
      </c>
      <c r="H211" s="1252" t="s">
        <v>3540</v>
      </c>
      <c r="I211" s="1751" t="str">
        <f t="shared" si="66"/>
        <v>5-DaHall1-PDU-21-50-1</v>
      </c>
      <c r="J211" s="1752" t="str">
        <f t="shared" si="58"/>
        <v>5-DaHall1-PDU-22-50-1</v>
      </c>
      <c r="K211" s="1753">
        <v>220</v>
      </c>
      <c r="L211" s="1754">
        <v>50</v>
      </c>
      <c r="M211" s="2370" t="s">
        <v>6545</v>
      </c>
      <c r="N211" s="1755">
        <v>1</v>
      </c>
      <c r="O211" s="1756">
        <v>220</v>
      </c>
      <c r="P211" s="1757">
        <v>50</v>
      </c>
      <c r="Q211" s="2387" t="s">
        <v>6546</v>
      </c>
      <c r="R211" s="1758">
        <v>1</v>
      </c>
      <c r="S211" s="1253" t="s">
        <v>3541</v>
      </c>
      <c r="T211" s="1254" t="s">
        <v>3542</v>
      </c>
      <c r="U211" s="1255" t="s">
        <v>3543</v>
      </c>
      <c r="V211" s="1256" t="s">
        <v>3544</v>
      </c>
      <c r="W211" s="3698"/>
      <c r="X211" s="3699"/>
      <c r="Y211" s="1227">
        <f>SUM('5층_부하량(월간_AVG)'!D623:F623)</f>
        <v>0</v>
      </c>
      <c r="Z211" s="1257">
        <f>SUM('5층_부하량(월간_AVG)'!D639:F639)</f>
        <v>0</v>
      </c>
      <c r="AA211" s="3695"/>
      <c r="AB211" s="2720" t="e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1" s="3111" t="e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1" s="3162" t="e">
        <f>VLOOKUP(I211&amp;J211,'7층~4층_매핑테이블'!$I$6:$P$2020,8,0)</f>
        <v>#N/A</v>
      </c>
      <c r="AE211" s="3155" t="e">
        <f>$AE$210</f>
        <v>#N/A</v>
      </c>
      <c r="AF211" s="2726"/>
      <c r="AG211"/>
      <c r="AH211" s="2351" t="e">
        <f t="shared" si="90"/>
        <v>#N/A</v>
      </c>
      <c r="AI211" s="2351" t="e">
        <f t="shared" si="91"/>
        <v>#N/A</v>
      </c>
      <c r="AJ211" s="123" t="e">
        <f t="shared" si="87"/>
        <v>#N/A</v>
      </c>
      <c r="AK211" t="e">
        <f t="shared" si="88"/>
        <v>#N/A</v>
      </c>
      <c r="AL211" t="e">
        <f t="shared" si="89"/>
        <v>#N/A</v>
      </c>
      <c r="AM211" s="883">
        <f>SUM(AA164:AA211)</f>
        <v>0</v>
      </c>
      <c r="AN211" s="350" t="e">
        <f>SUM(AJ164:AJ211)</f>
        <v>#N/A</v>
      </c>
      <c r="AO211" s="2350" t="e">
        <f>AM211-AN211</f>
        <v>#N/A</v>
      </c>
      <c r="AQ211" s="123"/>
      <c r="AR211" s="123"/>
      <c r="AS211" s="123"/>
      <c r="AT211" s="2982"/>
      <c r="AU211" s="123"/>
      <c r="AV211" s="123"/>
      <c r="AW211" s="2990"/>
      <c r="AX211" s="2984"/>
      <c r="AY211" s="2985"/>
      <c r="AZ211" s="2986"/>
      <c r="BA211" s="2987"/>
      <c r="BB211" s="3194"/>
      <c r="BC211" s="2989"/>
    </row>
    <row r="212" spans="1:55" ht="29.4" thickTop="1" x14ac:dyDescent="0.25">
      <c r="A212" s="1081" t="s">
        <v>986</v>
      </c>
      <c r="B212" s="327" t="s">
        <v>3072</v>
      </c>
      <c r="C212" s="970"/>
      <c r="D212" s="970"/>
      <c r="E212" s="327" t="s">
        <v>3073</v>
      </c>
      <c r="F212" s="327" t="s">
        <v>3074</v>
      </c>
      <c r="G212" s="2641" t="s">
        <v>3075</v>
      </c>
      <c r="H212" s="2642" t="s">
        <v>3076</v>
      </c>
      <c r="I212" s="1605" t="str">
        <f t="shared" si="66"/>
        <v>5-DaHall1-PDU-05-30-2</v>
      </c>
      <c r="J212" s="1606" t="str">
        <f t="shared" si="58"/>
        <v>5-DaHall1-PDU-06-30-2</v>
      </c>
      <c r="K212" s="1552">
        <v>220</v>
      </c>
      <c r="L212" s="1553">
        <v>30</v>
      </c>
      <c r="M212" s="2363" t="s">
        <v>6491</v>
      </c>
      <c r="N212" s="1554">
        <v>2</v>
      </c>
      <c r="O212" s="1555">
        <v>220</v>
      </c>
      <c r="P212" s="1556">
        <v>30</v>
      </c>
      <c r="Q212" s="2393" t="s">
        <v>6501</v>
      </c>
      <c r="R212" s="1557">
        <v>2</v>
      </c>
      <c r="S212" s="3607" t="s">
        <v>2926</v>
      </c>
      <c r="T212" s="3610" t="s">
        <v>2927</v>
      </c>
      <c r="U212" s="3467" t="s">
        <v>2928</v>
      </c>
      <c r="V212" s="3497" t="s">
        <v>2929</v>
      </c>
      <c r="W212" s="3467" t="s">
        <v>2484</v>
      </c>
      <c r="X212" s="3497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38">
        <f t="shared" ref="AA212:AA219" si="100">SUM(Y212:Z212)</f>
        <v>0</v>
      </c>
      <c r="AB212" s="2689" t="e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2" s="3108" t="e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2" s="3162" t="e">
        <f>VLOOKUP(I212&amp;J212,'7층~4층_매핑테이블'!$I$6:$P$2020,8,0)</f>
        <v>#N/A</v>
      </c>
      <c r="AE212" s="3143" t="e">
        <f>SUM(AB212:AC212)</f>
        <v>#N/A</v>
      </c>
      <c r="AF212" s="2453" t="s">
        <v>3028</v>
      </c>
      <c r="AH212" s="2351" t="e">
        <f t="shared" si="90"/>
        <v>#N/A</v>
      </c>
      <c r="AI212" s="2351" t="e">
        <f t="shared" si="91"/>
        <v>#N/A</v>
      </c>
      <c r="AJ212" s="123" t="e">
        <f t="shared" si="87"/>
        <v>#N/A</v>
      </c>
      <c r="AK212" t="e">
        <f t="shared" si="88"/>
        <v>#N/A</v>
      </c>
      <c r="AL212" t="e">
        <f t="shared" si="89"/>
        <v>#N/A</v>
      </c>
      <c r="AQ212" s="123"/>
      <c r="AR212" s="123"/>
      <c r="AS212" s="123"/>
      <c r="AT212" s="2982"/>
      <c r="AU212" s="123"/>
      <c r="AV212" s="123"/>
      <c r="AW212" s="2990"/>
      <c r="AX212" s="2984"/>
      <c r="AY212" s="2985"/>
      <c r="AZ212" s="2986"/>
      <c r="BA212" s="2987"/>
      <c r="BB212" s="3194"/>
    </row>
    <row r="213" spans="1:55" ht="28.8" x14ac:dyDescent="0.25">
      <c r="A213" s="2620" t="s">
        <v>3077</v>
      </c>
      <c r="B213" s="250" t="s">
        <v>3078</v>
      </c>
      <c r="C213" s="2632"/>
      <c r="D213" s="2632"/>
      <c r="E213" s="250" t="s">
        <v>3079</v>
      </c>
      <c r="F213" s="250" t="s">
        <v>3080</v>
      </c>
      <c r="G213" s="2633" t="s">
        <v>3081</v>
      </c>
      <c r="H213" s="2634" t="s">
        <v>3082</v>
      </c>
      <c r="I213" s="1595" t="str">
        <f t="shared" si="66"/>
        <v>5-DaHall1-PDU-05-30-4</v>
      </c>
      <c r="J213" s="1596" t="str">
        <f t="shared" si="58"/>
        <v>5-DaHall1-PDU-06-30-4</v>
      </c>
      <c r="K213" s="1558">
        <v>220</v>
      </c>
      <c r="L213" s="1559">
        <v>30</v>
      </c>
      <c r="M213" s="2364" t="s">
        <v>6491</v>
      </c>
      <c r="N213" s="1560">
        <v>4</v>
      </c>
      <c r="O213" s="1561">
        <v>220</v>
      </c>
      <c r="P213" s="1562">
        <v>30</v>
      </c>
      <c r="Q213" s="2394" t="s">
        <v>6501</v>
      </c>
      <c r="R213" s="1563">
        <v>4</v>
      </c>
      <c r="S213" s="3608"/>
      <c r="T213" s="3611"/>
      <c r="U213" s="3472"/>
      <c r="V213" s="3471"/>
      <c r="W213" s="3472"/>
      <c r="X213" s="3471"/>
      <c r="Y213" s="253">
        <f>SUM('5층_부하량(월간_AVG)'!N165:P165)</f>
        <v>0</v>
      </c>
      <c r="Z213" s="253">
        <f>SUM('5층_부하량(월간_AVG)'!N196:P196)</f>
        <v>0</v>
      </c>
      <c r="AA213" s="2436">
        <f t="shared" si="100"/>
        <v>0</v>
      </c>
      <c r="AB213" s="2691" t="e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3" s="3109" t="e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3" s="3162" t="e">
        <f>VLOOKUP(I213&amp;J213,'7층~4층_매핑테이블'!$I$6:$P$2020,8,0)</f>
        <v>#N/A</v>
      </c>
      <c r="AE213" s="3144" t="e">
        <f>SUM(AB213:AC213)</f>
        <v>#N/A</v>
      </c>
      <c r="AF213" s="2451" t="s">
        <v>3028</v>
      </c>
      <c r="AH213" s="2351" t="e">
        <f t="shared" si="90"/>
        <v>#N/A</v>
      </c>
      <c r="AI213" s="2351" t="e">
        <f t="shared" si="91"/>
        <v>#N/A</v>
      </c>
      <c r="AJ213" s="123" t="e">
        <f t="shared" si="87"/>
        <v>#N/A</v>
      </c>
      <c r="AK213" t="e">
        <f t="shared" si="88"/>
        <v>#N/A</v>
      </c>
      <c r="AL213" t="e">
        <f t="shared" si="89"/>
        <v>#N/A</v>
      </c>
      <c r="AQ213" s="123"/>
      <c r="AR213" s="123"/>
      <c r="AS213" s="123"/>
      <c r="AT213" s="2982"/>
      <c r="AU213" s="123"/>
      <c r="AV213" s="123"/>
      <c r="AW213" s="2990"/>
      <c r="AX213" s="2984"/>
      <c r="AY213" s="2985"/>
      <c r="AZ213" s="2986"/>
      <c r="BA213" s="2987"/>
      <c r="BB213" s="3194"/>
    </row>
    <row r="214" spans="1:55" ht="28.8" x14ac:dyDescent="0.25">
      <c r="A214" s="2620" t="s">
        <v>3083</v>
      </c>
      <c r="B214" s="250" t="s">
        <v>3084</v>
      </c>
      <c r="C214" s="2632"/>
      <c r="D214" s="2632"/>
      <c r="E214" s="250" t="s">
        <v>3085</v>
      </c>
      <c r="F214" s="250" t="s">
        <v>3086</v>
      </c>
      <c r="G214" s="2633" t="s">
        <v>3087</v>
      </c>
      <c r="H214" s="2634" t="s">
        <v>3088</v>
      </c>
      <c r="I214" s="1595" t="str">
        <f t="shared" si="66"/>
        <v>5-DaHall1-PDU-05-30-6</v>
      </c>
      <c r="J214" s="1596" t="str">
        <f t="shared" si="58"/>
        <v>5-DaHall1-PDU-06-30-6</v>
      </c>
      <c r="K214" s="1558">
        <v>220</v>
      </c>
      <c r="L214" s="1559">
        <v>30</v>
      </c>
      <c r="M214" s="2364" t="s">
        <v>6491</v>
      </c>
      <c r="N214" s="1560">
        <v>6</v>
      </c>
      <c r="O214" s="1561">
        <v>220</v>
      </c>
      <c r="P214" s="1562">
        <v>30</v>
      </c>
      <c r="Q214" s="2394" t="s">
        <v>6501</v>
      </c>
      <c r="R214" s="1563">
        <v>6</v>
      </c>
      <c r="S214" s="3608"/>
      <c r="T214" s="3611"/>
      <c r="U214" s="3472"/>
      <c r="V214" s="3471"/>
      <c r="W214" s="3472"/>
      <c r="X214" s="3471"/>
      <c r="Y214" s="253">
        <f>SUM('5층_부하량(월간_AVG)'!N166:P166)</f>
        <v>0</v>
      </c>
      <c r="Z214" s="253">
        <f>SUM('5층_부하량(월간_AVG)'!N197:P197)</f>
        <v>0</v>
      </c>
      <c r="AA214" s="2436">
        <f t="shared" si="100"/>
        <v>0</v>
      </c>
      <c r="AB214" s="2691" t="e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4" s="3109" t="e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4" s="3162" t="e">
        <f>VLOOKUP(I214&amp;J214,'7층~4층_매핑테이블'!$I$6:$P$2020,8,0)</f>
        <v>#N/A</v>
      </c>
      <c r="AE214" s="3144" t="e">
        <f t="shared" ref="AE214:AE219" si="101">SUM(AB214:AC214)</f>
        <v>#N/A</v>
      </c>
      <c r="AF214" s="2451" t="s">
        <v>3028</v>
      </c>
      <c r="AH214" s="2351" t="e">
        <f t="shared" si="90"/>
        <v>#N/A</v>
      </c>
      <c r="AI214" s="2351" t="e">
        <f t="shared" si="91"/>
        <v>#N/A</v>
      </c>
      <c r="AJ214" s="123" t="e">
        <f t="shared" si="87"/>
        <v>#N/A</v>
      </c>
      <c r="AK214" t="e">
        <f t="shared" si="88"/>
        <v>#N/A</v>
      </c>
      <c r="AL214" t="e">
        <f t="shared" si="89"/>
        <v>#N/A</v>
      </c>
      <c r="AQ214" s="123"/>
      <c r="AR214" s="123"/>
      <c r="AS214" s="123"/>
      <c r="AT214" s="2982"/>
      <c r="AU214" s="123"/>
      <c r="AV214" s="123"/>
      <c r="AW214" s="2990"/>
      <c r="AX214" s="2984"/>
      <c r="AY214" s="2985"/>
      <c r="AZ214" s="2986"/>
      <c r="BA214" s="2987"/>
      <c r="BB214" s="3194"/>
    </row>
    <row r="215" spans="1:55" ht="28.8" x14ac:dyDescent="0.25">
      <c r="A215" s="2620" t="s">
        <v>3089</v>
      </c>
      <c r="B215" s="250" t="s">
        <v>3090</v>
      </c>
      <c r="C215" s="2632"/>
      <c r="D215" s="2632"/>
      <c r="E215" s="250" t="s">
        <v>3091</v>
      </c>
      <c r="F215" s="250" t="s">
        <v>3092</v>
      </c>
      <c r="G215" s="2633" t="s">
        <v>3093</v>
      </c>
      <c r="H215" s="2634" t="s">
        <v>3094</v>
      </c>
      <c r="I215" s="1595" t="str">
        <f t="shared" si="66"/>
        <v>5-DaHall1-PDU-05-30-8</v>
      </c>
      <c r="J215" s="1596" t="str">
        <f t="shared" si="58"/>
        <v>5-DaHall1-PDU-06-30-8</v>
      </c>
      <c r="K215" s="1558">
        <v>220</v>
      </c>
      <c r="L215" s="1559">
        <v>30</v>
      </c>
      <c r="M215" s="2364" t="s">
        <v>6491</v>
      </c>
      <c r="N215" s="1560">
        <v>8</v>
      </c>
      <c r="O215" s="1561">
        <v>220</v>
      </c>
      <c r="P215" s="1562">
        <v>30</v>
      </c>
      <c r="Q215" s="2394" t="s">
        <v>6501</v>
      </c>
      <c r="R215" s="1563">
        <v>8</v>
      </c>
      <c r="S215" s="3608"/>
      <c r="T215" s="3611"/>
      <c r="U215" s="3472"/>
      <c r="V215" s="3471"/>
      <c r="W215" s="3472"/>
      <c r="X215" s="3471"/>
      <c r="Y215" s="253">
        <f>SUM('5층_부하량(월간_AVG)'!N167:P167)</f>
        <v>0</v>
      </c>
      <c r="Z215" s="253">
        <f>SUM('5층_부하량(월간_AVG)'!N198:P198)</f>
        <v>0</v>
      </c>
      <c r="AA215" s="2436">
        <f t="shared" si="100"/>
        <v>0</v>
      </c>
      <c r="AB215" s="2691" t="e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5" s="3109" t="e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5" s="3162" t="e">
        <f>VLOOKUP(I215&amp;J215,'7층~4층_매핑테이블'!$I$6:$P$2020,8,0)</f>
        <v>#N/A</v>
      </c>
      <c r="AE215" s="3144" t="e">
        <f t="shared" si="101"/>
        <v>#N/A</v>
      </c>
      <c r="AF215" s="2451" t="s">
        <v>3028</v>
      </c>
      <c r="AH215" s="2351" t="e">
        <f t="shared" si="90"/>
        <v>#N/A</v>
      </c>
      <c r="AI215" s="2351" t="e">
        <f t="shared" si="91"/>
        <v>#N/A</v>
      </c>
      <c r="AJ215" s="123" t="e">
        <f t="shared" si="87"/>
        <v>#N/A</v>
      </c>
      <c r="AK215" t="e">
        <f t="shared" si="88"/>
        <v>#N/A</v>
      </c>
      <c r="AL215" t="e">
        <f t="shared" si="89"/>
        <v>#N/A</v>
      </c>
      <c r="AQ215" s="123"/>
      <c r="AR215" s="123"/>
      <c r="AS215" s="123"/>
      <c r="AT215" s="2982"/>
      <c r="AU215" s="123"/>
      <c r="AV215" s="123"/>
      <c r="AW215" s="2990"/>
      <c r="AX215" s="2984"/>
      <c r="AY215" s="2985"/>
      <c r="AZ215" s="2986"/>
      <c r="BA215" s="2987"/>
      <c r="BB215" s="3194"/>
    </row>
    <row r="216" spans="1:55" ht="28.8" x14ac:dyDescent="0.25">
      <c r="A216" s="2620" t="s">
        <v>1007</v>
      </c>
      <c r="B216" s="250" t="s">
        <v>3095</v>
      </c>
      <c r="C216" s="2632"/>
      <c r="D216" s="2632"/>
      <c r="E216" s="250" t="s">
        <v>3096</v>
      </c>
      <c r="F216" s="250" t="s">
        <v>3097</v>
      </c>
      <c r="G216" s="2633" t="s">
        <v>3098</v>
      </c>
      <c r="H216" s="2634" t="s">
        <v>3099</v>
      </c>
      <c r="I216" s="1595" t="str">
        <f t="shared" si="66"/>
        <v>5-DaHall1-PDU-05-30-10</v>
      </c>
      <c r="J216" s="1596" t="str">
        <f t="shared" si="58"/>
        <v>5-DaHall1-PDU-06-30-10</v>
      </c>
      <c r="K216" s="1558">
        <v>220</v>
      </c>
      <c r="L216" s="1559">
        <v>30</v>
      </c>
      <c r="M216" s="2364" t="s">
        <v>6491</v>
      </c>
      <c r="N216" s="1560">
        <v>10</v>
      </c>
      <c r="O216" s="1561">
        <v>220</v>
      </c>
      <c r="P216" s="1562">
        <v>30</v>
      </c>
      <c r="Q216" s="2394" t="s">
        <v>6501</v>
      </c>
      <c r="R216" s="1563">
        <v>10</v>
      </c>
      <c r="S216" s="3608"/>
      <c r="T216" s="3611"/>
      <c r="U216" s="3472"/>
      <c r="V216" s="3471"/>
      <c r="W216" s="3472"/>
      <c r="X216" s="3471"/>
      <c r="Y216" s="253">
        <f>SUM('5층_부하량(월간_AVG)'!N168:P168)</f>
        <v>0</v>
      </c>
      <c r="Z216" s="253">
        <f>SUM('5층_부하량(월간_AVG)'!N199:P199)</f>
        <v>0</v>
      </c>
      <c r="AA216" s="2436">
        <f t="shared" si="100"/>
        <v>0</v>
      </c>
      <c r="AB216" s="2691" t="e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6" s="3109" t="e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6" s="3162" t="e">
        <f>VLOOKUP(I216&amp;J216,'7층~4층_매핑테이블'!$I$6:$P$2020,8,0)</f>
        <v>#N/A</v>
      </c>
      <c r="AE216" s="3144" t="e">
        <f t="shared" si="101"/>
        <v>#N/A</v>
      </c>
      <c r="AF216" s="2451" t="s">
        <v>3028</v>
      </c>
      <c r="AH216" s="2351" t="e">
        <f t="shared" si="90"/>
        <v>#N/A</v>
      </c>
      <c r="AI216" s="2351" t="e">
        <f t="shared" si="91"/>
        <v>#N/A</v>
      </c>
      <c r="AJ216" s="123" t="e">
        <f t="shared" si="87"/>
        <v>#N/A</v>
      </c>
      <c r="AK216" t="e">
        <f t="shared" si="88"/>
        <v>#N/A</v>
      </c>
      <c r="AL216" t="e">
        <f t="shared" si="89"/>
        <v>#N/A</v>
      </c>
      <c r="AQ216" s="123"/>
      <c r="AR216" s="123"/>
      <c r="AS216" s="123"/>
      <c r="AT216" s="2982"/>
      <c r="AU216" s="123"/>
      <c r="AV216" s="123"/>
      <c r="AW216" s="2990"/>
      <c r="AX216" s="2984"/>
      <c r="AY216" s="2985"/>
      <c r="AZ216" s="2986"/>
      <c r="BA216" s="2987"/>
      <c r="BB216" s="3194"/>
    </row>
    <row r="217" spans="1:55" ht="28.8" x14ac:dyDescent="0.25">
      <c r="A217" s="2620" t="s">
        <v>3100</v>
      </c>
      <c r="B217" s="250" t="s">
        <v>3101</v>
      </c>
      <c r="C217" s="2632"/>
      <c r="D217" s="2632"/>
      <c r="E217" s="250" t="s">
        <v>3102</v>
      </c>
      <c r="F217" s="250" t="s">
        <v>3103</v>
      </c>
      <c r="G217" s="2633" t="s">
        <v>3104</v>
      </c>
      <c r="H217" s="2634" t="s">
        <v>3105</v>
      </c>
      <c r="I217" s="1595" t="str">
        <f t="shared" si="66"/>
        <v>5-DaHall1-PDU-05-30-12</v>
      </c>
      <c r="J217" s="1596" t="str">
        <f t="shared" si="58"/>
        <v>5-DaHall1-PDU-06-30-12</v>
      </c>
      <c r="K217" s="1558">
        <v>220</v>
      </c>
      <c r="L217" s="1559">
        <v>30</v>
      </c>
      <c r="M217" s="2364" t="s">
        <v>6491</v>
      </c>
      <c r="N217" s="1560">
        <v>12</v>
      </c>
      <c r="O217" s="1561">
        <v>220</v>
      </c>
      <c r="P217" s="1562">
        <v>30</v>
      </c>
      <c r="Q217" s="2394" t="s">
        <v>6501</v>
      </c>
      <c r="R217" s="1563">
        <v>12</v>
      </c>
      <c r="S217" s="3608"/>
      <c r="T217" s="3611"/>
      <c r="U217" s="3472"/>
      <c r="V217" s="3471"/>
      <c r="W217" s="3472"/>
      <c r="X217" s="3471"/>
      <c r="Y217" s="268">
        <f>SUM('5층_부하량(월간_AVG)'!N169:P169)</f>
        <v>0</v>
      </c>
      <c r="Z217" s="268">
        <f>SUM('5층_부하량(월간_AVG)'!N200:P200)</f>
        <v>0</v>
      </c>
      <c r="AA217" s="2436">
        <f t="shared" si="100"/>
        <v>0</v>
      </c>
      <c r="AB217" s="2691" t="e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7" s="3109" t="e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7" s="3162" t="e">
        <f>VLOOKUP(I217&amp;J217,'7층~4층_매핑테이블'!$I$6:$P$2020,8,0)</f>
        <v>#N/A</v>
      </c>
      <c r="AE217" s="3144" t="e">
        <f t="shared" si="101"/>
        <v>#N/A</v>
      </c>
      <c r="AF217" s="2451" t="s">
        <v>3028</v>
      </c>
      <c r="AH217" s="2351" t="e">
        <f t="shared" si="90"/>
        <v>#N/A</v>
      </c>
      <c r="AI217" s="2351" t="e">
        <f t="shared" si="91"/>
        <v>#N/A</v>
      </c>
      <c r="AJ217" s="123" t="e">
        <f t="shared" si="87"/>
        <v>#N/A</v>
      </c>
      <c r="AK217" t="e">
        <f t="shared" si="88"/>
        <v>#N/A</v>
      </c>
      <c r="AL217" t="e">
        <f t="shared" si="89"/>
        <v>#N/A</v>
      </c>
      <c r="AQ217" s="123"/>
      <c r="AR217" s="123"/>
      <c r="AS217" s="123"/>
      <c r="AT217" s="2982"/>
      <c r="AU217" s="123"/>
      <c r="AV217" s="123"/>
      <c r="AW217" s="2990"/>
      <c r="AX217" s="2984"/>
      <c r="AY217" s="2985"/>
      <c r="AZ217" s="2986"/>
      <c r="BA217" s="2987"/>
      <c r="BB217" s="3194"/>
    </row>
    <row r="218" spans="1:55" ht="28.8" x14ac:dyDescent="0.25">
      <c r="A218" s="2620" t="s">
        <v>3106</v>
      </c>
      <c r="B218" s="250" t="s">
        <v>3107</v>
      </c>
      <c r="C218" s="2632"/>
      <c r="D218" s="2632"/>
      <c r="E218" s="250" t="s">
        <v>3108</v>
      </c>
      <c r="F218" s="250" t="s">
        <v>3109</v>
      </c>
      <c r="G218" s="2633" t="s">
        <v>3110</v>
      </c>
      <c r="H218" s="2634" t="s">
        <v>3111</v>
      </c>
      <c r="I218" s="1595" t="str">
        <f t="shared" si="66"/>
        <v>5-DaHall1-PDU-05-30-14</v>
      </c>
      <c r="J218" s="1596" t="str">
        <f t="shared" si="58"/>
        <v>5-DaHall1-PDU-06-30-16</v>
      </c>
      <c r="K218" s="1558">
        <v>220</v>
      </c>
      <c r="L218" s="1559">
        <v>30</v>
      </c>
      <c r="M218" s="2364" t="s">
        <v>6491</v>
      </c>
      <c r="N218" s="1560">
        <v>14</v>
      </c>
      <c r="O218" s="1561">
        <v>220</v>
      </c>
      <c r="P218" s="1562">
        <v>30</v>
      </c>
      <c r="Q218" s="2394" t="s">
        <v>6501</v>
      </c>
      <c r="R218" s="1563">
        <v>16</v>
      </c>
      <c r="S218" s="3608"/>
      <c r="T218" s="3611"/>
      <c r="U218" s="3472"/>
      <c r="V218" s="3471"/>
      <c r="W218" s="3472"/>
      <c r="X218" s="3471"/>
      <c r="Y218" s="268">
        <f>SUM('5층_부하량(월간_AVG)'!N170:P170)</f>
        <v>0</v>
      </c>
      <c r="Z218" s="268">
        <f>SUM('5층_부하량(월간_AVG)'!N202:P202)</f>
        <v>0</v>
      </c>
      <c r="AA218" s="2436">
        <f t="shared" si="100"/>
        <v>0</v>
      </c>
      <c r="AB218" s="2691" t="e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8" s="3109" t="e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8" s="3162" t="e">
        <f>VLOOKUP(I218&amp;J218,'7층~4층_매핑테이블'!$I$6:$P$2020,8,0)</f>
        <v>#N/A</v>
      </c>
      <c r="AE218" s="3144" t="e">
        <f t="shared" si="101"/>
        <v>#N/A</v>
      </c>
      <c r="AF218" s="2451" t="s">
        <v>3028</v>
      </c>
      <c r="AH218" s="2351" t="e">
        <f t="shared" si="90"/>
        <v>#N/A</v>
      </c>
      <c r="AI218" s="2351" t="e">
        <f t="shared" si="91"/>
        <v>#N/A</v>
      </c>
      <c r="AJ218" s="123" t="e">
        <f t="shared" si="87"/>
        <v>#N/A</v>
      </c>
      <c r="AK218" t="e">
        <f t="shared" si="88"/>
        <v>#N/A</v>
      </c>
      <c r="AL218" t="e">
        <f t="shared" si="89"/>
        <v>#N/A</v>
      </c>
      <c r="AQ218" s="123"/>
      <c r="AR218" s="123"/>
      <c r="AS218" s="123"/>
      <c r="AT218" s="2982"/>
      <c r="AU218" s="123"/>
      <c r="AV218" s="123"/>
      <c r="AW218" s="2990"/>
      <c r="AX218" s="2984"/>
      <c r="AY218" s="2985"/>
      <c r="AZ218" s="2986"/>
      <c r="BA218" s="2987"/>
      <c r="BB218" s="3194"/>
    </row>
    <row r="219" spans="1:55" ht="28.8" x14ac:dyDescent="0.25">
      <c r="A219" s="2620" t="s">
        <v>3112</v>
      </c>
      <c r="B219" s="250" t="s">
        <v>3113</v>
      </c>
      <c r="C219" s="2632"/>
      <c r="D219" s="2632"/>
      <c r="E219" s="250" t="s">
        <v>3114</v>
      </c>
      <c r="F219" s="250" t="s">
        <v>3115</v>
      </c>
      <c r="G219" s="2633" t="s">
        <v>3116</v>
      </c>
      <c r="H219" s="2634" t="s">
        <v>3117</v>
      </c>
      <c r="I219" s="1595" t="str">
        <f t="shared" si="66"/>
        <v>5-DaHall1-PDU-05-30-16</v>
      </c>
      <c r="J219" s="1596" t="str">
        <f t="shared" si="58"/>
        <v>5-DaHall1-PDU-06-30-18</v>
      </c>
      <c r="K219" s="1558">
        <v>220</v>
      </c>
      <c r="L219" s="1559">
        <v>30</v>
      </c>
      <c r="M219" s="2364" t="s">
        <v>6491</v>
      </c>
      <c r="N219" s="1560">
        <v>16</v>
      </c>
      <c r="O219" s="1561">
        <v>220</v>
      </c>
      <c r="P219" s="1562">
        <v>30</v>
      </c>
      <c r="Q219" s="2394" t="s">
        <v>6501</v>
      </c>
      <c r="R219" s="1563">
        <v>18</v>
      </c>
      <c r="S219" s="3608"/>
      <c r="T219" s="3611"/>
      <c r="U219" s="3472"/>
      <c r="V219" s="3471"/>
      <c r="W219" s="3472"/>
      <c r="X219" s="3471"/>
      <c r="Y219" s="268">
        <f>SUM('5층_부하량(월간_AVG)'!N171:P171)</f>
        <v>0</v>
      </c>
      <c r="Z219" s="268">
        <f>SUM('5층_부하량(월간_AVG)'!N203:P203)</f>
        <v>0</v>
      </c>
      <c r="AA219" s="2436">
        <f t="shared" si="100"/>
        <v>0</v>
      </c>
      <c r="AB219" s="2691" t="e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9" s="3109" t="e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9" s="3162" t="e">
        <f>VLOOKUP(I219&amp;J219,'7층~4층_매핑테이블'!$I$6:$P$2020,8,0)</f>
        <v>#N/A</v>
      </c>
      <c r="AE219" s="3144" t="e">
        <f t="shared" si="101"/>
        <v>#N/A</v>
      </c>
      <c r="AF219" s="2451" t="s">
        <v>3028</v>
      </c>
      <c r="AH219" s="2351" t="e">
        <f t="shared" si="90"/>
        <v>#N/A</v>
      </c>
      <c r="AI219" s="2351" t="e">
        <f t="shared" si="91"/>
        <v>#N/A</v>
      </c>
      <c r="AJ219" s="123" t="e">
        <f t="shared" si="87"/>
        <v>#N/A</v>
      </c>
      <c r="AK219" t="e">
        <f t="shared" si="88"/>
        <v>#N/A</v>
      </c>
      <c r="AL219" t="e">
        <f t="shared" si="89"/>
        <v>#N/A</v>
      </c>
      <c r="AQ219" s="123"/>
      <c r="AR219" s="123"/>
      <c r="AS219" s="123"/>
      <c r="AT219" s="2982"/>
      <c r="AU219" s="123"/>
      <c r="AV219" s="123"/>
      <c r="AW219" s="2990"/>
      <c r="AX219" s="2984"/>
      <c r="AY219" s="2985"/>
      <c r="AZ219" s="2986"/>
      <c r="BA219" s="2987"/>
      <c r="BB219" s="3194"/>
    </row>
    <row r="220" spans="1:55" x14ac:dyDescent="0.25">
      <c r="A220" s="2620" t="s">
        <v>3118</v>
      </c>
      <c r="B220" s="2680"/>
      <c r="C220" s="886"/>
      <c r="D220" s="886"/>
      <c r="E220" s="2680"/>
      <c r="F220" s="2680"/>
      <c r="G220" s="2678"/>
      <c r="H220" s="2674"/>
      <c r="I220" s="1590"/>
      <c r="J220" s="1582"/>
      <c r="K220" s="1591"/>
      <c r="L220" s="1592"/>
      <c r="M220" s="2678"/>
      <c r="N220" s="1593"/>
      <c r="O220" s="1594"/>
      <c r="P220" s="1584"/>
      <c r="Q220" s="2674"/>
      <c r="R220" s="1585"/>
      <c r="S220" s="2678"/>
      <c r="T220" s="2674"/>
      <c r="U220" s="832"/>
      <c r="V220" s="833"/>
      <c r="W220" s="832"/>
      <c r="X220" s="833"/>
      <c r="Y220" s="991"/>
      <c r="Z220" s="991"/>
      <c r="AA220" s="2441"/>
      <c r="AB220" s="2704"/>
      <c r="AC220" s="3117"/>
      <c r="AD220" s="3164"/>
      <c r="AE220" s="3149"/>
      <c r="AF220" s="2499"/>
      <c r="AH220" s="2351">
        <f t="shared" si="90"/>
        <v>0</v>
      </c>
      <c r="AI220" s="2351">
        <f t="shared" si="91"/>
        <v>0</v>
      </c>
      <c r="AJ220" s="123" t="str">
        <f t="shared" si="87"/>
        <v>무부하 랙</v>
      </c>
      <c r="AK220" t="str">
        <f t="shared" si="88"/>
        <v/>
      </c>
      <c r="AL220" t="str">
        <f t="shared" si="89"/>
        <v/>
      </c>
      <c r="AQ220" s="123"/>
      <c r="AR220" s="123"/>
      <c r="AS220" s="123"/>
      <c r="AT220" s="2982"/>
      <c r="AU220" s="123"/>
      <c r="AV220" s="123"/>
      <c r="AW220" s="2990"/>
      <c r="AX220" s="2984"/>
      <c r="AY220" s="2985"/>
      <c r="AZ220" s="2986"/>
      <c r="BA220" s="2987"/>
      <c r="BB220" s="3194"/>
    </row>
    <row r="221" spans="1:55" ht="15" thickBot="1" x14ac:dyDescent="0.3">
      <c r="A221" s="2628" t="s">
        <v>3119</v>
      </c>
      <c r="B221" s="839"/>
      <c r="C221" s="972"/>
      <c r="D221" s="972"/>
      <c r="E221" s="839"/>
      <c r="F221" s="839"/>
      <c r="G221" s="2679"/>
      <c r="H221" s="2675"/>
      <c r="I221" s="1607"/>
      <c r="J221" s="1608"/>
      <c r="K221" s="1621"/>
      <c r="L221" s="1622"/>
      <c r="M221" s="2679"/>
      <c r="N221" s="1623"/>
      <c r="O221" s="1624"/>
      <c r="P221" s="1625"/>
      <c r="Q221" s="2675"/>
      <c r="R221" s="1626"/>
      <c r="S221" s="2679"/>
      <c r="T221" s="2675"/>
      <c r="U221" s="840"/>
      <c r="V221" s="849"/>
      <c r="W221" s="840"/>
      <c r="X221" s="849"/>
      <c r="Y221" s="1098"/>
      <c r="Z221" s="1098"/>
      <c r="AA221" s="2440"/>
      <c r="AB221" s="2717"/>
      <c r="AC221" s="3129"/>
      <c r="AD221" s="3169"/>
      <c r="AE221" s="3153"/>
      <c r="AF221" s="2502"/>
      <c r="AH221" s="2351">
        <f t="shared" si="90"/>
        <v>0</v>
      </c>
      <c r="AI221" s="2351">
        <f t="shared" si="91"/>
        <v>0</v>
      </c>
      <c r="AJ221" s="123" t="str">
        <f t="shared" si="87"/>
        <v>무부하 랙</v>
      </c>
      <c r="AK221" t="str">
        <f t="shared" si="88"/>
        <v/>
      </c>
      <c r="AL221" t="str">
        <f t="shared" si="89"/>
        <v/>
      </c>
      <c r="AQ221" s="123"/>
      <c r="AR221" s="123"/>
      <c r="AS221" s="123"/>
      <c r="AT221" s="2982"/>
      <c r="AU221" s="123"/>
      <c r="AV221" s="123"/>
      <c r="AW221" s="2990"/>
      <c r="AX221" s="2984"/>
      <c r="AY221" s="2985"/>
      <c r="AZ221" s="2986"/>
      <c r="BA221" s="2987"/>
      <c r="BB221" s="3194"/>
    </row>
    <row r="222" spans="1:55" ht="27.75" customHeight="1" thickTop="1" x14ac:dyDescent="0.25">
      <c r="A222" s="1081" t="s">
        <v>1030</v>
      </c>
      <c r="B222" s="327" t="s">
        <v>3120</v>
      </c>
      <c r="C222" s="970"/>
      <c r="D222" s="970"/>
      <c r="E222" s="327" t="s">
        <v>3121</v>
      </c>
      <c r="F222" s="327" t="s">
        <v>3122</v>
      </c>
      <c r="G222" s="2641" t="s">
        <v>3123</v>
      </c>
      <c r="H222" s="2642" t="s">
        <v>3124</v>
      </c>
      <c r="I222" s="1605" t="str">
        <f t="shared" ref="I222:I229" si="102">"5-DaHall1-PDU-"&amp;M222&amp;"-"&amp;L222&amp;"-"&amp;N222</f>
        <v>5-DaHall1-PDU-05-30-18</v>
      </c>
      <c r="J222" s="1606" t="str">
        <f t="shared" ref="J222:J229" si="103">"5-DaHall1-PDU-"&amp;Q222&amp;"-"&amp;P222&amp;"-"&amp;R222</f>
        <v>5-DaHall1-PDU-06-30-20</v>
      </c>
      <c r="K222" s="1552">
        <v>220</v>
      </c>
      <c r="L222" s="1553">
        <v>30</v>
      </c>
      <c r="M222" s="2363" t="s">
        <v>6491</v>
      </c>
      <c r="N222" s="1554">
        <v>18</v>
      </c>
      <c r="O222" s="1555">
        <v>220</v>
      </c>
      <c r="P222" s="1556">
        <v>30</v>
      </c>
      <c r="Q222" s="2393" t="s">
        <v>6501</v>
      </c>
      <c r="R222" s="1557">
        <v>20</v>
      </c>
      <c r="S222" s="3607" t="s">
        <v>2926</v>
      </c>
      <c r="T222" s="3610" t="s">
        <v>2927</v>
      </c>
      <c r="U222" s="3467" t="s">
        <v>2928</v>
      </c>
      <c r="V222" s="3497" t="s">
        <v>2929</v>
      </c>
      <c r="W222" s="3467" t="s">
        <v>2484</v>
      </c>
      <c r="X222" s="3497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38">
        <f>SUM(Y222:Z222)</f>
        <v>0</v>
      </c>
      <c r="AB222" s="2689" t="e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2" s="3108" t="e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2" s="3162" t="e">
        <f>VLOOKUP(I222&amp;J222,'7층~4층_매핑테이블'!$I$6:$P$2020,8,0)</f>
        <v>#N/A</v>
      </c>
      <c r="AE222" s="3143" t="e">
        <f>SUM(AB222:AC222)</f>
        <v>#N/A</v>
      </c>
      <c r="AF222" s="2453" t="s">
        <v>3028</v>
      </c>
      <c r="AH222" s="2351" t="e">
        <f t="shared" si="90"/>
        <v>#N/A</v>
      </c>
      <c r="AI222" s="2351" t="e">
        <f t="shared" si="91"/>
        <v>#N/A</v>
      </c>
      <c r="AJ222" s="123" t="e">
        <f t="shared" si="87"/>
        <v>#N/A</v>
      </c>
      <c r="AK222" t="e">
        <f t="shared" si="88"/>
        <v>#N/A</v>
      </c>
      <c r="AL222" t="e">
        <f t="shared" si="89"/>
        <v>#N/A</v>
      </c>
      <c r="AQ222" s="123"/>
      <c r="AR222" s="123"/>
      <c r="AS222" s="123"/>
      <c r="AT222" s="2982"/>
      <c r="AU222" s="123"/>
      <c r="AV222" s="123"/>
      <c r="AW222" s="2990"/>
      <c r="AX222" s="2984"/>
      <c r="AY222" s="2985"/>
      <c r="AZ222" s="2986"/>
      <c r="BA222" s="2987"/>
      <c r="BB222" s="3194"/>
    </row>
    <row r="223" spans="1:55" ht="28.8" x14ac:dyDescent="0.25">
      <c r="A223" s="2620" t="s">
        <v>1031</v>
      </c>
      <c r="B223" s="250" t="s">
        <v>3125</v>
      </c>
      <c r="C223" s="2632"/>
      <c r="D223" s="2632"/>
      <c r="E223" s="250" t="s">
        <v>3126</v>
      </c>
      <c r="F223" s="250" t="s">
        <v>3127</v>
      </c>
      <c r="G223" s="2633" t="s">
        <v>3128</v>
      </c>
      <c r="H223" s="2634" t="s">
        <v>3129</v>
      </c>
      <c r="I223" s="1595" t="str">
        <f t="shared" si="102"/>
        <v>5-DaHall1-PDU-05-30-20</v>
      </c>
      <c r="J223" s="1596" t="str">
        <f t="shared" si="103"/>
        <v>5-DaHall1-PDU-06-30-22</v>
      </c>
      <c r="K223" s="1558">
        <v>220</v>
      </c>
      <c r="L223" s="1559">
        <v>30</v>
      </c>
      <c r="M223" s="2364" t="s">
        <v>6491</v>
      </c>
      <c r="N223" s="1560">
        <v>20</v>
      </c>
      <c r="O223" s="1561">
        <v>220</v>
      </c>
      <c r="P223" s="1562">
        <v>30</v>
      </c>
      <c r="Q223" s="2394" t="s">
        <v>6501</v>
      </c>
      <c r="R223" s="1563">
        <v>22</v>
      </c>
      <c r="S223" s="3608"/>
      <c r="T223" s="3611"/>
      <c r="U223" s="3472"/>
      <c r="V223" s="3471"/>
      <c r="W223" s="3472"/>
      <c r="X223" s="3471"/>
      <c r="Y223" s="253">
        <f>SUM('5층_부하량(월간_AVG)'!N175:P175)</f>
        <v>0</v>
      </c>
      <c r="Z223" s="253">
        <f>SUM('5층_부하량(월간_AVG)'!N205:P205)</f>
        <v>0</v>
      </c>
      <c r="AA223" s="2436">
        <f t="shared" ref="AA223:AA229" si="104">SUM(Y223:Z223)</f>
        <v>0</v>
      </c>
      <c r="AB223" s="2691" t="e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3" s="3109" t="e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3" s="3162" t="e">
        <f>VLOOKUP(I223&amp;J223,'7층~4층_매핑테이블'!$I$6:$P$2020,8,0)</f>
        <v>#N/A</v>
      </c>
      <c r="AE223" s="3144" t="e">
        <f>SUM(AB223:AC223)</f>
        <v>#N/A</v>
      </c>
      <c r="AF223" s="2451" t="s">
        <v>3028</v>
      </c>
      <c r="AH223" s="2351" t="e">
        <f t="shared" si="90"/>
        <v>#N/A</v>
      </c>
      <c r="AI223" s="2351" t="e">
        <f t="shared" si="91"/>
        <v>#N/A</v>
      </c>
      <c r="AJ223" s="123" t="e">
        <f t="shared" si="87"/>
        <v>#N/A</v>
      </c>
      <c r="AK223" t="e">
        <f t="shared" si="88"/>
        <v>#N/A</v>
      </c>
      <c r="AL223" t="e">
        <f t="shared" si="89"/>
        <v>#N/A</v>
      </c>
      <c r="AQ223" s="123"/>
      <c r="AR223" s="123"/>
      <c r="AS223" s="123"/>
      <c r="AT223" s="2982"/>
      <c r="AU223" s="123"/>
      <c r="AV223" s="123"/>
      <c r="AW223" s="2990"/>
      <c r="AX223" s="2984"/>
      <c r="AY223" s="2985"/>
      <c r="AZ223" s="2986"/>
      <c r="BA223" s="2987"/>
      <c r="BB223" s="3194"/>
    </row>
    <row r="224" spans="1:55" ht="28.8" x14ac:dyDescent="0.25">
      <c r="A224" s="2620" t="s">
        <v>3130</v>
      </c>
      <c r="B224" s="250" t="s">
        <v>3131</v>
      </c>
      <c r="C224" s="2632"/>
      <c r="D224" s="2632"/>
      <c r="E224" s="250" t="s">
        <v>3132</v>
      </c>
      <c r="F224" s="250" t="s">
        <v>3133</v>
      </c>
      <c r="G224" s="2633" t="s">
        <v>3134</v>
      </c>
      <c r="H224" s="2634" t="s">
        <v>3135</v>
      </c>
      <c r="I224" s="1595" t="str">
        <f t="shared" si="102"/>
        <v>5-DaHall1-PDU-05-30-22</v>
      </c>
      <c r="J224" s="1596" t="str">
        <f t="shared" si="103"/>
        <v>5-DaHall1-PDU-06-30-24</v>
      </c>
      <c r="K224" s="1558">
        <v>220</v>
      </c>
      <c r="L224" s="1559">
        <v>30</v>
      </c>
      <c r="M224" s="2364" t="s">
        <v>6491</v>
      </c>
      <c r="N224" s="1560">
        <v>22</v>
      </c>
      <c r="O224" s="1561">
        <v>220</v>
      </c>
      <c r="P224" s="1562">
        <v>30</v>
      </c>
      <c r="Q224" s="2394" t="s">
        <v>6501</v>
      </c>
      <c r="R224" s="1563">
        <v>24</v>
      </c>
      <c r="S224" s="3608"/>
      <c r="T224" s="3611"/>
      <c r="U224" s="3472"/>
      <c r="V224" s="3471"/>
      <c r="W224" s="3472"/>
      <c r="X224" s="3471"/>
      <c r="Y224" s="253">
        <f>SUM('5층_부하량(월간_AVG)'!N176:P176)</f>
        <v>0</v>
      </c>
      <c r="Z224" s="253">
        <f>SUM('5층_부하량(월간_AVG)'!N206:P206)</f>
        <v>0</v>
      </c>
      <c r="AA224" s="2436">
        <f t="shared" si="104"/>
        <v>0</v>
      </c>
      <c r="AB224" s="2691" t="e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4" s="3109" t="e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4" s="3162" t="e">
        <f>VLOOKUP(I224&amp;J224,'7층~4층_매핑테이블'!$I$6:$P$2020,8,0)</f>
        <v>#N/A</v>
      </c>
      <c r="AE224" s="3144" t="e">
        <f t="shared" ref="AE224:AE229" si="105">SUM(AB224:AC224)</f>
        <v>#N/A</v>
      </c>
      <c r="AF224" s="2451" t="s">
        <v>3028</v>
      </c>
      <c r="AH224" s="2351" t="e">
        <f t="shared" si="90"/>
        <v>#N/A</v>
      </c>
      <c r="AI224" s="2351" t="e">
        <f t="shared" si="91"/>
        <v>#N/A</v>
      </c>
      <c r="AJ224" s="123" t="e">
        <f t="shared" si="87"/>
        <v>#N/A</v>
      </c>
      <c r="AK224" t="e">
        <f t="shared" si="88"/>
        <v>#N/A</v>
      </c>
      <c r="AL224" t="e">
        <f t="shared" si="89"/>
        <v>#N/A</v>
      </c>
      <c r="AQ224" s="123"/>
      <c r="AR224" s="123"/>
      <c r="AS224" s="123"/>
      <c r="AT224" s="2982"/>
      <c r="AU224" s="123"/>
      <c r="AV224" s="123"/>
      <c r="AW224" s="2990"/>
      <c r="AX224" s="2984"/>
      <c r="AY224" s="2985"/>
      <c r="AZ224" s="2986"/>
      <c r="BA224" s="2987"/>
      <c r="BB224" s="3194"/>
    </row>
    <row r="225" spans="1:54" ht="28.8" x14ac:dyDescent="0.25">
      <c r="A225" s="2620" t="s">
        <v>3136</v>
      </c>
      <c r="B225" s="250" t="s">
        <v>3137</v>
      </c>
      <c r="C225" s="2632"/>
      <c r="D225" s="2632"/>
      <c r="E225" s="250" t="s">
        <v>3138</v>
      </c>
      <c r="F225" s="250" t="s">
        <v>3139</v>
      </c>
      <c r="G225" s="2633" t="s">
        <v>3140</v>
      </c>
      <c r="H225" s="2634" t="s">
        <v>3141</v>
      </c>
      <c r="I225" s="1595" t="str">
        <f t="shared" si="102"/>
        <v>5-DaHall1-PDU-05-30-24</v>
      </c>
      <c r="J225" s="1596" t="str">
        <f t="shared" si="103"/>
        <v>5-DaHall1-PDU-06-30-26</v>
      </c>
      <c r="K225" s="1558">
        <v>220</v>
      </c>
      <c r="L225" s="1559">
        <v>30</v>
      </c>
      <c r="M225" s="2364" t="s">
        <v>6491</v>
      </c>
      <c r="N225" s="1560">
        <v>24</v>
      </c>
      <c r="O225" s="1561">
        <v>220</v>
      </c>
      <c r="P225" s="1562">
        <v>30</v>
      </c>
      <c r="Q225" s="2394" t="s">
        <v>6501</v>
      </c>
      <c r="R225" s="1563">
        <v>26</v>
      </c>
      <c r="S225" s="3608"/>
      <c r="T225" s="3611"/>
      <c r="U225" s="3472"/>
      <c r="V225" s="3471"/>
      <c r="W225" s="3472"/>
      <c r="X225" s="3471"/>
      <c r="Y225" s="253">
        <f>SUM('5층_부하량(월간_AVG)'!N177:P177)</f>
        <v>0</v>
      </c>
      <c r="Z225" s="253">
        <f>SUM('5층_부하량(월간_AVG)'!N207:P207)</f>
        <v>0</v>
      </c>
      <c r="AA225" s="2436">
        <f t="shared" si="104"/>
        <v>0</v>
      </c>
      <c r="AB225" s="2691" t="e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5" s="3109" t="e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5" s="3162" t="e">
        <f>VLOOKUP(I225&amp;J225,'7층~4층_매핑테이블'!$I$6:$P$2020,8,0)</f>
        <v>#N/A</v>
      </c>
      <c r="AE225" s="3144" t="e">
        <f t="shared" si="105"/>
        <v>#N/A</v>
      </c>
      <c r="AF225" s="2451" t="s">
        <v>3028</v>
      </c>
      <c r="AH225" s="2351" t="e">
        <f t="shared" si="90"/>
        <v>#N/A</v>
      </c>
      <c r="AI225" s="2351" t="e">
        <f t="shared" si="91"/>
        <v>#N/A</v>
      </c>
      <c r="AJ225" s="123" t="e">
        <f t="shared" si="87"/>
        <v>#N/A</v>
      </c>
      <c r="AK225" t="e">
        <f t="shared" si="88"/>
        <v>#N/A</v>
      </c>
      <c r="AL225" t="e">
        <f t="shared" si="89"/>
        <v>#N/A</v>
      </c>
      <c r="AQ225" s="123"/>
      <c r="AR225" s="123"/>
      <c r="AS225" s="123"/>
      <c r="AT225" s="2982"/>
      <c r="AU225" s="123"/>
      <c r="AV225" s="123"/>
      <c r="AW225" s="2990"/>
      <c r="AX225" s="2984"/>
      <c r="AY225" s="2985"/>
      <c r="AZ225" s="2986"/>
      <c r="BA225" s="2987"/>
      <c r="BB225" s="3194"/>
    </row>
    <row r="226" spans="1:54" ht="28.8" x14ac:dyDescent="0.25">
      <c r="A226" s="2620" t="s">
        <v>3142</v>
      </c>
      <c r="B226" s="250" t="s">
        <v>3143</v>
      </c>
      <c r="C226" s="2632"/>
      <c r="D226" s="2632"/>
      <c r="E226" s="250" t="s">
        <v>3144</v>
      </c>
      <c r="F226" s="250" t="s">
        <v>3145</v>
      </c>
      <c r="G226" s="2633" t="s">
        <v>3146</v>
      </c>
      <c r="H226" s="2634" t="s">
        <v>3147</v>
      </c>
      <c r="I226" s="1595" t="str">
        <f t="shared" si="102"/>
        <v>5-DaHall1-PDU-05-30-26</v>
      </c>
      <c r="J226" s="1596" t="str">
        <f t="shared" si="103"/>
        <v>5-DaHall1-PDU-06-30-28</v>
      </c>
      <c r="K226" s="1558">
        <v>220</v>
      </c>
      <c r="L226" s="1559">
        <v>30</v>
      </c>
      <c r="M226" s="2364" t="s">
        <v>6491</v>
      </c>
      <c r="N226" s="1560">
        <v>26</v>
      </c>
      <c r="O226" s="1561">
        <v>220</v>
      </c>
      <c r="P226" s="1562">
        <v>30</v>
      </c>
      <c r="Q226" s="2394" t="s">
        <v>6501</v>
      </c>
      <c r="R226" s="1563">
        <v>28</v>
      </c>
      <c r="S226" s="3608"/>
      <c r="T226" s="3611"/>
      <c r="U226" s="3472"/>
      <c r="V226" s="3471"/>
      <c r="W226" s="3472"/>
      <c r="X226" s="3471"/>
      <c r="Y226" s="253">
        <f>SUM('5층_부하량(월간_AVG)'!N178:P178)</f>
        <v>0</v>
      </c>
      <c r="Z226" s="253">
        <f>SUM('5층_부하량(월간_AVG)'!N208:P208)</f>
        <v>0</v>
      </c>
      <c r="AA226" s="2436">
        <f t="shared" si="104"/>
        <v>0</v>
      </c>
      <c r="AB226" s="2691" t="e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6" s="3109" t="e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6" s="3162" t="e">
        <f>VLOOKUP(I226&amp;J226,'7층~4층_매핑테이블'!$I$6:$P$2020,8,0)</f>
        <v>#N/A</v>
      </c>
      <c r="AE226" s="3144" t="e">
        <f t="shared" si="105"/>
        <v>#N/A</v>
      </c>
      <c r="AF226" s="2451" t="s">
        <v>3028</v>
      </c>
      <c r="AH226" s="2351" t="e">
        <f t="shared" si="90"/>
        <v>#N/A</v>
      </c>
      <c r="AI226" s="2351" t="e">
        <f t="shared" si="91"/>
        <v>#N/A</v>
      </c>
      <c r="AJ226" s="123" t="e">
        <f t="shared" si="87"/>
        <v>#N/A</v>
      </c>
      <c r="AK226" t="e">
        <f t="shared" si="88"/>
        <v>#N/A</v>
      </c>
      <c r="AL226" t="e">
        <f t="shared" si="89"/>
        <v>#N/A</v>
      </c>
      <c r="AQ226" s="123"/>
      <c r="AR226" s="123"/>
      <c r="AS226" s="123"/>
      <c r="AT226" s="2982"/>
      <c r="AU226" s="123"/>
      <c r="AV226" s="123"/>
      <c r="AW226" s="2990"/>
      <c r="AX226" s="2984"/>
      <c r="AY226" s="2985"/>
      <c r="AZ226" s="2986"/>
      <c r="BA226" s="2987"/>
      <c r="BB226" s="3194"/>
    </row>
    <row r="227" spans="1:54" ht="28.8" x14ac:dyDescent="0.25">
      <c r="A227" s="2620" t="s">
        <v>3148</v>
      </c>
      <c r="B227" s="250" t="s">
        <v>3149</v>
      </c>
      <c r="C227" s="2632"/>
      <c r="D227" s="2632"/>
      <c r="E227" s="250" t="s">
        <v>3150</v>
      </c>
      <c r="F227" s="250" t="s">
        <v>3151</v>
      </c>
      <c r="G227" s="2633" t="s">
        <v>3152</v>
      </c>
      <c r="H227" s="2634" t="s">
        <v>3153</v>
      </c>
      <c r="I227" s="1595" t="str">
        <f t="shared" si="102"/>
        <v>5-DaHall1-PDU-05-30-28</v>
      </c>
      <c r="J227" s="1596" t="str">
        <f t="shared" si="103"/>
        <v>5-DaHall1-PDU-06-30-30</v>
      </c>
      <c r="K227" s="1558">
        <v>220</v>
      </c>
      <c r="L227" s="1559">
        <v>30</v>
      </c>
      <c r="M227" s="2364" t="s">
        <v>6491</v>
      </c>
      <c r="N227" s="1560">
        <v>28</v>
      </c>
      <c r="O227" s="1561">
        <v>220</v>
      </c>
      <c r="P227" s="1562">
        <v>30</v>
      </c>
      <c r="Q227" s="2394" t="s">
        <v>6501</v>
      </c>
      <c r="R227" s="1563">
        <v>30</v>
      </c>
      <c r="S227" s="3608"/>
      <c r="T227" s="3611"/>
      <c r="U227" s="3472"/>
      <c r="V227" s="3471"/>
      <c r="W227" s="3472"/>
      <c r="X227" s="3471"/>
      <c r="Y227" s="268">
        <f>SUM('5층_부하량(월간_AVG)'!N179:P179)</f>
        <v>0</v>
      </c>
      <c r="Z227" s="268">
        <f>SUM('5층_부하량(월간_AVG)'!N209:P209)</f>
        <v>0</v>
      </c>
      <c r="AA227" s="2436">
        <f t="shared" si="104"/>
        <v>0</v>
      </c>
      <c r="AB227" s="2691" t="e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7" s="3109" t="e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7" s="3162" t="e">
        <f>VLOOKUP(I227&amp;J227,'7층~4층_매핑테이블'!$I$6:$P$2020,8,0)</f>
        <v>#N/A</v>
      </c>
      <c r="AE227" s="3144" t="e">
        <f t="shared" si="105"/>
        <v>#N/A</v>
      </c>
      <c r="AF227" s="2451" t="s">
        <v>3028</v>
      </c>
      <c r="AH227" s="2351" t="e">
        <f t="shared" si="90"/>
        <v>#N/A</v>
      </c>
      <c r="AI227" s="2351" t="e">
        <f t="shared" si="91"/>
        <v>#N/A</v>
      </c>
      <c r="AJ227" s="123" t="e">
        <f t="shared" si="87"/>
        <v>#N/A</v>
      </c>
      <c r="AK227" t="e">
        <f t="shared" si="88"/>
        <v>#N/A</v>
      </c>
      <c r="AL227" t="e">
        <f t="shared" si="89"/>
        <v>#N/A</v>
      </c>
      <c r="AQ227" s="123"/>
      <c r="AR227" s="123"/>
      <c r="AS227" s="123"/>
      <c r="AT227" s="2982"/>
      <c r="AU227" s="123"/>
      <c r="AV227" s="123"/>
      <c r="AW227" s="2990"/>
      <c r="AX227" s="2984"/>
      <c r="AY227" s="2985"/>
      <c r="AZ227" s="2986"/>
      <c r="BA227" s="2987"/>
      <c r="BB227" s="3194"/>
    </row>
    <row r="228" spans="1:54" ht="28.8" x14ac:dyDescent="0.25">
      <c r="A228" s="2620" t="s">
        <v>3154</v>
      </c>
      <c r="B228" s="250" t="s">
        <v>3155</v>
      </c>
      <c r="C228" s="2632"/>
      <c r="D228" s="2632"/>
      <c r="E228" s="250" t="s">
        <v>3156</v>
      </c>
      <c r="F228" s="250" t="s">
        <v>3157</v>
      </c>
      <c r="G228" s="2633" t="s">
        <v>3158</v>
      </c>
      <c r="H228" s="2634" t="s">
        <v>3159</v>
      </c>
      <c r="I228" s="1595" t="str">
        <f t="shared" si="102"/>
        <v>5-DaHall1-PDU-05-30-30</v>
      </c>
      <c r="J228" s="1596" t="str">
        <f t="shared" si="103"/>
        <v>5-DaHall1-PDU-06-30-34</v>
      </c>
      <c r="K228" s="1558">
        <v>220</v>
      </c>
      <c r="L228" s="1559">
        <v>30</v>
      </c>
      <c r="M228" s="2364" t="s">
        <v>6491</v>
      </c>
      <c r="N228" s="1560">
        <v>30</v>
      </c>
      <c r="O228" s="1561">
        <v>220</v>
      </c>
      <c r="P228" s="1562">
        <v>30</v>
      </c>
      <c r="Q228" s="2394" t="s">
        <v>6501</v>
      </c>
      <c r="R228" s="1563">
        <v>34</v>
      </c>
      <c r="S228" s="3608"/>
      <c r="T228" s="3611"/>
      <c r="U228" s="3472"/>
      <c r="V228" s="3471"/>
      <c r="W228" s="3472"/>
      <c r="X228" s="3471"/>
      <c r="Y228" s="268">
        <f>SUM('5층_부하량(월간_AVG)'!N180:P180)</f>
        <v>0</v>
      </c>
      <c r="Z228" s="268">
        <f>SUM('5층_부하량(월간_AVG)'!N211:P211)</f>
        <v>0</v>
      </c>
      <c r="AA228" s="2436">
        <f t="shared" si="104"/>
        <v>0</v>
      </c>
      <c r="AB228" s="2691" t="e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8" s="3109" t="e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8" s="3162" t="e">
        <f>VLOOKUP(I228&amp;J228,'7층~4층_매핑테이블'!$I$6:$P$2020,8,0)</f>
        <v>#N/A</v>
      </c>
      <c r="AE228" s="3144" t="e">
        <f t="shared" si="105"/>
        <v>#N/A</v>
      </c>
      <c r="AF228" s="2451" t="s">
        <v>3028</v>
      </c>
      <c r="AH228" s="2351" t="e">
        <f t="shared" si="90"/>
        <v>#N/A</v>
      </c>
      <c r="AI228" s="2351" t="e">
        <f t="shared" si="91"/>
        <v>#N/A</v>
      </c>
      <c r="AJ228" s="123" t="e">
        <f t="shared" si="87"/>
        <v>#N/A</v>
      </c>
      <c r="AK228" t="e">
        <f t="shared" si="88"/>
        <v>#N/A</v>
      </c>
      <c r="AL228" t="e">
        <f t="shared" si="89"/>
        <v>#N/A</v>
      </c>
      <c r="AQ228" s="123"/>
      <c r="AR228" s="123"/>
      <c r="AS228" s="123"/>
      <c r="AT228" s="2982"/>
      <c r="AU228" s="123"/>
      <c r="AV228" s="123"/>
      <c r="AW228" s="2990"/>
      <c r="AX228" s="2984"/>
      <c r="AY228" s="2985"/>
      <c r="AZ228" s="2986"/>
      <c r="BA228" s="2987"/>
      <c r="BB228" s="3194"/>
    </row>
    <row r="229" spans="1:54" ht="28.8" x14ac:dyDescent="0.25">
      <c r="A229" s="2620" t="s">
        <v>3160</v>
      </c>
      <c r="B229" s="250" t="s">
        <v>3161</v>
      </c>
      <c r="C229" s="2632"/>
      <c r="D229" s="2632"/>
      <c r="E229" s="250" t="s">
        <v>3162</v>
      </c>
      <c r="F229" s="250" t="s">
        <v>3163</v>
      </c>
      <c r="G229" s="2633" t="s">
        <v>3164</v>
      </c>
      <c r="H229" s="2634" t="s">
        <v>3165</v>
      </c>
      <c r="I229" s="1595" t="str">
        <f t="shared" si="102"/>
        <v>5-DaHall1-PDU-05-30-32</v>
      </c>
      <c r="J229" s="1596" t="str">
        <f t="shared" si="103"/>
        <v>5-DaHall1-PDU-06-30-36</v>
      </c>
      <c r="K229" s="1558">
        <v>220</v>
      </c>
      <c r="L229" s="1559">
        <v>30</v>
      </c>
      <c r="M229" s="2364" t="s">
        <v>6491</v>
      </c>
      <c r="N229" s="1560">
        <v>32</v>
      </c>
      <c r="O229" s="1561">
        <v>220</v>
      </c>
      <c r="P229" s="1562">
        <v>30</v>
      </c>
      <c r="Q229" s="2394" t="s">
        <v>6501</v>
      </c>
      <c r="R229" s="1563">
        <v>36</v>
      </c>
      <c r="S229" s="3608"/>
      <c r="T229" s="3611"/>
      <c r="U229" s="3472"/>
      <c r="V229" s="3471"/>
      <c r="W229" s="3472"/>
      <c r="X229" s="3471"/>
      <c r="Y229" s="268">
        <f>SUM('5층_부하량(월간_AVG)'!N181:P181)</f>
        <v>0</v>
      </c>
      <c r="Z229" s="268">
        <f>SUM('5층_부하량(월간_AVG)'!N212:P212)</f>
        <v>0</v>
      </c>
      <c r="AA229" s="2436">
        <f t="shared" si="104"/>
        <v>0</v>
      </c>
      <c r="AB229" s="2691" t="e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9" s="3109" t="e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9" s="3162" t="e">
        <f>VLOOKUP(I229&amp;J229,'7층~4층_매핑테이블'!$I$6:$P$2020,8,0)</f>
        <v>#N/A</v>
      </c>
      <c r="AE229" s="3144" t="e">
        <f t="shared" si="105"/>
        <v>#N/A</v>
      </c>
      <c r="AF229" s="2451" t="s">
        <v>3028</v>
      </c>
      <c r="AH229" s="2351" t="e">
        <f t="shared" si="90"/>
        <v>#N/A</v>
      </c>
      <c r="AI229" s="2351" t="e">
        <f t="shared" si="91"/>
        <v>#N/A</v>
      </c>
      <c r="AJ229" s="123" t="e">
        <f t="shared" si="87"/>
        <v>#N/A</v>
      </c>
      <c r="AK229" t="e">
        <f t="shared" si="88"/>
        <v>#N/A</v>
      </c>
      <c r="AL229" t="e">
        <f t="shared" si="89"/>
        <v>#N/A</v>
      </c>
      <c r="AQ229" s="123"/>
      <c r="AR229" s="123"/>
      <c r="AS229" s="123"/>
      <c r="AT229" s="2982"/>
      <c r="AU229" s="123"/>
      <c r="AV229" s="123"/>
      <c r="AW229" s="2990"/>
      <c r="AX229" s="2984"/>
      <c r="AY229" s="2985"/>
      <c r="AZ229" s="2986"/>
      <c r="BA229" s="2987"/>
      <c r="BB229" s="3194"/>
    </row>
    <row r="230" spans="1:54" x14ac:dyDescent="0.25">
      <c r="A230" s="2620" t="s">
        <v>3166</v>
      </c>
      <c r="B230" s="2680"/>
      <c r="C230" s="886"/>
      <c r="D230" s="886"/>
      <c r="E230" s="2680"/>
      <c r="F230" s="2680"/>
      <c r="G230" s="2678"/>
      <c r="H230" s="2674"/>
      <c r="I230" s="1590"/>
      <c r="J230" s="1582"/>
      <c r="K230" s="1591"/>
      <c r="L230" s="1592"/>
      <c r="M230" s="2678"/>
      <c r="N230" s="1593"/>
      <c r="O230" s="1594"/>
      <c r="P230" s="1584"/>
      <c r="Q230" s="2674"/>
      <c r="R230" s="1585"/>
      <c r="S230" s="2678"/>
      <c r="T230" s="2674"/>
      <c r="U230" s="832"/>
      <c r="V230" s="833"/>
      <c r="W230" s="832"/>
      <c r="X230" s="833"/>
      <c r="Y230" s="991"/>
      <c r="Z230" s="991"/>
      <c r="AA230" s="2441"/>
      <c r="AB230" s="2704"/>
      <c r="AC230" s="3117"/>
      <c r="AD230" s="3164"/>
      <c r="AE230" s="3149"/>
      <c r="AF230" s="2499"/>
      <c r="AH230" s="2351">
        <f t="shared" si="90"/>
        <v>0</v>
      </c>
      <c r="AI230" s="2351">
        <f t="shared" si="91"/>
        <v>0</v>
      </c>
      <c r="AJ230" s="123" t="str">
        <f t="shared" si="87"/>
        <v>무부하 랙</v>
      </c>
      <c r="AK230" t="str">
        <f t="shared" si="88"/>
        <v/>
      </c>
      <c r="AL230" t="str">
        <f t="shared" si="89"/>
        <v/>
      </c>
      <c r="AQ230" s="123"/>
      <c r="AR230" s="123"/>
      <c r="AS230" s="123"/>
      <c r="AT230" s="2982"/>
      <c r="AU230" s="123"/>
      <c r="AV230" s="123"/>
      <c r="AW230" s="2990"/>
      <c r="AX230" s="2984"/>
      <c r="AY230" s="2985"/>
      <c r="AZ230" s="2986"/>
      <c r="BA230" s="2987"/>
      <c r="BB230" s="3194"/>
    </row>
    <row r="231" spans="1:54" ht="15" thickBot="1" x14ac:dyDescent="0.3">
      <c r="A231" s="2628" t="s">
        <v>3167</v>
      </c>
      <c r="B231" s="839"/>
      <c r="C231" s="972"/>
      <c r="D231" s="972"/>
      <c r="E231" s="839"/>
      <c r="F231" s="839"/>
      <c r="G231" s="2679"/>
      <c r="H231" s="2675"/>
      <c r="I231" s="1607"/>
      <c r="J231" s="1608"/>
      <c r="K231" s="1621"/>
      <c r="L231" s="1622"/>
      <c r="M231" s="2679"/>
      <c r="N231" s="1623"/>
      <c r="O231" s="1624"/>
      <c r="P231" s="1625"/>
      <c r="Q231" s="2675"/>
      <c r="R231" s="1626"/>
      <c r="S231" s="2679"/>
      <c r="T231" s="2675"/>
      <c r="U231" s="840"/>
      <c r="V231" s="849"/>
      <c r="W231" s="840"/>
      <c r="X231" s="849"/>
      <c r="Y231" s="1098"/>
      <c r="Z231" s="1098"/>
      <c r="AA231" s="2440"/>
      <c r="AB231" s="2717"/>
      <c r="AC231" s="3129"/>
      <c r="AD231" s="3169"/>
      <c r="AE231" s="3153"/>
      <c r="AF231" s="2502"/>
      <c r="AH231" s="2351">
        <f t="shared" si="90"/>
        <v>0</v>
      </c>
      <c r="AI231" s="2351">
        <f t="shared" si="91"/>
        <v>0</v>
      </c>
      <c r="AJ231" s="123" t="str">
        <f t="shared" si="87"/>
        <v>무부하 랙</v>
      </c>
      <c r="AK231" t="str">
        <f t="shared" si="88"/>
        <v/>
      </c>
      <c r="AL231" t="str">
        <f t="shared" si="89"/>
        <v/>
      </c>
      <c r="AQ231" s="123"/>
      <c r="AR231" s="123"/>
      <c r="AS231" s="123"/>
      <c r="AT231" s="2982"/>
      <c r="AU231" s="123"/>
      <c r="AV231" s="123"/>
      <c r="AW231" s="2990"/>
      <c r="AX231" s="2984"/>
      <c r="AY231" s="2985"/>
      <c r="AZ231" s="2986"/>
      <c r="BA231" s="2987"/>
      <c r="BB231" s="3194"/>
    </row>
    <row r="232" spans="1:54" ht="29.4" thickTop="1" x14ac:dyDescent="0.25">
      <c r="A232" s="1081"/>
      <c r="B232" s="327"/>
      <c r="C232" s="970"/>
      <c r="D232" s="2941"/>
      <c r="E232" s="327" t="s">
        <v>2476</v>
      </c>
      <c r="F232" s="327" t="s">
        <v>3168</v>
      </c>
      <c r="G232" s="2641" t="s">
        <v>3169</v>
      </c>
      <c r="H232" s="2642" t="s">
        <v>3170</v>
      </c>
      <c r="I232" s="1605" t="str">
        <f t="shared" ref="I232:I258" si="106">"5-DaHall1-PDU-"&amp;M232&amp;"-"&amp;L232&amp;"-"&amp;N232</f>
        <v>5-DaHall1-PDU-01-30-1</v>
      </c>
      <c r="J232" s="1606" t="str">
        <f t="shared" ref="J232:J253" si="107">"5-DaHall1-PDU-"&amp;Q232&amp;"-"&amp;P232&amp;"-"&amp;R232</f>
        <v>5-DaHall1-PDU-02-30-1</v>
      </c>
      <c r="K232" s="1552">
        <v>220</v>
      </c>
      <c r="L232" s="1553">
        <v>30</v>
      </c>
      <c r="M232" s="2363" t="s">
        <v>6497</v>
      </c>
      <c r="N232" s="1554">
        <v>1</v>
      </c>
      <c r="O232" s="1555">
        <v>220</v>
      </c>
      <c r="P232" s="1556">
        <v>30</v>
      </c>
      <c r="Q232" s="2393" t="s">
        <v>6493</v>
      </c>
      <c r="R232" s="1557">
        <v>1</v>
      </c>
      <c r="S232" s="3607" t="s">
        <v>2828</v>
      </c>
      <c r="T232" s="3610" t="s">
        <v>2829</v>
      </c>
      <c r="U232" s="3467" t="s">
        <v>2830</v>
      </c>
      <c r="V232" s="3497" t="s">
        <v>2831</v>
      </c>
      <c r="W232" s="3467" t="s">
        <v>2484</v>
      </c>
      <c r="X232" s="3497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36">
        <f t="shared" ref="AA232" si="108">SUM(Y232:Z232)</f>
        <v>0</v>
      </c>
      <c r="AB232" s="2691" t="e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2" s="3109" t="e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2" s="3162" t="e">
        <f>VLOOKUP(I232&amp;J232,'7층~4층_매핑테이블'!$I$6:$P$2020,8,0)</f>
        <v>#N/A</v>
      </c>
      <c r="AE232" s="3146" t="e">
        <f>SUM(AB232:AC232)</f>
        <v>#N/A</v>
      </c>
      <c r="AF232" s="2453"/>
      <c r="AH232" s="2351" t="e">
        <f t="shared" si="90"/>
        <v>#N/A</v>
      </c>
      <c r="AI232" s="2351" t="e">
        <f t="shared" si="91"/>
        <v>#N/A</v>
      </c>
      <c r="AJ232" s="123" t="e">
        <f t="shared" si="87"/>
        <v>#N/A</v>
      </c>
      <c r="AK232" t="e">
        <f t="shared" si="88"/>
        <v>#N/A</v>
      </c>
      <c r="AL232" t="e">
        <f t="shared" si="89"/>
        <v>#N/A</v>
      </c>
      <c r="AQ232" s="123"/>
      <c r="AR232" s="123"/>
      <c r="AS232" s="123"/>
      <c r="AT232" s="2982"/>
      <c r="AU232" s="123"/>
      <c r="AV232" s="123"/>
      <c r="AW232" s="2990"/>
      <c r="AX232" s="2984"/>
      <c r="AY232" s="2985"/>
      <c r="AZ232" s="2986"/>
      <c r="BA232" s="2987"/>
      <c r="BB232" s="3194"/>
    </row>
    <row r="233" spans="1:54" ht="28.8" x14ac:dyDescent="0.25">
      <c r="A233" s="2620"/>
      <c r="B233" s="250" t="s">
        <v>3171</v>
      </c>
      <c r="C233" s="2632"/>
      <c r="D233" s="2942"/>
      <c r="E233" s="250" t="s">
        <v>2489</v>
      </c>
      <c r="F233" s="250" t="s">
        <v>2490</v>
      </c>
      <c r="G233" s="2633" t="s">
        <v>3172</v>
      </c>
      <c r="H233" s="2634" t="s">
        <v>3173</v>
      </c>
      <c r="I233" s="1595" t="str">
        <f t="shared" si="106"/>
        <v>5-DaHall1-PDU-01-30-3</v>
      </c>
      <c r="J233" s="1596" t="str">
        <f t="shared" si="107"/>
        <v>5-DaHall1-PDU-02-30-3</v>
      </c>
      <c r="K233" s="1558">
        <v>220</v>
      </c>
      <c r="L233" s="1559">
        <v>30</v>
      </c>
      <c r="M233" s="2364" t="s">
        <v>6497</v>
      </c>
      <c r="N233" s="1560">
        <v>3</v>
      </c>
      <c r="O233" s="1561">
        <v>220</v>
      </c>
      <c r="P233" s="1562">
        <v>30</v>
      </c>
      <c r="Q233" s="2394" t="s">
        <v>6493</v>
      </c>
      <c r="R233" s="1563">
        <v>3</v>
      </c>
      <c r="S233" s="3608"/>
      <c r="T233" s="3611"/>
      <c r="U233" s="3468"/>
      <c r="V233" s="3465"/>
      <c r="W233" s="3468"/>
      <c r="X233" s="3465"/>
      <c r="Y233" s="253">
        <f>SUM('5층_부하량(월간_AVG)'!D29:F29)</f>
        <v>0</v>
      </c>
      <c r="Z233" s="253">
        <f>SUM('5층_부하량(월간_AVG)'!D59:F59)</f>
        <v>0</v>
      </c>
      <c r="AA233" s="2436">
        <f t="shared" ref="AA233:AA259" si="109">SUM(Y233:Z233)</f>
        <v>0</v>
      </c>
      <c r="AB233" s="2691" t="e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3" s="3109" t="e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3" s="3162" t="e">
        <f>VLOOKUP(I233&amp;J233,'7층~4층_매핑테이블'!$I$6:$P$2020,8,0)</f>
        <v>#N/A</v>
      </c>
      <c r="AE233" s="3144" t="e">
        <f>SUM(AB233:AC233)</f>
        <v>#N/A</v>
      </c>
      <c r="AF233" s="2451"/>
      <c r="AH233" s="2351" t="e">
        <f t="shared" si="90"/>
        <v>#N/A</v>
      </c>
      <c r="AI233" s="2351" t="e">
        <f t="shared" si="91"/>
        <v>#N/A</v>
      </c>
      <c r="AJ233" s="123" t="e">
        <f t="shared" si="87"/>
        <v>#N/A</v>
      </c>
      <c r="AK233" t="e">
        <f t="shared" si="88"/>
        <v>#N/A</v>
      </c>
      <c r="AL233" t="e">
        <f t="shared" si="89"/>
        <v>#N/A</v>
      </c>
      <c r="AQ233" s="123"/>
      <c r="AR233" s="123"/>
      <c r="AS233" s="123"/>
      <c r="AT233" s="2982"/>
      <c r="AU233" s="123"/>
      <c r="AV233" s="123"/>
      <c r="AW233" s="2990"/>
      <c r="AX233" s="2984"/>
      <c r="AY233" s="2985"/>
      <c r="AZ233" s="2986"/>
      <c r="BA233" s="2987"/>
      <c r="BB233" s="3194"/>
    </row>
    <row r="234" spans="1:54" ht="28.8" x14ac:dyDescent="0.25">
      <c r="A234" s="2620"/>
      <c r="B234" s="250" t="s">
        <v>3174</v>
      </c>
      <c r="C234" s="2632"/>
      <c r="D234" s="2942"/>
      <c r="E234" s="250" t="s">
        <v>2495</v>
      </c>
      <c r="F234" s="250" t="s">
        <v>2496</v>
      </c>
      <c r="G234" s="2633" t="s">
        <v>3175</v>
      </c>
      <c r="H234" s="2634" t="s">
        <v>3176</v>
      </c>
      <c r="I234" s="1595" t="str">
        <f t="shared" si="106"/>
        <v>5-DaHall1-PDU-01-30-5</v>
      </c>
      <c r="J234" s="1596" t="str">
        <f t="shared" si="107"/>
        <v>5-DaHall1-PDU-02-30-5</v>
      </c>
      <c r="K234" s="1558">
        <v>220</v>
      </c>
      <c r="L234" s="1559">
        <v>30</v>
      </c>
      <c r="M234" s="2364" t="s">
        <v>6497</v>
      </c>
      <c r="N234" s="1560">
        <v>5</v>
      </c>
      <c r="O234" s="1561">
        <v>220</v>
      </c>
      <c r="P234" s="1562">
        <v>30</v>
      </c>
      <c r="Q234" s="2394" t="s">
        <v>6493</v>
      </c>
      <c r="R234" s="1563">
        <v>5</v>
      </c>
      <c r="S234" s="3608"/>
      <c r="T234" s="3611"/>
      <c r="U234" s="3468"/>
      <c r="V234" s="3465"/>
      <c r="W234" s="3468"/>
      <c r="X234" s="3465"/>
      <c r="Y234" s="253">
        <f>SUM('5층_부하량(월간_AVG)'!D30:F30)</f>
        <v>0</v>
      </c>
      <c r="Z234" s="253">
        <f>SUM('5층_부하량(월간_AVG)'!D60:F60)</f>
        <v>0</v>
      </c>
      <c r="AA234" s="2436">
        <f t="shared" si="109"/>
        <v>0</v>
      </c>
      <c r="AB234" s="2691" t="e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4" s="3109" t="e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4" s="3162" t="e">
        <f>VLOOKUP(I234&amp;J234,'7층~4층_매핑테이블'!$I$6:$P$2020,8,0)</f>
        <v>#N/A</v>
      </c>
      <c r="AE234" s="3144" t="e">
        <f t="shared" ref="AE234:AE239" si="110">SUM(AB234:AC234)</f>
        <v>#N/A</v>
      </c>
      <c r="AF234" s="2451"/>
      <c r="AH234" s="2351" t="e">
        <f t="shared" si="90"/>
        <v>#N/A</v>
      </c>
      <c r="AI234" s="2351" t="e">
        <f t="shared" si="91"/>
        <v>#N/A</v>
      </c>
      <c r="AJ234" s="123" t="e">
        <f t="shared" si="87"/>
        <v>#N/A</v>
      </c>
      <c r="AK234" t="e">
        <f t="shared" si="88"/>
        <v>#N/A</v>
      </c>
      <c r="AL234" t="e">
        <f t="shared" si="89"/>
        <v>#N/A</v>
      </c>
      <c r="AQ234" s="123"/>
      <c r="AR234" s="123"/>
      <c r="AS234" s="123"/>
      <c r="AT234" s="2982"/>
      <c r="AU234" s="123"/>
      <c r="AV234" s="123"/>
      <c r="AW234" s="2990"/>
      <c r="AX234" s="2984"/>
      <c r="AY234" s="2985"/>
      <c r="AZ234" s="2986"/>
      <c r="BA234" s="2987"/>
      <c r="BB234" s="3194"/>
    </row>
    <row r="235" spans="1:54" ht="28.8" x14ac:dyDescent="0.25">
      <c r="A235" s="2620"/>
      <c r="B235" s="250" t="s">
        <v>3177</v>
      </c>
      <c r="C235" s="2632"/>
      <c r="D235" s="2942"/>
      <c r="E235" s="250" t="s">
        <v>2504</v>
      </c>
      <c r="F235" s="250" t="s">
        <v>2505</v>
      </c>
      <c r="G235" s="2633" t="s">
        <v>3178</v>
      </c>
      <c r="H235" s="2634" t="s">
        <v>3179</v>
      </c>
      <c r="I235" s="1595" t="str">
        <f t="shared" si="106"/>
        <v>5-DaHall1-PDU-01-30-7</v>
      </c>
      <c r="J235" s="1596" t="str">
        <f t="shared" si="107"/>
        <v>5-DaHall1-PDU-02-30-7</v>
      </c>
      <c r="K235" s="1558">
        <v>220</v>
      </c>
      <c r="L235" s="1559">
        <v>30</v>
      </c>
      <c r="M235" s="2364" t="s">
        <v>6497</v>
      </c>
      <c r="N235" s="1560">
        <v>7</v>
      </c>
      <c r="O235" s="1561">
        <v>220</v>
      </c>
      <c r="P235" s="1562">
        <v>30</v>
      </c>
      <c r="Q235" s="2394" t="s">
        <v>6493</v>
      </c>
      <c r="R235" s="1563">
        <v>7</v>
      </c>
      <c r="S235" s="3608"/>
      <c r="T235" s="3611"/>
      <c r="U235" s="3468"/>
      <c r="V235" s="3465"/>
      <c r="W235" s="3468"/>
      <c r="X235" s="3465"/>
      <c r="Y235" s="253">
        <f>SUM('5층_부하량(월간_AVG)'!D31:F31)</f>
        <v>0</v>
      </c>
      <c r="Z235" s="253">
        <f>SUM('5층_부하량(월간_AVG)'!D61:F61)</f>
        <v>0</v>
      </c>
      <c r="AA235" s="2436">
        <f t="shared" si="109"/>
        <v>0</v>
      </c>
      <c r="AB235" s="2691" t="e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5" s="3109" t="e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5" s="3162" t="e">
        <f>VLOOKUP(I235&amp;J235,'7층~4층_매핑테이블'!$I$6:$P$2020,8,0)</f>
        <v>#N/A</v>
      </c>
      <c r="AE235" s="3144" t="e">
        <f t="shared" si="110"/>
        <v>#N/A</v>
      </c>
      <c r="AF235" s="2451"/>
      <c r="AH235" s="2351" t="e">
        <f t="shared" si="90"/>
        <v>#N/A</v>
      </c>
      <c r="AI235" s="2351" t="e">
        <f t="shared" si="91"/>
        <v>#N/A</v>
      </c>
      <c r="AJ235" s="123" t="e">
        <f t="shared" si="87"/>
        <v>#N/A</v>
      </c>
      <c r="AK235" t="e">
        <f t="shared" si="88"/>
        <v>#N/A</v>
      </c>
      <c r="AL235" t="e">
        <f t="shared" si="89"/>
        <v>#N/A</v>
      </c>
      <c r="AQ235" s="123"/>
      <c r="AR235" s="123"/>
      <c r="AS235" s="123"/>
      <c r="AT235" s="2982"/>
      <c r="AU235" s="123"/>
      <c r="AV235" s="123"/>
      <c r="AW235" s="2990"/>
      <c r="AX235" s="2984"/>
      <c r="AY235" s="2985"/>
      <c r="AZ235" s="2986"/>
      <c r="BA235" s="2987"/>
      <c r="BB235" s="3194"/>
    </row>
    <row r="236" spans="1:54" ht="28.8" x14ac:dyDescent="0.25">
      <c r="A236" s="2620" t="s">
        <v>2371</v>
      </c>
      <c r="B236" s="2621" t="s">
        <v>3180</v>
      </c>
      <c r="C236" s="2632" t="s">
        <v>3181</v>
      </c>
      <c r="D236" s="2943">
        <v>5</v>
      </c>
      <c r="E236" s="2025" t="s">
        <v>3182</v>
      </c>
      <c r="F236" s="2025" t="s">
        <v>3183</v>
      </c>
      <c r="G236" s="2633" t="s">
        <v>3184</v>
      </c>
      <c r="H236" s="2634" t="s">
        <v>3185</v>
      </c>
      <c r="I236" s="1595" t="str">
        <f t="shared" si="106"/>
        <v>5-DaHall1-PDU-01-30-9</v>
      </c>
      <c r="J236" s="1596" t="str">
        <f t="shared" si="107"/>
        <v>5-DaHall1-PDU-02-30-9</v>
      </c>
      <c r="K236" s="1558">
        <v>220</v>
      </c>
      <c r="L236" s="1559">
        <v>30</v>
      </c>
      <c r="M236" s="2364" t="s">
        <v>6497</v>
      </c>
      <c r="N236" s="1560">
        <v>9</v>
      </c>
      <c r="O236" s="1561">
        <v>220</v>
      </c>
      <c r="P236" s="1562">
        <v>30</v>
      </c>
      <c r="Q236" s="2394" t="s">
        <v>6493</v>
      </c>
      <c r="R236" s="1563">
        <v>9</v>
      </c>
      <c r="S236" s="3608"/>
      <c r="T236" s="3611"/>
      <c r="U236" s="3468"/>
      <c r="V236" s="3465"/>
      <c r="W236" s="3468"/>
      <c r="X236" s="3465"/>
      <c r="Y236" s="253">
        <f>SUM('5층_부하량(월간_AVG)'!D32:F32)</f>
        <v>0</v>
      </c>
      <c r="Z236" s="253">
        <f>SUM('5층_부하량(월간_AVG)'!D62:F62)</f>
        <v>0</v>
      </c>
      <c r="AA236" s="2436">
        <f t="shared" si="109"/>
        <v>0</v>
      </c>
      <c r="AB236" s="2691" t="e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6" s="3109" t="e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6" s="3162" t="e">
        <f>VLOOKUP(I236&amp;J236,'7층~4층_매핑테이블'!$I$6:$P$2020,8,0)</f>
        <v>#N/A</v>
      </c>
      <c r="AE236" s="3144" t="e">
        <f t="shared" si="110"/>
        <v>#N/A</v>
      </c>
      <c r="AF236" s="2451"/>
      <c r="AH236" s="2351" t="e">
        <f t="shared" si="90"/>
        <v>#N/A</v>
      </c>
      <c r="AI236" s="2351" t="e">
        <f t="shared" si="91"/>
        <v>#N/A</v>
      </c>
      <c r="AJ236" s="123" t="e">
        <f t="shared" si="87"/>
        <v>#N/A</v>
      </c>
      <c r="AK236" t="e">
        <f t="shared" si="88"/>
        <v>#N/A</v>
      </c>
      <c r="AL236" t="e">
        <f t="shared" si="89"/>
        <v>#N/A</v>
      </c>
      <c r="AQ236" s="123"/>
      <c r="AR236" s="123"/>
      <c r="AS236" s="123"/>
      <c r="AT236" s="2982"/>
      <c r="AU236" s="123"/>
      <c r="AV236" s="123"/>
      <c r="AW236" s="2990"/>
      <c r="AX236" s="2984"/>
      <c r="AY236" s="2985"/>
      <c r="AZ236" s="2986"/>
      <c r="BA236" s="2987"/>
      <c r="BB236" s="3194"/>
    </row>
    <row r="237" spans="1:54" ht="28.8" x14ac:dyDescent="0.25">
      <c r="A237" s="2620" t="s">
        <v>2378</v>
      </c>
      <c r="B237" s="2621" t="s">
        <v>3186</v>
      </c>
      <c r="C237" s="2632" t="s">
        <v>3187</v>
      </c>
      <c r="D237" s="2943">
        <v>5</v>
      </c>
      <c r="E237" s="2025" t="s">
        <v>3188</v>
      </c>
      <c r="F237" s="2025" t="s">
        <v>3189</v>
      </c>
      <c r="G237" s="2633" t="s">
        <v>3190</v>
      </c>
      <c r="H237" s="2634" t="s">
        <v>3191</v>
      </c>
      <c r="I237" s="1595" t="str">
        <f t="shared" si="106"/>
        <v>5-DaHall1-PDU-01-30-11</v>
      </c>
      <c r="J237" s="1596" t="str">
        <f t="shared" si="107"/>
        <v>5-DaHall1-PDU-02-30-11</v>
      </c>
      <c r="K237" s="1558">
        <v>220</v>
      </c>
      <c r="L237" s="1559">
        <v>30</v>
      </c>
      <c r="M237" s="2364" t="s">
        <v>6497</v>
      </c>
      <c r="N237" s="1560">
        <v>11</v>
      </c>
      <c r="O237" s="1561">
        <v>220</v>
      </c>
      <c r="P237" s="1562">
        <v>30</v>
      </c>
      <c r="Q237" s="2394" t="s">
        <v>6493</v>
      </c>
      <c r="R237" s="1563">
        <v>11</v>
      </c>
      <c r="S237" s="3608"/>
      <c r="T237" s="3611"/>
      <c r="U237" s="3468"/>
      <c r="V237" s="3465"/>
      <c r="W237" s="3468"/>
      <c r="X237" s="3465"/>
      <c r="Y237" s="253">
        <f>SUM('5층_부하량(월간_AVG)'!D33:F33)</f>
        <v>0</v>
      </c>
      <c r="Z237" s="253">
        <f>SUM('5층_부하량(월간_AVG)'!D63:F63)</f>
        <v>0</v>
      </c>
      <c r="AA237" s="2436">
        <f t="shared" si="109"/>
        <v>0</v>
      </c>
      <c r="AB237" s="2691" t="e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7" s="3109" t="e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7" s="3162" t="e">
        <f>VLOOKUP(I237&amp;J237,'7층~4층_매핑테이블'!$I$6:$P$2020,8,0)</f>
        <v>#N/A</v>
      </c>
      <c r="AE237" s="3144" t="e">
        <f t="shared" si="110"/>
        <v>#N/A</v>
      </c>
      <c r="AF237" s="2451"/>
      <c r="AH237" s="2351" t="e">
        <f t="shared" si="90"/>
        <v>#N/A</v>
      </c>
      <c r="AI237" s="2351" t="e">
        <f t="shared" si="91"/>
        <v>#N/A</v>
      </c>
      <c r="AJ237" s="123" t="e">
        <f t="shared" si="87"/>
        <v>#N/A</v>
      </c>
      <c r="AK237" t="e">
        <f t="shared" si="88"/>
        <v>#N/A</v>
      </c>
      <c r="AL237" t="e">
        <f t="shared" si="89"/>
        <v>#N/A</v>
      </c>
      <c r="AQ237" s="123"/>
      <c r="AR237" s="123"/>
      <c r="AS237" s="123"/>
      <c r="AT237" s="2982"/>
      <c r="AU237" s="123"/>
      <c r="AV237" s="123"/>
      <c r="AW237" s="2990"/>
      <c r="AX237" s="2984"/>
      <c r="AY237" s="2985"/>
      <c r="AZ237" s="2986"/>
      <c r="BA237" s="2987"/>
      <c r="BB237" s="3194"/>
    </row>
    <row r="238" spans="1:54" ht="28.8" x14ac:dyDescent="0.25">
      <c r="A238" s="2620" t="s">
        <v>2391</v>
      </c>
      <c r="B238" s="2621" t="s">
        <v>3192</v>
      </c>
      <c r="C238" s="2632" t="s">
        <v>3187</v>
      </c>
      <c r="D238" s="2943">
        <v>5</v>
      </c>
      <c r="E238" s="2025" t="s">
        <v>3193</v>
      </c>
      <c r="F238" s="2025" t="s">
        <v>3194</v>
      </c>
      <c r="G238" s="2633" t="s">
        <v>3195</v>
      </c>
      <c r="H238" s="2634" t="s">
        <v>3196</v>
      </c>
      <c r="I238" s="1595" t="str">
        <f t="shared" si="106"/>
        <v>5-DaHall1-PDU-01-30-13</v>
      </c>
      <c r="J238" s="1596" t="str">
        <f t="shared" si="107"/>
        <v>5-DaHall1-PDU-02-30-13</v>
      </c>
      <c r="K238" s="1558">
        <v>220</v>
      </c>
      <c r="L238" s="1559">
        <v>30</v>
      </c>
      <c r="M238" s="2364" t="s">
        <v>6497</v>
      </c>
      <c r="N238" s="1560">
        <v>13</v>
      </c>
      <c r="O238" s="1561">
        <v>220</v>
      </c>
      <c r="P238" s="1562">
        <v>30</v>
      </c>
      <c r="Q238" s="2394" t="s">
        <v>6493</v>
      </c>
      <c r="R238" s="1563">
        <v>13</v>
      </c>
      <c r="S238" s="3608"/>
      <c r="T238" s="3611"/>
      <c r="U238" s="3468"/>
      <c r="V238" s="3465"/>
      <c r="W238" s="3468"/>
      <c r="X238" s="3465"/>
      <c r="Y238" s="253">
        <f>SUM('5층_부하량(월간_AVG)'!D34:F34)</f>
        <v>0</v>
      </c>
      <c r="Z238" s="253">
        <f>SUM('5층_부하량(월간_AVG)'!D64:F64)</f>
        <v>0</v>
      </c>
      <c r="AA238" s="2436">
        <f t="shared" si="109"/>
        <v>0</v>
      </c>
      <c r="AB238" s="2691" t="e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8" s="3109" t="e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8" s="3162" t="e">
        <f>VLOOKUP(I238&amp;J238,'7층~4층_매핑테이블'!$I$6:$P$2020,8,0)</f>
        <v>#N/A</v>
      </c>
      <c r="AE238" s="3144" t="e">
        <f t="shared" si="110"/>
        <v>#N/A</v>
      </c>
      <c r="AF238" s="2451"/>
      <c r="AH238" s="2351" t="e">
        <f t="shared" si="90"/>
        <v>#N/A</v>
      </c>
      <c r="AI238" s="2351" t="e">
        <f t="shared" si="91"/>
        <v>#N/A</v>
      </c>
      <c r="AJ238" s="123" t="e">
        <f t="shared" si="87"/>
        <v>#N/A</v>
      </c>
      <c r="AK238" t="e">
        <f t="shared" si="88"/>
        <v>#N/A</v>
      </c>
      <c r="AL238" t="e">
        <f t="shared" si="89"/>
        <v>#N/A</v>
      </c>
      <c r="AQ238" s="123"/>
      <c r="AR238" s="123"/>
      <c r="AS238" s="123"/>
      <c r="AT238" s="2982"/>
      <c r="AU238" s="123"/>
      <c r="AV238" s="123"/>
      <c r="AW238" s="2990"/>
      <c r="AX238" s="2984"/>
      <c r="AY238" s="2985"/>
      <c r="AZ238" s="2986"/>
      <c r="BA238" s="2987"/>
      <c r="BB238" s="3194"/>
    </row>
    <row r="239" spans="1:54" ht="28.8" x14ac:dyDescent="0.25">
      <c r="A239" s="2620" t="s">
        <v>3197</v>
      </c>
      <c r="B239" s="250" t="s">
        <v>3198</v>
      </c>
      <c r="C239" s="2632" t="s">
        <v>3187</v>
      </c>
      <c r="D239" s="2943">
        <v>5</v>
      </c>
      <c r="E239" s="2025" t="s">
        <v>3199</v>
      </c>
      <c r="F239" s="2025" t="s">
        <v>3200</v>
      </c>
      <c r="G239" s="2633" t="s">
        <v>3201</v>
      </c>
      <c r="H239" s="2634" t="s">
        <v>3202</v>
      </c>
      <c r="I239" s="1595" t="str">
        <f t="shared" si="106"/>
        <v>5-DaHall1-PDU-01-30-15</v>
      </c>
      <c r="J239" s="1596" t="str">
        <f t="shared" si="107"/>
        <v>5-DaHall1-PDU-02-30-15</v>
      </c>
      <c r="K239" s="1558">
        <v>220</v>
      </c>
      <c r="L239" s="1559">
        <v>30</v>
      </c>
      <c r="M239" s="2364" t="s">
        <v>6497</v>
      </c>
      <c r="N239" s="1560">
        <v>15</v>
      </c>
      <c r="O239" s="1561">
        <v>220</v>
      </c>
      <c r="P239" s="1562">
        <v>30</v>
      </c>
      <c r="Q239" s="2394" t="s">
        <v>6493</v>
      </c>
      <c r="R239" s="1563">
        <v>15</v>
      </c>
      <c r="S239" s="3608"/>
      <c r="T239" s="3611"/>
      <c r="U239" s="3468"/>
      <c r="V239" s="3465"/>
      <c r="W239" s="3468"/>
      <c r="X239" s="3465"/>
      <c r="Y239" s="253">
        <f>SUM('5층_부하량(월간_AVG)'!D35:F35)</f>
        <v>0</v>
      </c>
      <c r="Z239" s="253">
        <f>SUM('5층_부하량(월간_AVG)'!D65:F65)</f>
        <v>0</v>
      </c>
      <c r="AA239" s="2436">
        <f t="shared" si="109"/>
        <v>0</v>
      </c>
      <c r="AB239" s="2691" t="e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9" s="3109" t="e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9" s="3162" t="e">
        <f>VLOOKUP(I239&amp;J239,'7층~4층_매핑테이블'!$I$6:$P$2020,8,0)</f>
        <v>#N/A</v>
      </c>
      <c r="AE239" s="3144" t="e">
        <f t="shared" si="110"/>
        <v>#N/A</v>
      </c>
      <c r="AF239" s="2451"/>
      <c r="AH239" s="2351" t="e">
        <f t="shared" si="90"/>
        <v>#N/A</v>
      </c>
      <c r="AI239" s="2351" t="e">
        <f t="shared" si="91"/>
        <v>#N/A</v>
      </c>
      <c r="AJ239" s="123" t="e">
        <f t="shared" si="87"/>
        <v>#N/A</v>
      </c>
      <c r="AK239" t="e">
        <f t="shared" si="88"/>
        <v>#N/A</v>
      </c>
      <c r="AL239" t="e">
        <f t="shared" si="89"/>
        <v>#N/A</v>
      </c>
      <c r="AQ239" s="123"/>
      <c r="AR239" s="123"/>
      <c r="AS239" s="123"/>
      <c r="AT239" s="2982"/>
      <c r="AU239" s="123"/>
      <c r="AV239" s="123"/>
      <c r="AW239" s="2990"/>
      <c r="AX239" s="2984"/>
      <c r="AY239" s="2985"/>
      <c r="AZ239" s="2986"/>
      <c r="BA239" s="2987"/>
      <c r="BB239" s="3194"/>
    </row>
    <row r="240" spans="1:54" ht="29.4" thickBot="1" x14ac:dyDescent="0.3">
      <c r="A240" s="2628" t="s">
        <v>3203</v>
      </c>
      <c r="B240" s="2629" t="s">
        <v>3204</v>
      </c>
      <c r="C240" s="2656" t="s">
        <v>3187</v>
      </c>
      <c r="D240" s="2944">
        <v>5</v>
      </c>
      <c r="E240" s="2026" t="s">
        <v>3205</v>
      </c>
      <c r="F240" s="2026" t="s">
        <v>3206</v>
      </c>
      <c r="G240" s="2643" t="s">
        <v>3207</v>
      </c>
      <c r="H240" s="2644" t="s">
        <v>3208</v>
      </c>
      <c r="I240" s="1597" t="str">
        <f t="shared" si="106"/>
        <v>5-DaHall1-PDU-01-30-17</v>
      </c>
      <c r="J240" s="1598" t="str">
        <f t="shared" si="107"/>
        <v>5-DaHall1-PDU-02-30-17</v>
      </c>
      <c r="K240" s="1568">
        <v>220</v>
      </c>
      <c r="L240" s="1569">
        <v>30</v>
      </c>
      <c r="M240" s="2365" t="s">
        <v>6497</v>
      </c>
      <c r="N240" s="1570">
        <v>17</v>
      </c>
      <c r="O240" s="1571">
        <v>220</v>
      </c>
      <c r="P240" s="1572">
        <v>30</v>
      </c>
      <c r="Q240" s="2395" t="s">
        <v>6493</v>
      </c>
      <c r="R240" s="1573">
        <v>17</v>
      </c>
      <c r="S240" s="3609"/>
      <c r="T240" s="3612"/>
      <c r="U240" s="3469"/>
      <c r="V240" s="3486"/>
      <c r="W240" s="3469"/>
      <c r="X240" s="3486"/>
      <c r="Y240" s="329">
        <f>SUM('5층_부하량(월간_AVG)'!D36:F36)</f>
        <v>0</v>
      </c>
      <c r="Z240" s="329">
        <f>SUM('5층_부하량(월간_AVG)'!D66:F66)</f>
        <v>0</v>
      </c>
      <c r="AA240" s="2437">
        <f t="shared" si="109"/>
        <v>0</v>
      </c>
      <c r="AB240" s="2695" t="e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40" s="3112" t="e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40" s="3170" t="e">
        <f>VLOOKUP(I240&amp;J240,'7층~4층_매핑테이블'!$I$6:$P$2020,8,0)</f>
        <v>#N/A</v>
      </c>
      <c r="AE240" s="3147" t="e">
        <f>SUM(AB240:AC240)</f>
        <v>#N/A</v>
      </c>
      <c r="AF240" s="2452"/>
      <c r="AH240" s="2351" t="e">
        <f t="shared" si="90"/>
        <v>#N/A</v>
      </c>
      <c r="AI240" s="2351" t="e">
        <f t="shared" si="91"/>
        <v>#N/A</v>
      </c>
      <c r="AJ240" s="123" t="e">
        <f t="shared" si="87"/>
        <v>#N/A</v>
      </c>
      <c r="AK240" t="e">
        <f t="shared" si="88"/>
        <v>#N/A</v>
      </c>
      <c r="AL240" t="e">
        <f t="shared" si="89"/>
        <v>#N/A</v>
      </c>
      <c r="AQ240" s="123"/>
      <c r="AR240" s="123"/>
      <c r="AS240" s="123"/>
      <c r="AT240" s="2982"/>
      <c r="AU240" s="123"/>
      <c r="AV240" s="123"/>
      <c r="AW240" s="2990"/>
      <c r="AX240" s="2984"/>
      <c r="AY240" s="2985"/>
      <c r="AZ240" s="2986"/>
      <c r="BA240" s="2987"/>
      <c r="BB240" s="3194"/>
    </row>
    <row r="241" spans="1:54" ht="29.4" thickTop="1" x14ac:dyDescent="0.25">
      <c r="A241" s="1081" t="s">
        <v>3209</v>
      </c>
      <c r="B241" s="993" t="s">
        <v>3210</v>
      </c>
      <c r="C241" s="970" t="s">
        <v>3187</v>
      </c>
      <c r="D241" s="2945">
        <v>5</v>
      </c>
      <c r="E241" s="2027" t="s">
        <v>3211</v>
      </c>
      <c r="F241" s="2027" t="s">
        <v>3212</v>
      </c>
      <c r="G241" s="2657" t="s">
        <v>3213</v>
      </c>
      <c r="H241" s="2658" t="s">
        <v>3214</v>
      </c>
      <c r="I241" s="1605" t="str">
        <f t="shared" si="106"/>
        <v>5-DaHall1-PDU-01-30-31</v>
      </c>
      <c r="J241" s="1606" t="str">
        <f t="shared" si="107"/>
        <v>5-DaHall1-PDU-02-30-31</v>
      </c>
      <c r="K241" s="1627">
        <v>220</v>
      </c>
      <c r="L241" s="1628">
        <v>30</v>
      </c>
      <c r="M241" s="2366" t="s">
        <v>6497</v>
      </c>
      <c r="N241" s="1629">
        <v>31</v>
      </c>
      <c r="O241" s="1630">
        <v>220</v>
      </c>
      <c r="P241" s="1631">
        <v>30</v>
      </c>
      <c r="Q241" s="2396" t="s">
        <v>6493</v>
      </c>
      <c r="R241" s="1632">
        <v>31</v>
      </c>
      <c r="S241" s="3594" t="s">
        <v>2828</v>
      </c>
      <c r="T241" s="3597" t="s">
        <v>2829</v>
      </c>
      <c r="U241" s="3600" t="s">
        <v>2830</v>
      </c>
      <c r="V241" s="3603" t="s">
        <v>2831</v>
      </c>
      <c r="W241" s="3600" t="s">
        <v>2484</v>
      </c>
      <c r="X241" s="3606"/>
      <c r="Y241" s="328">
        <f>SUM('5층_부하량(월간_AVG)'!D43:F43)</f>
        <v>0</v>
      </c>
      <c r="Z241" s="328">
        <f>SUM('5층_부하량(월간_AVG)'!D73:F73)</f>
        <v>0</v>
      </c>
      <c r="AA241" s="2438">
        <f t="shared" si="109"/>
        <v>0</v>
      </c>
      <c r="AB241" s="2689" t="e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1" s="3108" t="e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1" s="3162" t="e">
        <f>VLOOKUP(I241&amp;J241,'7층~4층_매핑테이블'!$I$6:$P$2020,8,0)</f>
        <v>#N/A</v>
      </c>
      <c r="AE241" s="3146" t="e">
        <f>SUM(AB241:AC241)</f>
        <v>#N/A</v>
      </c>
      <c r="AF241" s="2453"/>
      <c r="AH241" s="2351" t="e">
        <f t="shared" si="90"/>
        <v>#N/A</v>
      </c>
      <c r="AI241" s="2351" t="e">
        <f t="shared" si="91"/>
        <v>#N/A</v>
      </c>
      <c r="AJ241" s="123" t="e">
        <f t="shared" si="87"/>
        <v>#N/A</v>
      </c>
      <c r="AK241" t="e">
        <f t="shared" si="88"/>
        <v>#N/A</v>
      </c>
      <c r="AL241" t="e">
        <f t="shared" si="89"/>
        <v>#N/A</v>
      </c>
      <c r="AQ241" s="123"/>
      <c r="AR241" s="123"/>
      <c r="AS241" s="123"/>
      <c r="AT241" s="2982"/>
      <c r="AU241" s="123"/>
      <c r="AV241" s="123"/>
      <c r="AW241" s="2990"/>
      <c r="AX241" s="2984"/>
      <c r="AY241" s="2985"/>
      <c r="AZ241" s="2986"/>
      <c r="BA241" s="2987"/>
      <c r="BB241" s="3194"/>
    </row>
    <row r="242" spans="1:54" ht="28.8" x14ac:dyDescent="0.25">
      <c r="A242" s="2620" t="s">
        <v>3215</v>
      </c>
      <c r="B242" s="2621" t="s">
        <v>3216</v>
      </c>
      <c r="C242" s="2632" t="s">
        <v>3187</v>
      </c>
      <c r="D242" s="2943">
        <v>5</v>
      </c>
      <c r="E242" s="2025" t="s">
        <v>3217</v>
      </c>
      <c r="F242" s="2025" t="s">
        <v>3218</v>
      </c>
      <c r="G242" s="878" t="s">
        <v>3219</v>
      </c>
      <c r="H242" s="879" t="s">
        <v>3220</v>
      </c>
      <c r="I242" s="1595" t="str">
        <f t="shared" si="106"/>
        <v>5-DaHall1-PDU-01-30-33</v>
      </c>
      <c r="J242" s="1596" t="str">
        <f t="shared" si="107"/>
        <v>5-DaHall1-PDU-02-30-33</v>
      </c>
      <c r="K242" s="1633">
        <v>220</v>
      </c>
      <c r="L242" s="1634">
        <v>30</v>
      </c>
      <c r="M242" s="2367" t="s">
        <v>6497</v>
      </c>
      <c r="N242" s="1635">
        <v>33</v>
      </c>
      <c r="O242" s="1636">
        <v>220</v>
      </c>
      <c r="P242" s="1637">
        <v>30</v>
      </c>
      <c r="Q242" s="2397" t="s">
        <v>6493</v>
      </c>
      <c r="R242" s="1638">
        <v>33</v>
      </c>
      <c r="S242" s="3595"/>
      <c r="T242" s="3598"/>
      <c r="U242" s="3601"/>
      <c r="V242" s="3604"/>
      <c r="W242" s="3601"/>
      <c r="X242" s="3604"/>
      <c r="Y242" s="253">
        <f>SUM('5층_부하량(월간_AVG)'!D44:F44)</f>
        <v>0</v>
      </c>
      <c r="Z242" s="253">
        <f>SUM('5층_부하량(월간_AVG)'!D74:F74)</f>
        <v>0</v>
      </c>
      <c r="AA242" s="2436">
        <f t="shared" si="109"/>
        <v>0</v>
      </c>
      <c r="AB242" s="2691" t="e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2" s="3109" t="e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2" s="3162" t="e">
        <f>VLOOKUP(I242&amp;J242,'7층~4층_매핑테이블'!$I$6:$P$2020,8,0)</f>
        <v>#N/A</v>
      </c>
      <c r="AE242" s="3144" t="e">
        <f>SUM(AB242:AC242)</f>
        <v>#N/A</v>
      </c>
      <c r="AF242" s="2451"/>
      <c r="AH242" s="2351" t="e">
        <f t="shared" si="90"/>
        <v>#N/A</v>
      </c>
      <c r="AI242" s="2351" t="e">
        <f t="shared" si="91"/>
        <v>#N/A</v>
      </c>
      <c r="AJ242" s="123" t="e">
        <f t="shared" si="87"/>
        <v>#N/A</v>
      </c>
      <c r="AK242" t="e">
        <f t="shared" si="88"/>
        <v>#N/A</v>
      </c>
      <c r="AL242" t="e">
        <f t="shared" si="89"/>
        <v>#N/A</v>
      </c>
      <c r="AQ242" s="123"/>
      <c r="AR242" s="123"/>
      <c r="AS242" s="123"/>
      <c r="AT242" s="2982"/>
      <c r="AU242" s="123"/>
      <c r="AV242" s="123"/>
      <c r="AW242" s="2990"/>
      <c r="AX242" s="2984"/>
      <c r="AY242" s="2985"/>
      <c r="AZ242" s="2986"/>
      <c r="BA242" s="2987"/>
      <c r="BB242" s="3194"/>
    </row>
    <row r="243" spans="1:54" ht="28.8" x14ac:dyDescent="0.25">
      <c r="A243" s="2620" t="s">
        <v>3221</v>
      </c>
      <c r="B243" s="2621" t="s">
        <v>3222</v>
      </c>
      <c r="C243" s="2632" t="s">
        <v>3187</v>
      </c>
      <c r="D243" s="2943">
        <v>5</v>
      </c>
      <c r="E243" s="2025" t="s">
        <v>3223</v>
      </c>
      <c r="F243" s="2025" t="s">
        <v>3224</v>
      </c>
      <c r="G243" s="878" t="s">
        <v>3225</v>
      </c>
      <c r="H243" s="879" t="s">
        <v>3226</v>
      </c>
      <c r="I243" s="1595" t="str">
        <f t="shared" si="106"/>
        <v>5-DaHall1-PDU-01-30-35</v>
      </c>
      <c r="J243" s="1596" t="str">
        <f t="shared" si="107"/>
        <v>5-DaHall1-PDU-02-30-35</v>
      </c>
      <c r="K243" s="1633">
        <v>220</v>
      </c>
      <c r="L243" s="1634">
        <v>30</v>
      </c>
      <c r="M243" s="2367" t="s">
        <v>6497</v>
      </c>
      <c r="N243" s="1635">
        <v>35</v>
      </c>
      <c r="O243" s="1636">
        <v>220</v>
      </c>
      <c r="P243" s="1637">
        <v>30</v>
      </c>
      <c r="Q243" s="2397" t="s">
        <v>6493</v>
      </c>
      <c r="R243" s="1638">
        <v>35</v>
      </c>
      <c r="S243" s="3595"/>
      <c r="T243" s="3598"/>
      <c r="U243" s="3601"/>
      <c r="V243" s="3604"/>
      <c r="W243" s="3601"/>
      <c r="X243" s="3604"/>
      <c r="Y243" s="253">
        <f>SUM('5층_부하량(월간_AVG)'!D45:F45)</f>
        <v>0</v>
      </c>
      <c r="Z243" s="253">
        <f>SUM('5층_부하량(월간_AVG)'!D75:F75)</f>
        <v>0</v>
      </c>
      <c r="AA243" s="2436">
        <f t="shared" si="109"/>
        <v>0</v>
      </c>
      <c r="AB243" s="2691" t="e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3" s="3109" t="e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3" s="3162" t="e">
        <f>VLOOKUP(I243&amp;J243,'7층~4층_매핑테이블'!$I$6:$P$2020,8,0)</f>
        <v>#N/A</v>
      </c>
      <c r="AE243" s="3144" t="e">
        <f t="shared" ref="AE243:AE258" si="111">SUM(AB243:AC243)</f>
        <v>#N/A</v>
      </c>
      <c r="AF243" s="2451"/>
      <c r="AH243" s="2351" t="e">
        <f t="shared" si="90"/>
        <v>#N/A</v>
      </c>
      <c r="AI243" s="2351" t="e">
        <f t="shared" si="91"/>
        <v>#N/A</v>
      </c>
      <c r="AJ243" s="123" t="e">
        <f t="shared" si="87"/>
        <v>#N/A</v>
      </c>
      <c r="AK243" t="e">
        <f t="shared" si="88"/>
        <v>#N/A</v>
      </c>
      <c r="AL243" t="e">
        <f t="shared" si="89"/>
        <v>#N/A</v>
      </c>
      <c r="AQ243" s="123"/>
      <c r="AR243" s="123"/>
      <c r="AS243" s="123"/>
      <c r="AT243" s="2982"/>
      <c r="AU243" s="123"/>
      <c r="AV243" s="123"/>
      <c r="AW243" s="2990"/>
      <c r="AX243" s="2984"/>
      <c r="AY243" s="2985"/>
      <c r="AZ243" s="2986"/>
      <c r="BA243" s="2987"/>
      <c r="BB243" s="3194"/>
    </row>
    <row r="244" spans="1:54" ht="28.8" x14ac:dyDescent="0.25">
      <c r="A244" s="2620" t="s">
        <v>3227</v>
      </c>
      <c r="B244" s="2621" t="s">
        <v>3228</v>
      </c>
      <c r="C244" s="2632" t="s">
        <v>3187</v>
      </c>
      <c r="D244" s="2943">
        <v>5</v>
      </c>
      <c r="E244" s="2025" t="s">
        <v>3229</v>
      </c>
      <c r="F244" s="2025" t="s">
        <v>3230</v>
      </c>
      <c r="G244" s="878" t="s">
        <v>3231</v>
      </c>
      <c r="H244" s="879" t="s">
        <v>3232</v>
      </c>
      <c r="I244" s="1595" t="str">
        <f t="shared" si="106"/>
        <v>5-DaHall1-PDU-01-30-37</v>
      </c>
      <c r="J244" s="1596" t="str">
        <f t="shared" si="107"/>
        <v>5-DaHall1-PDU-02-30-37</v>
      </c>
      <c r="K244" s="1633">
        <v>220</v>
      </c>
      <c r="L244" s="1634">
        <v>30</v>
      </c>
      <c r="M244" s="2367" t="s">
        <v>6497</v>
      </c>
      <c r="N244" s="1635">
        <v>37</v>
      </c>
      <c r="O244" s="1636">
        <v>220</v>
      </c>
      <c r="P244" s="1637">
        <v>30</v>
      </c>
      <c r="Q244" s="2397" t="s">
        <v>6493</v>
      </c>
      <c r="R244" s="1638">
        <v>37</v>
      </c>
      <c r="S244" s="3595"/>
      <c r="T244" s="3598"/>
      <c r="U244" s="3601"/>
      <c r="V244" s="3604"/>
      <c r="W244" s="3601"/>
      <c r="X244" s="3604"/>
      <c r="Y244" s="253">
        <f>SUM('5층_부하량(월간_AVG)'!D46:F46)</f>
        <v>0</v>
      </c>
      <c r="Z244" s="253">
        <f>SUM('5층_부하량(월간_AVG)'!D76:F76)</f>
        <v>0</v>
      </c>
      <c r="AA244" s="2436">
        <f t="shared" si="109"/>
        <v>0</v>
      </c>
      <c r="AB244" s="2691" t="e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4" s="3109" t="e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4" s="3162" t="e">
        <f>VLOOKUP(I244&amp;J244,'7층~4층_매핑테이블'!$I$6:$P$2020,8,0)</f>
        <v>#N/A</v>
      </c>
      <c r="AE244" s="3144" t="e">
        <f t="shared" si="111"/>
        <v>#N/A</v>
      </c>
      <c r="AF244" s="2451"/>
      <c r="AH244" s="2351" t="e">
        <f t="shared" si="90"/>
        <v>#N/A</v>
      </c>
      <c r="AI244" s="2351" t="e">
        <f t="shared" si="91"/>
        <v>#N/A</v>
      </c>
      <c r="AJ244" s="123" t="e">
        <f t="shared" si="87"/>
        <v>#N/A</v>
      </c>
      <c r="AK244" t="e">
        <f t="shared" si="88"/>
        <v>#N/A</v>
      </c>
      <c r="AL244" t="e">
        <f t="shared" si="89"/>
        <v>#N/A</v>
      </c>
      <c r="AQ244" s="123"/>
      <c r="AR244" s="123"/>
      <c r="AS244" s="123"/>
      <c r="AT244" s="2982"/>
      <c r="AU244" s="123"/>
      <c r="AV244" s="123"/>
      <c r="AW244" s="2990"/>
      <c r="AX244" s="2984"/>
      <c r="AY244" s="2985"/>
      <c r="AZ244" s="2986"/>
      <c r="BA244" s="2987"/>
      <c r="BB244" s="3194"/>
    </row>
    <row r="245" spans="1:54" ht="28.8" x14ac:dyDescent="0.25">
      <c r="A245" s="2620" t="s">
        <v>3233</v>
      </c>
      <c r="B245" s="2621" t="s">
        <v>3234</v>
      </c>
      <c r="C245" s="2632" t="s">
        <v>3187</v>
      </c>
      <c r="D245" s="2943">
        <v>5</v>
      </c>
      <c r="E245" s="2025" t="s">
        <v>3235</v>
      </c>
      <c r="F245" s="2025" t="s">
        <v>3236</v>
      </c>
      <c r="G245" s="878" t="s">
        <v>3237</v>
      </c>
      <c r="H245" s="879" t="s">
        <v>3238</v>
      </c>
      <c r="I245" s="1595" t="str">
        <f t="shared" si="106"/>
        <v>5-DaHall1-PDU-01-30-39</v>
      </c>
      <c r="J245" s="1596" t="str">
        <f t="shared" si="107"/>
        <v>5-DaHall1-PDU-02-30-39</v>
      </c>
      <c r="K245" s="1633">
        <v>220</v>
      </c>
      <c r="L245" s="1634">
        <v>30</v>
      </c>
      <c r="M245" s="2367" t="s">
        <v>6497</v>
      </c>
      <c r="N245" s="1635">
        <v>39</v>
      </c>
      <c r="O245" s="1636">
        <v>220</v>
      </c>
      <c r="P245" s="1637">
        <v>30</v>
      </c>
      <c r="Q245" s="2397" t="s">
        <v>6493</v>
      </c>
      <c r="R245" s="1638">
        <v>39</v>
      </c>
      <c r="S245" s="3595"/>
      <c r="T245" s="3598"/>
      <c r="U245" s="3601"/>
      <c r="V245" s="3604"/>
      <c r="W245" s="3601"/>
      <c r="X245" s="3604"/>
      <c r="Y245" s="253">
        <f>SUM('5층_부하량(월간_AVG)'!D47:F47)</f>
        <v>0</v>
      </c>
      <c r="Z245" s="253">
        <f>SUM('5층_부하량(월간_AVG)'!D77:F77)</f>
        <v>0</v>
      </c>
      <c r="AA245" s="2436">
        <f t="shared" si="109"/>
        <v>0</v>
      </c>
      <c r="AB245" s="2691" t="e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5" s="3109" t="e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5" s="3162" t="e">
        <f>VLOOKUP(I245&amp;J245,'7층~4층_매핑테이블'!$I$6:$P$2020,8,0)</f>
        <v>#N/A</v>
      </c>
      <c r="AE245" s="3144" t="e">
        <f t="shared" si="111"/>
        <v>#N/A</v>
      </c>
      <c r="AF245" s="2451"/>
      <c r="AH245" s="2351" t="e">
        <f t="shared" si="90"/>
        <v>#N/A</v>
      </c>
      <c r="AI245" s="2351" t="e">
        <f t="shared" si="91"/>
        <v>#N/A</v>
      </c>
      <c r="AJ245" s="123" t="e">
        <f t="shared" si="87"/>
        <v>#N/A</v>
      </c>
      <c r="AK245" t="e">
        <f t="shared" si="88"/>
        <v>#N/A</v>
      </c>
      <c r="AL245" t="e">
        <f t="shared" si="89"/>
        <v>#N/A</v>
      </c>
      <c r="AQ245" s="123"/>
      <c r="AR245" s="123"/>
      <c r="AS245" s="123"/>
      <c r="AT245" s="2982"/>
      <c r="AU245" s="123"/>
      <c r="AV245" s="123"/>
      <c r="AW245" s="2990"/>
      <c r="AX245" s="2984"/>
      <c r="AY245" s="2985"/>
      <c r="AZ245" s="2986"/>
      <c r="BA245" s="2987"/>
      <c r="BB245" s="3194"/>
    </row>
    <row r="246" spans="1:54" ht="28.8" x14ac:dyDescent="0.25">
      <c r="A246" s="2620"/>
      <c r="B246" s="250" t="s">
        <v>3239</v>
      </c>
      <c r="C246" s="2632"/>
      <c r="D246" s="2942"/>
      <c r="E246" s="250" t="s">
        <v>3240</v>
      </c>
      <c r="F246" s="250" t="s">
        <v>3241</v>
      </c>
      <c r="G246" s="878" t="s">
        <v>3242</v>
      </c>
      <c r="H246" s="879" t="s">
        <v>3243</v>
      </c>
      <c r="I246" s="1595" t="str">
        <f t="shared" si="106"/>
        <v>5-DaHall1-PDU-01-30-41</v>
      </c>
      <c r="J246" s="1596" t="str">
        <f t="shared" si="107"/>
        <v>5-DaHall1-PDU-02-30-41</v>
      </c>
      <c r="K246" s="1633">
        <v>220</v>
      </c>
      <c r="L246" s="1634">
        <v>30</v>
      </c>
      <c r="M246" s="2367" t="s">
        <v>6497</v>
      </c>
      <c r="N246" s="1635">
        <v>41</v>
      </c>
      <c r="O246" s="1636">
        <v>220</v>
      </c>
      <c r="P246" s="1637">
        <v>30</v>
      </c>
      <c r="Q246" s="2397" t="s">
        <v>6493</v>
      </c>
      <c r="R246" s="1638">
        <v>41</v>
      </c>
      <c r="S246" s="3595"/>
      <c r="T246" s="3598"/>
      <c r="U246" s="3601"/>
      <c r="V246" s="3604"/>
      <c r="W246" s="3601"/>
      <c r="X246" s="3604"/>
      <c r="Y246" s="253">
        <f>SUM('5층_부하량(월간_AVG)'!D48:F48)</f>
        <v>0</v>
      </c>
      <c r="Z246" s="253">
        <f>SUM('5층_부하량(월간_AVG)'!D78:F78)</f>
        <v>0</v>
      </c>
      <c r="AA246" s="2436">
        <f t="shared" si="109"/>
        <v>0</v>
      </c>
      <c r="AB246" s="2691" t="e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6" s="3109" t="e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6" s="3162" t="e">
        <f>VLOOKUP(I246&amp;J246,'7층~4층_매핑테이블'!$I$6:$P$2020,8,0)</f>
        <v>#N/A</v>
      </c>
      <c r="AE246" s="3144" t="e">
        <f t="shared" si="111"/>
        <v>#N/A</v>
      </c>
      <c r="AF246" s="2451"/>
      <c r="AH246" s="2351" t="e">
        <f t="shared" si="90"/>
        <v>#N/A</v>
      </c>
      <c r="AI246" s="2351" t="e">
        <f t="shared" si="91"/>
        <v>#N/A</v>
      </c>
      <c r="AJ246" s="123" t="e">
        <f t="shared" si="87"/>
        <v>#N/A</v>
      </c>
      <c r="AK246" t="e">
        <f t="shared" si="88"/>
        <v>#N/A</v>
      </c>
      <c r="AL246" t="e">
        <f t="shared" si="89"/>
        <v>#N/A</v>
      </c>
      <c r="AQ246" s="123"/>
      <c r="AR246" s="123"/>
      <c r="AS246" s="123"/>
      <c r="AT246" s="2982"/>
      <c r="AU246" s="123"/>
      <c r="AV246" s="123"/>
      <c r="AW246" s="2990"/>
      <c r="AX246" s="2984"/>
      <c r="AY246" s="2985"/>
      <c r="AZ246" s="2986"/>
      <c r="BA246" s="2987"/>
      <c r="BB246" s="3194"/>
    </row>
    <row r="247" spans="1:54" ht="28.8" x14ac:dyDescent="0.25">
      <c r="A247" s="2620"/>
      <c r="B247" s="250" t="s">
        <v>3244</v>
      </c>
      <c r="C247" s="2632"/>
      <c r="D247" s="2942"/>
      <c r="E247" s="250" t="s">
        <v>3245</v>
      </c>
      <c r="F247" s="250" t="s">
        <v>3246</v>
      </c>
      <c r="G247" s="878" t="s">
        <v>3247</v>
      </c>
      <c r="H247" s="879" t="s">
        <v>3248</v>
      </c>
      <c r="I247" s="1595" t="str">
        <f t="shared" si="106"/>
        <v>5-DaHall1-PDU-01-30-43</v>
      </c>
      <c r="J247" s="1596" t="str">
        <f t="shared" si="107"/>
        <v>5-DaHall1-PDU-02-30-43</v>
      </c>
      <c r="K247" s="1633">
        <v>220</v>
      </c>
      <c r="L247" s="1634">
        <v>30</v>
      </c>
      <c r="M247" s="2367" t="s">
        <v>6497</v>
      </c>
      <c r="N247" s="1635">
        <v>43</v>
      </c>
      <c r="O247" s="1636">
        <v>220</v>
      </c>
      <c r="P247" s="1637">
        <v>30</v>
      </c>
      <c r="Q247" s="2397" t="s">
        <v>6493</v>
      </c>
      <c r="R247" s="1638">
        <v>43</v>
      </c>
      <c r="S247" s="3595"/>
      <c r="T247" s="3598"/>
      <c r="U247" s="3601"/>
      <c r="V247" s="3604"/>
      <c r="W247" s="3601"/>
      <c r="X247" s="3604"/>
      <c r="Y247" s="253">
        <f>SUM('5층_부하량(월간_AVG)'!D49:F49)</f>
        <v>0</v>
      </c>
      <c r="Z247" s="253">
        <f>SUM('5층_부하량(월간_AVG)'!D79:F79)</f>
        <v>0</v>
      </c>
      <c r="AA247" s="2436">
        <f t="shared" si="109"/>
        <v>0</v>
      </c>
      <c r="AB247" s="2691" t="e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7" s="3109" t="e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7" s="3162" t="e">
        <f>VLOOKUP(I247&amp;J247,'7층~4층_매핑테이블'!$I$6:$P$2020,8,0)</f>
        <v>#N/A</v>
      </c>
      <c r="AE247" s="3144" t="e">
        <f t="shared" si="111"/>
        <v>#N/A</v>
      </c>
      <c r="AF247" s="2451"/>
      <c r="AH247" s="2351" t="e">
        <f t="shared" si="90"/>
        <v>#N/A</v>
      </c>
      <c r="AI247" s="2351" t="e">
        <f t="shared" si="91"/>
        <v>#N/A</v>
      </c>
      <c r="AJ247" s="123" t="e">
        <f t="shared" si="87"/>
        <v>#N/A</v>
      </c>
      <c r="AK247" t="e">
        <f t="shared" si="88"/>
        <v>#N/A</v>
      </c>
      <c r="AL247" t="e">
        <f t="shared" si="89"/>
        <v>#N/A</v>
      </c>
      <c r="AQ247" s="123"/>
      <c r="AR247" s="123"/>
      <c r="AS247" s="123"/>
      <c r="AT247" s="2982"/>
      <c r="AU247" s="123"/>
      <c r="AV247" s="123"/>
      <c r="AW247" s="2990"/>
      <c r="AX247" s="2984"/>
      <c r="AY247" s="2985"/>
      <c r="AZ247" s="2986"/>
      <c r="BA247" s="2987"/>
      <c r="BB247" s="3194"/>
    </row>
    <row r="248" spans="1:54" ht="28.8" x14ac:dyDescent="0.25">
      <c r="A248" s="2620"/>
      <c r="B248" s="250" t="s">
        <v>3249</v>
      </c>
      <c r="C248" s="2632"/>
      <c r="D248" s="2942"/>
      <c r="E248" s="250" t="s">
        <v>3250</v>
      </c>
      <c r="F248" s="250" t="s">
        <v>3251</v>
      </c>
      <c r="G248" s="878" t="s">
        <v>3252</v>
      </c>
      <c r="H248" s="879" t="s">
        <v>3253</v>
      </c>
      <c r="I248" s="1595" t="str">
        <f t="shared" si="106"/>
        <v>5-DaHall1-PDU-01-30-45</v>
      </c>
      <c r="J248" s="1596" t="str">
        <f t="shared" si="107"/>
        <v>5-DaHall1-PDU-02-30-45</v>
      </c>
      <c r="K248" s="1633">
        <v>220</v>
      </c>
      <c r="L248" s="1634">
        <v>30</v>
      </c>
      <c r="M248" s="2367" t="s">
        <v>6497</v>
      </c>
      <c r="N248" s="1635">
        <v>45</v>
      </c>
      <c r="O248" s="1636">
        <v>220</v>
      </c>
      <c r="P248" s="1637">
        <v>30</v>
      </c>
      <c r="Q248" s="2397" t="s">
        <v>6493</v>
      </c>
      <c r="R248" s="1638">
        <v>45</v>
      </c>
      <c r="S248" s="3595"/>
      <c r="T248" s="3598"/>
      <c r="U248" s="3601"/>
      <c r="V248" s="3604"/>
      <c r="W248" s="3601"/>
      <c r="X248" s="3604"/>
      <c r="Y248" s="253">
        <f>SUM('5층_부하량(월간_AVG)'!D50:F50)</f>
        <v>0</v>
      </c>
      <c r="Z248" s="253">
        <f>SUM('5층_부하량(월간_AVG)'!D80:F80)</f>
        <v>0</v>
      </c>
      <c r="AA248" s="2436">
        <f t="shared" si="109"/>
        <v>0</v>
      </c>
      <c r="AB248" s="2691" t="e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8" s="3109" t="e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8" s="3162" t="e">
        <f>VLOOKUP(I248&amp;J248,'7층~4층_매핑테이블'!$I$6:$P$2020,8,0)</f>
        <v>#N/A</v>
      </c>
      <c r="AE248" s="3144" t="e">
        <f t="shared" si="111"/>
        <v>#N/A</v>
      </c>
      <c r="AF248" s="2451"/>
      <c r="AH248" s="2351" t="e">
        <f t="shared" si="90"/>
        <v>#N/A</v>
      </c>
      <c r="AI248" s="2351" t="e">
        <f t="shared" si="91"/>
        <v>#N/A</v>
      </c>
      <c r="AJ248" s="123" t="e">
        <f t="shared" si="87"/>
        <v>#N/A</v>
      </c>
      <c r="AK248" t="e">
        <f t="shared" si="88"/>
        <v>#N/A</v>
      </c>
      <c r="AL248" t="e">
        <f t="shared" si="89"/>
        <v>#N/A</v>
      </c>
      <c r="AQ248" s="123"/>
      <c r="AR248" s="123"/>
      <c r="AS248" s="123"/>
      <c r="AT248" s="2982"/>
      <c r="AU248" s="123"/>
      <c r="AV248" s="123"/>
      <c r="AW248" s="2990"/>
      <c r="AX248" s="2984"/>
      <c r="AY248" s="2985"/>
      <c r="AZ248" s="2986"/>
      <c r="BA248" s="2987"/>
      <c r="BB248" s="3194"/>
    </row>
    <row r="249" spans="1:54" ht="29.4" thickBot="1" x14ac:dyDescent="0.3">
      <c r="A249" s="2628"/>
      <c r="B249" s="2629" t="s">
        <v>3254</v>
      </c>
      <c r="C249" s="2656"/>
      <c r="D249" s="2946"/>
      <c r="E249" s="2629" t="s">
        <v>3255</v>
      </c>
      <c r="F249" s="2629" t="s">
        <v>3256</v>
      </c>
      <c r="G249" s="1107" t="s">
        <v>3257</v>
      </c>
      <c r="H249" s="1108" t="s">
        <v>3258</v>
      </c>
      <c r="I249" s="1597" t="str">
        <f t="shared" si="106"/>
        <v>5-DaHall1-PDU-01-30-47</v>
      </c>
      <c r="J249" s="1598" t="str">
        <f t="shared" si="107"/>
        <v>5-DaHall1-PDU-02-30-47</v>
      </c>
      <c r="K249" s="1639">
        <v>220</v>
      </c>
      <c r="L249" s="1640">
        <v>30</v>
      </c>
      <c r="M249" s="2368" t="s">
        <v>6497</v>
      </c>
      <c r="N249" s="1641">
        <v>47</v>
      </c>
      <c r="O249" s="1642">
        <v>220</v>
      </c>
      <c r="P249" s="1643">
        <v>30</v>
      </c>
      <c r="Q249" s="2398" t="s">
        <v>6493</v>
      </c>
      <c r="R249" s="1644">
        <v>47</v>
      </c>
      <c r="S249" s="3596"/>
      <c r="T249" s="3599"/>
      <c r="U249" s="3602"/>
      <c r="V249" s="3605"/>
      <c r="W249" s="3602"/>
      <c r="X249" s="3605"/>
      <c r="Y249" s="329">
        <f>SUM('5층_부하량(월간_AVG)'!D51:F51)</f>
        <v>0</v>
      </c>
      <c r="Z249" s="329">
        <f>SUM('5층_부하량(월간_AVG)'!D81:F81)</f>
        <v>0</v>
      </c>
      <c r="AA249" s="2437">
        <f t="shared" si="109"/>
        <v>0</v>
      </c>
      <c r="AB249" s="2695" t="e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9" s="3112" t="e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9" s="3162" t="e">
        <f>VLOOKUP(I249&amp;J249,'7층~4층_매핑테이블'!$I$6:$P$2020,8,0)</f>
        <v>#N/A</v>
      </c>
      <c r="AE249" s="3147" t="e">
        <f t="shared" si="111"/>
        <v>#N/A</v>
      </c>
      <c r="AF249" s="2452"/>
      <c r="AH249" s="2351" t="e">
        <f t="shared" si="90"/>
        <v>#N/A</v>
      </c>
      <c r="AI249" s="2351" t="e">
        <f t="shared" si="91"/>
        <v>#N/A</v>
      </c>
      <c r="AJ249" s="123" t="e">
        <f t="shared" si="87"/>
        <v>#N/A</v>
      </c>
      <c r="AK249" t="e">
        <f t="shared" si="88"/>
        <v>#N/A</v>
      </c>
      <c r="AL249" t="e">
        <f t="shared" si="89"/>
        <v>#N/A</v>
      </c>
      <c r="AQ249" s="123"/>
      <c r="AR249" s="123"/>
      <c r="AS249" s="123"/>
      <c r="AT249" s="2982"/>
      <c r="AU249" s="123"/>
      <c r="AV249" s="123"/>
      <c r="AW249" s="2990"/>
      <c r="AX249" s="2984"/>
      <c r="AY249" s="2985"/>
      <c r="AZ249" s="2986"/>
      <c r="BA249" s="2987"/>
      <c r="BB249" s="3194"/>
    </row>
    <row r="250" spans="1:54" ht="29.4" thickTop="1" x14ac:dyDescent="0.25">
      <c r="A250" s="1081" t="s">
        <v>2398</v>
      </c>
      <c r="B250" s="841" t="s">
        <v>3259</v>
      </c>
      <c r="C250" s="970" t="s">
        <v>9232</v>
      </c>
      <c r="D250" s="2947">
        <v>2.2000000000000002</v>
      </c>
      <c r="E250" s="327" t="s">
        <v>3261</v>
      </c>
      <c r="F250" s="327" t="s">
        <v>3262</v>
      </c>
      <c r="G250" s="2641" t="s">
        <v>3263</v>
      </c>
      <c r="H250" s="2642" t="s">
        <v>3264</v>
      </c>
      <c r="I250" s="1605" t="str">
        <f t="shared" si="106"/>
        <v>5-DaHall1-PDU-01-30-19</v>
      </c>
      <c r="J250" s="1606" t="str">
        <f t="shared" si="107"/>
        <v>5-DaHall1-PDU-02-30-19</v>
      </c>
      <c r="K250" s="1645">
        <v>220</v>
      </c>
      <c r="L250" s="1646">
        <v>30</v>
      </c>
      <c r="M250" s="2363" t="s">
        <v>6497</v>
      </c>
      <c r="N250" s="1554">
        <v>19</v>
      </c>
      <c r="O250" s="1647">
        <v>220</v>
      </c>
      <c r="P250" s="1648">
        <v>30</v>
      </c>
      <c r="Q250" s="2393" t="s">
        <v>6493</v>
      </c>
      <c r="R250" s="1557">
        <v>19</v>
      </c>
      <c r="S250" s="3607" t="s">
        <v>2828</v>
      </c>
      <c r="T250" s="3610" t="s">
        <v>2829</v>
      </c>
      <c r="U250" s="3467" t="s">
        <v>2830</v>
      </c>
      <c r="V250" s="3497" t="s">
        <v>2831</v>
      </c>
      <c r="W250" s="3467" t="s">
        <v>2484</v>
      </c>
      <c r="X250" s="3497" t="s">
        <v>2485</v>
      </c>
      <c r="Y250" s="836">
        <f>SUM('5층_부하량(월간_AVG)'!D37:F37)</f>
        <v>0</v>
      </c>
      <c r="Z250" s="836">
        <f>SUM('5층_부하량(월간_AVG)'!D67:F67)</f>
        <v>0</v>
      </c>
      <c r="AA250" s="2465">
        <f t="shared" si="109"/>
        <v>0</v>
      </c>
      <c r="AB250" s="2744" t="e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50" s="3131" t="e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50" s="3162" t="e">
        <f>VLOOKUP(I250&amp;J250,'7층~4층_매핑테이블'!$I$6:$P$2020,8,0)</f>
        <v>#N/A</v>
      </c>
      <c r="AE250" s="3143" t="e">
        <f t="shared" si="111"/>
        <v>#N/A</v>
      </c>
      <c r="AF250" s="2453" t="s">
        <v>3265</v>
      </c>
      <c r="AH250" s="2351" t="e">
        <f t="shared" si="90"/>
        <v>#N/A</v>
      </c>
      <c r="AI250" s="2351" t="e">
        <f t="shared" si="91"/>
        <v>#N/A</v>
      </c>
      <c r="AJ250" s="123" t="e">
        <f t="shared" si="87"/>
        <v>#N/A</v>
      </c>
      <c r="AK250" t="e">
        <f t="shared" si="88"/>
        <v>#N/A</v>
      </c>
      <c r="AL250" t="e">
        <f t="shared" si="89"/>
        <v>#N/A</v>
      </c>
      <c r="AQ250" s="123"/>
      <c r="AR250" s="123"/>
      <c r="AS250" s="123"/>
      <c r="AT250" s="2982"/>
      <c r="AU250" s="123"/>
      <c r="AV250" s="123"/>
      <c r="AW250" s="2990"/>
      <c r="AX250" s="2984"/>
      <c r="AY250" s="2985"/>
      <c r="AZ250" s="2986"/>
      <c r="BA250" s="2987"/>
      <c r="BB250" s="3194"/>
    </row>
    <row r="251" spans="1:54" ht="28.8" x14ac:dyDescent="0.25">
      <c r="A251" s="2620" t="s">
        <v>2404</v>
      </c>
      <c r="B251" s="2654" t="s">
        <v>3266</v>
      </c>
      <c r="C251" s="2632" t="s">
        <v>9232</v>
      </c>
      <c r="D251" s="2948">
        <v>2.2000000000000002</v>
      </c>
      <c r="E251" s="250" t="s">
        <v>3267</v>
      </c>
      <c r="F251" s="250" t="s">
        <v>3268</v>
      </c>
      <c r="G251" s="2633" t="s">
        <v>3269</v>
      </c>
      <c r="H251" s="2634" t="s">
        <v>3270</v>
      </c>
      <c r="I251" s="1595" t="str">
        <f t="shared" si="106"/>
        <v>5-DaHall1-PDU-01-30-21</v>
      </c>
      <c r="J251" s="1596" t="str">
        <f t="shared" si="107"/>
        <v>5-DaHall1-PDU-02-30-21</v>
      </c>
      <c r="K251" s="1564">
        <v>220</v>
      </c>
      <c r="L251" s="1565">
        <v>30</v>
      </c>
      <c r="M251" s="2364" t="s">
        <v>6497</v>
      </c>
      <c r="N251" s="1560">
        <v>21</v>
      </c>
      <c r="O251" s="1566">
        <v>220</v>
      </c>
      <c r="P251" s="1567">
        <v>30</v>
      </c>
      <c r="Q251" s="2394" t="s">
        <v>6493</v>
      </c>
      <c r="R251" s="1563">
        <v>21</v>
      </c>
      <c r="S251" s="3608"/>
      <c r="T251" s="3611"/>
      <c r="U251" s="3472"/>
      <c r="V251" s="3471"/>
      <c r="W251" s="3468"/>
      <c r="X251" s="3471"/>
      <c r="Y251" s="268">
        <f>SUM('5층_부하량(월간_AVG)'!D38:F38)</f>
        <v>0</v>
      </c>
      <c r="Z251" s="268">
        <f>SUM('5층_부하량(월간_AVG)'!D68:F68)</f>
        <v>0</v>
      </c>
      <c r="AA251" s="2443">
        <f t="shared" si="109"/>
        <v>0</v>
      </c>
      <c r="AB251" s="2702" t="e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1" s="3116" t="e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1" s="3162" t="e">
        <f>VLOOKUP(I251&amp;J251,'7층~4층_매핑테이블'!$I$6:$P$2020,8,0)</f>
        <v>#N/A</v>
      </c>
      <c r="AE251" s="3144" t="e">
        <f t="shared" si="111"/>
        <v>#N/A</v>
      </c>
      <c r="AF251" s="2451" t="s">
        <v>3271</v>
      </c>
      <c r="AH251" s="2351" t="e">
        <f t="shared" si="90"/>
        <v>#N/A</v>
      </c>
      <c r="AI251" s="2351" t="e">
        <f t="shared" si="91"/>
        <v>#N/A</v>
      </c>
      <c r="AJ251" s="123" t="e">
        <f t="shared" si="87"/>
        <v>#N/A</v>
      </c>
      <c r="AK251" t="e">
        <f t="shared" si="88"/>
        <v>#N/A</v>
      </c>
      <c r="AL251" t="e">
        <f t="shared" si="89"/>
        <v>#N/A</v>
      </c>
      <c r="AQ251" s="123"/>
      <c r="AR251" s="123"/>
      <c r="AS251" s="123"/>
      <c r="AT251" s="2982"/>
      <c r="AU251" s="123"/>
      <c r="AV251" s="123"/>
      <c r="AW251" s="2990"/>
      <c r="AX251" s="2984"/>
      <c r="AY251" s="2985"/>
      <c r="AZ251" s="2986"/>
      <c r="BA251" s="2987"/>
      <c r="BB251" s="3194"/>
    </row>
    <row r="252" spans="1:54" ht="28.8" x14ac:dyDescent="0.25">
      <c r="A252" s="2620" t="s">
        <v>2410</v>
      </c>
      <c r="B252" s="2654" t="s">
        <v>3272</v>
      </c>
      <c r="C252" s="2632" t="s">
        <v>9232</v>
      </c>
      <c r="D252" s="2948">
        <v>2.2000000000000002</v>
      </c>
      <c r="E252" s="250" t="s">
        <v>3273</v>
      </c>
      <c r="F252" s="250" t="s">
        <v>3274</v>
      </c>
      <c r="G252" s="2633" t="s">
        <v>3275</v>
      </c>
      <c r="H252" s="2634" t="s">
        <v>3276</v>
      </c>
      <c r="I252" s="1595" t="str">
        <f t="shared" si="106"/>
        <v>5-DaHall1-PDU-01-30-23</v>
      </c>
      <c r="J252" s="1596" t="str">
        <f t="shared" si="107"/>
        <v>5-DaHall1-PDU-02-30-23</v>
      </c>
      <c r="K252" s="1564">
        <v>220</v>
      </c>
      <c r="L252" s="1565">
        <v>30</v>
      </c>
      <c r="M252" s="2364" t="s">
        <v>6497</v>
      </c>
      <c r="N252" s="1560">
        <v>23</v>
      </c>
      <c r="O252" s="1566">
        <v>220</v>
      </c>
      <c r="P252" s="1567">
        <v>30</v>
      </c>
      <c r="Q252" s="2394" t="s">
        <v>6493</v>
      </c>
      <c r="R252" s="1563">
        <v>23</v>
      </c>
      <c r="S252" s="3608"/>
      <c r="T252" s="3611"/>
      <c r="U252" s="3472"/>
      <c r="V252" s="3471"/>
      <c r="W252" s="3468"/>
      <c r="X252" s="3471"/>
      <c r="Y252" s="268">
        <f>SUM('5층_부하량(월간_AVG)'!D39:F39)</f>
        <v>0</v>
      </c>
      <c r="Z252" s="268">
        <f>SUM('5층_부하량(월간_AVG)'!D69:F69)</f>
        <v>0</v>
      </c>
      <c r="AA252" s="2443">
        <f t="shared" si="109"/>
        <v>0</v>
      </c>
      <c r="AB252" s="2702" t="e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2" s="3116" t="e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2" s="3162" t="e">
        <f>VLOOKUP(I252&amp;J252,'7층~4층_매핑테이블'!$I$6:$P$2020,8,0)</f>
        <v>#N/A</v>
      </c>
      <c r="AE252" s="3144" t="e">
        <f t="shared" si="111"/>
        <v>#N/A</v>
      </c>
      <c r="AF252" s="2451" t="s">
        <v>3277</v>
      </c>
      <c r="AH252" s="2351" t="e">
        <f t="shared" si="90"/>
        <v>#N/A</v>
      </c>
      <c r="AI252" s="2351" t="e">
        <f t="shared" si="91"/>
        <v>#N/A</v>
      </c>
      <c r="AJ252" s="123" t="e">
        <f t="shared" si="87"/>
        <v>#N/A</v>
      </c>
      <c r="AK252" t="e">
        <f t="shared" si="88"/>
        <v>#N/A</v>
      </c>
      <c r="AL252" t="e">
        <f t="shared" si="89"/>
        <v>#N/A</v>
      </c>
      <c r="AQ252" s="123"/>
      <c r="AR252" s="123"/>
      <c r="AS252" s="123"/>
      <c r="AT252" s="2982"/>
      <c r="AU252" s="123"/>
      <c r="AV252" s="123"/>
      <c r="AW252" s="2990"/>
      <c r="AX252" s="2984"/>
      <c r="AY252" s="2985"/>
      <c r="AZ252" s="2986"/>
      <c r="BA252" s="2987"/>
      <c r="BB252" s="3194"/>
    </row>
    <row r="253" spans="1:54" ht="29.4" thickBot="1" x14ac:dyDescent="0.3">
      <c r="A253" s="2628" t="s">
        <v>2416</v>
      </c>
      <c r="B253" s="2655" t="s">
        <v>3278</v>
      </c>
      <c r="C253" s="2656" t="s">
        <v>9232</v>
      </c>
      <c r="D253" s="2949">
        <v>2.2000000000000002</v>
      </c>
      <c r="E253" s="2629" t="s">
        <v>3279</v>
      </c>
      <c r="F253" s="2629" t="s">
        <v>3280</v>
      </c>
      <c r="G253" s="2643" t="s">
        <v>3281</v>
      </c>
      <c r="H253" s="2644" t="s">
        <v>3282</v>
      </c>
      <c r="I253" s="1597" t="str">
        <f t="shared" si="106"/>
        <v>5-DaHall1-PDU-01-30-25</v>
      </c>
      <c r="J253" s="1598" t="str">
        <f t="shared" si="107"/>
        <v>5-DaHall1-PDU-02-30-25</v>
      </c>
      <c r="K253" s="1649">
        <v>220</v>
      </c>
      <c r="L253" s="1650">
        <v>30</v>
      </c>
      <c r="M253" s="2365" t="s">
        <v>6497</v>
      </c>
      <c r="N253" s="1570">
        <v>25</v>
      </c>
      <c r="O253" s="1651">
        <v>220</v>
      </c>
      <c r="P253" s="1652">
        <v>30</v>
      </c>
      <c r="Q253" s="2395" t="s">
        <v>6493</v>
      </c>
      <c r="R253" s="1573">
        <v>25</v>
      </c>
      <c r="S253" s="3609"/>
      <c r="T253" s="3612"/>
      <c r="U253" s="3499"/>
      <c r="V253" s="3498"/>
      <c r="W253" s="3469"/>
      <c r="X253" s="3498"/>
      <c r="Y253" s="330">
        <f>SUM('5층_부하량(월간_AVG)'!D40:F40)</f>
        <v>0</v>
      </c>
      <c r="Z253" s="330">
        <f>SUM('5층_부하량(월간_AVG)'!D70:F70)</f>
        <v>0</v>
      </c>
      <c r="AA253" s="2444">
        <f t="shared" si="109"/>
        <v>0</v>
      </c>
      <c r="AB253" s="2745" t="e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3" s="3132" t="e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3" s="3170" t="e">
        <f>VLOOKUP(I253&amp;J253,'7층~4층_매핑테이블'!$I$6:$P$2020,8,0)</f>
        <v>#N/A</v>
      </c>
      <c r="AE253" s="3147" t="e">
        <f t="shared" si="111"/>
        <v>#N/A</v>
      </c>
      <c r="AF253" s="2452" t="s">
        <v>3283</v>
      </c>
      <c r="AH253" s="2351" t="e">
        <f t="shared" si="90"/>
        <v>#N/A</v>
      </c>
      <c r="AI253" s="2351" t="e">
        <f t="shared" si="91"/>
        <v>#N/A</v>
      </c>
      <c r="AJ253" s="123" t="e">
        <f t="shared" si="87"/>
        <v>#N/A</v>
      </c>
      <c r="AK253" t="e">
        <f t="shared" si="88"/>
        <v>#N/A</v>
      </c>
      <c r="AL253" t="e">
        <f t="shared" si="89"/>
        <v>#N/A</v>
      </c>
      <c r="AQ253" s="123"/>
      <c r="AR253" s="123"/>
      <c r="AS253" s="123"/>
      <c r="AT253" s="2982"/>
      <c r="AU253" s="123"/>
      <c r="AV253" s="123"/>
      <c r="AW253" s="2990"/>
      <c r="AX253" s="2984"/>
      <c r="AY253" s="2985"/>
      <c r="AZ253" s="2986"/>
      <c r="BA253" s="2987"/>
      <c r="BB253" s="3194"/>
    </row>
    <row r="254" spans="1:54" ht="29.4" thickTop="1" x14ac:dyDescent="0.25">
      <c r="A254" s="1081"/>
      <c r="B254" s="331" t="s">
        <v>3210</v>
      </c>
      <c r="C254" s="973"/>
      <c r="D254" s="2941"/>
      <c r="E254" s="327" t="s">
        <v>3284</v>
      </c>
      <c r="F254" s="828"/>
      <c r="G254" s="2641" t="s">
        <v>3285</v>
      </c>
      <c r="H254" s="828"/>
      <c r="I254" s="1605" t="str">
        <f t="shared" si="106"/>
        <v>5-DaHall1-PDU-01-30-42</v>
      </c>
      <c r="J254" s="1653"/>
      <c r="K254" s="1654">
        <v>220</v>
      </c>
      <c r="L254" s="1655">
        <v>30</v>
      </c>
      <c r="M254" s="2363" t="s">
        <v>6497</v>
      </c>
      <c r="N254" s="1554">
        <v>42</v>
      </c>
      <c r="O254" s="1656"/>
      <c r="P254" s="1657"/>
      <c r="Q254" s="828"/>
      <c r="R254" s="1658"/>
      <c r="S254" s="2641" t="s">
        <v>2828</v>
      </c>
      <c r="T254" s="828"/>
      <c r="U254" s="2608" t="s">
        <v>2830</v>
      </c>
      <c r="V254" s="828"/>
      <c r="W254" s="2608" t="s">
        <v>2484</v>
      </c>
      <c r="X254" s="828"/>
      <c r="Y254" s="332">
        <f>SUM('5층_부하량(월간_AVG)'!N48:P48)</f>
        <v>0</v>
      </c>
      <c r="Z254" s="828"/>
      <c r="AA254" s="2466">
        <f t="shared" si="109"/>
        <v>0</v>
      </c>
      <c r="AB254" s="2744" t="e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4" s="3131"/>
      <c r="AD254" s="3162" t="e">
        <f>VLOOKUP(I254&amp;J254,'7층~4층_매핑테이블'!$I$6:$P$2020,8,0)</f>
        <v>#N/A</v>
      </c>
      <c r="AE254" s="3143" t="e">
        <f t="shared" si="111"/>
        <v>#N/A</v>
      </c>
      <c r="AF254" s="2503"/>
      <c r="AH254" s="2351" t="e">
        <f t="shared" si="90"/>
        <v>#N/A</v>
      </c>
      <c r="AI254" s="2351" t="e">
        <f t="shared" si="91"/>
        <v>#N/A</v>
      </c>
      <c r="AJ254" s="123" t="e">
        <f t="shared" si="87"/>
        <v>#N/A</v>
      </c>
      <c r="AK254" t="e">
        <f t="shared" si="88"/>
        <v>#N/A</v>
      </c>
      <c r="AL254" t="e">
        <f t="shared" si="89"/>
        <v>#N/A</v>
      </c>
      <c r="AQ254" s="123"/>
      <c r="AR254" s="123"/>
      <c r="AS254" s="123"/>
      <c r="AT254" s="2982"/>
      <c r="AU254" s="123"/>
      <c r="AV254" s="123"/>
      <c r="AW254" s="2990"/>
      <c r="AX254" s="2984"/>
      <c r="AY254" s="2985"/>
      <c r="AZ254" s="2986"/>
      <c r="BA254" s="2987"/>
      <c r="BB254" s="3194"/>
    </row>
    <row r="255" spans="1:54" ht="28.8" x14ac:dyDescent="0.25">
      <c r="A255" s="1083"/>
      <c r="B255" s="250" t="s">
        <v>3286</v>
      </c>
      <c r="C255" s="2632"/>
      <c r="D255" s="2942"/>
      <c r="E255" s="250" t="s">
        <v>3287</v>
      </c>
      <c r="F255" s="250" t="s">
        <v>3288</v>
      </c>
      <c r="G255" s="2633" t="s">
        <v>3289</v>
      </c>
      <c r="H255" s="2634" t="s">
        <v>3290</v>
      </c>
      <c r="I255" s="1595" t="str">
        <f t="shared" si="106"/>
        <v>5-DaHall1-PDU-01-30-44</v>
      </c>
      <c r="J255" s="1596" t="str">
        <f>"5-DaHall1-PDU-"&amp;Q255&amp;"-"&amp;P255&amp;"-"&amp;R255</f>
        <v>5-DaHall1-PDU-02-30-44</v>
      </c>
      <c r="K255" s="1558">
        <v>220</v>
      </c>
      <c r="L255" s="1559">
        <v>30</v>
      </c>
      <c r="M255" s="2364" t="s">
        <v>6497</v>
      </c>
      <c r="N255" s="1560">
        <v>44</v>
      </c>
      <c r="O255" s="1561">
        <v>220</v>
      </c>
      <c r="P255" s="1562">
        <v>30</v>
      </c>
      <c r="Q255" s="2394" t="s">
        <v>6493</v>
      </c>
      <c r="R255" s="1563">
        <v>44</v>
      </c>
      <c r="S255" s="3608" t="s">
        <v>2828</v>
      </c>
      <c r="T255" s="3611" t="s">
        <v>2829</v>
      </c>
      <c r="U255" s="3468" t="s">
        <v>2830</v>
      </c>
      <c r="V255" s="3465" t="s">
        <v>2831</v>
      </c>
      <c r="W255" s="3468" t="s">
        <v>2484</v>
      </c>
      <c r="X255" s="3465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43">
        <f t="shared" si="109"/>
        <v>0</v>
      </c>
      <c r="AB255" s="2702" t="e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5" s="3116" t="e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5" s="3162" t="e">
        <f>VLOOKUP(I255&amp;J255,'7층~4층_매핑테이블'!$I$6:$P$2020,8,0)</f>
        <v>#N/A</v>
      </c>
      <c r="AE255" s="3144" t="e">
        <f t="shared" si="111"/>
        <v>#N/A</v>
      </c>
      <c r="AF255" s="2504"/>
      <c r="AH255" s="2351" t="e">
        <f t="shared" si="90"/>
        <v>#N/A</v>
      </c>
      <c r="AI255" s="2351" t="e">
        <f t="shared" si="91"/>
        <v>#N/A</v>
      </c>
      <c r="AJ255" s="123" t="e">
        <f t="shared" si="87"/>
        <v>#N/A</v>
      </c>
      <c r="AK255" t="e">
        <f t="shared" si="88"/>
        <v>#N/A</v>
      </c>
      <c r="AL255" t="e">
        <f t="shared" si="89"/>
        <v>#N/A</v>
      </c>
      <c r="AQ255" s="123"/>
      <c r="AR255" s="123"/>
      <c r="AS255" s="123"/>
      <c r="AT255" s="2982"/>
      <c r="AU255" s="123"/>
      <c r="AV255" s="123"/>
      <c r="AW255" s="2990"/>
      <c r="AX255" s="2984"/>
      <c r="AY255" s="2985"/>
      <c r="AZ255" s="2986"/>
      <c r="BA255" s="2987"/>
      <c r="BB255" s="3194"/>
    </row>
    <row r="256" spans="1:54" ht="28.8" x14ac:dyDescent="0.25">
      <c r="A256" s="2620" t="s">
        <v>3291</v>
      </c>
      <c r="B256" s="2632" t="s">
        <v>3292</v>
      </c>
      <c r="C256" s="2632" t="s">
        <v>9232</v>
      </c>
      <c r="D256" s="2948">
        <v>2.2000000000000002</v>
      </c>
      <c r="E256" s="250" t="s">
        <v>3293</v>
      </c>
      <c r="F256" s="250" t="s">
        <v>3294</v>
      </c>
      <c r="G256" s="2633" t="s">
        <v>3295</v>
      </c>
      <c r="H256" s="2634" t="s">
        <v>3296</v>
      </c>
      <c r="I256" s="1595" t="str">
        <f t="shared" si="106"/>
        <v>5-DaHall1-PDU-01-30-4</v>
      </c>
      <c r="J256" s="1596" t="str">
        <f>"5-DaHall1-PDU-"&amp;Q256&amp;"-"&amp;P256&amp;"-"&amp;R256</f>
        <v>5-DaHall1-PDU-02-30-4</v>
      </c>
      <c r="K256" s="1564">
        <v>220</v>
      </c>
      <c r="L256" s="1565">
        <v>30</v>
      </c>
      <c r="M256" s="2364" t="s">
        <v>6497</v>
      </c>
      <c r="N256" s="1560">
        <v>4</v>
      </c>
      <c r="O256" s="1566">
        <v>220</v>
      </c>
      <c r="P256" s="1567">
        <v>30</v>
      </c>
      <c r="Q256" s="2394" t="s">
        <v>6493</v>
      </c>
      <c r="R256" s="1563">
        <v>4</v>
      </c>
      <c r="S256" s="3608"/>
      <c r="T256" s="3611"/>
      <c r="U256" s="3468"/>
      <c r="V256" s="3471"/>
      <c r="W256" s="3468"/>
      <c r="X256" s="3471"/>
      <c r="Y256" s="268">
        <f>SUM('5층_부하량(월간_AVG)'!N29:P29)</f>
        <v>0</v>
      </c>
      <c r="Z256" s="268">
        <f>SUM('5층_부하량(월간_AVG)'!N59:P59)</f>
        <v>0</v>
      </c>
      <c r="AA256" s="2443">
        <f t="shared" si="109"/>
        <v>0</v>
      </c>
      <c r="AB256" s="2702" t="e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6" s="3116" t="e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6" s="3162" t="e">
        <f>VLOOKUP(I256&amp;J256,'7층~4층_매핑테이블'!$I$6:$P$2020,8,0)</f>
        <v>#N/A</v>
      </c>
      <c r="AE256" s="3144" t="e">
        <f t="shared" si="111"/>
        <v>#N/A</v>
      </c>
      <c r="AF256" s="2451" t="s">
        <v>3297</v>
      </c>
      <c r="AH256" s="2351" t="e">
        <f t="shared" si="90"/>
        <v>#N/A</v>
      </c>
      <c r="AI256" s="2351" t="e">
        <f t="shared" si="91"/>
        <v>#N/A</v>
      </c>
      <c r="AJ256" s="123" t="e">
        <f t="shared" si="87"/>
        <v>#N/A</v>
      </c>
      <c r="AK256" t="e">
        <f t="shared" si="88"/>
        <v>#N/A</v>
      </c>
      <c r="AL256" t="e">
        <f t="shared" si="89"/>
        <v>#N/A</v>
      </c>
      <c r="AQ256" s="123"/>
      <c r="AR256" s="123"/>
      <c r="AS256" s="123"/>
      <c r="AT256" s="2982"/>
      <c r="AU256" s="123"/>
      <c r="AV256" s="123"/>
      <c r="AW256" s="2990"/>
      <c r="AX256" s="2984"/>
      <c r="AY256" s="2985"/>
      <c r="AZ256" s="2986"/>
      <c r="BA256" s="2987"/>
      <c r="BB256" s="3194"/>
    </row>
    <row r="257" spans="1:54" ht="28.8" x14ac:dyDescent="0.25">
      <c r="A257" s="2620" t="s">
        <v>3298</v>
      </c>
      <c r="B257" s="2654" t="s">
        <v>3299</v>
      </c>
      <c r="C257" s="2632" t="s">
        <v>9232</v>
      </c>
      <c r="D257" s="2948">
        <v>2.2000000000000002</v>
      </c>
      <c r="E257" s="250" t="s">
        <v>3300</v>
      </c>
      <c r="F257" s="250" t="s">
        <v>3301</v>
      </c>
      <c r="G257" s="2633" t="s">
        <v>3302</v>
      </c>
      <c r="H257" s="2634" t="s">
        <v>3303</v>
      </c>
      <c r="I257" s="1595" t="str">
        <f t="shared" si="106"/>
        <v>5-DaHall1-PDU-01-30-6</v>
      </c>
      <c r="J257" s="1596" t="str">
        <f>"5-DaHall1-PDU-"&amp;Q257&amp;"-"&amp;P257&amp;"-"&amp;R257</f>
        <v>5-DaHall1-PDU-02-30-6</v>
      </c>
      <c r="K257" s="1564">
        <v>220</v>
      </c>
      <c r="L257" s="1565">
        <v>30</v>
      </c>
      <c r="M257" s="2364" t="s">
        <v>6497</v>
      </c>
      <c r="N257" s="1560">
        <v>6</v>
      </c>
      <c r="O257" s="1566">
        <v>220</v>
      </c>
      <c r="P257" s="1567">
        <v>30</v>
      </c>
      <c r="Q257" s="2394" t="s">
        <v>6493</v>
      </c>
      <c r="R257" s="1563">
        <v>6</v>
      </c>
      <c r="S257" s="3608"/>
      <c r="T257" s="3611"/>
      <c r="U257" s="3468"/>
      <c r="V257" s="3471"/>
      <c r="W257" s="3468"/>
      <c r="X257" s="3471"/>
      <c r="Y257" s="268">
        <f>SUM('5층_부하량(월간_AVG)'!N30:P30)</f>
        <v>0</v>
      </c>
      <c r="Z257" s="268">
        <f>SUM('5층_부하량(월간_AVG)'!N60:P60)</f>
        <v>0</v>
      </c>
      <c r="AA257" s="2443">
        <f t="shared" si="109"/>
        <v>0</v>
      </c>
      <c r="AB257" s="2702" t="e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7" s="3116" t="e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7" s="3162" t="e">
        <f>VLOOKUP(I257&amp;J257,'7층~4층_매핑테이블'!$I$6:$P$2020,8,0)</f>
        <v>#N/A</v>
      </c>
      <c r="AE257" s="3144" t="e">
        <f t="shared" si="111"/>
        <v>#N/A</v>
      </c>
      <c r="AF257" s="2451" t="s">
        <v>3304</v>
      </c>
      <c r="AH257" s="2351" t="e">
        <f t="shared" si="90"/>
        <v>#N/A</v>
      </c>
      <c r="AI257" s="2351" t="e">
        <f t="shared" si="91"/>
        <v>#N/A</v>
      </c>
      <c r="AJ257" s="123" t="e">
        <f t="shared" si="87"/>
        <v>#N/A</v>
      </c>
      <c r="AK257" t="e">
        <f t="shared" si="88"/>
        <v>#N/A</v>
      </c>
      <c r="AL257" t="e">
        <f t="shared" si="89"/>
        <v>#N/A</v>
      </c>
      <c r="AQ257" s="123"/>
      <c r="AR257" s="123"/>
      <c r="AS257" s="123"/>
      <c r="AT257" s="2982"/>
      <c r="AU257" s="123"/>
      <c r="AV257" s="123"/>
      <c r="AW257" s="2990"/>
      <c r="AX257" s="2984"/>
      <c r="AY257" s="2985"/>
      <c r="AZ257" s="2986"/>
      <c r="BA257" s="2987"/>
      <c r="BB257" s="3194"/>
    </row>
    <row r="258" spans="1:54" ht="28.8" x14ac:dyDescent="0.25">
      <c r="A258" s="1083"/>
      <c r="B258" s="2621" t="s">
        <v>3305</v>
      </c>
      <c r="C258" s="2632" t="s">
        <v>9232</v>
      </c>
      <c r="D258" s="2942"/>
      <c r="E258" s="250" t="s">
        <v>3306</v>
      </c>
      <c r="F258" s="2680"/>
      <c r="G258" s="2633" t="s">
        <v>3307</v>
      </c>
      <c r="H258" s="2680"/>
      <c r="I258" s="1595" t="str">
        <f t="shared" si="106"/>
        <v>5-DaHall1-PDU-01-30-10</v>
      </c>
      <c r="J258" s="1659"/>
      <c r="K258" s="1660">
        <v>220</v>
      </c>
      <c r="L258" s="1661">
        <v>30</v>
      </c>
      <c r="M258" s="2364" t="s">
        <v>6497</v>
      </c>
      <c r="N258" s="1560">
        <v>10</v>
      </c>
      <c r="O258" s="1662"/>
      <c r="P258" s="1663"/>
      <c r="Q258" s="2680"/>
      <c r="R258" s="1664"/>
      <c r="S258" s="3608"/>
      <c r="T258" s="2680"/>
      <c r="U258" s="3468"/>
      <c r="V258" s="2680"/>
      <c r="W258" s="3468"/>
      <c r="X258" s="2680"/>
      <c r="Y258" s="268">
        <f>SUM('5층_부하량(월간_AVG)'!N32:P32)</f>
        <v>0</v>
      </c>
      <c r="Z258" s="832"/>
      <c r="AA258" s="2443">
        <f t="shared" si="109"/>
        <v>0</v>
      </c>
      <c r="AB258" s="2702" t="e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8" s="3116"/>
      <c r="AD258" s="3162" t="e">
        <f>VLOOKUP(I258&amp;J258,'7층~4층_매핑테이블'!$I$6:$P$2020,8,0)</f>
        <v>#N/A</v>
      </c>
      <c r="AE258" s="3144" t="e">
        <f t="shared" si="111"/>
        <v>#N/A</v>
      </c>
      <c r="AF258" s="2451" t="s">
        <v>3260</v>
      </c>
      <c r="AH258" s="2351" t="e">
        <f t="shared" si="90"/>
        <v>#N/A</v>
      </c>
      <c r="AI258" s="2351" t="e">
        <f t="shared" si="91"/>
        <v>#N/A</v>
      </c>
      <c r="AJ258" s="123" t="e">
        <f t="shared" si="87"/>
        <v>#N/A</v>
      </c>
      <c r="AK258" t="e">
        <f t="shared" si="88"/>
        <v>#N/A</v>
      </c>
      <c r="AL258" t="e">
        <f t="shared" si="89"/>
        <v>#N/A</v>
      </c>
      <c r="AQ258" s="123"/>
      <c r="AR258" s="123"/>
      <c r="AS258" s="123"/>
      <c r="AT258" s="2982"/>
      <c r="AU258" s="123"/>
      <c r="AV258" s="123"/>
      <c r="AW258" s="2990"/>
      <c r="AX258" s="2984"/>
      <c r="AY258" s="2985"/>
      <c r="AZ258" s="2986"/>
      <c r="BA258" s="2987"/>
      <c r="BB258" s="3194"/>
    </row>
    <row r="259" spans="1:54" ht="29.4" thickBot="1" x14ac:dyDescent="0.3">
      <c r="A259" s="1084"/>
      <c r="B259" s="2640" t="s">
        <v>3308</v>
      </c>
      <c r="C259" s="2656" t="s">
        <v>9232</v>
      </c>
      <c r="D259" s="2950"/>
      <c r="E259" s="839"/>
      <c r="F259" s="2629" t="s">
        <v>3309</v>
      </c>
      <c r="G259" s="880"/>
      <c r="H259" s="2644" t="s">
        <v>3310</v>
      </c>
      <c r="I259" s="1665"/>
      <c r="J259" s="1598" t="str">
        <f>"5-DaHall1-PDU-"&amp;Q259&amp;"-"&amp;P259&amp;"-"&amp;R259</f>
        <v>5-DaHall1-PDU-02-30-10</v>
      </c>
      <c r="K259" s="1666"/>
      <c r="L259" s="1667"/>
      <c r="M259" s="880"/>
      <c r="N259" s="1668"/>
      <c r="O259" s="1669">
        <v>220</v>
      </c>
      <c r="P259" s="1670">
        <v>30</v>
      </c>
      <c r="Q259" s="2395" t="s">
        <v>6493</v>
      </c>
      <c r="R259" s="1573">
        <v>10</v>
      </c>
      <c r="S259" s="880"/>
      <c r="T259" s="2644" t="s">
        <v>2829</v>
      </c>
      <c r="U259" s="880"/>
      <c r="V259" s="2605" t="s">
        <v>2831</v>
      </c>
      <c r="W259" s="880"/>
      <c r="X259" s="2618"/>
      <c r="Y259" s="840"/>
      <c r="Z259" s="330">
        <f>SUM('5층_부하량(월간_AVG)'!N62:P62)</f>
        <v>0</v>
      </c>
      <c r="AA259" s="2444">
        <f t="shared" si="109"/>
        <v>0</v>
      </c>
      <c r="AB259" s="2745"/>
      <c r="AC259" s="3132" t="e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9" s="3162" t="e">
        <f>VLOOKUP(I259&amp;J259,'7층~4층_매핑테이블'!$I$6:$P$2020,8,0)</f>
        <v>#N/A</v>
      </c>
      <c r="AE259" s="3147" t="e">
        <f>SUM(AB259:AC259)</f>
        <v>#N/A</v>
      </c>
      <c r="AF259" s="2452" t="s">
        <v>3260</v>
      </c>
      <c r="AH259" s="2351" t="e">
        <f t="shared" si="90"/>
        <v>#N/A</v>
      </c>
      <c r="AI259" s="2351" t="e">
        <f t="shared" si="91"/>
        <v>#N/A</v>
      </c>
      <c r="AJ259" s="123" t="e">
        <f t="shared" si="87"/>
        <v>#N/A</v>
      </c>
      <c r="AK259" t="e">
        <f t="shared" si="88"/>
        <v>#N/A</v>
      </c>
      <c r="AL259" t="e">
        <f t="shared" si="89"/>
        <v>#N/A</v>
      </c>
      <c r="AQ259" s="123"/>
      <c r="AR259" s="123"/>
      <c r="AS259" s="123"/>
      <c r="AT259" s="2982"/>
      <c r="AU259" s="123"/>
      <c r="AV259" s="123"/>
      <c r="AW259" s="2990"/>
      <c r="AX259" s="2984"/>
      <c r="AY259" s="2985"/>
      <c r="AZ259" s="2986"/>
      <c r="BA259" s="2987"/>
      <c r="BB259" s="3194"/>
    </row>
    <row r="260" spans="1:54" ht="52.8" thickTop="1" x14ac:dyDescent="0.25">
      <c r="A260" s="1081" t="s">
        <v>3311</v>
      </c>
      <c r="B260" s="327" t="s">
        <v>3312</v>
      </c>
      <c r="C260" s="2890" t="s">
        <v>9233</v>
      </c>
      <c r="D260" s="2926">
        <v>2.2000000000000002</v>
      </c>
      <c r="E260" s="829"/>
      <c r="F260" s="829"/>
      <c r="G260" s="874"/>
      <c r="H260" s="875"/>
      <c r="I260" s="1574"/>
      <c r="J260" s="1575"/>
      <c r="K260" s="1576"/>
      <c r="L260" s="1577"/>
      <c r="M260" s="874"/>
      <c r="N260" s="1578"/>
      <c r="O260" s="1579"/>
      <c r="P260" s="1580"/>
      <c r="Q260" s="875"/>
      <c r="R260" s="1581"/>
      <c r="S260" s="868"/>
      <c r="T260" s="869"/>
      <c r="U260" s="829"/>
      <c r="V260" s="830"/>
      <c r="W260" s="829"/>
      <c r="X260" s="830"/>
      <c r="Y260" s="835"/>
      <c r="Z260" s="835"/>
      <c r="AA260" s="2465">
        <f>SUM(Y260:Z260)</f>
        <v>0</v>
      </c>
      <c r="AB260" s="2744"/>
      <c r="AC260" s="3131"/>
      <c r="AD260" s="3171"/>
      <c r="AE260" s="3143">
        <f t="shared" ref="AE260:AE291" si="112">SUM(AB260:AC260)</f>
        <v>0</v>
      </c>
      <c r="AF260" s="2453" t="s">
        <v>3313</v>
      </c>
      <c r="AH260" s="2351">
        <f t="shared" si="90"/>
        <v>0</v>
      </c>
      <c r="AI260" s="2351">
        <f t="shared" si="91"/>
        <v>2.2000000000000002</v>
      </c>
      <c r="AJ260" s="123" t="str">
        <f t="shared" si="87"/>
        <v>무부하 랙</v>
      </c>
      <c r="AK260" t="str">
        <f t="shared" si="88"/>
        <v/>
      </c>
      <c r="AL260" t="str">
        <f t="shared" si="89"/>
        <v/>
      </c>
      <c r="AQ260" s="123"/>
      <c r="AR260" s="123"/>
      <c r="AS260" s="123"/>
      <c r="AT260" s="2982"/>
      <c r="AU260" s="123"/>
      <c r="AV260" s="123"/>
      <c r="AW260" s="2990"/>
      <c r="AX260" s="2984"/>
      <c r="AY260" s="2985"/>
      <c r="AZ260" s="2986"/>
      <c r="BA260" s="2987"/>
      <c r="BB260" s="3194"/>
    </row>
    <row r="261" spans="1:54" ht="52.2" x14ac:dyDescent="0.25">
      <c r="A261" s="2620" t="s">
        <v>3314</v>
      </c>
      <c r="B261" s="2621" t="s">
        <v>3315</v>
      </c>
      <c r="C261" s="2910" t="s">
        <v>9233</v>
      </c>
      <c r="D261" s="2925">
        <v>2.2000000000000002</v>
      </c>
      <c r="E261" s="2615" t="s">
        <v>2733</v>
      </c>
      <c r="F261" s="2615" t="s">
        <v>2733</v>
      </c>
      <c r="G261" s="2633" t="s">
        <v>3316</v>
      </c>
      <c r="H261" s="2634" t="s">
        <v>3317</v>
      </c>
      <c r="I261" s="1595" t="str">
        <f t="shared" ref="I261:I286" si="113">"5-DaHall1-PDU-"&amp;M261&amp;"-"&amp;L261&amp;"-"&amp;N261</f>
        <v>5-DaHall1-PDU-01-30-50</v>
      </c>
      <c r="J261" s="1596" t="str">
        <f t="shared" ref="J261:J293" si="114">"5-DaHall1-PDU-"&amp;Q261&amp;"-"&amp;P261&amp;"-"&amp;R261</f>
        <v>5-DaHall1-PDU-02-30-50</v>
      </c>
      <c r="K261" s="1564">
        <v>220</v>
      </c>
      <c r="L261" s="1565">
        <v>30</v>
      </c>
      <c r="M261" s="2364" t="s">
        <v>6497</v>
      </c>
      <c r="N261" s="1560">
        <v>50</v>
      </c>
      <c r="O261" s="1566">
        <v>220</v>
      </c>
      <c r="P261" s="1567">
        <v>30</v>
      </c>
      <c r="Q261" s="2394" t="s">
        <v>6493</v>
      </c>
      <c r="R261" s="1563">
        <v>50</v>
      </c>
      <c r="S261" s="3608" t="s">
        <v>2828</v>
      </c>
      <c r="T261" s="3611" t="s">
        <v>2829</v>
      </c>
      <c r="U261" s="3468" t="s">
        <v>2830</v>
      </c>
      <c r="V261" s="3465" t="s">
        <v>2831</v>
      </c>
      <c r="W261" s="3468" t="s">
        <v>2484</v>
      </c>
      <c r="X261" s="3465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43">
        <f>SUM(Y261:Z261)</f>
        <v>0</v>
      </c>
      <c r="AB261" s="2702" t="e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1" s="3116" t="e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1" s="3162" t="e">
        <f>VLOOKUP(I261&amp;J261,'7층~4층_매핑테이블'!$I$6:$P$2020,8,0)</f>
        <v>#N/A</v>
      </c>
      <c r="AE261" s="3144" t="e">
        <f t="shared" si="112"/>
        <v>#N/A</v>
      </c>
      <c r="AF261" s="2475" t="s">
        <v>3318</v>
      </c>
      <c r="AG261" t="s">
        <v>3319</v>
      </c>
      <c r="AH261" s="2351" t="e">
        <f t="shared" si="90"/>
        <v>#N/A</v>
      </c>
      <c r="AI261" s="2351" t="e">
        <f t="shared" si="91"/>
        <v>#N/A</v>
      </c>
      <c r="AJ261" s="123" t="e">
        <f t="shared" si="87"/>
        <v>#N/A</v>
      </c>
      <c r="AK261" t="e">
        <f t="shared" si="88"/>
        <v>#N/A</v>
      </c>
      <c r="AL261" t="e">
        <f t="shared" si="89"/>
        <v>#N/A</v>
      </c>
      <c r="AQ261" s="123"/>
      <c r="AR261" s="123"/>
      <c r="AS261" s="123"/>
      <c r="AT261" s="2982"/>
      <c r="AU261" s="123"/>
      <c r="AV261" s="123"/>
      <c r="AW261" s="2990"/>
      <c r="AX261" s="2984"/>
      <c r="AY261" s="2985"/>
      <c r="AZ261" s="2986"/>
      <c r="BA261" s="2987"/>
      <c r="BB261" s="3194"/>
    </row>
    <row r="262" spans="1:54" ht="27" customHeight="1" x14ac:dyDescent="0.25">
      <c r="A262" s="3454" t="s">
        <v>3320</v>
      </c>
      <c r="B262" s="3470" t="s">
        <v>3321</v>
      </c>
      <c r="C262" s="3583" t="s">
        <v>9233</v>
      </c>
      <c r="D262" s="3592">
        <v>2.2000000000000002</v>
      </c>
      <c r="E262" s="2615" t="s">
        <v>2733</v>
      </c>
      <c r="F262" s="2615" t="s">
        <v>2733</v>
      </c>
      <c r="G262" s="2633" t="s">
        <v>3322</v>
      </c>
      <c r="H262" s="2634" t="s">
        <v>3323</v>
      </c>
      <c r="I262" s="1595" t="str">
        <f t="shared" si="113"/>
        <v>5-DaHall1-PDU-01-60-2</v>
      </c>
      <c r="J262" s="1596" t="str">
        <f t="shared" si="114"/>
        <v>5-DaHall1-PDU-02-60-2</v>
      </c>
      <c r="K262" s="1671">
        <v>380</v>
      </c>
      <c r="L262" s="1565">
        <v>60</v>
      </c>
      <c r="M262" s="2364" t="s">
        <v>6497</v>
      </c>
      <c r="N262" s="1560">
        <v>2</v>
      </c>
      <c r="O262" s="1672">
        <v>380</v>
      </c>
      <c r="P262" s="1567">
        <v>60</v>
      </c>
      <c r="Q262" s="2394" t="s">
        <v>6493</v>
      </c>
      <c r="R262" s="1563">
        <v>2</v>
      </c>
      <c r="S262" s="3608"/>
      <c r="T262" s="3611"/>
      <c r="U262" s="3468"/>
      <c r="V262" s="3465"/>
      <c r="W262" s="3468"/>
      <c r="X262" s="3465"/>
      <c r="Y262" s="268">
        <f>SUM('5층_부하량(월간_AVG)'!N27:P27)</f>
        <v>0</v>
      </c>
      <c r="Z262" s="268">
        <f>SUM('5층_부하량(월간_AVG)'!N57:P57)</f>
        <v>0</v>
      </c>
      <c r="AA262" s="3636">
        <f>SUM(Y262:Z263)</f>
        <v>0</v>
      </c>
      <c r="AB262" s="2697" t="e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2" s="3113" t="e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2" s="3162" t="e">
        <f>VLOOKUP(I262&amp;J262,'7층~4층_매핑테이블'!$I$6:$P$2020,8,0)</f>
        <v>#N/A</v>
      </c>
      <c r="AE262" s="3144" t="e">
        <f t="shared" si="112"/>
        <v>#N/A</v>
      </c>
      <c r="AF262" s="2475" t="s">
        <v>3324</v>
      </c>
      <c r="AH262" s="2351" t="e">
        <f t="shared" si="90"/>
        <v>#N/A</v>
      </c>
      <c r="AI262" s="2351" t="e">
        <f t="shared" si="91"/>
        <v>#N/A</v>
      </c>
      <c r="AJ262" s="123" t="e">
        <f t="shared" ref="AJ262:AJ316" si="115">IF(SIGN(AI262)&gt;=0,IF(AE262=0,"무부하 랙","적정함"),"사용초과")</f>
        <v>#N/A</v>
      </c>
      <c r="AK262" t="e">
        <f t="shared" ref="AK262:AK316" si="116">IF(AJ262="사용초과",C262,"")</f>
        <v>#N/A</v>
      </c>
      <c r="AL262" t="e">
        <f t="shared" ref="AL262:AL316" si="117">IF(AK262="","",A262)</f>
        <v>#N/A</v>
      </c>
      <c r="AQ262" s="123"/>
      <c r="AR262" s="123"/>
      <c r="AS262" s="123"/>
      <c r="AT262" s="2982"/>
      <c r="AU262" s="123"/>
      <c r="AV262" s="123"/>
      <c r="AW262" s="2990"/>
      <c r="AX262" s="2984"/>
      <c r="AY262" s="2985"/>
      <c r="AZ262" s="2986"/>
      <c r="BA262" s="2987"/>
      <c r="BB262" s="3194"/>
    </row>
    <row r="263" spans="1:54" ht="27.75" customHeight="1" thickBot="1" x14ac:dyDescent="0.3">
      <c r="A263" s="3455"/>
      <c r="B263" s="3582"/>
      <c r="C263" s="3584"/>
      <c r="D263" s="3593"/>
      <c r="E263" s="2617" t="s">
        <v>2733</v>
      </c>
      <c r="F263" s="2617" t="s">
        <v>2733</v>
      </c>
      <c r="G263" s="2643" t="s">
        <v>3325</v>
      </c>
      <c r="H263" s="2644" t="s">
        <v>3326</v>
      </c>
      <c r="I263" s="1597" t="str">
        <f t="shared" si="113"/>
        <v>5-DaHall1-PDU-01-30-48</v>
      </c>
      <c r="J263" s="1598" t="str">
        <f t="shared" si="114"/>
        <v>5-DaHall1-PDU-02-30-48</v>
      </c>
      <c r="K263" s="1649">
        <v>220</v>
      </c>
      <c r="L263" s="1650">
        <v>30</v>
      </c>
      <c r="M263" s="2365" t="s">
        <v>6497</v>
      </c>
      <c r="N263" s="1570">
        <v>48</v>
      </c>
      <c r="O263" s="1651">
        <v>220</v>
      </c>
      <c r="P263" s="1652">
        <v>30</v>
      </c>
      <c r="Q263" s="2395" t="s">
        <v>6493</v>
      </c>
      <c r="R263" s="1573">
        <v>48</v>
      </c>
      <c r="S263" s="3609"/>
      <c r="T263" s="3612"/>
      <c r="U263" s="3469"/>
      <c r="V263" s="3486"/>
      <c r="W263" s="3469"/>
      <c r="X263" s="3486"/>
      <c r="Y263" s="330">
        <f>SUM('5층_부하량(월간_AVG)'!N51:P51)</f>
        <v>0</v>
      </c>
      <c r="Z263" s="330">
        <f>SUM('5층_부하량(월간_AVG)'!N81:P81)</f>
        <v>0</v>
      </c>
      <c r="AA263" s="3644"/>
      <c r="AB263" s="2748" t="e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3" s="3133" t="e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3" s="3162" t="e">
        <f>VLOOKUP(I263&amp;J263,'7층~4층_매핑테이블'!$I$6:$P$2020,8,0)</f>
        <v>#N/A</v>
      </c>
      <c r="AE263" s="3147" t="e">
        <f t="shared" si="112"/>
        <v>#N/A</v>
      </c>
      <c r="AF263" s="2476" t="s">
        <v>3327</v>
      </c>
      <c r="AG263" t="s">
        <v>3328</v>
      </c>
      <c r="AH263" s="2351" t="e">
        <f t="shared" ref="AH263:AH316" si="118">AE263/(24*31)</f>
        <v>#N/A</v>
      </c>
      <c r="AI263" s="2351" t="e">
        <f t="shared" ref="AI263:AI316" si="119">D263-AH263</f>
        <v>#N/A</v>
      </c>
      <c r="AJ263" s="123" t="e">
        <f t="shared" si="115"/>
        <v>#N/A</v>
      </c>
      <c r="AK263" t="e">
        <f t="shared" si="116"/>
        <v>#N/A</v>
      </c>
      <c r="AL263" t="e">
        <f t="shared" si="117"/>
        <v>#N/A</v>
      </c>
      <c r="AQ263" s="123"/>
      <c r="AR263" s="123"/>
      <c r="AS263" s="123"/>
      <c r="AT263" s="2982"/>
      <c r="AU263" s="123"/>
      <c r="AV263" s="123"/>
      <c r="AW263" s="2990"/>
      <c r="AX263" s="2984"/>
      <c r="AY263" s="2985"/>
      <c r="AZ263" s="2986"/>
      <c r="BA263" s="2987"/>
      <c r="BB263" s="3194"/>
    </row>
    <row r="264" spans="1:54" ht="29.4" thickTop="1" x14ac:dyDescent="0.25">
      <c r="A264" s="1081"/>
      <c r="B264" s="828" t="s">
        <v>3210</v>
      </c>
      <c r="C264" s="971"/>
      <c r="D264" s="971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05" t="str">
        <f t="shared" si="113"/>
        <v>5-DaHall1-PDU-03-30-21</v>
      </c>
      <c r="J264" s="1606" t="str">
        <f t="shared" si="114"/>
        <v>5-DaHall1-PDU-04-30-21</v>
      </c>
      <c r="K264" s="1645">
        <v>220</v>
      </c>
      <c r="L264" s="1646">
        <v>30</v>
      </c>
      <c r="M264" s="2363" t="s">
        <v>6499</v>
      </c>
      <c r="N264" s="1554">
        <v>21</v>
      </c>
      <c r="O264" s="1647">
        <v>220</v>
      </c>
      <c r="P264" s="1648">
        <v>30</v>
      </c>
      <c r="Q264" s="2393" t="s">
        <v>6495</v>
      </c>
      <c r="R264" s="1557">
        <v>21</v>
      </c>
      <c r="S264" s="3728" t="s">
        <v>2868</v>
      </c>
      <c r="T264" s="3731" t="s">
        <v>2869</v>
      </c>
      <c r="U264" s="3732" t="s">
        <v>2870</v>
      </c>
      <c r="V264" s="3733" t="s">
        <v>2871</v>
      </c>
      <c r="W264" s="3732" t="s">
        <v>2484</v>
      </c>
      <c r="X264" s="3733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39">
        <f t="shared" ref="AA264:AA288" si="120">SUM(Y264:Z264)</f>
        <v>0</v>
      </c>
      <c r="AB264" s="2700" t="e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4" s="3115" t="e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4" s="3172"/>
      <c r="AE264" s="3138" t="e">
        <f t="shared" si="112"/>
        <v>#N/A</v>
      </c>
      <c r="AF264" s="2505" t="s">
        <v>3028</v>
      </c>
      <c r="AH264" s="2351" t="e">
        <f t="shared" si="118"/>
        <v>#N/A</v>
      </c>
      <c r="AI264" s="2351" t="e">
        <f t="shared" si="119"/>
        <v>#N/A</v>
      </c>
      <c r="AJ264" s="123" t="e">
        <f t="shared" si="115"/>
        <v>#N/A</v>
      </c>
      <c r="AK264" t="e">
        <f t="shared" si="116"/>
        <v>#N/A</v>
      </c>
      <c r="AL264" t="e">
        <f t="shared" si="117"/>
        <v>#N/A</v>
      </c>
      <c r="AQ264" s="123"/>
      <c r="AR264" s="123"/>
      <c r="AS264" s="123"/>
      <c r="AT264" s="2982"/>
      <c r="AU264" s="123"/>
      <c r="AV264" s="123"/>
      <c r="AW264" s="2990"/>
      <c r="AX264" s="2984"/>
      <c r="AY264" s="2985"/>
      <c r="AZ264" s="2986"/>
      <c r="BA264" s="2987"/>
      <c r="BB264" s="3194"/>
    </row>
    <row r="265" spans="1:54" ht="28.8" x14ac:dyDescent="0.25">
      <c r="A265" s="2620"/>
      <c r="B265" s="2680" t="s">
        <v>3333</v>
      </c>
      <c r="C265" s="886"/>
      <c r="D265" s="886"/>
      <c r="E265" s="2680" t="s">
        <v>3334</v>
      </c>
      <c r="F265" s="2680" t="s">
        <v>3335</v>
      </c>
      <c r="G265" s="2678" t="s">
        <v>3336</v>
      </c>
      <c r="H265" s="2674" t="s">
        <v>3337</v>
      </c>
      <c r="I265" s="1595" t="str">
        <f t="shared" si="113"/>
        <v>5-DaHall1-PDU-03-30-23</v>
      </c>
      <c r="J265" s="1596" t="str">
        <f t="shared" si="114"/>
        <v>5-DaHall1-PDU-04-30-23</v>
      </c>
      <c r="K265" s="1564">
        <v>220</v>
      </c>
      <c r="L265" s="1565">
        <v>30</v>
      </c>
      <c r="M265" s="2364" t="s">
        <v>6499</v>
      </c>
      <c r="N265" s="1560">
        <v>23</v>
      </c>
      <c r="O265" s="1566">
        <v>220</v>
      </c>
      <c r="P265" s="1567">
        <v>30</v>
      </c>
      <c r="Q265" s="2394" t="s">
        <v>6495</v>
      </c>
      <c r="R265" s="1563">
        <v>23</v>
      </c>
      <c r="S265" s="3729"/>
      <c r="T265" s="3720"/>
      <c r="U265" s="3723"/>
      <c r="V265" s="3726"/>
      <c r="W265" s="3723"/>
      <c r="X265" s="3726"/>
      <c r="Y265" s="834">
        <f>SUM('5층_부하량(월간_AVG)'!D99:F99)</f>
        <v>0</v>
      </c>
      <c r="Z265" s="834">
        <f>SUM('5층_부하량(월간_AVG)'!D129:F129)</f>
        <v>0</v>
      </c>
      <c r="AA265" s="2441">
        <f t="shared" si="120"/>
        <v>0</v>
      </c>
      <c r="AB265" s="2704" t="e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5" s="3117" t="e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5" s="3164"/>
      <c r="AE265" s="3149" t="e">
        <f t="shared" si="112"/>
        <v>#N/A</v>
      </c>
      <c r="AF265" s="2499"/>
      <c r="AH265" s="2351" t="e">
        <f t="shared" si="118"/>
        <v>#N/A</v>
      </c>
      <c r="AI265" s="2351" t="e">
        <f t="shared" si="119"/>
        <v>#N/A</v>
      </c>
      <c r="AJ265" s="123" t="e">
        <f t="shared" si="115"/>
        <v>#N/A</v>
      </c>
      <c r="AK265" t="e">
        <f t="shared" si="116"/>
        <v>#N/A</v>
      </c>
      <c r="AL265" t="e">
        <f t="shared" si="117"/>
        <v>#N/A</v>
      </c>
      <c r="AQ265" s="123"/>
      <c r="AR265" s="123"/>
      <c r="AS265" s="123"/>
      <c r="AT265" s="2982"/>
      <c r="AU265" s="123"/>
      <c r="AV265" s="123"/>
      <c r="AW265" s="2990"/>
      <c r="AX265" s="2984"/>
      <c r="AY265" s="2985"/>
      <c r="AZ265" s="2986"/>
      <c r="BA265" s="2987"/>
      <c r="BB265" s="3194"/>
    </row>
    <row r="266" spans="1:54" ht="28.8" x14ac:dyDescent="0.25">
      <c r="A266" s="2620"/>
      <c r="B266" s="2680" t="s">
        <v>3338</v>
      </c>
      <c r="C266" s="886"/>
      <c r="D266" s="886"/>
      <c r="E266" s="2680" t="s">
        <v>3339</v>
      </c>
      <c r="F266" s="2680" t="s">
        <v>3340</v>
      </c>
      <c r="G266" s="2678" t="s">
        <v>3341</v>
      </c>
      <c r="H266" s="2674" t="s">
        <v>3342</v>
      </c>
      <c r="I266" s="1595" t="str">
        <f t="shared" si="113"/>
        <v>5-DaHall1-PDU-03-30-25</v>
      </c>
      <c r="J266" s="1596" t="str">
        <f t="shared" si="114"/>
        <v>5-DaHall1-PDU-04-30-25</v>
      </c>
      <c r="K266" s="1564">
        <v>220</v>
      </c>
      <c r="L266" s="1565">
        <v>30</v>
      </c>
      <c r="M266" s="2364" t="s">
        <v>6499</v>
      </c>
      <c r="N266" s="1560">
        <v>25</v>
      </c>
      <c r="O266" s="1566">
        <v>220</v>
      </c>
      <c r="P266" s="1567">
        <v>30</v>
      </c>
      <c r="Q266" s="2394" t="s">
        <v>6495</v>
      </c>
      <c r="R266" s="1563">
        <v>25</v>
      </c>
      <c r="S266" s="3729"/>
      <c r="T266" s="3720"/>
      <c r="U266" s="3723"/>
      <c r="V266" s="3726"/>
      <c r="W266" s="3723"/>
      <c r="X266" s="3726"/>
      <c r="Y266" s="834">
        <f>SUM('5층_부하량(월간_AVG)'!D100:F100)</f>
        <v>0</v>
      </c>
      <c r="Z266" s="834">
        <f>SUM('5층_부하량(월간_AVG)'!D130:F130)</f>
        <v>0</v>
      </c>
      <c r="AA266" s="2441">
        <f t="shared" si="120"/>
        <v>0</v>
      </c>
      <c r="AB266" s="2704" t="e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6" s="3117" t="e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6" s="3164"/>
      <c r="AE266" s="3149" t="e">
        <f t="shared" si="112"/>
        <v>#N/A</v>
      </c>
      <c r="AF266" s="2499"/>
      <c r="AH266" s="2351" t="e">
        <f t="shared" si="118"/>
        <v>#N/A</v>
      </c>
      <c r="AI266" s="2351" t="e">
        <f t="shared" si="119"/>
        <v>#N/A</v>
      </c>
      <c r="AJ266" s="123" t="e">
        <f t="shared" si="115"/>
        <v>#N/A</v>
      </c>
      <c r="AK266" t="e">
        <f t="shared" si="116"/>
        <v>#N/A</v>
      </c>
      <c r="AL266" t="e">
        <f t="shared" si="117"/>
        <v>#N/A</v>
      </c>
      <c r="AQ266" s="123"/>
      <c r="AR266" s="123"/>
      <c r="AS266" s="123"/>
      <c r="AT266" s="2982"/>
      <c r="AU266" s="123"/>
      <c r="AV266" s="123"/>
      <c r="AW266" s="2990"/>
      <c r="AX266" s="2984"/>
      <c r="AY266" s="2985"/>
      <c r="AZ266" s="2986"/>
      <c r="BA266" s="2987"/>
      <c r="BB266" s="3194"/>
    </row>
    <row r="267" spans="1:54" ht="28.8" x14ac:dyDescent="0.25">
      <c r="A267" s="2620"/>
      <c r="B267" s="2680" t="s">
        <v>3343</v>
      </c>
      <c r="C267" s="886"/>
      <c r="D267" s="886"/>
      <c r="E267" s="2680" t="s">
        <v>3344</v>
      </c>
      <c r="F267" s="2680" t="s">
        <v>3345</v>
      </c>
      <c r="G267" s="2678" t="s">
        <v>3346</v>
      </c>
      <c r="H267" s="2674" t="s">
        <v>3347</v>
      </c>
      <c r="I267" s="1595" t="str">
        <f t="shared" si="113"/>
        <v>5-DaHall1-PDU-03-30-27</v>
      </c>
      <c r="J267" s="1596" t="str">
        <f t="shared" si="114"/>
        <v>5-DaHall1-PDU-04-30-27</v>
      </c>
      <c r="K267" s="1564">
        <v>220</v>
      </c>
      <c r="L267" s="1565">
        <v>30</v>
      </c>
      <c r="M267" s="2364" t="s">
        <v>6499</v>
      </c>
      <c r="N267" s="1560">
        <v>27</v>
      </c>
      <c r="O267" s="1566">
        <v>220</v>
      </c>
      <c r="P267" s="1567">
        <v>30</v>
      </c>
      <c r="Q267" s="2394" t="s">
        <v>6495</v>
      </c>
      <c r="R267" s="1563">
        <v>27</v>
      </c>
      <c r="S267" s="3729"/>
      <c r="T267" s="3720"/>
      <c r="U267" s="3723"/>
      <c r="V267" s="3726"/>
      <c r="W267" s="3723"/>
      <c r="X267" s="3726"/>
      <c r="Y267" s="834">
        <f>SUM('5층_부하량(월간_AVG)'!D101:F101)</f>
        <v>0</v>
      </c>
      <c r="Z267" s="834">
        <f>SUM('5층_부하량(월간_AVG)'!D131:F131)</f>
        <v>0</v>
      </c>
      <c r="AA267" s="2441">
        <f t="shared" si="120"/>
        <v>0</v>
      </c>
      <c r="AB267" s="2704" t="e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7" s="3117" t="e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7" s="3164"/>
      <c r="AE267" s="3149" t="e">
        <f t="shared" si="112"/>
        <v>#N/A</v>
      </c>
      <c r="AF267" s="2499"/>
      <c r="AH267" s="2351" t="e">
        <f t="shared" si="118"/>
        <v>#N/A</v>
      </c>
      <c r="AI267" s="2351" t="e">
        <f t="shared" si="119"/>
        <v>#N/A</v>
      </c>
      <c r="AJ267" s="123" t="e">
        <f t="shared" si="115"/>
        <v>#N/A</v>
      </c>
      <c r="AK267" t="e">
        <f t="shared" si="116"/>
        <v>#N/A</v>
      </c>
      <c r="AL267" t="e">
        <f t="shared" si="117"/>
        <v>#N/A</v>
      </c>
      <c r="AQ267" s="123"/>
      <c r="AR267" s="123"/>
      <c r="AS267" s="123"/>
      <c r="AT267" s="2982"/>
      <c r="AU267" s="123"/>
      <c r="AV267" s="123"/>
      <c r="AW267" s="2990"/>
      <c r="AX267" s="2984"/>
      <c r="AY267" s="2985"/>
      <c r="AZ267" s="2986"/>
      <c r="BA267" s="2987"/>
      <c r="BB267" s="3194"/>
    </row>
    <row r="268" spans="1:54" ht="28.8" x14ac:dyDescent="0.25">
      <c r="A268" s="2620"/>
      <c r="B268" s="2680" t="s">
        <v>3348</v>
      </c>
      <c r="C268" s="886"/>
      <c r="D268" s="886"/>
      <c r="E268" s="2680" t="s">
        <v>3349</v>
      </c>
      <c r="F268" s="2680" t="s">
        <v>3350</v>
      </c>
      <c r="G268" s="2678" t="s">
        <v>3351</v>
      </c>
      <c r="H268" s="2674" t="s">
        <v>3352</v>
      </c>
      <c r="I268" s="1595" t="str">
        <f t="shared" si="113"/>
        <v>5-DaHall1-PDU-03-30-29</v>
      </c>
      <c r="J268" s="1596" t="str">
        <f t="shared" si="114"/>
        <v>5-DaHall1-PDU-04-30-29</v>
      </c>
      <c r="K268" s="1564">
        <v>220</v>
      </c>
      <c r="L268" s="1565">
        <v>30</v>
      </c>
      <c r="M268" s="2364" t="s">
        <v>6499</v>
      </c>
      <c r="N268" s="1560">
        <v>29</v>
      </c>
      <c r="O268" s="1566">
        <v>220</v>
      </c>
      <c r="P268" s="1567">
        <v>30</v>
      </c>
      <c r="Q268" s="2394" t="s">
        <v>6495</v>
      </c>
      <c r="R268" s="1563">
        <v>29</v>
      </c>
      <c r="S268" s="3729"/>
      <c r="T268" s="3720"/>
      <c r="U268" s="3723"/>
      <c r="V268" s="3726"/>
      <c r="W268" s="3723"/>
      <c r="X268" s="3726"/>
      <c r="Y268" s="834">
        <f>SUM('5층_부하량(월간_AVG)'!D102:F102)</f>
        <v>0</v>
      </c>
      <c r="Z268" s="834">
        <f>SUM('5층_부하량(월간_AVG)'!D132:F132)</f>
        <v>0</v>
      </c>
      <c r="AA268" s="2441">
        <f t="shared" si="120"/>
        <v>0</v>
      </c>
      <c r="AB268" s="2704" t="e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8" s="3117" t="e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8" s="3164"/>
      <c r="AE268" s="3149" t="e">
        <f t="shared" si="112"/>
        <v>#N/A</v>
      </c>
      <c r="AF268" s="2499"/>
      <c r="AH268" s="2351" t="e">
        <f t="shared" si="118"/>
        <v>#N/A</v>
      </c>
      <c r="AI268" s="2351" t="e">
        <f t="shared" si="119"/>
        <v>#N/A</v>
      </c>
      <c r="AJ268" s="123" t="e">
        <f t="shared" si="115"/>
        <v>#N/A</v>
      </c>
      <c r="AK268" t="e">
        <f t="shared" si="116"/>
        <v>#N/A</v>
      </c>
      <c r="AL268" t="e">
        <f t="shared" si="117"/>
        <v>#N/A</v>
      </c>
      <c r="AQ268" s="123"/>
      <c r="AR268" s="123"/>
      <c r="AS268" s="123"/>
      <c r="AT268" s="2982"/>
      <c r="AU268" s="123"/>
      <c r="AV268" s="123"/>
      <c r="AW268" s="2990"/>
      <c r="AX268" s="2984"/>
      <c r="AY268" s="2985"/>
      <c r="AZ268" s="2986"/>
      <c r="BA268" s="2987"/>
      <c r="BB268" s="3194"/>
    </row>
    <row r="269" spans="1:54" ht="28.8" x14ac:dyDescent="0.25">
      <c r="A269" s="2620"/>
      <c r="B269" s="2680" t="s">
        <v>3353</v>
      </c>
      <c r="C269" s="886"/>
      <c r="D269" s="886"/>
      <c r="E269" s="2680" t="s">
        <v>3354</v>
      </c>
      <c r="F269" s="2680" t="s">
        <v>3355</v>
      </c>
      <c r="G269" s="2678" t="s">
        <v>3356</v>
      </c>
      <c r="H269" s="2674" t="s">
        <v>3357</v>
      </c>
      <c r="I269" s="1595" t="str">
        <f t="shared" si="113"/>
        <v>5-DaHall1-PDU-03-30-31</v>
      </c>
      <c r="J269" s="1596" t="str">
        <f t="shared" si="114"/>
        <v>5-DaHall1-PDU-04-30-31</v>
      </c>
      <c r="K269" s="1564">
        <v>220</v>
      </c>
      <c r="L269" s="1565">
        <v>30</v>
      </c>
      <c r="M269" s="2364" t="s">
        <v>6499</v>
      </c>
      <c r="N269" s="1560">
        <v>31</v>
      </c>
      <c r="O269" s="1566">
        <v>220</v>
      </c>
      <c r="P269" s="1567">
        <v>30</v>
      </c>
      <c r="Q269" s="2394" t="s">
        <v>6495</v>
      </c>
      <c r="R269" s="1563">
        <v>31</v>
      </c>
      <c r="S269" s="3729"/>
      <c r="T269" s="3720"/>
      <c r="U269" s="3723"/>
      <c r="V269" s="3726"/>
      <c r="W269" s="3723"/>
      <c r="X269" s="3726"/>
      <c r="Y269" s="834">
        <f>SUM('5층_부하량(월간_AVG)'!D103:F103)</f>
        <v>0</v>
      </c>
      <c r="Z269" s="834">
        <f>SUM('5층_부하량(월간_AVG)'!D133:F133)</f>
        <v>0</v>
      </c>
      <c r="AA269" s="2441">
        <f t="shared" si="120"/>
        <v>0</v>
      </c>
      <c r="AB269" s="2704" t="e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9" s="3117" t="e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9" s="3164"/>
      <c r="AE269" s="3149" t="e">
        <f t="shared" si="112"/>
        <v>#N/A</v>
      </c>
      <c r="AF269" s="2499"/>
      <c r="AH269" s="2351" t="e">
        <f t="shared" si="118"/>
        <v>#N/A</v>
      </c>
      <c r="AI269" s="2351" t="e">
        <f t="shared" si="119"/>
        <v>#N/A</v>
      </c>
      <c r="AJ269" s="123" t="e">
        <f t="shared" si="115"/>
        <v>#N/A</v>
      </c>
      <c r="AK269" t="e">
        <f t="shared" si="116"/>
        <v>#N/A</v>
      </c>
      <c r="AL269" t="e">
        <f t="shared" si="117"/>
        <v>#N/A</v>
      </c>
      <c r="AQ269" s="123"/>
      <c r="AR269" s="123"/>
      <c r="AS269" s="123"/>
      <c r="AT269" s="2982"/>
      <c r="AU269" s="123"/>
      <c r="AV269" s="123"/>
      <c r="AW269" s="2990"/>
      <c r="AX269" s="2984"/>
      <c r="AY269" s="2985"/>
      <c r="AZ269" s="2986"/>
      <c r="BA269" s="2987"/>
      <c r="BB269" s="3194"/>
    </row>
    <row r="270" spans="1:54" ht="28.8" x14ac:dyDescent="0.25">
      <c r="A270" s="2620"/>
      <c r="B270" s="2680" t="s">
        <v>3358</v>
      </c>
      <c r="C270" s="886"/>
      <c r="D270" s="886"/>
      <c r="E270" s="2680" t="s">
        <v>3359</v>
      </c>
      <c r="F270" s="2680" t="s">
        <v>3360</v>
      </c>
      <c r="G270" s="2678" t="s">
        <v>3361</v>
      </c>
      <c r="H270" s="2674" t="s">
        <v>3362</v>
      </c>
      <c r="I270" s="1595" t="str">
        <f t="shared" si="113"/>
        <v>5-DaHall1-PDU-03-30-33</v>
      </c>
      <c r="J270" s="1596" t="str">
        <f t="shared" si="114"/>
        <v>5-DaHall1-PDU-04-30-33</v>
      </c>
      <c r="K270" s="1558">
        <v>220</v>
      </c>
      <c r="L270" s="1559">
        <v>30</v>
      </c>
      <c r="M270" s="2364" t="s">
        <v>6499</v>
      </c>
      <c r="N270" s="1560">
        <v>33</v>
      </c>
      <c r="O270" s="1561">
        <v>220</v>
      </c>
      <c r="P270" s="1562">
        <v>30</v>
      </c>
      <c r="Q270" s="2394" t="s">
        <v>6495</v>
      </c>
      <c r="R270" s="1563">
        <v>33</v>
      </c>
      <c r="S270" s="3729"/>
      <c r="T270" s="3720"/>
      <c r="U270" s="3723"/>
      <c r="V270" s="3726"/>
      <c r="W270" s="3723"/>
      <c r="X270" s="3726"/>
      <c r="Y270" s="834">
        <f>SUM('5층_부하량(월간_AVG)'!D104:F104)</f>
        <v>0</v>
      </c>
      <c r="Z270" s="834">
        <f>SUM('5층_부하량(월간_AVG)'!D134:F134)</f>
        <v>0</v>
      </c>
      <c r="AA270" s="2441">
        <f t="shared" si="120"/>
        <v>0</v>
      </c>
      <c r="AB270" s="2704" t="e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70" s="3117" t="e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70" s="3164"/>
      <c r="AE270" s="3149" t="e">
        <f t="shared" si="112"/>
        <v>#N/A</v>
      </c>
      <c r="AF270" s="2499"/>
      <c r="AH270" s="2351" t="e">
        <f t="shared" si="118"/>
        <v>#N/A</v>
      </c>
      <c r="AI270" s="2351" t="e">
        <f t="shared" si="119"/>
        <v>#N/A</v>
      </c>
      <c r="AJ270" s="123" t="e">
        <f t="shared" si="115"/>
        <v>#N/A</v>
      </c>
      <c r="AK270" t="e">
        <f t="shared" si="116"/>
        <v>#N/A</v>
      </c>
      <c r="AL270" t="e">
        <f t="shared" si="117"/>
        <v>#N/A</v>
      </c>
      <c r="AQ270" s="123"/>
      <c r="AR270" s="123"/>
      <c r="AS270" s="123"/>
      <c r="AT270" s="2982"/>
      <c r="AU270" s="123"/>
      <c r="AV270" s="123"/>
      <c r="AW270" s="2990"/>
      <c r="AX270" s="2984"/>
      <c r="AY270" s="2985"/>
      <c r="AZ270" s="2986"/>
      <c r="BA270" s="2987"/>
      <c r="BB270" s="3194"/>
    </row>
    <row r="271" spans="1:54" ht="28.8" x14ac:dyDescent="0.25">
      <c r="A271" s="2620"/>
      <c r="B271" s="2680" t="s">
        <v>3363</v>
      </c>
      <c r="C271" s="886"/>
      <c r="D271" s="886"/>
      <c r="E271" s="2680" t="s">
        <v>3364</v>
      </c>
      <c r="F271" s="2680" t="s">
        <v>3365</v>
      </c>
      <c r="G271" s="2678" t="s">
        <v>3366</v>
      </c>
      <c r="H271" s="2674" t="s">
        <v>3367</v>
      </c>
      <c r="I271" s="1595" t="str">
        <f t="shared" si="113"/>
        <v>5-DaHall1-PDU-03-30-1</v>
      </c>
      <c r="J271" s="1596" t="str">
        <f t="shared" si="114"/>
        <v>5-DaHall1-PDU-04-30-1</v>
      </c>
      <c r="K271" s="1558">
        <v>220</v>
      </c>
      <c r="L271" s="1559">
        <v>30</v>
      </c>
      <c r="M271" s="2364" t="s">
        <v>6499</v>
      </c>
      <c r="N271" s="1560">
        <v>1</v>
      </c>
      <c r="O271" s="1561">
        <v>220</v>
      </c>
      <c r="P271" s="1562">
        <v>30</v>
      </c>
      <c r="Q271" s="2394" t="s">
        <v>6495</v>
      </c>
      <c r="R271" s="1563">
        <v>1</v>
      </c>
      <c r="S271" s="3729"/>
      <c r="T271" s="3720"/>
      <c r="U271" s="3723"/>
      <c r="V271" s="3726"/>
      <c r="W271" s="3723"/>
      <c r="X271" s="3726"/>
      <c r="Y271" s="991">
        <f>SUM('5층_부하량(월간_AVG)'!D88:F88)</f>
        <v>0</v>
      </c>
      <c r="Z271" s="991">
        <f>SUM('5층_부하량(월간_AVG)'!D118:F118)</f>
        <v>0</v>
      </c>
      <c r="AA271" s="2445">
        <f t="shared" si="120"/>
        <v>0</v>
      </c>
      <c r="AB271" s="2749" t="e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1" s="3134" t="e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1" s="3173"/>
      <c r="AE271" s="3149" t="e">
        <f t="shared" si="112"/>
        <v>#N/A</v>
      </c>
      <c r="AF271" s="2506"/>
      <c r="AH271" s="2351" t="e">
        <f t="shared" si="118"/>
        <v>#N/A</v>
      </c>
      <c r="AI271" s="2351" t="e">
        <f t="shared" si="119"/>
        <v>#N/A</v>
      </c>
      <c r="AJ271" s="123" t="e">
        <f t="shared" si="115"/>
        <v>#N/A</v>
      </c>
      <c r="AK271" t="e">
        <f t="shared" si="116"/>
        <v>#N/A</v>
      </c>
      <c r="AL271" t="e">
        <f t="shared" si="117"/>
        <v>#N/A</v>
      </c>
      <c r="AQ271" s="123"/>
      <c r="AR271" s="123"/>
      <c r="AS271" s="123"/>
      <c r="AT271" s="2982"/>
      <c r="AU271" s="123"/>
      <c r="AV271" s="123"/>
      <c r="AW271" s="2990"/>
      <c r="AX271" s="2984"/>
      <c r="AY271" s="2985"/>
      <c r="AZ271" s="2986"/>
      <c r="BA271" s="2987"/>
      <c r="BB271" s="3194"/>
    </row>
    <row r="272" spans="1:54" ht="28.8" x14ac:dyDescent="0.25">
      <c r="A272" s="2620"/>
      <c r="B272" s="2680" t="s">
        <v>3368</v>
      </c>
      <c r="C272" s="886"/>
      <c r="D272" s="886"/>
      <c r="E272" s="2680" t="s">
        <v>3369</v>
      </c>
      <c r="F272" s="2680" t="s">
        <v>3370</v>
      </c>
      <c r="G272" s="2678" t="s">
        <v>3371</v>
      </c>
      <c r="H272" s="2674" t="s">
        <v>3372</v>
      </c>
      <c r="I272" s="1595" t="str">
        <f t="shared" si="113"/>
        <v>5-DaHall1-PDU-03-30-3</v>
      </c>
      <c r="J272" s="1596" t="str">
        <f t="shared" si="114"/>
        <v>5-DaHall1-PDU-04-30-3</v>
      </c>
      <c r="K272" s="1558">
        <v>220</v>
      </c>
      <c r="L272" s="1559">
        <v>30</v>
      </c>
      <c r="M272" s="2364" t="s">
        <v>6499</v>
      </c>
      <c r="N272" s="1560">
        <v>3</v>
      </c>
      <c r="O272" s="1561">
        <v>220</v>
      </c>
      <c r="P272" s="1562">
        <v>30</v>
      </c>
      <c r="Q272" s="2394" t="s">
        <v>6495</v>
      </c>
      <c r="R272" s="1563">
        <v>3</v>
      </c>
      <c r="S272" s="3730"/>
      <c r="T272" s="3721"/>
      <c r="U272" s="3724"/>
      <c r="V272" s="3727"/>
      <c r="W272" s="3724"/>
      <c r="X272" s="3727"/>
      <c r="Y272" s="834">
        <f>SUM('5층_부하량(월간_AVG)'!D89:F89)</f>
        <v>0</v>
      </c>
      <c r="Z272" s="834">
        <f>SUM('5층_부하량(월간_AVG)'!D119:F119)</f>
        <v>0</v>
      </c>
      <c r="AA272" s="2441">
        <f t="shared" si="120"/>
        <v>0</v>
      </c>
      <c r="AB272" s="2704" t="e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2" s="3117" t="e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2" s="3164"/>
      <c r="AE272" s="3149" t="e">
        <f t="shared" si="112"/>
        <v>#N/A</v>
      </c>
      <c r="AF272" s="2499"/>
      <c r="AH272" s="2351" t="e">
        <f t="shared" si="118"/>
        <v>#N/A</v>
      </c>
      <c r="AI272" s="2351" t="e">
        <f t="shared" si="119"/>
        <v>#N/A</v>
      </c>
      <c r="AJ272" s="123" t="e">
        <f t="shared" si="115"/>
        <v>#N/A</v>
      </c>
      <c r="AK272" t="e">
        <f t="shared" si="116"/>
        <v>#N/A</v>
      </c>
      <c r="AL272" t="e">
        <f t="shared" si="117"/>
        <v>#N/A</v>
      </c>
      <c r="AQ272" s="123"/>
      <c r="AR272" s="123"/>
      <c r="AS272" s="123"/>
      <c r="AT272" s="2982"/>
      <c r="AU272" s="123"/>
      <c r="AV272" s="123"/>
      <c r="AW272" s="2990"/>
      <c r="AX272" s="2984"/>
      <c r="AY272" s="2985"/>
      <c r="AZ272" s="2986"/>
      <c r="BA272" s="2987"/>
      <c r="BB272" s="3194"/>
    </row>
    <row r="273" spans="1:54" ht="28.8" x14ac:dyDescent="0.25">
      <c r="A273" s="2620"/>
      <c r="B273" s="2680" t="s">
        <v>3210</v>
      </c>
      <c r="C273" s="886"/>
      <c r="D273" s="886"/>
      <c r="E273" s="2680" t="s">
        <v>3373</v>
      </c>
      <c r="F273" s="2680" t="s">
        <v>3374</v>
      </c>
      <c r="G273" s="2678" t="s">
        <v>3375</v>
      </c>
      <c r="H273" s="2674" t="s">
        <v>3376</v>
      </c>
      <c r="I273" s="1595" t="str">
        <f t="shared" si="113"/>
        <v>5-DaHall1-PDU-01-30-12</v>
      </c>
      <c r="J273" s="1596" t="str">
        <f t="shared" si="114"/>
        <v>5-DaHall1-PDU-02-30-12</v>
      </c>
      <c r="K273" s="1564">
        <v>220</v>
      </c>
      <c r="L273" s="1565">
        <v>30</v>
      </c>
      <c r="M273" s="2364" t="s">
        <v>6497</v>
      </c>
      <c r="N273" s="1560">
        <v>12</v>
      </c>
      <c r="O273" s="1566">
        <v>220</v>
      </c>
      <c r="P273" s="1567">
        <v>30</v>
      </c>
      <c r="Q273" s="2394" t="s">
        <v>6493</v>
      </c>
      <c r="R273" s="1563">
        <v>12</v>
      </c>
      <c r="S273" s="3734" t="s">
        <v>2828</v>
      </c>
      <c r="T273" s="3719" t="s">
        <v>2829</v>
      </c>
      <c r="U273" s="3722" t="s">
        <v>2830</v>
      </c>
      <c r="V273" s="3725" t="s">
        <v>2831</v>
      </c>
      <c r="W273" s="3722" t="s">
        <v>2484</v>
      </c>
      <c r="X273" s="3725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41">
        <f t="shared" si="120"/>
        <v>0</v>
      </c>
      <c r="AB273" s="2704" t="e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3" s="3117" t="e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3" s="3164"/>
      <c r="AE273" s="3149" t="e">
        <f t="shared" si="112"/>
        <v>#N/A</v>
      </c>
      <c r="AF273" s="2499" t="s">
        <v>3028</v>
      </c>
      <c r="AH273" s="2351" t="e">
        <f t="shared" si="118"/>
        <v>#N/A</v>
      </c>
      <c r="AI273" s="2351" t="e">
        <f t="shared" si="119"/>
        <v>#N/A</v>
      </c>
      <c r="AJ273" s="123" t="e">
        <f t="shared" si="115"/>
        <v>#N/A</v>
      </c>
      <c r="AK273" t="e">
        <f t="shared" si="116"/>
        <v>#N/A</v>
      </c>
      <c r="AL273" t="e">
        <f t="shared" si="117"/>
        <v>#N/A</v>
      </c>
      <c r="AQ273" s="123"/>
      <c r="AR273" s="123"/>
      <c r="AS273" s="123"/>
      <c r="AT273" s="2982"/>
      <c r="AU273" s="123"/>
      <c r="AV273" s="123"/>
      <c r="AW273" s="2990"/>
      <c r="AX273" s="2984"/>
      <c r="AY273" s="2985"/>
      <c r="AZ273" s="2986"/>
      <c r="BA273" s="2987"/>
      <c r="BB273" s="3194"/>
    </row>
    <row r="274" spans="1:54" ht="28.8" x14ac:dyDescent="0.25">
      <c r="A274" s="2620"/>
      <c r="B274" s="2680" t="s">
        <v>3377</v>
      </c>
      <c r="C274" s="886"/>
      <c r="D274" s="886"/>
      <c r="E274" s="2680" t="s">
        <v>3378</v>
      </c>
      <c r="F274" s="2680" t="s">
        <v>3379</v>
      </c>
      <c r="G274" s="2678" t="s">
        <v>3380</v>
      </c>
      <c r="H274" s="2674" t="s">
        <v>3381</v>
      </c>
      <c r="I274" s="1595" t="str">
        <f t="shared" si="113"/>
        <v>5-DaHall1-PDU-01-30-14</v>
      </c>
      <c r="J274" s="1596" t="str">
        <f t="shared" si="114"/>
        <v>5-DaHall1-PDU-02-30-14</v>
      </c>
      <c r="K274" s="1564">
        <v>220</v>
      </c>
      <c r="L274" s="1565">
        <v>30</v>
      </c>
      <c r="M274" s="2364" t="s">
        <v>6497</v>
      </c>
      <c r="N274" s="1560">
        <v>14</v>
      </c>
      <c r="O274" s="1566">
        <v>220</v>
      </c>
      <c r="P274" s="1567">
        <v>30</v>
      </c>
      <c r="Q274" s="2394" t="s">
        <v>6493</v>
      </c>
      <c r="R274" s="1563">
        <v>14</v>
      </c>
      <c r="S274" s="3729"/>
      <c r="T274" s="3720"/>
      <c r="U274" s="3723"/>
      <c r="V274" s="3726"/>
      <c r="W274" s="3723"/>
      <c r="X274" s="3726"/>
      <c r="Y274" s="834">
        <f>SUM('5층_부하량(월간_AVG)'!N34:P34)</f>
        <v>0</v>
      </c>
      <c r="Z274" s="834">
        <f>SUM('5층_부하량(월간_AVG)'!N64:P64)</f>
        <v>0</v>
      </c>
      <c r="AA274" s="2441">
        <f t="shared" si="120"/>
        <v>0</v>
      </c>
      <c r="AB274" s="2704" t="e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4" s="3117" t="e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4" s="3164"/>
      <c r="AE274" s="3149" t="e">
        <f t="shared" si="112"/>
        <v>#N/A</v>
      </c>
      <c r="AF274" s="2499"/>
      <c r="AH274" s="2351" t="e">
        <f t="shared" si="118"/>
        <v>#N/A</v>
      </c>
      <c r="AI274" s="2351" t="e">
        <f t="shared" si="119"/>
        <v>#N/A</v>
      </c>
      <c r="AJ274" s="123" t="e">
        <f t="shared" si="115"/>
        <v>#N/A</v>
      </c>
      <c r="AK274" t="e">
        <f t="shared" si="116"/>
        <v>#N/A</v>
      </c>
      <c r="AL274" t="e">
        <f t="shared" si="117"/>
        <v>#N/A</v>
      </c>
      <c r="AQ274" s="123"/>
      <c r="AR274" s="123"/>
      <c r="AS274" s="123"/>
      <c r="AT274" s="2982"/>
      <c r="AU274" s="123"/>
      <c r="AV274" s="123"/>
      <c r="AW274" s="2990"/>
      <c r="AX274" s="2984"/>
      <c r="AY274" s="2985"/>
      <c r="AZ274" s="2986"/>
      <c r="BA274" s="2987"/>
      <c r="BB274" s="3194"/>
    </row>
    <row r="275" spans="1:54" ht="28.8" x14ac:dyDescent="0.25">
      <c r="A275" s="2620"/>
      <c r="B275" s="2680" t="s">
        <v>3382</v>
      </c>
      <c r="C275" s="886"/>
      <c r="D275" s="886"/>
      <c r="E275" s="2680" t="s">
        <v>3383</v>
      </c>
      <c r="F275" s="2680" t="s">
        <v>3384</v>
      </c>
      <c r="G275" s="2678" t="s">
        <v>3385</v>
      </c>
      <c r="H275" s="2674" t="s">
        <v>3386</v>
      </c>
      <c r="I275" s="1595" t="str">
        <f t="shared" si="113"/>
        <v>5-DaHall1-PDU-01-30-16</v>
      </c>
      <c r="J275" s="1596" t="str">
        <f t="shared" si="114"/>
        <v>5-DaHall1-PDU-02-30-16</v>
      </c>
      <c r="K275" s="1564">
        <v>220</v>
      </c>
      <c r="L275" s="1565">
        <v>30</v>
      </c>
      <c r="M275" s="2364" t="s">
        <v>6497</v>
      </c>
      <c r="N275" s="1560">
        <v>16</v>
      </c>
      <c r="O275" s="1566">
        <v>220</v>
      </c>
      <c r="P275" s="1567">
        <v>30</v>
      </c>
      <c r="Q275" s="2394" t="s">
        <v>6493</v>
      </c>
      <c r="R275" s="1563">
        <v>16</v>
      </c>
      <c r="S275" s="3729"/>
      <c r="T275" s="3720"/>
      <c r="U275" s="3723"/>
      <c r="V275" s="3726"/>
      <c r="W275" s="3723"/>
      <c r="X275" s="3726"/>
      <c r="Y275" s="834">
        <f>SUM('5층_부하량(월간_AVG)'!N35:P35)</f>
        <v>0</v>
      </c>
      <c r="Z275" s="834">
        <f>SUM('5층_부하량(월간_AVG)'!N65:P65)</f>
        <v>0</v>
      </c>
      <c r="AA275" s="2441">
        <f t="shared" si="120"/>
        <v>0</v>
      </c>
      <c r="AB275" s="2704" t="e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5" s="3117" t="e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5" s="3164"/>
      <c r="AE275" s="3149" t="e">
        <f t="shared" si="112"/>
        <v>#N/A</v>
      </c>
      <c r="AF275" s="2499"/>
      <c r="AH275" s="2351" t="e">
        <f t="shared" si="118"/>
        <v>#N/A</v>
      </c>
      <c r="AI275" s="2351" t="e">
        <f t="shared" si="119"/>
        <v>#N/A</v>
      </c>
      <c r="AJ275" s="123" t="e">
        <f t="shared" si="115"/>
        <v>#N/A</v>
      </c>
      <c r="AK275" t="e">
        <f t="shared" si="116"/>
        <v>#N/A</v>
      </c>
      <c r="AL275" t="e">
        <f t="shared" si="117"/>
        <v>#N/A</v>
      </c>
      <c r="AQ275" s="123"/>
      <c r="AR275" s="123"/>
      <c r="AS275" s="123"/>
      <c r="AT275" s="2982"/>
      <c r="AU275" s="123"/>
      <c r="AV275" s="123"/>
      <c r="AW275" s="2990"/>
      <c r="AX275" s="2984"/>
      <c r="AY275" s="2985"/>
      <c r="AZ275" s="2986"/>
      <c r="BA275" s="2987"/>
      <c r="BB275" s="3194"/>
    </row>
    <row r="276" spans="1:54" ht="28.8" x14ac:dyDescent="0.25">
      <c r="A276" s="2620"/>
      <c r="B276" s="2680" t="s">
        <v>3387</v>
      </c>
      <c r="C276" s="886"/>
      <c r="D276" s="886"/>
      <c r="E276" s="2680" t="s">
        <v>3388</v>
      </c>
      <c r="F276" s="2680" t="s">
        <v>3389</v>
      </c>
      <c r="G276" s="2678" t="s">
        <v>3390</v>
      </c>
      <c r="H276" s="2674" t="s">
        <v>3391</v>
      </c>
      <c r="I276" s="1595" t="str">
        <f t="shared" si="113"/>
        <v>5-DaHall1-PDU-01-30-18</v>
      </c>
      <c r="J276" s="1596" t="str">
        <f t="shared" si="114"/>
        <v>5-DaHall1-PDU-02-30-18</v>
      </c>
      <c r="K276" s="1564">
        <v>220</v>
      </c>
      <c r="L276" s="1565">
        <v>30</v>
      </c>
      <c r="M276" s="2364" t="s">
        <v>6497</v>
      </c>
      <c r="N276" s="1560">
        <v>18</v>
      </c>
      <c r="O276" s="1566">
        <v>220</v>
      </c>
      <c r="P276" s="1567">
        <v>30</v>
      </c>
      <c r="Q276" s="2394" t="s">
        <v>6493</v>
      </c>
      <c r="R276" s="1563">
        <v>18</v>
      </c>
      <c r="S276" s="3729"/>
      <c r="T276" s="3720"/>
      <c r="U276" s="3723"/>
      <c r="V276" s="3726"/>
      <c r="W276" s="3723"/>
      <c r="X276" s="3726"/>
      <c r="Y276" s="834">
        <f>SUM('5층_부하량(월간_AVG)'!N36:P36)</f>
        <v>0</v>
      </c>
      <c r="Z276" s="834">
        <f>SUM('5층_부하량(월간_AVG)'!N66:P66)</f>
        <v>0</v>
      </c>
      <c r="AA276" s="2441">
        <f t="shared" si="120"/>
        <v>0</v>
      </c>
      <c r="AB276" s="2704" t="e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6" s="3117" t="e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6" s="3164"/>
      <c r="AE276" s="3149" t="e">
        <f t="shared" si="112"/>
        <v>#N/A</v>
      </c>
      <c r="AF276" s="2499"/>
      <c r="AH276" s="2351" t="e">
        <f t="shared" si="118"/>
        <v>#N/A</v>
      </c>
      <c r="AI276" s="2351" t="e">
        <f t="shared" si="119"/>
        <v>#N/A</v>
      </c>
      <c r="AJ276" s="123" t="e">
        <f t="shared" si="115"/>
        <v>#N/A</v>
      </c>
      <c r="AK276" t="e">
        <f t="shared" si="116"/>
        <v>#N/A</v>
      </c>
      <c r="AL276" t="e">
        <f t="shared" si="117"/>
        <v>#N/A</v>
      </c>
      <c r="AQ276" s="123"/>
      <c r="AR276" s="123"/>
      <c r="AS276" s="123"/>
      <c r="AT276" s="2982"/>
      <c r="AU276" s="123"/>
      <c r="AV276" s="123"/>
      <c r="AW276" s="2990"/>
      <c r="AX276" s="2984"/>
      <c r="AY276" s="2985"/>
      <c r="AZ276" s="2986"/>
      <c r="BA276" s="2987"/>
      <c r="BB276" s="3194"/>
    </row>
    <row r="277" spans="1:54" ht="28.8" x14ac:dyDescent="0.25">
      <c r="A277" s="2620"/>
      <c r="B277" s="2680" t="s">
        <v>3392</v>
      </c>
      <c r="C277" s="886"/>
      <c r="D277" s="886"/>
      <c r="E277" s="2680" t="s">
        <v>3393</v>
      </c>
      <c r="F277" s="2680" t="s">
        <v>3394</v>
      </c>
      <c r="G277" s="2678" t="s">
        <v>3395</v>
      </c>
      <c r="H277" s="2674" t="s">
        <v>3396</v>
      </c>
      <c r="I277" s="1595" t="str">
        <f t="shared" si="113"/>
        <v>5-DaHall1-PDU-01-30-20</v>
      </c>
      <c r="J277" s="1596" t="str">
        <f t="shared" si="114"/>
        <v>5-DaHall1-PDU-02-30-20</v>
      </c>
      <c r="K277" s="1564">
        <v>220</v>
      </c>
      <c r="L277" s="1565">
        <v>30</v>
      </c>
      <c r="M277" s="2364" t="s">
        <v>6497</v>
      </c>
      <c r="N277" s="1560">
        <v>20</v>
      </c>
      <c r="O277" s="1566">
        <v>220</v>
      </c>
      <c r="P277" s="1567">
        <v>30</v>
      </c>
      <c r="Q277" s="2394" t="s">
        <v>6493</v>
      </c>
      <c r="R277" s="1563">
        <v>20</v>
      </c>
      <c r="S277" s="3729"/>
      <c r="T277" s="3720"/>
      <c r="U277" s="3723"/>
      <c r="V277" s="3726"/>
      <c r="W277" s="3723"/>
      <c r="X277" s="3726"/>
      <c r="Y277" s="834">
        <f>SUM('5층_부하량(월간_AVG)'!N37:P37)</f>
        <v>0</v>
      </c>
      <c r="Z277" s="834">
        <f>SUM('5층_부하량(월간_AVG)'!N67:P67)</f>
        <v>0</v>
      </c>
      <c r="AA277" s="2441">
        <f t="shared" si="120"/>
        <v>0</v>
      </c>
      <c r="AB277" s="2704" t="e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7" s="3117" t="e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7" s="3164"/>
      <c r="AE277" s="3149" t="e">
        <f t="shared" si="112"/>
        <v>#N/A</v>
      </c>
      <c r="AF277" s="2499"/>
      <c r="AH277" s="2351" t="e">
        <f t="shared" si="118"/>
        <v>#N/A</v>
      </c>
      <c r="AI277" s="2351" t="e">
        <f t="shared" si="119"/>
        <v>#N/A</v>
      </c>
      <c r="AJ277" s="123" t="e">
        <f t="shared" si="115"/>
        <v>#N/A</v>
      </c>
      <c r="AK277" t="e">
        <f t="shared" si="116"/>
        <v>#N/A</v>
      </c>
      <c r="AL277" t="e">
        <f t="shared" si="117"/>
        <v>#N/A</v>
      </c>
      <c r="AQ277" s="123"/>
      <c r="AR277" s="123"/>
      <c r="AS277" s="123"/>
      <c r="AT277" s="2982"/>
      <c r="AU277" s="123"/>
      <c r="AV277" s="123"/>
      <c r="AW277" s="2990"/>
      <c r="AX277" s="2984"/>
      <c r="AY277" s="2985"/>
      <c r="AZ277" s="2986"/>
      <c r="BA277" s="2987"/>
      <c r="BB277" s="3194"/>
    </row>
    <row r="278" spans="1:54" ht="28.8" x14ac:dyDescent="0.25">
      <c r="A278" s="2620"/>
      <c r="B278" s="2680" t="s">
        <v>3397</v>
      </c>
      <c r="C278" s="886"/>
      <c r="D278" s="886"/>
      <c r="E278" s="2680" t="s">
        <v>3398</v>
      </c>
      <c r="F278" s="2680" t="s">
        <v>3399</v>
      </c>
      <c r="G278" s="2678" t="s">
        <v>3400</v>
      </c>
      <c r="H278" s="2674" t="s">
        <v>3401</v>
      </c>
      <c r="I278" s="1595" t="str">
        <f t="shared" si="113"/>
        <v>5-DaHall1-PDU-01-30-22</v>
      </c>
      <c r="J278" s="1596" t="str">
        <f t="shared" si="114"/>
        <v>5-DaHall1-PDU-02-30-22</v>
      </c>
      <c r="K278" s="1564">
        <v>220</v>
      </c>
      <c r="L278" s="1565">
        <v>30</v>
      </c>
      <c r="M278" s="2364" t="s">
        <v>6497</v>
      </c>
      <c r="N278" s="1560">
        <v>22</v>
      </c>
      <c r="O278" s="1566">
        <v>220</v>
      </c>
      <c r="P278" s="1567">
        <v>30</v>
      </c>
      <c r="Q278" s="2394" t="s">
        <v>6493</v>
      </c>
      <c r="R278" s="1563">
        <v>22</v>
      </c>
      <c r="S278" s="3729"/>
      <c r="T278" s="3720"/>
      <c r="U278" s="3723"/>
      <c r="V278" s="3726"/>
      <c r="W278" s="3723"/>
      <c r="X278" s="3726"/>
      <c r="Y278" s="834">
        <f>SUM('5층_부하량(월간_AVG)'!N38:P38)</f>
        <v>0</v>
      </c>
      <c r="Z278" s="834">
        <f>SUM('5층_부하량(월간_AVG)'!N68:P68)</f>
        <v>0</v>
      </c>
      <c r="AA278" s="2441">
        <f t="shared" si="120"/>
        <v>0</v>
      </c>
      <c r="AB278" s="2704" t="e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8" s="3117" t="e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8" s="3164"/>
      <c r="AE278" s="3149" t="e">
        <f t="shared" si="112"/>
        <v>#N/A</v>
      </c>
      <c r="AF278" s="2499"/>
      <c r="AH278" s="2351" t="e">
        <f t="shared" si="118"/>
        <v>#N/A</v>
      </c>
      <c r="AI278" s="2351" t="e">
        <f t="shared" si="119"/>
        <v>#N/A</v>
      </c>
      <c r="AJ278" s="123" t="e">
        <f t="shared" si="115"/>
        <v>#N/A</v>
      </c>
      <c r="AK278" t="e">
        <f t="shared" si="116"/>
        <v>#N/A</v>
      </c>
      <c r="AL278" t="e">
        <f t="shared" si="117"/>
        <v>#N/A</v>
      </c>
      <c r="AQ278" s="123"/>
      <c r="AR278" s="123"/>
      <c r="AS278" s="123"/>
      <c r="AT278" s="2982"/>
      <c r="AU278" s="123"/>
      <c r="AV278" s="123"/>
      <c r="AW278" s="2990"/>
      <c r="AX278" s="2984"/>
      <c r="AY278" s="2985"/>
      <c r="AZ278" s="2986"/>
      <c r="BA278" s="2987"/>
      <c r="BB278" s="3194"/>
    </row>
    <row r="279" spans="1:54" ht="28.8" x14ac:dyDescent="0.25">
      <c r="A279" s="2620"/>
      <c r="B279" s="2680" t="s">
        <v>3402</v>
      </c>
      <c r="C279" s="886"/>
      <c r="D279" s="886"/>
      <c r="E279" s="2680" t="s">
        <v>3403</v>
      </c>
      <c r="F279" s="2680" t="s">
        <v>3404</v>
      </c>
      <c r="G279" s="2678" t="s">
        <v>3405</v>
      </c>
      <c r="H279" s="2674" t="s">
        <v>3406</v>
      </c>
      <c r="I279" s="1595" t="str">
        <f t="shared" si="113"/>
        <v>5-DaHall1-PDU-01-30-24</v>
      </c>
      <c r="J279" s="1596" t="str">
        <f t="shared" si="114"/>
        <v>5-DaHall1-PDU-02-30-24</v>
      </c>
      <c r="K279" s="1558">
        <v>220</v>
      </c>
      <c r="L279" s="1559">
        <v>30</v>
      </c>
      <c r="M279" s="2364" t="s">
        <v>6497</v>
      </c>
      <c r="N279" s="1560">
        <v>24</v>
      </c>
      <c r="O279" s="1561">
        <v>220</v>
      </c>
      <c r="P279" s="1562">
        <v>30</v>
      </c>
      <c r="Q279" s="2394" t="s">
        <v>6493</v>
      </c>
      <c r="R279" s="1563">
        <v>24</v>
      </c>
      <c r="S279" s="3729"/>
      <c r="T279" s="3720"/>
      <c r="U279" s="3723"/>
      <c r="V279" s="3726"/>
      <c r="W279" s="3723"/>
      <c r="X279" s="3726"/>
      <c r="Y279" s="834">
        <f>SUM('5층_부하량(월간_AVG)'!N39:P39)</f>
        <v>0</v>
      </c>
      <c r="Z279" s="834">
        <f>SUM('5층_부하량(월간_AVG)'!N69:P69)</f>
        <v>0</v>
      </c>
      <c r="AA279" s="2441">
        <f t="shared" si="120"/>
        <v>0</v>
      </c>
      <c r="AB279" s="2704" t="e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9" s="3117" t="e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9" s="3164"/>
      <c r="AE279" s="3149" t="e">
        <f t="shared" si="112"/>
        <v>#N/A</v>
      </c>
      <c r="AF279" s="2499"/>
      <c r="AH279" s="2351" t="e">
        <f t="shared" si="118"/>
        <v>#N/A</v>
      </c>
      <c r="AI279" s="2351" t="e">
        <f t="shared" si="119"/>
        <v>#N/A</v>
      </c>
      <c r="AJ279" s="123" t="e">
        <f t="shared" si="115"/>
        <v>#N/A</v>
      </c>
      <c r="AK279" t="e">
        <f t="shared" si="116"/>
        <v>#N/A</v>
      </c>
      <c r="AL279" t="e">
        <f t="shared" si="117"/>
        <v>#N/A</v>
      </c>
      <c r="AQ279" s="123"/>
      <c r="AR279" s="123"/>
      <c r="AS279" s="123"/>
      <c r="AT279" s="2982"/>
      <c r="AU279" s="123"/>
      <c r="AV279" s="123"/>
      <c r="AW279" s="2990"/>
      <c r="AX279" s="2984"/>
      <c r="AY279" s="2985"/>
      <c r="AZ279" s="2986"/>
      <c r="BA279" s="2987"/>
      <c r="BB279" s="3194"/>
    </row>
    <row r="280" spans="1:54" ht="28.8" x14ac:dyDescent="0.25">
      <c r="A280" s="2620"/>
      <c r="B280" s="2680" t="s">
        <v>3407</v>
      </c>
      <c r="C280" s="886"/>
      <c r="D280" s="886"/>
      <c r="E280" s="2680" t="s">
        <v>3408</v>
      </c>
      <c r="F280" s="2680" t="s">
        <v>3409</v>
      </c>
      <c r="G280" s="2678" t="s">
        <v>3410</v>
      </c>
      <c r="H280" s="2674" t="s">
        <v>3411</v>
      </c>
      <c r="I280" s="1595" t="str">
        <f t="shared" si="113"/>
        <v>5-DaHall1-PDU-01-30-26</v>
      </c>
      <c r="J280" s="1596" t="str">
        <f t="shared" si="114"/>
        <v>5-DaHall1-PDU-02-30-26</v>
      </c>
      <c r="K280" s="1558">
        <v>220</v>
      </c>
      <c r="L280" s="1559">
        <v>30</v>
      </c>
      <c r="M280" s="2364" t="s">
        <v>6497</v>
      </c>
      <c r="N280" s="1560">
        <v>26</v>
      </c>
      <c r="O280" s="1561">
        <v>220</v>
      </c>
      <c r="P280" s="1562">
        <v>30</v>
      </c>
      <c r="Q280" s="2394" t="s">
        <v>6493</v>
      </c>
      <c r="R280" s="1563">
        <v>26</v>
      </c>
      <c r="S280" s="3729"/>
      <c r="T280" s="3720"/>
      <c r="U280" s="3723"/>
      <c r="V280" s="3726"/>
      <c r="W280" s="3723"/>
      <c r="X280" s="3726"/>
      <c r="Y280" s="834">
        <f>SUM('5층_부하량(월간_AVG)'!N40:P40)</f>
        <v>0</v>
      </c>
      <c r="Z280" s="834">
        <f>SUM('5층_부하량(월간_AVG)'!N70:P70)</f>
        <v>0</v>
      </c>
      <c r="AA280" s="2441">
        <f t="shared" si="120"/>
        <v>0</v>
      </c>
      <c r="AB280" s="2704" t="e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80" s="3117" t="e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80" s="3164"/>
      <c r="AE280" s="3149" t="e">
        <f t="shared" si="112"/>
        <v>#N/A</v>
      </c>
      <c r="AF280" s="2499"/>
      <c r="AH280" s="2351" t="e">
        <f t="shared" si="118"/>
        <v>#N/A</v>
      </c>
      <c r="AI280" s="2351" t="e">
        <f t="shared" si="119"/>
        <v>#N/A</v>
      </c>
      <c r="AJ280" s="123" t="e">
        <f t="shared" si="115"/>
        <v>#N/A</v>
      </c>
      <c r="AK280" t="e">
        <f t="shared" si="116"/>
        <v>#N/A</v>
      </c>
      <c r="AL280" t="e">
        <f t="shared" si="117"/>
        <v>#N/A</v>
      </c>
      <c r="AQ280" s="123"/>
      <c r="AR280" s="123"/>
      <c r="AS280" s="123"/>
      <c r="AT280" s="2982"/>
      <c r="AU280" s="123"/>
      <c r="AV280" s="123"/>
      <c r="AW280" s="2990"/>
      <c r="AX280" s="2984"/>
      <c r="AY280" s="2985"/>
      <c r="AZ280" s="2986"/>
      <c r="BA280" s="2987"/>
      <c r="BB280" s="3194"/>
    </row>
    <row r="281" spans="1:54" ht="28.8" x14ac:dyDescent="0.25">
      <c r="A281" s="2620"/>
      <c r="B281" s="2680" t="s">
        <v>3412</v>
      </c>
      <c r="C281" s="886"/>
      <c r="D281" s="886"/>
      <c r="E281" s="2680" t="s">
        <v>3413</v>
      </c>
      <c r="F281" s="2680" t="s">
        <v>3414</v>
      </c>
      <c r="G281" s="2678" t="s">
        <v>3415</v>
      </c>
      <c r="H281" s="2674" t="s">
        <v>3416</v>
      </c>
      <c r="I281" s="1595" t="str">
        <f t="shared" si="113"/>
        <v>5-DaHall1-PDU-01-30-28</v>
      </c>
      <c r="J281" s="1596" t="str">
        <f t="shared" si="114"/>
        <v>5-DaHall1-PDU-02-30-28</v>
      </c>
      <c r="K281" s="1558">
        <v>220</v>
      </c>
      <c r="L281" s="1559">
        <v>30</v>
      </c>
      <c r="M281" s="2364" t="s">
        <v>6497</v>
      </c>
      <c r="N281" s="1560">
        <v>28</v>
      </c>
      <c r="O281" s="1561">
        <v>220</v>
      </c>
      <c r="P281" s="1562">
        <v>30</v>
      </c>
      <c r="Q281" s="2394" t="s">
        <v>6493</v>
      </c>
      <c r="R281" s="1563">
        <v>28</v>
      </c>
      <c r="S281" s="3729"/>
      <c r="T281" s="3720"/>
      <c r="U281" s="3723"/>
      <c r="V281" s="3726"/>
      <c r="W281" s="3723"/>
      <c r="X281" s="3726"/>
      <c r="Y281" s="834">
        <f>SUM('5층_부하량(월간_AVG)'!N41:P41)</f>
        <v>0</v>
      </c>
      <c r="Z281" s="834">
        <f>SUM('5층_부하량(월간_AVG)'!N71:P71)</f>
        <v>0</v>
      </c>
      <c r="AA281" s="2441">
        <f t="shared" si="120"/>
        <v>0</v>
      </c>
      <c r="AB281" s="2704" t="e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1" s="3117" t="e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1" s="3164"/>
      <c r="AE281" s="3149" t="e">
        <f t="shared" si="112"/>
        <v>#N/A</v>
      </c>
      <c r="AF281" s="2499"/>
      <c r="AH281" s="2351" t="e">
        <f t="shared" si="118"/>
        <v>#N/A</v>
      </c>
      <c r="AI281" s="2351" t="e">
        <f t="shared" si="119"/>
        <v>#N/A</v>
      </c>
      <c r="AJ281" s="123" t="e">
        <f t="shared" si="115"/>
        <v>#N/A</v>
      </c>
      <c r="AK281" t="e">
        <f t="shared" si="116"/>
        <v>#N/A</v>
      </c>
      <c r="AL281" t="e">
        <f t="shared" si="117"/>
        <v>#N/A</v>
      </c>
      <c r="AQ281" s="123"/>
      <c r="AR281" s="123"/>
      <c r="AS281" s="123"/>
      <c r="AT281" s="2982"/>
      <c r="AU281" s="123"/>
      <c r="AV281" s="123"/>
      <c r="AW281" s="2990"/>
      <c r="AX281" s="2984"/>
      <c r="AY281" s="2985"/>
      <c r="AZ281" s="2986"/>
      <c r="BA281" s="2987"/>
      <c r="BB281" s="3194"/>
    </row>
    <row r="282" spans="1:54" ht="28.8" x14ac:dyDescent="0.25">
      <c r="A282" s="2620"/>
      <c r="B282" s="2680" t="s">
        <v>3417</v>
      </c>
      <c r="C282" s="886"/>
      <c r="D282" s="886"/>
      <c r="E282" s="2680" t="s">
        <v>3418</v>
      </c>
      <c r="F282" s="2680" t="s">
        <v>3419</v>
      </c>
      <c r="G282" s="2678" t="s">
        <v>3420</v>
      </c>
      <c r="H282" s="2674" t="s">
        <v>3421</v>
      </c>
      <c r="I282" s="1595" t="str">
        <f t="shared" si="113"/>
        <v>5-DaHall1-PDU-01-30-30</v>
      </c>
      <c r="J282" s="1596" t="str">
        <f t="shared" si="114"/>
        <v>5-DaHall1-PDU-02-30-30</v>
      </c>
      <c r="K282" s="1558">
        <v>220</v>
      </c>
      <c r="L282" s="1559">
        <v>30</v>
      </c>
      <c r="M282" s="2364" t="s">
        <v>6497</v>
      </c>
      <c r="N282" s="1560">
        <v>30</v>
      </c>
      <c r="O282" s="1561">
        <v>220</v>
      </c>
      <c r="P282" s="1562">
        <v>30</v>
      </c>
      <c r="Q282" s="2394" t="s">
        <v>6493</v>
      </c>
      <c r="R282" s="1563">
        <v>30</v>
      </c>
      <c r="S282" s="3729"/>
      <c r="T282" s="3720"/>
      <c r="U282" s="3723"/>
      <c r="V282" s="3726"/>
      <c r="W282" s="3723"/>
      <c r="X282" s="3726"/>
      <c r="Y282" s="834">
        <f>SUM('5층_부하량(월간_AVG)'!N42:P42)</f>
        <v>0</v>
      </c>
      <c r="Z282" s="834">
        <f>SUM('5층_부하량(월간_AVG)'!N72:P72)</f>
        <v>0</v>
      </c>
      <c r="AA282" s="2441">
        <f t="shared" si="120"/>
        <v>0</v>
      </c>
      <c r="AB282" s="2704" t="e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2" s="3117" t="e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2" s="3164"/>
      <c r="AE282" s="3149" t="e">
        <f t="shared" si="112"/>
        <v>#N/A</v>
      </c>
      <c r="AF282" s="2499"/>
      <c r="AH282" s="2351" t="e">
        <f t="shared" si="118"/>
        <v>#N/A</v>
      </c>
      <c r="AI282" s="2351" t="e">
        <f t="shared" si="119"/>
        <v>#N/A</v>
      </c>
      <c r="AJ282" s="123" t="e">
        <f t="shared" si="115"/>
        <v>#N/A</v>
      </c>
      <c r="AK282" t="e">
        <f t="shared" si="116"/>
        <v>#N/A</v>
      </c>
      <c r="AL282" t="e">
        <f t="shared" si="117"/>
        <v>#N/A</v>
      </c>
      <c r="AQ282" s="123"/>
      <c r="AR282" s="123"/>
      <c r="AS282" s="123"/>
      <c r="AT282" s="2982"/>
      <c r="AU282" s="123"/>
      <c r="AV282" s="123"/>
      <c r="AW282" s="2990"/>
      <c r="AX282" s="2984"/>
      <c r="AY282" s="2985"/>
      <c r="AZ282" s="2986"/>
      <c r="BA282" s="2987"/>
      <c r="BB282" s="3194"/>
    </row>
    <row r="283" spans="1:54" ht="28.8" x14ac:dyDescent="0.25">
      <c r="A283" s="2620"/>
      <c r="B283" s="2680" t="s">
        <v>3422</v>
      </c>
      <c r="C283" s="886"/>
      <c r="D283" s="886"/>
      <c r="E283" s="2680" t="s">
        <v>3423</v>
      </c>
      <c r="F283" s="2680" t="s">
        <v>3424</v>
      </c>
      <c r="G283" s="2678" t="s">
        <v>3425</v>
      </c>
      <c r="H283" s="2674" t="s">
        <v>3426</v>
      </c>
      <c r="I283" s="1595" t="str">
        <f t="shared" si="113"/>
        <v>5-DaHall1-PDU-01-30-32</v>
      </c>
      <c r="J283" s="1596" t="str">
        <f t="shared" si="114"/>
        <v>5-DaHall1-PDU-02-30-32</v>
      </c>
      <c r="K283" s="1558">
        <v>220</v>
      </c>
      <c r="L283" s="1559">
        <v>30</v>
      </c>
      <c r="M283" s="2364" t="s">
        <v>6497</v>
      </c>
      <c r="N283" s="1560">
        <v>32</v>
      </c>
      <c r="O283" s="1561">
        <v>220</v>
      </c>
      <c r="P283" s="1562">
        <v>30</v>
      </c>
      <c r="Q283" s="2394" t="s">
        <v>6493</v>
      </c>
      <c r="R283" s="1563">
        <v>32</v>
      </c>
      <c r="S283" s="3729"/>
      <c r="T283" s="3720"/>
      <c r="U283" s="3723"/>
      <c r="V283" s="3726"/>
      <c r="W283" s="3723"/>
      <c r="X283" s="3726"/>
      <c r="Y283" s="834">
        <f>SUM('5층_부하량(월간_AVG)'!N43:P43)</f>
        <v>0</v>
      </c>
      <c r="Z283" s="834">
        <f>SUM('5층_부하량(월간_AVG)'!N73:P73)</f>
        <v>0</v>
      </c>
      <c r="AA283" s="2441">
        <f t="shared" si="120"/>
        <v>0</v>
      </c>
      <c r="AB283" s="2704" t="e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3" s="3117" t="e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3" s="3164"/>
      <c r="AE283" s="3149" t="e">
        <f t="shared" si="112"/>
        <v>#N/A</v>
      </c>
      <c r="AF283" s="2499"/>
      <c r="AH283" s="2351" t="e">
        <f t="shared" si="118"/>
        <v>#N/A</v>
      </c>
      <c r="AI283" s="2351" t="e">
        <f t="shared" si="119"/>
        <v>#N/A</v>
      </c>
      <c r="AJ283" s="123" t="e">
        <f t="shared" si="115"/>
        <v>#N/A</v>
      </c>
      <c r="AK283" t="e">
        <f t="shared" si="116"/>
        <v>#N/A</v>
      </c>
      <c r="AL283" t="e">
        <f t="shared" si="117"/>
        <v>#N/A</v>
      </c>
      <c r="AQ283" s="123"/>
      <c r="AR283" s="123"/>
      <c r="AS283" s="123"/>
      <c r="AT283" s="2982"/>
      <c r="AU283" s="123"/>
      <c r="AV283" s="123"/>
      <c r="AW283" s="2990"/>
      <c r="AX283" s="2984"/>
      <c r="AY283" s="2985"/>
      <c r="AZ283" s="2986"/>
      <c r="BA283" s="2987"/>
      <c r="BB283" s="3194"/>
    </row>
    <row r="284" spans="1:54" ht="28.8" x14ac:dyDescent="0.25">
      <c r="A284" s="2620"/>
      <c r="B284" s="2680" t="s">
        <v>3427</v>
      </c>
      <c r="C284" s="886"/>
      <c r="D284" s="886"/>
      <c r="E284" s="2680" t="s">
        <v>3428</v>
      </c>
      <c r="F284" s="2680" t="s">
        <v>3429</v>
      </c>
      <c r="G284" s="2678" t="s">
        <v>3430</v>
      </c>
      <c r="H284" s="2674" t="s">
        <v>3431</v>
      </c>
      <c r="I284" s="1595" t="str">
        <f t="shared" si="113"/>
        <v>5-DaHall1-PDU-01-30-34</v>
      </c>
      <c r="J284" s="1596" t="str">
        <f t="shared" si="114"/>
        <v>5-DaHall1-PDU-02-30-34</v>
      </c>
      <c r="K284" s="1558">
        <v>220</v>
      </c>
      <c r="L284" s="1559">
        <v>30</v>
      </c>
      <c r="M284" s="2364" t="s">
        <v>6497</v>
      </c>
      <c r="N284" s="1560">
        <v>34</v>
      </c>
      <c r="O284" s="1561">
        <v>220</v>
      </c>
      <c r="P284" s="1562">
        <v>30</v>
      </c>
      <c r="Q284" s="2394" t="s">
        <v>6493</v>
      </c>
      <c r="R284" s="1563">
        <v>34</v>
      </c>
      <c r="S284" s="3729"/>
      <c r="T284" s="3720"/>
      <c r="U284" s="3723"/>
      <c r="V284" s="3726"/>
      <c r="W284" s="3723"/>
      <c r="X284" s="3726"/>
      <c r="Y284" s="834">
        <f>SUM('5층_부하량(월간_AVG)'!N44:P44)</f>
        <v>0</v>
      </c>
      <c r="Z284" s="834">
        <f>SUM('5층_부하량(월간_AVG)'!N74:P74)</f>
        <v>0</v>
      </c>
      <c r="AA284" s="2441">
        <f t="shared" si="120"/>
        <v>0</v>
      </c>
      <c r="AB284" s="2704" t="e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4" s="3117" t="e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4" s="3164"/>
      <c r="AE284" s="3149" t="e">
        <f t="shared" si="112"/>
        <v>#N/A</v>
      </c>
      <c r="AF284" s="2499"/>
      <c r="AH284" s="2351" t="e">
        <f t="shared" si="118"/>
        <v>#N/A</v>
      </c>
      <c r="AI284" s="2351" t="e">
        <f t="shared" si="119"/>
        <v>#N/A</v>
      </c>
      <c r="AJ284" s="123" t="e">
        <f t="shared" si="115"/>
        <v>#N/A</v>
      </c>
      <c r="AK284" t="e">
        <f t="shared" si="116"/>
        <v>#N/A</v>
      </c>
      <c r="AL284" t="e">
        <f t="shared" si="117"/>
        <v>#N/A</v>
      </c>
      <c r="AQ284" s="123"/>
      <c r="AR284" s="123"/>
      <c r="AS284" s="123"/>
      <c r="AT284" s="2982"/>
      <c r="AU284" s="123"/>
      <c r="AV284" s="123"/>
      <c r="AW284" s="2990"/>
      <c r="AX284" s="2984"/>
      <c r="AY284" s="2985"/>
      <c r="AZ284" s="2986"/>
      <c r="BA284" s="2987"/>
      <c r="BB284" s="3194"/>
    </row>
    <row r="285" spans="1:54" ht="28.8" x14ac:dyDescent="0.25">
      <c r="A285" s="2620"/>
      <c r="B285" s="2680" t="s">
        <v>3432</v>
      </c>
      <c r="C285" s="886"/>
      <c r="D285" s="886"/>
      <c r="E285" s="2680" t="s">
        <v>3433</v>
      </c>
      <c r="F285" s="2680" t="s">
        <v>3434</v>
      </c>
      <c r="G285" s="2678" t="s">
        <v>3435</v>
      </c>
      <c r="H285" s="2674" t="s">
        <v>3436</v>
      </c>
      <c r="I285" s="1595" t="str">
        <f t="shared" si="113"/>
        <v>5-DaHall1-PDU-01-30-36</v>
      </c>
      <c r="J285" s="1596" t="str">
        <f t="shared" si="114"/>
        <v>5-DaHall1-PDU-02-30-36</v>
      </c>
      <c r="K285" s="1558">
        <v>220</v>
      </c>
      <c r="L285" s="1559">
        <v>30</v>
      </c>
      <c r="M285" s="2364" t="s">
        <v>6497</v>
      </c>
      <c r="N285" s="1560">
        <v>36</v>
      </c>
      <c r="O285" s="1561">
        <v>220</v>
      </c>
      <c r="P285" s="1562">
        <v>30</v>
      </c>
      <c r="Q285" s="2394" t="s">
        <v>6493</v>
      </c>
      <c r="R285" s="1563">
        <v>36</v>
      </c>
      <c r="S285" s="3729"/>
      <c r="T285" s="3720"/>
      <c r="U285" s="3723"/>
      <c r="V285" s="3726"/>
      <c r="W285" s="3723"/>
      <c r="X285" s="3726"/>
      <c r="Y285" s="834">
        <f>SUM('5층_부하량(월간_AVG)'!N45:P45)</f>
        <v>0</v>
      </c>
      <c r="Z285" s="834">
        <f>SUM('5층_부하량(월간_AVG)'!N75:P75)</f>
        <v>0</v>
      </c>
      <c r="AA285" s="2441">
        <f t="shared" si="120"/>
        <v>0</v>
      </c>
      <c r="AB285" s="2704" t="e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5" s="3117" t="e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5" s="3164"/>
      <c r="AE285" s="3149" t="e">
        <f t="shared" si="112"/>
        <v>#N/A</v>
      </c>
      <c r="AF285" s="2499"/>
      <c r="AH285" s="2351" t="e">
        <f t="shared" si="118"/>
        <v>#N/A</v>
      </c>
      <c r="AI285" s="2351" t="e">
        <f t="shared" si="119"/>
        <v>#N/A</v>
      </c>
      <c r="AJ285" s="123" t="e">
        <f t="shared" si="115"/>
        <v>#N/A</v>
      </c>
      <c r="AK285" t="e">
        <f t="shared" si="116"/>
        <v>#N/A</v>
      </c>
      <c r="AL285" t="e">
        <f t="shared" si="117"/>
        <v>#N/A</v>
      </c>
      <c r="AQ285" s="123"/>
      <c r="AR285" s="123"/>
      <c r="AS285" s="123"/>
      <c r="AT285" s="2982"/>
      <c r="AU285" s="123"/>
      <c r="AV285" s="123"/>
      <c r="AW285" s="2990"/>
      <c r="AX285" s="2984"/>
      <c r="AY285" s="2985"/>
      <c r="AZ285" s="2986"/>
      <c r="BA285" s="2987"/>
      <c r="BB285" s="3194"/>
    </row>
    <row r="286" spans="1:54" ht="28.8" x14ac:dyDescent="0.25">
      <c r="A286" s="2620"/>
      <c r="B286" s="2680" t="s">
        <v>3437</v>
      </c>
      <c r="C286" s="886"/>
      <c r="D286" s="886"/>
      <c r="E286" s="2680" t="s">
        <v>3438</v>
      </c>
      <c r="F286" s="2680" t="s">
        <v>3439</v>
      </c>
      <c r="G286" s="2678" t="s">
        <v>3440</v>
      </c>
      <c r="H286" s="2674" t="s">
        <v>3441</v>
      </c>
      <c r="I286" s="1595" t="str">
        <f t="shared" si="113"/>
        <v>5-DaHall1-PDU-01-30-38</v>
      </c>
      <c r="J286" s="1596" t="str">
        <f t="shared" si="114"/>
        <v>5-DaHall1-PDU-02-30-38</v>
      </c>
      <c r="K286" s="1558">
        <v>220</v>
      </c>
      <c r="L286" s="1559">
        <v>30</v>
      </c>
      <c r="M286" s="2364" t="s">
        <v>6497</v>
      </c>
      <c r="N286" s="1560">
        <v>38</v>
      </c>
      <c r="O286" s="1561">
        <v>220</v>
      </c>
      <c r="P286" s="1562">
        <v>30</v>
      </c>
      <c r="Q286" s="2394" t="s">
        <v>6493</v>
      </c>
      <c r="R286" s="1563">
        <v>38</v>
      </c>
      <c r="S286" s="3729"/>
      <c r="T286" s="3720"/>
      <c r="U286" s="3723"/>
      <c r="V286" s="3726"/>
      <c r="W286" s="3723"/>
      <c r="X286" s="3726"/>
      <c r="Y286" s="834">
        <f>SUM('5층_부하량(월간_AVG)'!N46:P46)</f>
        <v>0</v>
      </c>
      <c r="Z286" s="834">
        <f>SUM('5층_부하량(월간_AVG)'!N76:P76)</f>
        <v>0</v>
      </c>
      <c r="AA286" s="2441">
        <f t="shared" si="120"/>
        <v>0</v>
      </c>
      <c r="AB286" s="2704" t="e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6" s="3117" t="e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6" s="3164"/>
      <c r="AE286" s="3149" t="e">
        <f t="shared" si="112"/>
        <v>#N/A</v>
      </c>
      <c r="AF286" s="2499"/>
      <c r="AH286" s="2351" t="e">
        <f t="shared" si="118"/>
        <v>#N/A</v>
      </c>
      <c r="AI286" s="2351" t="e">
        <f t="shared" si="119"/>
        <v>#N/A</v>
      </c>
      <c r="AJ286" s="123" t="e">
        <f t="shared" si="115"/>
        <v>#N/A</v>
      </c>
      <c r="AK286" t="e">
        <f t="shared" si="116"/>
        <v>#N/A</v>
      </c>
      <c r="AL286" t="e">
        <f t="shared" si="117"/>
        <v>#N/A</v>
      </c>
      <c r="AQ286" s="123"/>
      <c r="AR286" s="123"/>
      <c r="AS286" s="123"/>
      <c r="AT286" s="2982"/>
      <c r="AU286" s="123"/>
      <c r="AV286" s="123"/>
      <c r="AW286" s="2990"/>
      <c r="AX286" s="2984"/>
      <c r="AY286" s="2985"/>
      <c r="AZ286" s="2986"/>
      <c r="BA286" s="2987"/>
      <c r="BB286" s="3194"/>
    </row>
    <row r="287" spans="1:54" ht="28.8" x14ac:dyDescent="0.25">
      <c r="A287" s="2620"/>
      <c r="B287" s="1099" t="s">
        <v>3210</v>
      </c>
      <c r="C287" s="2902"/>
      <c r="D287" s="2902"/>
      <c r="E287" s="1099"/>
      <c r="F287" s="1099" t="s">
        <v>3442</v>
      </c>
      <c r="G287" s="1100"/>
      <c r="H287" s="1101" t="s">
        <v>3443</v>
      </c>
      <c r="I287" s="1590"/>
      <c r="J287" s="1596" t="str">
        <f t="shared" si="114"/>
        <v>5-DaHall1-PDU-02-30-40</v>
      </c>
      <c r="K287" s="1615"/>
      <c r="L287" s="1616"/>
      <c r="M287" s="1100"/>
      <c r="N287" s="1617"/>
      <c r="O287" s="1673">
        <v>220</v>
      </c>
      <c r="P287" s="1637">
        <v>30</v>
      </c>
      <c r="Q287" s="2397" t="s">
        <v>6493</v>
      </c>
      <c r="R287" s="1638">
        <v>40</v>
      </c>
      <c r="S287" s="3730"/>
      <c r="T287" s="3721"/>
      <c r="U287" s="3724"/>
      <c r="V287" s="3727"/>
      <c r="W287" s="3724"/>
      <c r="X287" s="3727"/>
      <c r="Y287" s="1106"/>
      <c r="Z287" s="834">
        <f>SUM('5층_부하량(월간_AVG)'!N77:P77)</f>
        <v>0</v>
      </c>
      <c r="AA287" s="2441">
        <f t="shared" si="120"/>
        <v>0</v>
      </c>
      <c r="AB287" s="2704"/>
      <c r="AC287" s="3117" t="e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7" s="3164"/>
      <c r="AE287" s="3149" t="e">
        <f t="shared" si="112"/>
        <v>#N/A</v>
      </c>
      <c r="AF287" s="2501" t="s">
        <v>3444</v>
      </c>
      <c r="AH287" s="2351" t="e">
        <f t="shared" si="118"/>
        <v>#N/A</v>
      </c>
      <c r="AI287" s="2351" t="e">
        <f t="shared" si="119"/>
        <v>#N/A</v>
      </c>
      <c r="AJ287" s="123" t="e">
        <f t="shared" si="115"/>
        <v>#N/A</v>
      </c>
      <c r="AK287" t="e">
        <f t="shared" si="116"/>
        <v>#N/A</v>
      </c>
      <c r="AL287" t="e">
        <f t="shared" si="117"/>
        <v>#N/A</v>
      </c>
      <c r="AQ287" s="123"/>
      <c r="AR287" s="123"/>
      <c r="AS287" s="123"/>
      <c r="AT287" s="2982"/>
      <c r="AU287" s="123"/>
      <c r="AV287" s="123"/>
      <c r="AW287" s="2990"/>
      <c r="AX287" s="2984"/>
      <c r="AY287" s="2985"/>
      <c r="AZ287" s="2986"/>
      <c r="BA287" s="2987"/>
      <c r="BB287" s="3194"/>
    </row>
    <row r="288" spans="1:54" ht="28.8" x14ac:dyDescent="0.25">
      <c r="A288" s="2620"/>
      <c r="B288" s="2680" t="s">
        <v>3445</v>
      </c>
      <c r="C288" s="886"/>
      <c r="D288" s="886"/>
      <c r="E288" s="2680" t="s">
        <v>3446</v>
      </c>
      <c r="F288" s="2680" t="s">
        <v>3447</v>
      </c>
      <c r="G288" s="1100" t="s">
        <v>3448</v>
      </c>
      <c r="H288" s="1101" t="s">
        <v>3449</v>
      </c>
      <c r="I288" s="1595" t="str">
        <f>"5-DaHall1-PDU-"&amp;M288&amp;"-"&amp;L288&amp;"-"&amp;N288</f>
        <v>5-DaHall1-PDU-01-30-49</v>
      </c>
      <c r="J288" s="1596" t="str">
        <f t="shared" si="114"/>
        <v>5-DaHall1-PDU-02-30-49</v>
      </c>
      <c r="K288" s="1633">
        <v>220</v>
      </c>
      <c r="L288" s="1634">
        <v>30</v>
      </c>
      <c r="M288" s="2367" t="s">
        <v>6497</v>
      </c>
      <c r="N288" s="1635">
        <v>49</v>
      </c>
      <c r="O288" s="1636">
        <v>220</v>
      </c>
      <c r="P288" s="1637">
        <v>30</v>
      </c>
      <c r="Q288" s="2397" t="s">
        <v>6493</v>
      </c>
      <c r="R288" s="1638">
        <v>49</v>
      </c>
      <c r="S288" s="3734" t="s">
        <v>2828</v>
      </c>
      <c r="T288" s="3719" t="s">
        <v>2829</v>
      </c>
      <c r="U288" s="3722" t="s">
        <v>2830</v>
      </c>
      <c r="V288" s="3725" t="s">
        <v>2831</v>
      </c>
      <c r="W288" s="3722" t="s">
        <v>2484</v>
      </c>
      <c r="X288" s="3725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41">
        <f t="shared" si="120"/>
        <v>0</v>
      </c>
      <c r="AB288" s="2704" t="e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8" s="3117" t="e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8" s="3164"/>
      <c r="AE288" s="3149" t="e">
        <f t="shared" si="112"/>
        <v>#N/A</v>
      </c>
      <c r="AF288" s="2499"/>
      <c r="AH288" s="2351" t="e">
        <f t="shared" si="118"/>
        <v>#N/A</v>
      </c>
      <c r="AI288" s="2351" t="e">
        <f t="shared" si="119"/>
        <v>#N/A</v>
      </c>
      <c r="AJ288" s="123" t="e">
        <f t="shared" si="115"/>
        <v>#N/A</v>
      </c>
      <c r="AK288" t="e">
        <f t="shared" si="116"/>
        <v>#N/A</v>
      </c>
      <c r="AL288" t="e">
        <f t="shared" si="117"/>
        <v>#N/A</v>
      </c>
      <c r="AQ288" s="123"/>
      <c r="AR288" s="123"/>
      <c r="AS288" s="123"/>
      <c r="AT288" s="2982"/>
      <c r="AU288" s="123"/>
      <c r="AV288" s="123"/>
      <c r="AW288" s="2990"/>
      <c r="AX288" s="2984"/>
      <c r="AY288" s="2985"/>
      <c r="AZ288" s="2986"/>
      <c r="BA288" s="2987"/>
      <c r="BB288" s="3194"/>
    </row>
    <row r="289" spans="1:55" ht="28.8" x14ac:dyDescent="0.25">
      <c r="A289" s="2620"/>
      <c r="B289" s="2680" t="s">
        <v>3450</v>
      </c>
      <c r="C289" s="886"/>
      <c r="D289" s="886"/>
      <c r="E289" s="2680" t="s">
        <v>3451</v>
      </c>
      <c r="F289" s="2680" t="s">
        <v>3452</v>
      </c>
      <c r="G289" s="1100" t="s">
        <v>3453</v>
      </c>
      <c r="H289" s="1101" t="s">
        <v>3454</v>
      </c>
      <c r="I289" s="1595" t="str">
        <f>"5-DaHall1-PDU-"&amp;M289&amp;"-"&amp;L289&amp;"-"&amp;N289</f>
        <v>5-DaHall1-PDU-01-30-2</v>
      </c>
      <c r="J289" s="1596" t="str">
        <f t="shared" si="114"/>
        <v>5-DaHall1-PDU-02-30-2</v>
      </c>
      <c r="K289" s="1633">
        <v>220</v>
      </c>
      <c r="L289" s="1634">
        <v>30</v>
      </c>
      <c r="M289" s="2367" t="s">
        <v>6497</v>
      </c>
      <c r="N289" s="1635">
        <v>2</v>
      </c>
      <c r="O289" s="1636">
        <v>220</v>
      </c>
      <c r="P289" s="1637">
        <v>30</v>
      </c>
      <c r="Q289" s="2397" t="s">
        <v>6493</v>
      </c>
      <c r="R289" s="1638">
        <v>2</v>
      </c>
      <c r="S289" s="3729"/>
      <c r="T289" s="3720"/>
      <c r="U289" s="3723"/>
      <c r="V289" s="3726"/>
      <c r="W289" s="3723"/>
      <c r="X289" s="3726"/>
      <c r="Y289" s="834">
        <f>SUM('5층_부하량(월간_AVG)'!N28:P28)</f>
        <v>0</v>
      </c>
      <c r="Z289" s="834">
        <f>SUM('5층_부하량(월간_AVG)'!N58:P58)</f>
        <v>0</v>
      </c>
      <c r="AA289" s="2441">
        <f>SUM(Y289:Z289)</f>
        <v>0</v>
      </c>
      <c r="AB289" s="2704" t="e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9" s="3117" t="e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9" s="3164"/>
      <c r="AE289" s="3149" t="e">
        <f t="shared" si="112"/>
        <v>#N/A</v>
      </c>
      <c r="AF289" s="2499"/>
      <c r="AH289" s="2351" t="e">
        <f t="shared" si="118"/>
        <v>#N/A</v>
      </c>
      <c r="AI289" s="2351" t="e">
        <f t="shared" si="119"/>
        <v>#N/A</v>
      </c>
      <c r="AJ289" s="123" t="e">
        <f t="shared" si="115"/>
        <v>#N/A</v>
      </c>
      <c r="AK289" t="e">
        <f t="shared" si="116"/>
        <v>#N/A</v>
      </c>
      <c r="AL289" t="e">
        <f t="shared" si="117"/>
        <v>#N/A</v>
      </c>
      <c r="AQ289" s="123"/>
      <c r="AR289" s="123"/>
      <c r="AS289" s="123"/>
      <c r="AT289" s="2982"/>
      <c r="AU289" s="123"/>
      <c r="AV289" s="123"/>
      <c r="AW289" s="2990"/>
      <c r="AX289" s="2984"/>
      <c r="AY289" s="2985"/>
      <c r="AZ289" s="2986"/>
      <c r="BA289" s="2987"/>
      <c r="BB289" s="3194"/>
    </row>
    <row r="290" spans="1:55" ht="28.8" x14ac:dyDescent="0.25">
      <c r="A290" s="2620"/>
      <c r="B290" s="2680" t="s">
        <v>3455</v>
      </c>
      <c r="C290" s="886"/>
      <c r="D290" s="886"/>
      <c r="E290" s="2680" t="s">
        <v>3456</v>
      </c>
      <c r="F290" s="2680" t="s">
        <v>3457</v>
      </c>
      <c r="G290" s="1100" t="s">
        <v>3458</v>
      </c>
      <c r="H290" s="1101" t="s">
        <v>3459</v>
      </c>
      <c r="I290" s="1595" t="str">
        <f>"5-DaHall1-PDU-"&amp;M290&amp;"-"&amp;L290&amp;"-"&amp;N290</f>
        <v>5-DaHall1-PDU-01-30-8</v>
      </c>
      <c r="J290" s="1596" t="str">
        <f t="shared" si="114"/>
        <v>5-DaHall1-PDU-02-30-8</v>
      </c>
      <c r="K290" s="1633">
        <v>220</v>
      </c>
      <c r="L290" s="1634">
        <v>30</v>
      </c>
      <c r="M290" s="2367" t="s">
        <v>6497</v>
      </c>
      <c r="N290" s="1635">
        <v>8</v>
      </c>
      <c r="O290" s="1636">
        <v>220</v>
      </c>
      <c r="P290" s="1637">
        <v>30</v>
      </c>
      <c r="Q290" s="2397" t="s">
        <v>6493</v>
      </c>
      <c r="R290" s="1638">
        <v>8</v>
      </c>
      <c r="S290" s="3730"/>
      <c r="T290" s="3721"/>
      <c r="U290" s="3724"/>
      <c r="V290" s="3727"/>
      <c r="W290" s="3724"/>
      <c r="X290" s="3727"/>
      <c r="Y290" s="834">
        <f>SUM('5층_부하량(월간_AVG)'!N31:P31)</f>
        <v>0</v>
      </c>
      <c r="Z290" s="834">
        <f>SUM('5층_부하량(월간_AVG)'!N61:P61)</f>
        <v>0</v>
      </c>
      <c r="AA290" s="2441">
        <f>SUM(Y290:Z290)</f>
        <v>0</v>
      </c>
      <c r="AB290" s="2704" t="e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90" s="3117" t="e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90" s="3164"/>
      <c r="AE290" s="3149" t="e">
        <f t="shared" si="112"/>
        <v>#N/A</v>
      </c>
      <c r="AF290" s="2499"/>
      <c r="AH290" s="2351" t="e">
        <f t="shared" si="118"/>
        <v>#N/A</v>
      </c>
      <c r="AI290" s="2351" t="e">
        <f t="shared" si="119"/>
        <v>#N/A</v>
      </c>
      <c r="AJ290" s="123" t="e">
        <f t="shared" si="115"/>
        <v>#N/A</v>
      </c>
      <c r="AK290" t="e">
        <f t="shared" si="116"/>
        <v>#N/A</v>
      </c>
      <c r="AL290" t="e">
        <f t="shared" si="117"/>
        <v>#N/A</v>
      </c>
      <c r="AQ290" s="123"/>
      <c r="AR290" s="123"/>
      <c r="AS290" s="123"/>
      <c r="AT290" s="2982"/>
      <c r="AU290" s="123"/>
      <c r="AV290" s="123"/>
      <c r="AW290" s="2990"/>
      <c r="AX290" s="2984"/>
      <c r="AY290" s="2985"/>
      <c r="AZ290" s="2986"/>
      <c r="BA290" s="2987"/>
      <c r="BB290" s="3194"/>
    </row>
    <row r="291" spans="1:55" ht="27.75" customHeight="1" x14ac:dyDescent="0.25">
      <c r="A291" s="1083"/>
      <c r="B291" s="2680" t="s">
        <v>3460</v>
      </c>
      <c r="C291" s="886"/>
      <c r="D291" s="886"/>
      <c r="E291" s="2680" t="s">
        <v>3461</v>
      </c>
      <c r="F291" s="2680" t="s">
        <v>3462</v>
      </c>
      <c r="G291" s="2678" t="s">
        <v>3463</v>
      </c>
      <c r="H291" s="2674" t="s">
        <v>3464</v>
      </c>
      <c r="I291" s="1595" t="str">
        <f>"5-DaHall1-PDU-"&amp;M291&amp;"-"&amp;L291&amp;"-"&amp;N291</f>
        <v>5-DaHall1-PDU-01-30-27</v>
      </c>
      <c r="J291" s="1596" t="str">
        <f t="shared" si="114"/>
        <v>5-DaHall1-PDU-02-30-27</v>
      </c>
      <c r="K291" s="1558">
        <v>220</v>
      </c>
      <c r="L291" s="1559">
        <v>30</v>
      </c>
      <c r="M291" s="2364" t="s">
        <v>6497</v>
      </c>
      <c r="N291" s="1560">
        <v>27</v>
      </c>
      <c r="O291" s="1561">
        <v>220</v>
      </c>
      <c r="P291" s="1562">
        <v>30</v>
      </c>
      <c r="Q291" s="2394" t="s">
        <v>6493</v>
      </c>
      <c r="R291" s="1563">
        <v>27</v>
      </c>
      <c r="S291" s="3735" t="s">
        <v>2828</v>
      </c>
      <c r="T291" s="3737" t="s">
        <v>2829</v>
      </c>
      <c r="U291" s="3739" t="s">
        <v>2830</v>
      </c>
      <c r="V291" s="3741" t="s">
        <v>2831</v>
      </c>
      <c r="W291" s="3739" t="s">
        <v>2484</v>
      </c>
      <c r="X291" s="3741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41">
        <f t="shared" ref="AA291:AA309" si="121">SUM(Y291:Z291)</f>
        <v>0</v>
      </c>
      <c r="AB291" s="2704" t="e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1" s="3117" t="e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1" s="3164"/>
      <c r="AE291" s="3149" t="e">
        <f t="shared" si="112"/>
        <v>#N/A</v>
      </c>
      <c r="AF291" s="2499"/>
      <c r="AH291" s="2351" t="e">
        <f t="shared" si="118"/>
        <v>#N/A</v>
      </c>
      <c r="AI291" s="2351" t="e">
        <f t="shared" si="119"/>
        <v>#N/A</v>
      </c>
      <c r="AJ291" s="123" t="e">
        <f t="shared" si="115"/>
        <v>#N/A</v>
      </c>
      <c r="AK291" t="e">
        <f t="shared" si="116"/>
        <v>#N/A</v>
      </c>
      <c r="AL291" t="e">
        <f t="shared" si="117"/>
        <v>#N/A</v>
      </c>
      <c r="AQ291" s="123"/>
      <c r="AR291" s="123"/>
      <c r="AS291" s="123"/>
      <c r="AT291" s="2982"/>
      <c r="AU291" s="123"/>
      <c r="AV291" s="123"/>
      <c r="AW291" s="2990"/>
      <c r="AX291" s="2984"/>
      <c r="AY291" s="2985"/>
      <c r="AZ291" s="2986"/>
      <c r="BA291" s="2987"/>
      <c r="BB291" s="3194"/>
    </row>
    <row r="292" spans="1:55" ht="29.4" thickBot="1" x14ac:dyDescent="0.3">
      <c r="A292" s="1084"/>
      <c r="B292" s="839" t="s">
        <v>3210</v>
      </c>
      <c r="C292" s="972"/>
      <c r="D292" s="972"/>
      <c r="E292" s="839" t="s">
        <v>3465</v>
      </c>
      <c r="F292" s="839" t="s">
        <v>3466</v>
      </c>
      <c r="G292" s="2679" t="s">
        <v>3467</v>
      </c>
      <c r="H292" s="2675" t="s">
        <v>3468</v>
      </c>
      <c r="I292" s="1597" t="str">
        <f>"5-DaHall1-PDU-"&amp;M292&amp;"-"&amp;L292&amp;"-"&amp;N292</f>
        <v>5-DaHall1-PDU-01-30-29</v>
      </c>
      <c r="J292" s="1598" t="str">
        <f t="shared" si="114"/>
        <v>5-DaHall1-PDU-02-30-29</v>
      </c>
      <c r="K292" s="1568">
        <v>220</v>
      </c>
      <c r="L292" s="1569">
        <v>30</v>
      </c>
      <c r="M292" s="2365" t="s">
        <v>6497</v>
      </c>
      <c r="N292" s="1570">
        <v>29</v>
      </c>
      <c r="O292" s="1571">
        <v>220</v>
      </c>
      <c r="P292" s="1572">
        <v>30</v>
      </c>
      <c r="Q292" s="2395" t="s">
        <v>6493</v>
      </c>
      <c r="R292" s="1573">
        <v>29</v>
      </c>
      <c r="S292" s="3736"/>
      <c r="T292" s="3738"/>
      <c r="U292" s="3740"/>
      <c r="V292" s="3742"/>
      <c r="W292" s="3740"/>
      <c r="X292" s="3742"/>
      <c r="Y292" s="850">
        <f>SUM('5층_부하량(월간_AVG)'!D42:F42)</f>
        <v>0</v>
      </c>
      <c r="Z292" s="850">
        <f>SUM('5층_부하량(월간_AVG)'!D72:F72)</f>
        <v>0</v>
      </c>
      <c r="AA292" s="2440">
        <f t="shared" si="121"/>
        <v>0</v>
      </c>
      <c r="AB292" s="2717" t="e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2" s="3129" t="e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2" s="3169"/>
      <c r="AE292" s="3153" t="e">
        <f>SUM(AB292:AC292)</f>
        <v>#N/A</v>
      </c>
      <c r="AF292" s="2502" t="s">
        <v>3028</v>
      </c>
      <c r="AH292" s="2351" t="e">
        <f t="shared" si="118"/>
        <v>#N/A</v>
      </c>
      <c r="AI292" s="2351" t="e">
        <f t="shared" si="119"/>
        <v>#N/A</v>
      </c>
      <c r="AJ292" s="123" t="e">
        <f t="shared" si="115"/>
        <v>#N/A</v>
      </c>
      <c r="AK292" t="e">
        <f t="shared" si="116"/>
        <v>#N/A</v>
      </c>
      <c r="AL292" t="e">
        <f t="shared" si="117"/>
        <v>#N/A</v>
      </c>
      <c r="AQ292" s="123"/>
      <c r="AR292" s="123"/>
      <c r="AS292" s="123"/>
      <c r="AT292" s="2982"/>
      <c r="AU292" s="123"/>
      <c r="AV292" s="123"/>
      <c r="AW292" s="2990"/>
      <c r="AX292" s="2984"/>
      <c r="AY292" s="2985"/>
      <c r="AZ292" s="2986"/>
      <c r="BA292" s="2987"/>
      <c r="BB292" s="3194"/>
    </row>
    <row r="293" spans="1:55" ht="58.8" thickTop="1" thickBot="1" x14ac:dyDescent="0.3">
      <c r="A293" s="1116"/>
      <c r="B293" s="1094"/>
      <c r="C293" s="1117"/>
      <c r="D293" s="1117"/>
      <c r="E293" s="1118"/>
      <c r="F293" s="1095"/>
      <c r="G293" s="1118"/>
      <c r="H293" s="1096" t="s">
        <v>3469</v>
      </c>
      <c r="I293" s="1674"/>
      <c r="J293" s="1675" t="str">
        <f t="shared" si="114"/>
        <v>5-DaHall1-PDU-14-20-32</v>
      </c>
      <c r="K293" s="1676"/>
      <c r="L293" s="1677"/>
      <c r="M293" s="1118"/>
      <c r="N293" s="1678"/>
      <c r="O293" s="1679">
        <v>220</v>
      </c>
      <c r="P293" s="1680">
        <v>20</v>
      </c>
      <c r="Q293" s="2410" t="s">
        <v>6549</v>
      </c>
      <c r="R293" s="1681">
        <v>32</v>
      </c>
      <c r="S293" s="1118"/>
      <c r="T293" s="1096" t="s">
        <v>2639</v>
      </c>
      <c r="U293" s="1118"/>
      <c r="V293" s="1119" t="s">
        <v>2640</v>
      </c>
      <c r="W293" s="1118"/>
      <c r="X293" s="1119" t="s">
        <v>2485</v>
      </c>
      <c r="Y293" s="1118"/>
      <c r="Z293" s="1120">
        <f>SUM('5층_부하량(월간_AVG)'!N410:P410)</f>
        <v>0</v>
      </c>
      <c r="AA293" s="2449">
        <f t="shared" si="121"/>
        <v>0</v>
      </c>
      <c r="AB293" s="2751"/>
      <c r="AC293" s="3135" t="e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3" s="3174" t="e">
        <f>VLOOKUP(I293&amp;J293,'7층~4층_매핑테이블'!$I$6:$P$2020,8,0)</f>
        <v>#N/A</v>
      </c>
      <c r="AE293" s="3152" t="e">
        <f>SUM(AB293:AC293)</f>
        <v>#N/A</v>
      </c>
      <c r="AF293" s="2507"/>
      <c r="AH293" s="2351" t="e">
        <f t="shared" si="118"/>
        <v>#N/A</v>
      </c>
      <c r="AI293" s="2351" t="e">
        <f t="shared" si="119"/>
        <v>#N/A</v>
      </c>
      <c r="AJ293" s="123" t="e">
        <f t="shared" si="115"/>
        <v>#N/A</v>
      </c>
      <c r="AK293" t="e">
        <f t="shared" si="116"/>
        <v>#N/A</v>
      </c>
      <c r="AL293" t="e">
        <f t="shared" si="117"/>
        <v>#N/A</v>
      </c>
      <c r="AQ293" s="123"/>
      <c r="AR293" s="123"/>
      <c r="AS293" s="123"/>
      <c r="AT293" s="2982"/>
      <c r="AU293" s="123"/>
      <c r="AV293" s="123"/>
      <c r="AW293" s="2990"/>
      <c r="AX293" s="2984"/>
      <c r="AY293" s="2985"/>
      <c r="AZ293" s="2986"/>
      <c r="BA293" s="2987"/>
      <c r="BB293" s="3194"/>
    </row>
    <row r="294" spans="1:55" s="350" customFormat="1" ht="70.2" thickTop="1" x14ac:dyDescent="0.25">
      <c r="A294" s="3743"/>
      <c r="B294" s="3745" t="s">
        <v>3470</v>
      </c>
      <c r="C294" s="1373" t="s">
        <v>9307</v>
      </c>
      <c r="D294" s="3756">
        <v>22</v>
      </c>
      <c r="E294" s="1374" t="s">
        <v>2733</v>
      </c>
      <c r="F294" s="1374" t="s">
        <v>2733</v>
      </c>
      <c r="G294" s="1211" t="s">
        <v>2733</v>
      </c>
      <c r="H294" s="1375" t="s">
        <v>2733</v>
      </c>
      <c r="I294" s="1682"/>
      <c r="J294" s="1683"/>
      <c r="K294" s="1684"/>
      <c r="L294" s="1685"/>
      <c r="M294" s="1211" t="s">
        <v>2733</v>
      </c>
      <c r="N294" s="1686" t="s">
        <v>2733</v>
      </c>
      <c r="O294" s="1687"/>
      <c r="P294" s="1688"/>
      <c r="Q294" s="1375" t="s">
        <v>2733</v>
      </c>
      <c r="R294" s="1689" t="s">
        <v>2733</v>
      </c>
      <c r="S294" s="1211" t="s">
        <v>3471</v>
      </c>
      <c r="T294" s="1376"/>
      <c r="U294" s="1211" t="s">
        <v>3472</v>
      </c>
      <c r="V294" s="1376"/>
      <c r="W294" s="1211" t="s">
        <v>2484</v>
      </c>
      <c r="X294" s="1376"/>
      <c r="Y294" s="1109">
        <f>SUM('5층_부하량(월간_AVG)'!N463:P463)</f>
        <v>0</v>
      </c>
      <c r="Z294" s="874"/>
      <c r="AA294" s="2467">
        <f t="shared" si="121"/>
        <v>0</v>
      </c>
      <c r="AB294" s="2689"/>
      <c r="AC294" s="3108"/>
      <c r="AD294" s="3167"/>
      <c r="AE294" s="3143"/>
      <c r="AF294" s="3747" t="s">
        <v>9309</v>
      </c>
      <c r="AH294" s="2351">
        <f t="shared" si="118"/>
        <v>0</v>
      </c>
      <c r="AI294" s="2351">
        <f t="shared" si="119"/>
        <v>22</v>
      </c>
      <c r="AJ294" s="123" t="str">
        <f t="shared" si="115"/>
        <v>무부하 랙</v>
      </c>
      <c r="AK294" t="str">
        <f t="shared" si="116"/>
        <v/>
      </c>
      <c r="AL294" t="str">
        <f t="shared" si="117"/>
        <v/>
      </c>
      <c r="AQ294" s="123"/>
      <c r="AR294" s="123"/>
      <c r="AS294" s="123"/>
      <c r="AT294" s="2982"/>
      <c r="AU294" s="123"/>
      <c r="AV294" s="123"/>
      <c r="AW294" s="2990"/>
      <c r="AX294" s="2984"/>
      <c r="AY294" s="2985"/>
      <c r="AZ294" s="2986"/>
      <c r="BA294" s="2987"/>
      <c r="BB294" s="3194"/>
      <c r="BC294" s="2989"/>
    </row>
    <row r="295" spans="1:55" s="350" customFormat="1" ht="69.599999999999994" x14ac:dyDescent="0.25">
      <c r="A295" s="3744"/>
      <c r="B295" s="3746"/>
      <c r="C295" s="1377" t="s">
        <v>9308</v>
      </c>
      <c r="D295" s="3704"/>
      <c r="E295" s="1378" t="s">
        <v>2733</v>
      </c>
      <c r="F295" s="1378" t="s">
        <v>2733</v>
      </c>
      <c r="G295" s="2667" t="s">
        <v>2733</v>
      </c>
      <c r="H295" s="2670" t="s">
        <v>2733</v>
      </c>
      <c r="I295" s="1690"/>
      <c r="J295" s="1691"/>
      <c r="K295" s="1692"/>
      <c r="L295" s="1693"/>
      <c r="M295" s="2667" t="s">
        <v>2733</v>
      </c>
      <c r="N295" s="1694" t="s">
        <v>2733</v>
      </c>
      <c r="O295" s="1695"/>
      <c r="P295" s="1696"/>
      <c r="Q295" s="2670" t="s">
        <v>2733</v>
      </c>
      <c r="R295" s="1697" t="s">
        <v>2733</v>
      </c>
      <c r="S295" s="1379"/>
      <c r="T295" s="2670" t="s">
        <v>3473</v>
      </c>
      <c r="U295" s="1379"/>
      <c r="V295" s="2670" t="s">
        <v>3474</v>
      </c>
      <c r="W295" s="1379"/>
      <c r="X295" s="1380" t="s">
        <v>3475</v>
      </c>
      <c r="Y295" s="2918"/>
      <c r="Z295" s="1365">
        <f>SUM('5층_부하량(월간_AVG)'!N484:P484)</f>
        <v>0</v>
      </c>
      <c r="AA295" s="2468">
        <f t="shared" si="121"/>
        <v>0</v>
      </c>
      <c r="AB295" s="2753"/>
      <c r="AC295" s="3136"/>
      <c r="AD295" s="3175"/>
      <c r="AE295" s="3158"/>
      <c r="AF295" s="3748"/>
      <c r="AH295" s="2351">
        <f t="shared" si="118"/>
        <v>0</v>
      </c>
      <c r="AI295" s="2351">
        <f t="shared" si="119"/>
        <v>0</v>
      </c>
      <c r="AJ295" s="123" t="str">
        <f t="shared" si="115"/>
        <v>무부하 랙</v>
      </c>
      <c r="AK295" t="str">
        <f t="shared" si="116"/>
        <v/>
      </c>
      <c r="AL295" t="str">
        <f t="shared" si="117"/>
        <v/>
      </c>
      <c r="AQ295" s="123"/>
      <c r="AR295" s="123"/>
      <c r="AS295" s="123"/>
      <c r="AT295" s="2982"/>
      <c r="AU295" s="123"/>
      <c r="AV295" s="123"/>
      <c r="AW295" s="2990"/>
      <c r="AX295" s="2984"/>
      <c r="AY295" s="2985"/>
      <c r="AZ295" s="2986"/>
      <c r="BA295" s="2987"/>
      <c r="BB295" s="3194"/>
      <c r="BC295" s="2989"/>
    </row>
    <row r="296" spans="1:55" s="350" customFormat="1" ht="54.75" customHeight="1" x14ac:dyDescent="0.25">
      <c r="A296" s="2671"/>
      <c r="B296" s="3749" t="s">
        <v>3476</v>
      </c>
      <c r="C296" s="1381" t="s">
        <v>3477</v>
      </c>
      <c r="D296" s="3704"/>
      <c r="E296" s="1382" t="s">
        <v>3478</v>
      </c>
      <c r="F296" s="1382" t="s">
        <v>3479</v>
      </c>
      <c r="G296" s="1383" t="s">
        <v>3480</v>
      </c>
      <c r="H296" s="2661" t="s">
        <v>3481</v>
      </c>
      <c r="I296" s="1698" t="str">
        <f>"5-DaHall1-PDU-"&amp;M296&amp;"-"&amp;L296&amp;"-"&amp;N296</f>
        <v>5-DaHall1-PDU-15-30-13</v>
      </c>
      <c r="J296" s="1699" t="str">
        <f>"5-DaHall1-PDU-"&amp;Q296&amp;"-"&amp;P296&amp;"-"&amp;R296</f>
        <v>5-DaHall1-PDU-16-30-13</v>
      </c>
      <c r="K296" s="1700">
        <v>220</v>
      </c>
      <c r="L296" s="1701">
        <v>30</v>
      </c>
      <c r="M296" s="2385" t="s">
        <v>6543</v>
      </c>
      <c r="N296" s="1702">
        <v>13</v>
      </c>
      <c r="O296" s="1703">
        <v>220</v>
      </c>
      <c r="P296" s="1704">
        <v>30</v>
      </c>
      <c r="Q296" s="2411" t="s">
        <v>6550</v>
      </c>
      <c r="R296" s="1705">
        <v>13</v>
      </c>
      <c r="S296" s="3751" t="s">
        <v>2568</v>
      </c>
      <c r="T296" s="2661" t="s">
        <v>2569</v>
      </c>
      <c r="U296" s="3751" t="s">
        <v>2570</v>
      </c>
      <c r="V296" s="2661" t="s">
        <v>3482</v>
      </c>
      <c r="W296" s="3751" t="s">
        <v>3483</v>
      </c>
      <c r="X296" s="2663" t="s">
        <v>3475</v>
      </c>
      <c r="Y296" s="1366">
        <f>SUM('5층_부하량(월간_AVG)'!D362:F362)</f>
        <v>0</v>
      </c>
      <c r="Z296" s="253">
        <f>SUM('5층_부하량(월간_AVG)'!D421:F421)</f>
        <v>0</v>
      </c>
      <c r="AA296" s="2469">
        <f t="shared" si="121"/>
        <v>0</v>
      </c>
      <c r="AB296" s="2691" t="e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6" s="3109" t="e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6" s="3162" t="e">
        <f>VLOOKUP(I296&amp;J296,'7층~4층_매핑테이블'!$I$6:$P$2020,8,0)</f>
        <v>#N/A</v>
      </c>
      <c r="AE296" s="3144" t="e">
        <f t="shared" ref="AE296:AE305" si="122">SUM(AB296:AC296)</f>
        <v>#N/A</v>
      </c>
      <c r="AF296" s="2508"/>
      <c r="AH296" s="2351" t="e">
        <f t="shared" si="118"/>
        <v>#N/A</v>
      </c>
      <c r="AI296" s="2351" t="e">
        <f t="shared" si="119"/>
        <v>#N/A</v>
      </c>
      <c r="AJ296" s="123" t="e">
        <f t="shared" si="115"/>
        <v>#N/A</v>
      </c>
      <c r="AK296" t="e">
        <f t="shared" si="116"/>
        <v>#N/A</v>
      </c>
      <c r="AL296" t="e">
        <f t="shared" si="117"/>
        <v>#N/A</v>
      </c>
      <c r="AQ296" s="123"/>
      <c r="AR296" s="123"/>
      <c r="AS296" s="123"/>
      <c r="AT296" s="2982"/>
      <c r="AU296" s="123"/>
      <c r="AV296" s="123"/>
      <c r="AW296" s="2990"/>
      <c r="AX296" s="2984"/>
      <c r="AY296" s="2985"/>
      <c r="AZ296" s="2986"/>
      <c r="BA296" s="2987"/>
      <c r="BB296" s="3194"/>
      <c r="BC296" s="2989"/>
    </row>
    <row r="297" spans="1:55" s="350" customFormat="1" ht="34.799999999999997" x14ac:dyDescent="0.25">
      <c r="A297" s="2671"/>
      <c r="B297" s="3749"/>
      <c r="C297" s="1381" t="s">
        <v>3484</v>
      </c>
      <c r="D297" s="3704"/>
      <c r="E297" s="1382" t="s">
        <v>3485</v>
      </c>
      <c r="F297" s="1384"/>
      <c r="G297" s="2230" t="s">
        <v>3486</v>
      </c>
      <c r="H297" s="1384"/>
      <c r="I297" s="1698" t="str">
        <f>"5-DaHall1-PDU-"&amp;M297&amp;"-"&amp;L297&amp;"-"&amp;N297</f>
        <v>5-DaHall1-PDU-15-20-23</v>
      </c>
      <c r="J297" s="1706"/>
      <c r="K297" s="1700">
        <v>220</v>
      </c>
      <c r="L297" s="1701">
        <v>20</v>
      </c>
      <c r="M297" s="2385" t="s">
        <v>6543</v>
      </c>
      <c r="N297" s="1702">
        <v>23</v>
      </c>
      <c r="O297" s="1707"/>
      <c r="P297" s="1708"/>
      <c r="Q297" s="1384"/>
      <c r="R297" s="1709"/>
      <c r="S297" s="3751"/>
      <c r="T297" s="1384"/>
      <c r="U297" s="3751"/>
      <c r="V297" s="1384"/>
      <c r="W297" s="3751"/>
      <c r="X297" s="1384"/>
      <c r="Y297" s="1366">
        <f>SUM('5층_부하량(월간_AVG)'!D367:F367)</f>
        <v>0</v>
      </c>
      <c r="Z297" s="253"/>
      <c r="AA297" s="2469">
        <f t="shared" si="121"/>
        <v>0</v>
      </c>
      <c r="AB297" s="2691" t="e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7" s="3109"/>
      <c r="AD297" s="3162" t="e">
        <f>VLOOKUP(I297&amp;J297,'7층~4층_매핑테이블'!$I$6:$P$2020,8,0)</f>
        <v>#N/A</v>
      </c>
      <c r="AE297" s="3144" t="e">
        <f t="shared" si="122"/>
        <v>#N/A</v>
      </c>
      <c r="AF297" s="2508"/>
      <c r="AH297" s="2351" t="e">
        <f t="shared" si="118"/>
        <v>#N/A</v>
      </c>
      <c r="AI297" s="2351" t="e">
        <f t="shared" si="119"/>
        <v>#N/A</v>
      </c>
      <c r="AJ297" s="123" t="e">
        <f t="shared" si="115"/>
        <v>#N/A</v>
      </c>
      <c r="AK297" t="e">
        <f t="shared" si="116"/>
        <v>#N/A</v>
      </c>
      <c r="AL297" t="e">
        <f t="shared" si="117"/>
        <v>#N/A</v>
      </c>
      <c r="AQ297" s="123"/>
      <c r="AR297" s="123"/>
      <c r="AS297" s="123"/>
      <c r="AT297" s="2982"/>
      <c r="AU297" s="123"/>
      <c r="AV297" s="123"/>
      <c r="AW297" s="2990"/>
      <c r="AX297" s="2984"/>
      <c r="AY297" s="2985"/>
      <c r="AZ297" s="2986"/>
      <c r="BA297" s="2987"/>
      <c r="BB297" s="3194"/>
      <c r="BC297" s="2989"/>
    </row>
    <row r="298" spans="1:55" s="350" customFormat="1" ht="34.799999999999997" x14ac:dyDescent="0.25">
      <c r="A298" s="2671"/>
      <c r="B298" s="3749"/>
      <c r="C298" s="1381" t="s">
        <v>3487</v>
      </c>
      <c r="D298" s="3704"/>
      <c r="E298" s="1382" t="s">
        <v>3488</v>
      </c>
      <c r="F298" s="1384"/>
      <c r="G298" s="2231" t="s">
        <v>3489</v>
      </c>
      <c r="H298" s="1384"/>
      <c r="I298" s="1698" t="str">
        <f>"5-DaHall1-PDU-"&amp;M298&amp;"-"&amp;L298&amp;"-"&amp;N298</f>
        <v>5-DaHall1-PDU-15-20-29</v>
      </c>
      <c r="J298" s="1706"/>
      <c r="K298" s="1700">
        <v>220</v>
      </c>
      <c r="L298" s="1701">
        <v>20</v>
      </c>
      <c r="M298" s="2385" t="s">
        <v>6543</v>
      </c>
      <c r="N298" s="1702">
        <v>29</v>
      </c>
      <c r="O298" s="1707"/>
      <c r="P298" s="1708"/>
      <c r="Q298" s="1384"/>
      <c r="R298" s="1709"/>
      <c r="S298" s="3751"/>
      <c r="T298" s="1384"/>
      <c r="U298" s="3751"/>
      <c r="V298" s="1384"/>
      <c r="W298" s="3751"/>
      <c r="X298" s="1384"/>
      <c r="Y298" s="1366">
        <f>SUM('5층_부하량(월간_AVG)'!D370:F370)</f>
        <v>0</v>
      </c>
      <c r="Z298" s="253"/>
      <c r="AA298" s="2469">
        <f t="shared" si="121"/>
        <v>0</v>
      </c>
      <c r="AB298" s="2691" t="e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8" s="3109"/>
      <c r="AD298" s="3162" t="e">
        <f>VLOOKUP(I298&amp;J298,'7층~4층_매핑테이블'!$I$6:$P$2020,8,0)</f>
        <v>#N/A</v>
      </c>
      <c r="AE298" s="3144" t="e">
        <f t="shared" si="122"/>
        <v>#N/A</v>
      </c>
      <c r="AF298" s="2508"/>
      <c r="AH298" s="2351" t="e">
        <f t="shared" si="118"/>
        <v>#N/A</v>
      </c>
      <c r="AI298" s="2351" t="e">
        <f t="shared" si="119"/>
        <v>#N/A</v>
      </c>
      <c r="AJ298" s="123" t="e">
        <f t="shared" si="115"/>
        <v>#N/A</v>
      </c>
      <c r="AK298" t="e">
        <f t="shared" si="116"/>
        <v>#N/A</v>
      </c>
      <c r="AL298" t="e">
        <f t="shared" si="117"/>
        <v>#N/A</v>
      </c>
      <c r="AQ298" s="123"/>
      <c r="AR298" s="123"/>
      <c r="AS298" s="123"/>
      <c r="AT298" s="2982"/>
      <c r="AU298" s="123"/>
      <c r="AV298" s="123"/>
      <c r="AW298" s="2990"/>
      <c r="AX298" s="2984"/>
      <c r="AY298" s="2985"/>
      <c r="AZ298" s="2986"/>
      <c r="BA298" s="2987"/>
      <c r="BB298" s="3194"/>
      <c r="BC298" s="2989"/>
    </row>
    <row r="299" spans="1:55" s="350" customFormat="1" ht="69.599999999999994" x14ac:dyDescent="0.25">
      <c r="A299" s="2671"/>
      <c r="B299" s="3749"/>
      <c r="C299" s="1381" t="s">
        <v>3490</v>
      </c>
      <c r="D299" s="3704"/>
      <c r="E299" s="1385"/>
      <c r="F299" s="1382" t="s">
        <v>3491</v>
      </c>
      <c r="G299" s="1385"/>
      <c r="H299" s="2661" t="s">
        <v>3492</v>
      </c>
      <c r="I299" s="1710"/>
      <c r="J299" s="1699" t="str">
        <f t="shared" ref="J299:J307" si="123">"5-DaHall1-PDU-"&amp;Q299&amp;"-"&amp;P299&amp;"-"&amp;R299</f>
        <v>5-DaHall1-PDU-16-20-15</v>
      </c>
      <c r="K299" s="1711"/>
      <c r="L299" s="1712"/>
      <c r="M299" s="1385"/>
      <c r="N299" s="1713"/>
      <c r="O299" s="1703">
        <v>220</v>
      </c>
      <c r="P299" s="1704">
        <v>20</v>
      </c>
      <c r="Q299" s="2411" t="s">
        <v>6550</v>
      </c>
      <c r="R299" s="1705">
        <v>15</v>
      </c>
      <c r="S299" s="1385"/>
      <c r="T299" s="3752" t="s">
        <v>3493</v>
      </c>
      <c r="U299" s="1385"/>
      <c r="V299" s="3752" t="s">
        <v>2571</v>
      </c>
      <c r="W299" s="1385"/>
      <c r="X299" s="3754" t="s">
        <v>3475</v>
      </c>
      <c r="Y299" s="1366"/>
      <c r="Z299" s="253">
        <f>SUM('5층_부하량(월간_AVG)'!D422:F422)</f>
        <v>0</v>
      </c>
      <c r="AA299" s="2469">
        <f t="shared" si="121"/>
        <v>0</v>
      </c>
      <c r="AB299" s="2691"/>
      <c r="AC299" s="3109" t="e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9" s="3162" t="e">
        <f>VLOOKUP(I299&amp;J299,'7층~4층_매핑테이블'!$I$6:$P$2020,8,0)</f>
        <v>#N/A</v>
      </c>
      <c r="AE299" s="3144" t="e">
        <f t="shared" si="122"/>
        <v>#N/A</v>
      </c>
      <c r="AF299" s="2508"/>
      <c r="AH299" s="2351" t="e">
        <f t="shared" si="118"/>
        <v>#N/A</v>
      </c>
      <c r="AI299" s="2351" t="e">
        <f t="shared" si="119"/>
        <v>#N/A</v>
      </c>
      <c r="AJ299" s="123" t="e">
        <f t="shared" si="115"/>
        <v>#N/A</v>
      </c>
      <c r="AK299" t="e">
        <f t="shared" si="116"/>
        <v>#N/A</v>
      </c>
      <c r="AL299" t="e">
        <f t="shared" si="117"/>
        <v>#N/A</v>
      </c>
      <c r="AQ299" s="123"/>
      <c r="AR299" s="123"/>
      <c r="AS299" s="123"/>
      <c r="AT299" s="2982"/>
      <c r="AU299" s="123"/>
      <c r="AV299" s="123"/>
      <c r="AW299" s="2990"/>
      <c r="AX299" s="2984"/>
      <c r="AY299" s="2985"/>
      <c r="AZ299" s="2986"/>
      <c r="BA299" s="2987"/>
      <c r="BB299" s="3194"/>
      <c r="BC299" s="2989"/>
    </row>
    <row r="300" spans="1:55" s="350" customFormat="1" ht="69.599999999999994" x14ac:dyDescent="0.25">
      <c r="A300" s="2671"/>
      <c r="B300" s="3749"/>
      <c r="C300" s="1381" t="s">
        <v>3494</v>
      </c>
      <c r="D300" s="3704"/>
      <c r="E300" s="1385"/>
      <c r="F300" s="1382" t="s">
        <v>3494</v>
      </c>
      <c r="G300" s="1385"/>
      <c r="H300" s="2661" t="s">
        <v>3495</v>
      </c>
      <c r="I300" s="1710"/>
      <c r="J300" s="1699" t="str">
        <f t="shared" si="123"/>
        <v>5-DaHall1-PDU-16-20-17</v>
      </c>
      <c r="K300" s="1711"/>
      <c r="L300" s="1712"/>
      <c r="M300" s="1385"/>
      <c r="N300" s="1713"/>
      <c r="O300" s="1703">
        <v>220</v>
      </c>
      <c r="P300" s="1704">
        <v>20</v>
      </c>
      <c r="Q300" s="2411" t="s">
        <v>6550</v>
      </c>
      <c r="R300" s="1705">
        <v>17</v>
      </c>
      <c r="S300" s="1385"/>
      <c r="T300" s="3752"/>
      <c r="U300" s="1385"/>
      <c r="V300" s="3752"/>
      <c r="W300" s="1385"/>
      <c r="X300" s="3754"/>
      <c r="Y300" s="1366"/>
      <c r="Z300" s="253">
        <f>SUM('5층_부하량(월간_AVG)'!D423:F423)</f>
        <v>0</v>
      </c>
      <c r="AA300" s="2469">
        <f t="shared" si="121"/>
        <v>0</v>
      </c>
      <c r="AB300" s="2691"/>
      <c r="AC300" s="3109" t="e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300" s="3162" t="e">
        <f>VLOOKUP(I300&amp;J300,'7층~4층_매핑테이블'!$I$6:$P$2020,8,0)</f>
        <v>#N/A</v>
      </c>
      <c r="AE300" s="3144" t="e">
        <f t="shared" si="122"/>
        <v>#N/A</v>
      </c>
      <c r="AF300" s="2508"/>
      <c r="AH300" s="2351" t="e">
        <f t="shared" si="118"/>
        <v>#N/A</v>
      </c>
      <c r="AI300" s="2351" t="e">
        <f t="shared" si="119"/>
        <v>#N/A</v>
      </c>
      <c r="AJ300" s="123" t="e">
        <f t="shared" si="115"/>
        <v>#N/A</v>
      </c>
      <c r="AK300" t="e">
        <f t="shared" si="116"/>
        <v>#N/A</v>
      </c>
      <c r="AL300" t="e">
        <f t="shared" si="117"/>
        <v>#N/A</v>
      </c>
      <c r="AQ300" s="123"/>
      <c r="AR300" s="123"/>
      <c r="AS300" s="123"/>
      <c r="AT300" s="2982"/>
      <c r="AU300" s="123"/>
      <c r="AV300" s="123"/>
      <c r="AW300" s="2990"/>
      <c r="AX300" s="2984"/>
      <c r="AY300" s="2985"/>
      <c r="AZ300" s="2986"/>
      <c r="BA300" s="2987"/>
      <c r="BB300" s="3194"/>
      <c r="BC300" s="2989"/>
    </row>
    <row r="301" spans="1:55" s="350" customFormat="1" ht="69.599999999999994" x14ac:dyDescent="0.25">
      <c r="A301" s="2671"/>
      <c r="B301" s="3749"/>
      <c r="C301" s="1381" t="s">
        <v>3496</v>
      </c>
      <c r="D301" s="3704"/>
      <c r="E301" s="1385"/>
      <c r="F301" s="1382" t="s">
        <v>3496</v>
      </c>
      <c r="G301" s="1385"/>
      <c r="H301" s="2661" t="s">
        <v>3497</v>
      </c>
      <c r="I301" s="1710"/>
      <c r="J301" s="1699" t="str">
        <f t="shared" si="123"/>
        <v>5-DaHall1-PDU-16-20-19</v>
      </c>
      <c r="K301" s="1711"/>
      <c r="L301" s="1712"/>
      <c r="M301" s="1385"/>
      <c r="N301" s="1713"/>
      <c r="O301" s="1703">
        <v>220</v>
      </c>
      <c r="P301" s="1704">
        <v>20</v>
      </c>
      <c r="Q301" s="2411" t="s">
        <v>6550</v>
      </c>
      <c r="R301" s="1705">
        <v>19</v>
      </c>
      <c r="S301" s="1385"/>
      <c r="T301" s="3752"/>
      <c r="U301" s="1385"/>
      <c r="V301" s="3752"/>
      <c r="W301" s="1385"/>
      <c r="X301" s="3754"/>
      <c r="Y301" s="1366"/>
      <c r="Z301" s="253">
        <f>SUM('5층_부하량(월간_AVG)'!D424:F424)</f>
        <v>0</v>
      </c>
      <c r="AA301" s="2469">
        <f t="shared" si="121"/>
        <v>0</v>
      </c>
      <c r="AB301" s="2691"/>
      <c r="AC301" s="3109" t="e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1" s="3162" t="e">
        <f>VLOOKUP(I301&amp;J301,'7층~4층_매핑테이블'!$I$6:$P$2020,8,0)</f>
        <v>#N/A</v>
      </c>
      <c r="AE301" s="3144" t="e">
        <f t="shared" si="122"/>
        <v>#N/A</v>
      </c>
      <c r="AF301" s="2508"/>
      <c r="AH301" s="2351" t="e">
        <f t="shared" si="118"/>
        <v>#N/A</v>
      </c>
      <c r="AI301" s="2351" t="e">
        <f t="shared" si="119"/>
        <v>#N/A</v>
      </c>
      <c r="AJ301" s="123" t="e">
        <f t="shared" si="115"/>
        <v>#N/A</v>
      </c>
      <c r="AK301" t="e">
        <f t="shared" si="116"/>
        <v>#N/A</v>
      </c>
      <c r="AL301" t="e">
        <f t="shared" si="117"/>
        <v>#N/A</v>
      </c>
      <c r="AQ301" s="123"/>
      <c r="AR301" s="123"/>
      <c r="AS301" s="123"/>
      <c r="AT301" s="2982"/>
      <c r="AU301" s="123"/>
      <c r="AV301" s="123"/>
      <c r="AW301" s="2990"/>
      <c r="AX301" s="2984"/>
      <c r="AY301" s="2985"/>
      <c r="AZ301" s="2986"/>
      <c r="BA301" s="2987"/>
      <c r="BB301" s="3194"/>
      <c r="BC301" s="2989"/>
    </row>
    <row r="302" spans="1:55" s="350" customFormat="1" ht="34.799999999999997" x14ac:dyDescent="0.25">
      <c r="A302" s="2671"/>
      <c r="B302" s="3749"/>
      <c r="C302" s="1381" t="s">
        <v>3487</v>
      </c>
      <c r="D302" s="3704"/>
      <c r="E302" s="1385"/>
      <c r="F302" s="1382" t="s">
        <v>3498</v>
      </c>
      <c r="G302" s="1385"/>
      <c r="H302" s="2661" t="s">
        <v>3499</v>
      </c>
      <c r="I302" s="1710"/>
      <c r="J302" s="1699" t="str">
        <f t="shared" si="123"/>
        <v>5-DaHall1-PDU-16-20-23</v>
      </c>
      <c r="K302" s="1711"/>
      <c r="L302" s="1712"/>
      <c r="M302" s="1385"/>
      <c r="N302" s="1713"/>
      <c r="O302" s="1703">
        <v>220</v>
      </c>
      <c r="P302" s="1704">
        <v>20</v>
      </c>
      <c r="Q302" s="2411" t="s">
        <v>6550</v>
      </c>
      <c r="R302" s="1705">
        <v>23</v>
      </c>
      <c r="S302" s="1385"/>
      <c r="T302" s="3752"/>
      <c r="U302" s="1385"/>
      <c r="V302" s="3752"/>
      <c r="W302" s="1385"/>
      <c r="X302" s="3754"/>
      <c r="Y302" s="1366"/>
      <c r="Z302" s="253">
        <f>SUM('5층_부하량(월간_AVG)'!D426:F426)</f>
        <v>0</v>
      </c>
      <c r="AA302" s="2469">
        <f t="shared" si="121"/>
        <v>0</v>
      </c>
      <c r="AB302" s="2691"/>
      <c r="AC302" s="3109" t="e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2" s="3162" t="e">
        <f>VLOOKUP(I302&amp;J302,'7층~4층_매핑테이블'!$I$6:$P$2020,8,0)</f>
        <v>#N/A</v>
      </c>
      <c r="AE302" s="3144" t="e">
        <f t="shared" si="122"/>
        <v>#N/A</v>
      </c>
      <c r="AF302" s="2508"/>
      <c r="AH302" s="2351" t="e">
        <f t="shared" si="118"/>
        <v>#N/A</v>
      </c>
      <c r="AI302" s="2351" t="e">
        <f t="shared" si="119"/>
        <v>#N/A</v>
      </c>
      <c r="AJ302" s="123" t="e">
        <f t="shared" si="115"/>
        <v>#N/A</v>
      </c>
      <c r="AK302" t="e">
        <f t="shared" si="116"/>
        <v>#N/A</v>
      </c>
      <c r="AL302" t="e">
        <f t="shared" si="117"/>
        <v>#N/A</v>
      </c>
      <c r="AQ302" s="123"/>
      <c r="AR302" s="123"/>
      <c r="AS302" s="123"/>
      <c r="AT302" s="2982"/>
      <c r="AU302" s="123"/>
      <c r="AV302" s="123"/>
      <c r="AW302" s="2990"/>
      <c r="AX302" s="2984"/>
      <c r="AY302" s="2985"/>
      <c r="AZ302" s="2986"/>
      <c r="BA302" s="2987"/>
      <c r="BB302" s="3194"/>
      <c r="BC302" s="2989"/>
    </row>
    <row r="303" spans="1:55" s="350" customFormat="1" ht="34.799999999999997" x14ac:dyDescent="0.25">
      <c r="A303" s="2671"/>
      <c r="B303" s="3749"/>
      <c r="C303" s="1381" t="s">
        <v>3484</v>
      </c>
      <c r="D303" s="3704"/>
      <c r="E303" s="1385"/>
      <c r="F303" s="1382"/>
      <c r="G303" s="1385"/>
      <c r="H303" s="2661" t="s">
        <v>3500</v>
      </c>
      <c r="I303" s="1710"/>
      <c r="J303" s="1699" t="str">
        <f t="shared" si="123"/>
        <v>5-DaHall1-PDU-16-20-25</v>
      </c>
      <c r="K303" s="1711"/>
      <c r="L303" s="1712"/>
      <c r="M303" s="1385"/>
      <c r="N303" s="1713"/>
      <c r="O303" s="1703">
        <v>220</v>
      </c>
      <c r="P303" s="1704">
        <v>20</v>
      </c>
      <c r="Q303" s="2411" t="s">
        <v>6550</v>
      </c>
      <c r="R303" s="1705">
        <v>25</v>
      </c>
      <c r="S303" s="1385"/>
      <c r="T303" s="3752"/>
      <c r="U303" s="1385"/>
      <c r="V303" s="3752"/>
      <c r="W303" s="1385"/>
      <c r="X303" s="3754"/>
      <c r="Y303" s="1366"/>
      <c r="Z303" s="253">
        <f>SUM('5층_부하량(월간_AVG)'!D427:F427)</f>
        <v>0</v>
      </c>
      <c r="AA303" s="2469">
        <f t="shared" si="121"/>
        <v>0</v>
      </c>
      <c r="AB303" s="2691"/>
      <c r="AC303" s="3109" t="e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3" s="3162" t="e">
        <f>VLOOKUP(I303&amp;J303,'7층~4층_매핑테이블'!$I$6:$P$2020,8,0)</f>
        <v>#N/A</v>
      </c>
      <c r="AE303" s="3144" t="e">
        <f t="shared" si="122"/>
        <v>#N/A</v>
      </c>
      <c r="AF303" s="2508"/>
      <c r="AH303" s="2351" t="e">
        <f t="shared" si="118"/>
        <v>#N/A</v>
      </c>
      <c r="AI303" s="2351" t="e">
        <f t="shared" si="119"/>
        <v>#N/A</v>
      </c>
      <c r="AJ303" s="123" t="e">
        <f t="shared" si="115"/>
        <v>#N/A</v>
      </c>
      <c r="AK303" t="e">
        <f t="shared" si="116"/>
        <v>#N/A</v>
      </c>
      <c r="AL303" t="e">
        <f t="shared" si="117"/>
        <v>#N/A</v>
      </c>
      <c r="AQ303" s="123"/>
      <c r="AR303" s="123"/>
      <c r="AS303" s="123"/>
      <c r="AT303" s="2982"/>
      <c r="AU303" s="123"/>
      <c r="AV303" s="123"/>
      <c r="AW303" s="2990"/>
      <c r="AX303" s="2984"/>
      <c r="AY303" s="2985"/>
      <c r="AZ303" s="2986"/>
      <c r="BA303" s="2987"/>
      <c r="BB303" s="3194"/>
      <c r="BC303" s="2989"/>
    </row>
    <row r="304" spans="1:55" s="350" customFormat="1" ht="69.599999999999994" x14ac:dyDescent="0.25">
      <c r="A304" s="2671"/>
      <c r="B304" s="3749"/>
      <c r="C304" s="1381" t="s">
        <v>3484</v>
      </c>
      <c r="D304" s="3704"/>
      <c r="E304" s="1385"/>
      <c r="F304" s="1382" t="s">
        <v>3501</v>
      </c>
      <c r="G304" s="1385"/>
      <c r="H304" s="2661" t="s">
        <v>3502</v>
      </c>
      <c r="I304" s="1710"/>
      <c r="J304" s="1699" t="str">
        <f t="shared" si="123"/>
        <v>5-DaHall1-PDU-16-20-27</v>
      </c>
      <c r="K304" s="1711"/>
      <c r="L304" s="1712"/>
      <c r="M304" s="1385"/>
      <c r="N304" s="1713"/>
      <c r="O304" s="1703">
        <v>220</v>
      </c>
      <c r="P304" s="1704">
        <v>20</v>
      </c>
      <c r="Q304" s="2411" t="s">
        <v>6550</v>
      </c>
      <c r="R304" s="1705">
        <v>27</v>
      </c>
      <c r="S304" s="1385"/>
      <c r="T304" s="3752"/>
      <c r="U304" s="1385"/>
      <c r="V304" s="3752"/>
      <c r="W304" s="1385"/>
      <c r="X304" s="3754"/>
      <c r="Y304" s="1366"/>
      <c r="Z304" s="253">
        <f>SUM('5층_부하량(월간_AVG)'!D428:F428)</f>
        <v>0</v>
      </c>
      <c r="AA304" s="2469">
        <f t="shared" si="121"/>
        <v>0</v>
      </c>
      <c r="AB304" s="2691"/>
      <c r="AC304" s="3109" t="e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4" s="3162" t="e">
        <f>VLOOKUP(I304&amp;J304,'7층~4층_매핑테이블'!$I$6:$P$2020,8,0)</f>
        <v>#N/A</v>
      </c>
      <c r="AE304" s="3144" t="e">
        <f t="shared" si="122"/>
        <v>#N/A</v>
      </c>
      <c r="AF304" s="2508"/>
      <c r="AH304" s="2351" t="e">
        <f t="shared" si="118"/>
        <v>#N/A</v>
      </c>
      <c r="AI304" s="2351" t="e">
        <f t="shared" si="119"/>
        <v>#N/A</v>
      </c>
      <c r="AJ304" s="123" t="e">
        <f t="shared" si="115"/>
        <v>#N/A</v>
      </c>
      <c r="AK304" t="e">
        <f t="shared" si="116"/>
        <v>#N/A</v>
      </c>
      <c r="AL304" t="e">
        <f t="shared" si="117"/>
        <v>#N/A</v>
      </c>
      <c r="AQ304" s="123"/>
      <c r="AR304" s="123"/>
      <c r="AS304" s="123"/>
      <c r="AT304" s="2982"/>
      <c r="AU304" s="123"/>
      <c r="AV304" s="123"/>
      <c r="AW304" s="2990"/>
      <c r="AX304" s="2984"/>
      <c r="AY304" s="2985"/>
      <c r="AZ304" s="2986"/>
      <c r="BA304" s="2987"/>
      <c r="BB304" s="3194"/>
      <c r="BC304" s="2989"/>
    </row>
    <row r="305" spans="1:55" s="350" customFormat="1" ht="34.799999999999997" x14ac:dyDescent="0.25">
      <c r="A305" s="2671"/>
      <c r="B305" s="3749"/>
      <c r="C305" s="1381" t="s">
        <v>3484</v>
      </c>
      <c r="D305" s="3704"/>
      <c r="E305" s="1385"/>
      <c r="F305" s="1382" t="s">
        <v>3503</v>
      </c>
      <c r="G305" s="1385"/>
      <c r="H305" s="2661" t="s">
        <v>3504</v>
      </c>
      <c r="I305" s="1710"/>
      <c r="J305" s="1699" t="str">
        <f t="shared" si="123"/>
        <v>5-DaHall1-PDU-16-20-29</v>
      </c>
      <c r="K305" s="1711"/>
      <c r="L305" s="1712"/>
      <c r="M305" s="1385"/>
      <c r="N305" s="1713"/>
      <c r="O305" s="1703">
        <v>220</v>
      </c>
      <c r="P305" s="1704">
        <v>20</v>
      </c>
      <c r="Q305" s="2411" t="s">
        <v>6550</v>
      </c>
      <c r="R305" s="1705">
        <v>29</v>
      </c>
      <c r="S305" s="1385"/>
      <c r="T305" s="3752"/>
      <c r="U305" s="1385"/>
      <c r="V305" s="3752"/>
      <c r="W305" s="1385"/>
      <c r="X305" s="3754"/>
      <c r="Y305" s="1366"/>
      <c r="Z305" s="253">
        <f>SUM('5층_부하량(월간_AVG)'!D429:F429)</f>
        <v>0</v>
      </c>
      <c r="AA305" s="2469">
        <f t="shared" si="121"/>
        <v>0</v>
      </c>
      <c r="AB305" s="2691"/>
      <c r="AC305" s="3109" t="e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5" s="3162" t="e">
        <f>VLOOKUP(I305&amp;J305,'7층~4층_매핑테이블'!$I$6:$P$2020,8,0)</f>
        <v>#N/A</v>
      </c>
      <c r="AE305" s="3144" t="e">
        <f t="shared" si="122"/>
        <v>#N/A</v>
      </c>
      <c r="AF305" s="2508"/>
      <c r="AH305" s="2351" t="e">
        <f t="shared" si="118"/>
        <v>#N/A</v>
      </c>
      <c r="AI305" s="2351" t="e">
        <f t="shared" si="119"/>
        <v>#N/A</v>
      </c>
      <c r="AJ305" s="123" t="e">
        <f t="shared" si="115"/>
        <v>#N/A</v>
      </c>
      <c r="AK305" t="e">
        <f t="shared" si="116"/>
        <v>#N/A</v>
      </c>
      <c r="AL305" t="e">
        <f t="shared" si="117"/>
        <v>#N/A</v>
      </c>
      <c r="AQ305" s="123"/>
      <c r="AR305" s="123"/>
      <c r="AS305" s="123"/>
      <c r="AT305" s="2982"/>
      <c r="AU305" s="123"/>
      <c r="AV305" s="123"/>
      <c r="AW305" s="2990"/>
      <c r="AX305" s="2984"/>
      <c r="AY305" s="2985"/>
      <c r="AZ305" s="2986"/>
      <c r="BA305" s="2987"/>
      <c r="BB305" s="3194"/>
      <c r="BC305" s="2989"/>
    </row>
    <row r="306" spans="1:55" s="350" customFormat="1" ht="34.799999999999997" x14ac:dyDescent="0.25">
      <c r="A306" s="2671"/>
      <c r="B306" s="3749"/>
      <c r="C306" s="1381" t="s">
        <v>3484</v>
      </c>
      <c r="D306" s="3704"/>
      <c r="E306" s="1385"/>
      <c r="F306" s="1382" t="s">
        <v>3505</v>
      </c>
      <c r="G306" s="1385"/>
      <c r="H306" s="2661" t="s">
        <v>3506</v>
      </c>
      <c r="I306" s="1710"/>
      <c r="J306" s="1699" t="str">
        <f t="shared" si="123"/>
        <v>5-DaHall1-PDU-16-20-24</v>
      </c>
      <c r="K306" s="1711"/>
      <c r="L306" s="1712"/>
      <c r="M306" s="1385"/>
      <c r="N306" s="1713"/>
      <c r="O306" s="1703">
        <v>220</v>
      </c>
      <c r="P306" s="1704">
        <v>20</v>
      </c>
      <c r="Q306" s="2411" t="s">
        <v>6550</v>
      </c>
      <c r="R306" s="1705">
        <v>24</v>
      </c>
      <c r="S306" s="1385"/>
      <c r="T306" s="3752"/>
      <c r="U306" s="1385"/>
      <c r="V306" s="3752"/>
      <c r="W306" s="1385"/>
      <c r="X306" s="3754"/>
      <c r="Y306" s="1366"/>
      <c r="Z306" s="253">
        <f>SUM('5층_부하량(월간_AVG)'!N426:P426)</f>
        <v>0</v>
      </c>
      <c r="AA306" s="2469">
        <f t="shared" si="121"/>
        <v>0</v>
      </c>
      <c r="AB306" s="2691"/>
      <c r="AC306" s="3109" t="e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6" s="3162" t="e">
        <f>VLOOKUP(I306&amp;J306,'7층~4층_매핑테이블'!$I$6:$P$2020,8,0)</f>
        <v>#N/A</v>
      </c>
      <c r="AE306" s="3144" t="e">
        <f>SUM(AB306:AC306)</f>
        <v>#N/A</v>
      </c>
      <c r="AF306" s="2508"/>
      <c r="AH306" s="2351" t="e">
        <f t="shared" si="118"/>
        <v>#N/A</v>
      </c>
      <c r="AI306" s="2351" t="e">
        <f t="shared" si="119"/>
        <v>#N/A</v>
      </c>
      <c r="AJ306" s="123" t="e">
        <f t="shared" si="115"/>
        <v>#N/A</v>
      </c>
      <c r="AK306" t="e">
        <f t="shared" si="116"/>
        <v>#N/A</v>
      </c>
      <c r="AL306" t="e">
        <f t="shared" si="117"/>
        <v>#N/A</v>
      </c>
      <c r="AQ306" s="123"/>
      <c r="AR306" s="123"/>
      <c r="AS306" s="123"/>
      <c r="AT306" s="2982"/>
      <c r="AU306" s="123"/>
      <c r="AV306" s="123"/>
      <c r="AW306" s="2990"/>
      <c r="AX306" s="2984"/>
      <c r="AY306" s="2985"/>
      <c r="AZ306" s="2986"/>
      <c r="BA306" s="2987"/>
      <c r="BB306" s="3194"/>
      <c r="BC306" s="2989"/>
    </row>
    <row r="307" spans="1:55" s="350" customFormat="1" ht="35.4" thickBot="1" x14ac:dyDescent="0.3">
      <c r="A307" s="2671"/>
      <c r="B307" s="3750"/>
      <c r="C307" s="1386" t="s">
        <v>3484</v>
      </c>
      <c r="D307" s="3757"/>
      <c r="E307" s="1387"/>
      <c r="F307" s="1388" t="s">
        <v>3507</v>
      </c>
      <c r="G307" s="1387"/>
      <c r="H307" s="2662" t="s">
        <v>3508</v>
      </c>
      <c r="I307" s="1714"/>
      <c r="J307" s="1715" t="str">
        <f t="shared" si="123"/>
        <v>5-DaHall1-PDU-16-20-30</v>
      </c>
      <c r="K307" s="1716"/>
      <c r="L307" s="1717"/>
      <c r="M307" s="1387"/>
      <c r="N307" s="1718"/>
      <c r="O307" s="1719">
        <v>220</v>
      </c>
      <c r="P307" s="1720">
        <v>20</v>
      </c>
      <c r="Q307" s="2412" t="s">
        <v>6550</v>
      </c>
      <c r="R307" s="1721">
        <v>30</v>
      </c>
      <c r="S307" s="1387"/>
      <c r="T307" s="3753"/>
      <c r="U307" s="1387"/>
      <c r="V307" s="3753"/>
      <c r="W307" s="1387"/>
      <c r="X307" s="3755"/>
      <c r="Y307" s="1367"/>
      <c r="Z307" s="329">
        <f>SUM('5층_부하량(월간_AVG)'!N429:P429)</f>
        <v>0</v>
      </c>
      <c r="AA307" s="2470">
        <f t="shared" si="121"/>
        <v>0</v>
      </c>
      <c r="AB307" s="2695"/>
      <c r="AC307" s="3112" t="e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7" s="3170" t="e">
        <f>VLOOKUP(I307&amp;J307,'7층~4층_매핑테이블'!$I$6:$P$2020,8,0)</f>
        <v>#N/A</v>
      </c>
      <c r="AE307" s="3147" t="e">
        <f>SUM(AB307:AC307)</f>
        <v>#N/A</v>
      </c>
      <c r="AF307" s="2509"/>
      <c r="AH307" s="2351" t="e">
        <f t="shared" si="118"/>
        <v>#N/A</v>
      </c>
      <c r="AI307" s="2351" t="e">
        <f t="shared" si="119"/>
        <v>#N/A</v>
      </c>
      <c r="AJ307" s="123" t="e">
        <f t="shared" si="115"/>
        <v>#N/A</v>
      </c>
      <c r="AK307" t="e">
        <f t="shared" si="116"/>
        <v>#N/A</v>
      </c>
      <c r="AL307" t="e">
        <f t="shared" si="117"/>
        <v>#N/A</v>
      </c>
      <c r="AQ307" s="123"/>
      <c r="AR307" s="123"/>
      <c r="AS307" s="123"/>
      <c r="AT307" s="2982"/>
      <c r="AU307" s="123"/>
      <c r="AV307" s="123"/>
      <c r="AW307" s="2990"/>
      <c r="AX307" s="2984"/>
      <c r="AY307" s="2985"/>
      <c r="AZ307" s="2986"/>
      <c r="BA307" s="2987"/>
      <c r="BB307" s="3194"/>
      <c r="BC307" s="2989"/>
    </row>
    <row r="308" spans="1:55" s="350" customFormat="1" ht="55.95" customHeight="1" thickTop="1" x14ac:dyDescent="0.25">
      <c r="A308" s="3743"/>
      <c r="B308" s="3717" t="s">
        <v>3509</v>
      </c>
      <c r="C308" s="2903" t="s">
        <v>9227</v>
      </c>
      <c r="D308" s="3756">
        <v>80</v>
      </c>
      <c r="E308" s="1112" t="s">
        <v>3510</v>
      </c>
      <c r="F308" s="1113" t="s">
        <v>3511</v>
      </c>
      <c r="G308" s="1258" t="s">
        <v>2733</v>
      </c>
      <c r="H308" s="1259" t="s">
        <v>2733</v>
      </c>
      <c r="I308" s="1722"/>
      <c r="J308" s="1723"/>
      <c r="K308" s="1552"/>
      <c r="L308" s="1553"/>
      <c r="M308" s="1258" t="s">
        <v>2733</v>
      </c>
      <c r="N308" s="1724" t="s">
        <v>2733</v>
      </c>
      <c r="O308" s="1725">
        <v>380</v>
      </c>
      <c r="P308" s="1556"/>
      <c r="Q308" s="1259" t="s">
        <v>2733</v>
      </c>
      <c r="R308" s="1726" t="s">
        <v>2733</v>
      </c>
      <c r="S308" s="1114" t="s">
        <v>2733</v>
      </c>
      <c r="T308" s="1115" t="s">
        <v>2733</v>
      </c>
      <c r="U308" s="1211" t="s">
        <v>3512</v>
      </c>
      <c r="V308" s="1212" t="s">
        <v>3513</v>
      </c>
      <c r="W308" s="3762" t="s">
        <v>2484</v>
      </c>
      <c r="X308" s="3765" t="s">
        <v>2485</v>
      </c>
      <c r="Y308" s="1109">
        <f>SUM('5층_부하량(월간_AVG)'!N553:P553)</f>
        <v>0</v>
      </c>
      <c r="Z308" s="1109">
        <f>SUM('5층_부하량(월간_AVG)'!D553:F553)</f>
        <v>0</v>
      </c>
      <c r="AA308" s="2467">
        <f t="shared" si="121"/>
        <v>0</v>
      </c>
      <c r="AB308" s="2689"/>
      <c r="AC308" s="3108"/>
      <c r="AD308" s="3162">
        <f>VLOOKUP(I308&amp;J308,'7층~4층_매핑테이블'!$I$6:$P$2020,8,0)</f>
        <v>0</v>
      </c>
      <c r="AE308" s="3143"/>
      <c r="AF308" s="2754" t="s">
        <v>8734</v>
      </c>
      <c r="AH308" s="2351">
        <f t="shared" si="118"/>
        <v>0</v>
      </c>
      <c r="AI308" s="2351">
        <f t="shared" si="119"/>
        <v>80</v>
      </c>
      <c r="AJ308" s="123" t="str">
        <f t="shared" si="115"/>
        <v>무부하 랙</v>
      </c>
      <c r="AK308" t="str">
        <f t="shared" si="116"/>
        <v/>
      </c>
      <c r="AL308" t="str">
        <f t="shared" si="117"/>
        <v/>
      </c>
      <c r="AQ308" s="123"/>
      <c r="AR308" s="123"/>
      <c r="AS308" s="123"/>
      <c r="AT308" s="2982"/>
      <c r="AU308" s="123"/>
      <c r="AV308" s="123"/>
      <c r="AW308" s="2990"/>
      <c r="AX308" s="2984"/>
      <c r="AY308" s="2985"/>
      <c r="AZ308" s="2986"/>
      <c r="BA308" s="2987"/>
      <c r="BB308" s="3194"/>
      <c r="BC308" s="2989"/>
    </row>
    <row r="309" spans="1:55" s="350" customFormat="1" ht="55.2" customHeight="1" x14ac:dyDescent="0.25">
      <c r="A309" s="3744"/>
      <c r="B309" s="3760"/>
      <c r="C309" s="2904" t="s">
        <v>3515</v>
      </c>
      <c r="D309" s="3704"/>
      <c r="E309" s="2755" t="s">
        <v>3516</v>
      </c>
      <c r="F309" s="1389" t="s">
        <v>3517</v>
      </c>
      <c r="G309" s="2666" t="s">
        <v>2733</v>
      </c>
      <c r="H309" s="2668" t="s">
        <v>2733</v>
      </c>
      <c r="I309" s="1727"/>
      <c r="J309" s="1728"/>
      <c r="K309" s="1558"/>
      <c r="L309" s="1559"/>
      <c r="M309" s="2666" t="s">
        <v>2733</v>
      </c>
      <c r="N309" s="1729" t="s">
        <v>2733</v>
      </c>
      <c r="O309" s="1672">
        <v>380</v>
      </c>
      <c r="P309" s="1562"/>
      <c r="Q309" s="2668" t="s">
        <v>2733</v>
      </c>
      <c r="R309" s="1730" t="s">
        <v>2733</v>
      </c>
      <c r="S309" s="1390" t="s">
        <v>2733</v>
      </c>
      <c r="T309" s="1391" t="s">
        <v>2733</v>
      </c>
      <c r="U309" s="1383" t="s">
        <v>3518</v>
      </c>
      <c r="V309" s="2661" t="s">
        <v>3519</v>
      </c>
      <c r="W309" s="3763"/>
      <c r="X309" s="3766"/>
      <c r="Y309" s="1368">
        <f>SUM('5층_부하량(월간_AVG)'!N554:P554)</f>
        <v>0</v>
      </c>
      <c r="Z309" s="1368">
        <f>SUM('5층_부하량(월간_AVG)'!D554:F554)</f>
        <v>0</v>
      </c>
      <c r="AA309" s="2469">
        <f t="shared" si="121"/>
        <v>0</v>
      </c>
      <c r="AB309" s="2691"/>
      <c r="AC309" s="3109"/>
      <c r="AD309" s="3162">
        <f>VLOOKUP(I309&amp;J309,'7층~4층_매핑테이블'!$I$6:$P$2020,8,0)</f>
        <v>0</v>
      </c>
      <c r="AE309" s="3144"/>
      <c r="AF309" s="2756" t="s">
        <v>8735</v>
      </c>
      <c r="AH309" s="2351">
        <f t="shared" si="118"/>
        <v>0</v>
      </c>
      <c r="AI309" s="2351">
        <f t="shared" si="119"/>
        <v>0</v>
      </c>
      <c r="AJ309" s="123" t="str">
        <f t="shared" si="115"/>
        <v>무부하 랙</v>
      </c>
      <c r="AK309" t="str">
        <f t="shared" si="116"/>
        <v/>
      </c>
      <c r="AL309" t="str">
        <f t="shared" si="117"/>
        <v/>
      </c>
      <c r="AQ309" s="123"/>
      <c r="AR309" s="123"/>
      <c r="AS309" s="123"/>
      <c r="AT309" s="2982"/>
      <c r="AU309" s="123"/>
      <c r="AV309" s="123"/>
      <c r="AW309" s="2990"/>
      <c r="AX309" s="2984"/>
      <c r="AY309" s="2985"/>
      <c r="AZ309" s="2986"/>
      <c r="BA309" s="2987"/>
      <c r="BB309" s="3194"/>
      <c r="BC309" s="2989"/>
    </row>
    <row r="310" spans="1:55" s="350" customFormat="1" ht="66" customHeight="1" x14ac:dyDescent="0.25">
      <c r="A310" s="3744"/>
      <c r="B310" s="3760"/>
      <c r="C310" s="2904" t="s">
        <v>3515</v>
      </c>
      <c r="D310" s="3704"/>
      <c r="E310" s="2755" t="s">
        <v>3520</v>
      </c>
      <c r="F310" s="2757"/>
      <c r="G310" s="2666" t="s">
        <v>3521</v>
      </c>
      <c r="H310" s="1392"/>
      <c r="I310" s="1727" t="str">
        <f>"5-DaHall1-PDU-"&amp;M310&amp;"-"&amp;L310&amp;"-"&amp;N310</f>
        <v>5-DaHall1-PDU-15-50-1</v>
      </c>
      <c r="J310" s="1731"/>
      <c r="K310" s="1671">
        <v>380</v>
      </c>
      <c r="L310" s="1559">
        <v>50</v>
      </c>
      <c r="M310" s="2386" t="s">
        <v>6543</v>
      </c>
      <c r="N310" s="1729">
        <v>1</v>
      </c>
      <c r="O310" s="1732"/>
      <c r="P310" s="1584"/>
      <c r="Q310" s="1392"/>
      <c r="R310" s="1733"/>
      <c r="S310" s="3768" t="s">
        <v>2568</v>
      </c>
      <c r="T310" s="1393"/>
      <c r="U310" s="3769" t="s">
        <v>2570</v>
      </c>
      <c r="V310" s="1393"/>
      <c r="W310" s="3763"/>
      <c r="X310" s="3766"/>
      <c r="Y310" s="1368">
        <f>SUM('5층_부하량(월간_AVG)'!D356:F356)</f>
        <v>0</v>
      </c>
      <c r="Z310" s="1369"/>
      <c r="AA310" s="2758">
        <f>SUM(Y310:Z311)</f>
        <v>0</v>
      </c>
      <c r="AB310" s="2694" t="e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10" s="3111"/>
      <c r="AD310" s="3162" t="e">
        <f>VLOOKUP(I310&amp;J310,'7층~4층_매핑테이블'!$I$6:$P$2020,8,0)</f>
        <v>#N/A</v>
      </c>
      <c r="AE310" s="3144" t="e">
        <f>SUM(AB310:AC310)</f>
        <v>#N/A</v>
      </c>
      <c r="AF310" s="2756"/>
      <c r="AH310" s="2351" t="e">
        <f t="shared" si="118"/>
        <v>#N/A</v>
      </c>
      <c r="AI310" s="2351" t="e">
        <f t="shared" si="119"/>
        <v>#N/A</v>
      </c>
      <c r="AJ310" s="123" t="e">
        <f t="shared" si="115"/>
        <v>#N/A</v>
      </c>
      <c r="AK310" t="e">
        <f t="shared" si="116"/>
        <v>#N/A</v>
      </c>
      <c r="AL310" t="e">
        <f t="shared" si="117"/>
        <v>#N/A</v>
      </c>
      <c r="AQ310" s="123"/>
      <c r="AR310" s="123"/>
      <c r="AS310" s="123"/>
      <c r="AT310" s="2982"/>
      <c r="AU310" s="123"/>
      <c r="AV310" s="123"/>
      <c r="AW310" s="2990"/>
      <c r="AX310" s="2984"/>
      <c r="AY310" s="2985"/>
      <c r="AZ310" s="2986"/>
      <c r="BA310" s="2987"/>
      <c r="BB310" s="3194"/>
      <c r="BC310" s="2989"/>
    </row>
    <row r="311" spans="1:55" s="350" customFormat="1" ht="43.2" customHeight="1" x14ac:dyDescent="0.25">
      <c r="A311" s="3744"/>
      <c r="B311" s="3760"/>
      <c r="C311" s="2904" t="s">
        <v>3515</v>
      </c>
      <c r="D311" s="3704"/>
      <c r="E311" s="2755" t="s">
        <v>3522</v>
      </c>
      <c r="F311" s="1394"/>
      <c r="G311" s="2666" t="s">
        <v>3523</v>
      </c>
      <c r="H311" s="1392"/>
      <c r="I311" s="1727" t="str">
        <f>"5-DaHall1-PDU-"&amp;M311&amp;"-"&amp;L311&amp;"-"&amp;N311</f>
        <v>5-DaHall1-PDU-15-50-2</v>
      </c>
      <c r="J311" s="1731"/>
      <c r="K311" s="1671">
        <v>380</v>
      </c>
      <c r="L311" s="1559">
        <v>50</v>
      </c>
      <c r="M311" s="2386" t="s">
        <v>6543</v>
      </c>
      <c r="N311" s="1729">
        <v>2</v>
      </c>
      <c r="O311" s="1732"/>
      <c r="P311" s="1584"/>
      <c r="Q311" s="1392"/>
      <c r="R311" s="1733"/>
      <c r="S311" s="3768"/>
      <c r="T311" s="1393"/>
      <c r="U311" s="3770"/>
      <c r="V311" s="1393"/>
      <c r="W311" s="3763"/>
      <c r="X311" s="3766"/>
      <c r="Y311" s="1368">
        <f>SUM('5층_부하량(월간_AVG)'!N356:P356)</f>
        <v>0</v>
      </c>
      <c r="Z311" s="1369"/>
      <c r="AA311" s="2759"/>
      <c r="AB311" s="2694" t="e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1" s="3111"/>
      <c r="AD311" s="3162" t="e">
        <f>VLOOKUP(I311&amp;J311,'7층~4층_매핑테이블'!$I$6:$P$2020,8,0)</f>
        <v>#N/A</v>
      </c>
      <c r="AE311" s="3144" t="e">
        <f t="shared" ref="AE311:AE312" si="124">SUM(AB311:AC311)</f>
        <v>#N/A</v>
      </c>
      <c r="AF311" s="2756"/>
      <c r="AH311" s="2351" t="e">
        <f t="shared" si="118"/>
        <v>#N/A</v>
      </c>
      <c r="AI311" s="2351" t="e">
        <f t="shared" si="119"/>
        <v>#N/A</v>
      </c>
      <c r="AJ311" s="123" t="e">
        <f t="shared" si="115"/>
        <v>#N/A</v>
      </c>
      <c r="AK311" t="e">
        <f t="shared" si="116"/>
        <v>#N/A</v>
      </c>
      <c r="AL311" t="e">
        <f t="shared" si="117"/>
        <v>#N/A</v>
      </c>
      <c r="AQ311" s="123"/>
      <c r="AR311" s="123"/>
      <c r="AS311" s="123"/>
      <c r="AT311" s="2982"/>
      <c r="AU311" s="123"/>
      <c r="AV311" s="123"/>
      <c r="AW311" s="2990"/>
      <c r="AX311" s="2984"/>
      <c r="AY311" s="2985"/>
      <c r="AZ311" s="2986"/>
      <c r="BA311" s="2987"/>
      <c r="BB311" s="3194"/>
      <c r="BC311" s="2989"/>
    </row>
    <row r="312" spans="1:55" s="350" customFormat="1" ht="43.2" customHeight="1" x14ac:dyDescent="0.25">
      <c r="A312" s="3744"/>
      <c r="B312" s="3760"/>
      <c r="C312" s="2904" t="s">
        <v>3515</v>
      </c>
      <c r="D312" s="3704"/>
      <c r="E312" s="2757"/>
      <c r="F312" s="2755" t="s">
        <v>3524</v>
      </c>
      <c r="G312" s="1395"/>
      <c r="H312" s="2668" t="s">
        <v>3525</v>
      </c>
      <c r="I312" s="1734"/>
      <c r="J312" s="1728" t="str">
        <f t="shared" ref="J312:J316" si="125">"5-DaHall1-PDU-"&amp;Q312&amp;"-"&amp;P312&amp;"-"&amp;R312</f>
        <v>5-DaHall1-PDU-16-50-1</v>
      </c>
      <c r="K312" s="1735"/>
      <c r="L312" s="1592"/>
      <c r="M312" s="1395"/>
      <c r="N312" s="1736"/>
      <c r="O312" s="1672">
        <v>380</v>
      </c>
      <c r="P312" s="1562">
        <v>50</v>
      </c>
      <c r="Q312" s="2413" t="s">
        <v>6550</v>
      </c>
      <c r="R312" s="1730">
        <v>1</v>
      </c>
      <c r="S312" s="1396"/>
      <c r="T312" s="3771" t="s">
        <v>2569</v>
      </c>
      <c r="U312" s="1396"/>
      <c r="V312" s="3773" t="s">
        <v>2571</v>
      </c>
      <c r="W312" s="3763"/>
      <c r="X312" s="3766"/>
      <c r="Y312" s="1369"/>
      <c r="Z312" s="1368">
        <f>SUM('5층_부하량(월간_AVG)'!D415:F415)</f>
        <v>0</v>
      </c>
      <c r="AA312" s="2758">
        <f>SUM(Y312:Z313)</f>
        <v>0</v>
      </c>
      <c r="AB312" s="2694"/>
      <c r="AC312" s="3111" t="e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2" s="3162" t="e">
        <f>VLOOKUP(I312&amp;J312,'7층~4층_매핑테이블'!$I$6:$P$2020,8,0)</f>
        <v>#N/A</v>
      </c>
      <c r="AE312" s="3144" t="e">
        <f t="shared" si="124"/>
        <v>#N/A</v>
      </c>
      <c r="AF312" s="2756"/>
      <c r="AH312" s="2351" t="e">
        <f t="shared" si="118"/>
        <v>#N/A</v>
      </c>
      <c r="AI312" s="2351" t="e">
        <f t="shared" si="119"/>
        <v>#N/A</v>
      </c>
      <c r="AJ312" s="123" t="e">
        <f t="shared" si="115"/>
        <v>#N/A</v>
      </c>
      <c r="AK312" t="e">
        <f t="shared" si="116"/>
        <v>#N/A</v>
      </c>
      <c r="AL312" t="e">
        <f t="shared" si="117"/>
        <v>#N/A</v>
      </c>
      <c r="AQ312" s="123"/>
      <c r="AR312" s="123"/>
      <c r="AS312" s="123"/>
      <c r="AT312" s="2982"/>
      <c r="AU312" s="123"/>
      <c r="AV312" s="123"/>
      <c r="AW312" s="2990"/>
      <c r="AX312" s="2984"/>
      <c r="AY312" s="2985"/>
      <c r="AZ312" s="2986"/>
      <c r="BA312" s="2987"/>
      <c r="BB312" s="3194"/>
      <c r="BC312" s="2989"/>
    </row>
    <row r="313" spans="1:55" s="350" customFormat="1" ht="43.95" customHeight="1" thickBot="1" x14ac:dyDescent="0.3">
      <c r="A313" s="3744"/>
      <c r="B313" s="3760"/>
      <c r="C313" s="2904" t="s">
        <v>3515</v>
      </c>
      <c r="D313" s="3704"/>
      <c r="E313" s="2760"/>
      <c r="F313" s="2761" t="s">
        <v>3526</v>
      </c>
      <c r="G313" s="1397"/>
      <c r="H313" s="1110" t="s">
        <v>3527</v>
      </c>
      <c r="I313" s="1737"/>
      <c r="J313" s="1738" t="str">
        <f t="shared" si="125"/>
        <v>5-DaHall1-PDU-16-50-2</v>
      </c>
      <c r="K313" s="1739"/>
      <c r="L313" s="1622"/>
      <c r="M313" s="1397"/>
      <c r="N313" s="1740"/>
      <c r="O313" s="1741">
        <v>380</v>
      </c>
      <c r="P313" s="1572">
        <v>50</v>
      </c>
      <c r="Q313" s="2414" t="s">
        <v>6550</v>
      </c>
      <c r="R313" s="1742">
        <v>2</v>
      </c>
      <c r="S313" s="1398"/>
      <c r="T313" s="3772"/>
      <c r="U313" s="1398"/>
      <c r="V313" s="3774"/>
      <c r="W313" s="3764"/>
      <c r="X313" s="3767"/>
      <c r="Y313" s="1370"/>
      <c r="Z313" s="1111">
        <f>SUM('5층_부하량(월간_AVG)'!N415:P415)</f>
        <v>0</v>
      </c>
      <c r="AA313" s="2762"/>
      <c r="AB313" s="2706"/>
      <c r="AC313" s="3118" t="e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3" s="3170" t="e">
        <f>VLOOKUP(I313&amp;J313,'7층~4층_매핑테이블'!$I$6:$P$2020,8,0)</f>
        <v>#N/A</v>
      </c>
      <c r="AE313" s="3147" t="e">
        <f>SUM(AB313:AC313)</f>
        <v>#N/A</v>
      </c>
      <c r="AF313" s="2763"/>
      <c r="AH313" s="2351" t="e">
        <f t="shared" si="118"/>
        <v>#N/A</v>
      </c>
      <c r="AI313" s="2351" t="e">
        <f t="shared" si="119"/>
        <v>#N/A</v>
      </c>
      <c r="AJ313" s="123" t="e">
        <f t="shared" si="115"/>
        <v>#N/A</v>
      </c>
      <c r="AK313" t="e">
        <f t="shared" si="116"/>
        <v>#N/A</v>
      </c>
      <c r="AL313" t="e">
        <f t="shared" si="117"/>
        <v>#N/A</v>
      </c>
      <c r="AQ313" s="123"/>
      <c r="AR313" s="123"/>
      <c r="AS313" s="123"/>
      <c r="AT313" s="2982"/>
      <c r="AU313" s="123"/>
      <c r="AV313" s="123"/>
      <c r="AW313" s="2990"/>
      <c r="AX313" s="2984"/>
      <c r="AY313" s="2985"/>
      <c r="AZ313" s="2986"/>
      <c r="BA313" s="2987"/>
      <c r="BB313" s="3194"/>
      <c r="BC313" s="2989"/>
    </row>
    <row r="314" spans="1:55" s="350" customFormat="1" ht="18.600000000000001" thickTop="1" thickBot="1" x14ac:dyDescent="0.3">
      <c r="A314" s="3759"/>
      <c r="B314" s="3761"/>
      <c r="C314" s="2904" t="s">
        <v>3515</v>
      </c>
      <c r="D314" s="3757"/>
      <c r="E314" s="2764"/>
      <c r="F314" s="2764"/>
      <c r="G314" s="2306"/>
      <c r="H314" s="2307"/>
      <c r="I314" s="2308"/>
      <c r="J314" s="1738" t="str">
        <f t="shared" si="125"/>
        <v>5-DaHall1-PDU-16-20-21</v>
      </c>
      <c r="K314" s="2309"/>
      <c r="L314" s="2310"/>
      <c r="M314" s="2306"/>
      <c r="N314" s="2311"/>
      <c r="O314" s="2312">
        <v>220</v>
      </c>
      <c r="P314" s="2313">
        <v>20</v>
      </c>
      <c r="Q314" s="2415" t="s">
        <v>6550</v>
      </c>
      <c r="R314" s="2314">
        <v>21</v>
      </c>
      <c r="S314" s="2315"/>
      <c r="T314" s="2316"/>
      <c r="U314" s="2315"/>
      <c r="V314" s="2317"/>
      <c r="W314" s="2318"/>
      <c r="X314" s="2319"/>
      <c r="Y314" s="2320"/>
      <c r="Z314" s="2320">
        <f>SUM('5층_부하량(월간_AVG)'!D425:F425)</f>
        <v>0</v>
      </c>
      <c r="AA314" s="2469">
        <f t="shared" ref="AA314" si="126">SUM(Y314:Z314)</f>
        <v>0</v>
      </c>
      <c r="AB314" s="2691"/>
      <c r="AC314" s="3109" t="e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4" s="3162" t="e">
        <f>VLOOKUP(I314&amp;J314,'7층~4층_매핑테이블'!$I$6:$P$2020,8,0)</f>
        <v>#N/A</v>
      </c>
      <c r="AE314" s="3148" t="e">
        <f t="shared" ref="AE314" si="127">SUM(AB314:AC314)</f>
        <v>#N/A</v>
      </c>
      <c r="AF314" s="2730"/>
      <c r="AH314" s="2351" t="e">
        <f t="shared" si="118"/>
        <v>#N/A</v>
      </c>
      <c r="AI314" s="2351" t="e">
        <f t="shared" si="119"/>
        <v>#N/A</v>
      </c>
      <c r="AJ314" s="123" t="e">
        <f t="shared" si="115"/>
        <v>#N/A</v>
      </c>
      <c r="AK314" t="e">
        <f t="shared" si="116"/>
        <v>#N/A</v>
      </c>
      <c r="AL314" t="e">
        <f t="shared" si="117"/>
        <v>#N/A</v>
      </c>
      <c r="AQ314" s="123"/>
      <c r="AR314" s="123"/>
      <c r="AS314" s="123"/>
      <c r="AT314" s="2982"/>
      <c r="AU314" s="123"/>
      <c r="AV314" s="123"/>
      <c r="AW314" s="2990"/>
      <c r="AX314" s="2984"/>
      <c r="AY314" s="2985"/>
      <c r="AZ314" s="2986"/>
      <c r="BA314" s="2987"/>
      <c r="BB314" s="3194"/>
      <c r="BC314" s="2989"/>
    </row>
    <row r="315" spans="1:55" s="350" customFormat="1" ht="51.6" customHeight="1" thickTop="1" x14ac:dyDescent="0.25">
      <c r="A315" s="2638"/>
      <c r="B315" s="3775" t="s">
        <v>3730</v>
      </c>
      <c r="C315" s="3775"/>
      <c r="D315" s="2941">
        <v>2.2000000000000002</v>
      </c>
      <c r="E315" s="2755"/>
      <c r="F315" s="2755"/>
      <c r="G315" s="2666"/>
      <c r="H315" s="2668"/>
      <c r="I315" s="1781"/>
      <c r="J315" s="1752" t="str">
        <f t="shared" si="125"/>
        <v>5-DaHall1-PDU-16-50-20</v>
      </c>
      <c r="K315" s="1753">
        <v>220</v>
      </c>
      <c r="L315" s="1754"/>
      <c r="M315" s="1251"/>
      <c r="N315" s="1782"/>
      <c r="O315" s="1756">
        <v>220</v>
      </c>
      <c r="P315" s="1757">
        <v>50</v>
      </c>
      <c r="Q315" s="2387" t="s">
        <v>6550</v>
      </c>
      <c r="R315" s="1758">
        <v>20</v>
      </c>
      <c r="S315" s="1390"/>
      <c r="T315" s="1391"/>
      <c r="U315" s="1383"/>
      <c r="V315" s="2661"/>
      <c r="W315" s="2672"/>
      <c r="X315" s="2664"/>
      <c r="Y315" s="1368"/>
      <c r="Z315" s="253">
        <f>SUM('5층_부하량(월간_AVG)'!N424:P424)</f>
        <v>0</v>
      </c>
      <c r="AA315" s="2469">
        <f t="shared" ref="AA315:AA316" si="128">SUM(Y315:Z315)</f>
        <v>0</v>
      </c>
      <c r="AB315" s="2691"/>
      <c r="AC315" s="3109" t="e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5" s="3162" t="e">
        <f>VLOOKUP(I315&amp;J315,'7층~4층_매핑테이블'!$I$6:$P$2020,8,0)</f>
        <v>#N/A</v>
      </c>
      <c r="AE315" s="3144" t="e">
        <f>SUM(AB315:AC315)</f>
        <v>#N/A</v>
      </c>
      <c r="AF315" s="2508"/>
      <c r="AH315" s="2351" t="e">
        <f t="shared" si="118"/>
        <v>#N/A</v>
      </c>
      <c r="AI315" s="2351" t="e">
        <f t="shared" si="119"/>
        <v>#N/A</v>
      </c>
      <c r="AJ315" s="123" t="e">
        <f t="shared" si="115"/>
        <v>#N/A</v>
      </c>
      <c r="AK315" t="e">
        <f t="shared" si="116"/>
        <v>#N/A</v>
      </c>
      <c r="AL315" t="e">
        <f t="shared" si="117"/>
        <v>#N/A</v>
      </c>
      <c r="AQ315" s="123"/>
      <c r="AR315" s="123"/>
      <c r="AS315" s="123"/>
      <c r="AT315" s="2982"/>
      <c r="AU315" s="123"/>
      <c r="AV315" s="123"/>
      <c r="AW315" s="2990"/>
      <c r="AX315" s="2984"/>
      <c r="AY315" s="2985"/>
      <c r="AZ315" s="2986"/>
      <c r="BA315" s="2987"/>
      <c r="BB315" s="3194"/>
      <c r="BC315" s="2989"/>
    </row>
    <row r="316" spans="1:55" s="350" customFormat="1" ht="51.6" customHeight="1" thickBot="1" x14ac:dyDescent="0.3">
      <c r="A316" s="2639"/>
      <c r="B316" s="3758" t="s">
        <v>3731</v>
      </c>
      <c r="C316" s="3758"/>
      <c r="D316" s="2950">
        <v>2.2000000000000002</v>
      </c>
      <c r="E316" s="2761"/>
      <c r="F316" s="2761"/>
      <c r="G316" s="2281"/>
      <c r="H316" s="1110"/>
      <c r="I316" s="2282"/>
      <c r="J316" s="2283" t="str">
        <f t="shared" si="125"/>
        <v>5-DaHall1-PDU-16-50-22</v>
      </c>
      <c r="K316" s="2179">
        <v>220</v>
      </c>
      <c r="L316" s="2180"/>
      <c r="M316" s="1236"/>
      <c r="N316" s="2284"/>
      <c r="O316" s="2182">
        <v>220</v>
      </c>
      <c r="P316" s="2183">
        <v>50</v>
      </c>
      <c r="Q316" s="2416" t="s">
        <v>6550</v>
      </c>
      <c r="R316" s="2285">
        <v>22</v>
      </c>
      <c r="S316" s="2286"/>
      <c r="T316" s="2669"/>
      <c r="U316" s="2287"/>
      <c r="V316" s="2662"/>
      <c r="W316" s="2673"/>
      <c r="X316" s="2665"/>
      <c r="Y316" s="1111"/>
      <c r="Z316" s="253">
        <f>SUM('5층_부하량(월간_AVG)'!N425:P425)</f>
        <v>0</v>
      </c>
      <c r="AA316" s="2470">
        <f t="shared" si="128"/>
        <v>0</v>
      </c>
      <c r="AB316" s="2695"/>
      <c r="AC316" s="3112" t="e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6" s="3170" t="e">
        <f>VLOOKUP(I316&amp;J316,'7층~4층_매핑테이블'!$I$6:$P$2020,8,0)</f>
        <v>#N/A</v>
      </c>
      <c r="AE316" s="3159" t="e">
        <f>SUM(AB316:AC316)</f>
        <v>#N/A</v>
      </c>
      <c r="AF316" s="2509"/>
      <c r="AH316" s="2351" t="e">
        <f t="shared" si="118"/>
        <v>#N/A</v>
      </c>
      <c r="AI316" s="2351" t="e">
        <f t="shared" si="119"/>
        <v>#N/A</v>
      </c>
      <c r="AJ316" s="123" t="e">
        <f t="shared" si="115"/>
        <v>#N/A</v>
      </c>
      <c r="AK316" t="e">
        <f t="shared" si="116"/>
        <v>#N/A</v>
      </c>
      <c r="AL316" t="e">
        <f t="shared" si="117"/>
        <v>#N/A</v>
      </c>
      <c r="AQ316" s="123"/>
      <c r="AR316" s="123"/>
      <c r="AS316" s="123"/>
      <c r="AT316" s="2982"/>
      <c r="AU316" s="123"/>
      <c r="AV316" s="123"/>
      <c r="AW316" s="2990"/>
      <c r="AX316" s="2984"/>
      <c r="AY316" s="2985"/>
      <c r="AZ316" s="2986"/>
      <c r="BA316" s="2987"/>
      <c r="BB316" s="3194"/>
      <c r="BC316" s="2989"/>
    </row>
    <row r="317" spans="1:55" ht="15" thickTop="1" x14ac:dyDescent="0.25">
      <c r="Z317" s="249" t="s">
        <v>3732</v>
      </c>
      <c r="AA317" s="249">
        <f>SUM(AA5:AA316)</f>
        <v>0</v>
      </c>
      <c r="AB317" s="1358" t="e">
        <f>SUM(AB5:AB316)/1000</f>
        <v>#N/A</v>
      </c>
      <c r="AC317" s="1358" t="e">
        <f>SUM(AC5:AC316)/1000</f>
        <v>#N/A</v>
      </c>
      <c r="AD317" s="3160"/>
      <c r="AE317" s="3160"/>
      <c r="AJ317" s="2351"/>
    </row>
    <row r="318" spans="1:55" x14ac:dyDescent="0.25">
      <c r="Z318" s="249" t="s">
        <v>2472</v>
      </c>
      <c r="AA318" s="2341"/>
    </row>
  </sheetData>
  <mergeCells count="490">
    <mergeCell ref="AQ3:AQ4"/>
    <mergeCell ref="AR3:AR4"/>
    <mergeCell ref="AS3:AS4"/>
    <mergeCell ref="AU3:AV3"/>
    <mergeCell ref="AW3:AY3"/>
    <mergeCell ref="AZ3:BA3"/>
    <mergeCell ref="BB3:BB4"/>
    <mergeCell ref="BC3:BC4"/>
    <mergeCell ref="AH3:AH4"/>
    <mergeCell ref="AI3:AI4"/>
    <mergeCell ref="AJ3:AJ4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294:A295"/>
    <mergeCell ref="B294:B295"/>
    <mergeCell ref="AF294:AF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A210:A211"/>
    <mergeCell ref="B210:B211"/>
    <mergeCell ref="C210:C211"/>
    <mergeCell ref="W210:W211"/>
    <mergeCell ref="X210:X211"/>
    <mergeCell ref="AA210:AA211"/>
    <mergeCell ref="S212:S219"/>
    <mergeCell ref="T212:T219"/>
    <mergeCell ref="U212:U219"/>
    <mergeCell ref="V212:V219"/>
    <mergeCell ref="W212:W219"/>
    <mergeCell ref="X212:X219"/>
    <mergeCell ref="D210:D211"/>
    <mergeCell ref="AF204:AF205"/>
    <mergeCell ref="A206:A207"/>
    <mergeCell ref="B206:B207"/>
    <mergeCell ref="C206:C207"/>
    <mergeCell ref="W206:W207"/>
    <mergeCell ref="X206:X207"/>
    <mergeCell ref="AA206:AA207"/>
    <mergeCell ref="A208:A209"/>
    <mergeCell ref="B208:B209"/>
    <mergeCell ref="C208:C209"/>
    <mergeCell ref="W208:W209"/>
    <mergeCell ref="X208:X209"/>
    <mergeCell ref="AA208:AA209"/>
    <mergeCell ref="D206:D207"/>
    <mergeCell ref="D208:D209"/>
    <mergeCell ref="A202:A203"/>
    <mergeCell ref="B202:B203"/>
    <mergeCell ref="C202:C203"/>
    <mergeCell ref="W202:W203"/>
    <mergeCell ref="X202:X203"/>
    <mergeCell ref="AA202:AA203"/>
    <mergeCell ref="A204:A205"/>
    <mergeCell ref="B204:B205"/>
    <mergeCell ref="C204:C205"/>
    <mergeCell ref="W204:W205"/>
    <mergeCell ref="X204:X205"/>
    <mergeCell ref="AA204:AA205"/>
    <mergeCell ref="D202:D203"/>
    <mergeCell ref="D204:D205"/>
    <mergeCell ref="A198:A199"/>
    <mergeCell ref="B198:B199"/>
    <mergeCell ref="C198:C199"/>
    <mergeCell ref="W198:W199"/>
    <mergeCell ref="X198:X199"/>
    <mergeCell ref="AA198:AA199"/>
    <mergeCell ref="A200:A201"/>
    <mergeCell ref="B200:B201"/>
    <mergeCell ref="C200:C201"/>
    <mergeCell ref="W200:W201"/>
    <mergeCell ref="X200:X201"/>
    <mergeCell ref="AA200:AA201"/>
    <mergeCell ref="D198:D199"/>
    <mergeCell ref="D200:D201"/>
    <mergeCell ref="A194:A195"/>
    <mergeCell ref="B194:B195"/>
    <mergeCell ref="C194:C195"/>
    <mergeCell ref="W194:W195"/>
    <mergeCell ref="X194:X195"/>
    <mergeCell ref="AA194:AA195"/>
    <mergeCell ref="A196:A197"/>
    <mergeCell ref="B196:B197"/>
    <mergeCell ref="C196:C197"/>
    <mergeCell ref="W196:W197"/>
    <mergeCell ref="X196:X197"/>
    <mergeCell ref="AA196:AA197"/>
    <mergeCell ref="D194:D195"/>
    <mergeCell ref="D196:D197"/>
    <mergeCell ref="AF188:AF189"/>
    <mergeCell ref="A190:A191"/>
    <mergeCell ref="B190:B191"/>
    <mergeCell ref="C190:C191"/>
    <mergeCell ref="W190:W191"/>
    <mergeCell ref="X190:X191"/>
    <mergeCell ref="AA190:AA191"/>
    <mergeCell ref="A192:A193"/>
    <mergeCell ref="B192:B193"/>
    <mergeCell ref="C192:C193"/>
    <mergeCell ref="W192:W193"/>
    <mergeCell ref="X192:X193"/>
    <mergeCell ref="AA192:AA193"/>
    <mergeCell ref="D190:D191"/>
    <mergeCell ref="D192:D193"/>
    <mergeCell ref="A186:A187"/>
    <mergeCell ref="B186:B187"/>
    <mergeCell ref="C186:C187"/>
    <mergeCell ref="W186:W187"/>
    <mergeCell ref="X186:X187"/>
    <mergeCell ref="AA186:AA187"/>
    <mergeCell ref="A188:A189"/>
    <mergeCell ref="B188:B189"/>
    <mergeCell ref="C188:C189"/>
    <mergeCell ref="W188:W189"/>
    <mergeCell ref="X188:X189"/>
    <mergeCell ref="AA188:AA189"/>
    <mergeCell ref="D186:D187"/>
    <mergeCell ref="D188:D189"/>
    <mergeCell ref="A182:A183"/>
    <mergeCell ref="B182:B183"/>
    <mergeCell ref="C182:C183"/>
    <mergeCell ref="W182:W183"/>
    <mergeCell ref="X182:X183"/>
    <mergeCell ref="AA182:AA183"/>
    <mergeCell ref="A184:A185"/>
    <mergeCell ref="B184:B185"/>
    <mergeCell ref="C184:C185"/>
    <mergeCell ref="W184:W185"/>
    <mergeCell ref="X184:X185"/>
    <mergeCell ref="AA184:AA185"/>
    <mergeCell ref="D182:D183"/>
    <mergeCell ref="D184:D185"/>
    <mergeCell ref="A178:A179"/>
    <mergeCell ref="B178:B179"/>
    <mergeCell ref="C178:C179"/>
    <mergeCell ref="W178:W179"/>
    <mergeCell ref="X178:X179"/>
    <mergeCell ref="AA178:AA179"/>
    <mergeCell ref="A180:A181"/>
    <mergeCell ref="B180:B181"/>
    <mergeCell ref="C180:C181"/>
    <mergeCell ref="W180:W181"/>
    <mergeCell ref="X180:X181"/>
    <mergeCell ref="AA180:AA181"/>
    <mergeCell ref="D178:D179"/>
    <mergeCell ref="D180:D181"/>
    <mergeCell ref="AF172:AF173"/>
    <mergeCell ref="A174:A175"/>
    <mergeCell ref="B174:B175"/>
    <mergeCell ref="C174:C175"/>
    <mergeCell ref="W174:W175"/>
    <mergeCell ref="X174:X175"/>
    <mergeCell ref="AA174:AA175"/>
    <mergeCell ref="A176:A177"/>
    <mergeCell ref="B176:B177"/>
    <mergeCell ref="C176:C177"/>
    <mergeCell ref="W176:W177"/>
    <mergeCell ref="X176:X177"/>
    <mergeCell ref="AA176:AA177"/>
    <mergeCell ref="D174:D175"/>
    <mergeCell ref="D176:D177"/>
    <mergeCell ref="A170:A171"/>
    <mergeCell ref="B170:B171"/>
    <mergeCell ref="C170:C171"/>
    <mergeCell ref="W170:W171"/>
    <mergeCell ref="X170:X171"/>
    <mergeCell ref="AA170:AA171"/>
    <mergeCell ref="A172:A173"/>
    <mergeCell ref="B172:B173"/>
    <mergeCell ref="C172:C173"/>
    <mergeCell ref="W172:W173"/>
    <mergeCell ref="X172:X173"/>
    <mergeCell ref="AA172:AA173"/>
    <mergeCell ref="D172:D173"/>
    <mergeCell ref="W154:W161"/>
    <mergeCell ref="A166:A167"/>
    <mergeCell ref="B166:B167"/>
    <mergeCell ref="C166:C167"/>
    <mergeCell ref="W166:W167"/>
    <mergeCell ref="X166:X167"/>
    <mergeCell ref="AA166:AA167"/>
    <mergeCell ref="A168:A169"/>
    <mergeCell ref="B168:B169"/>
    <mergeCell ref="C168:C169"/>
    <mergeCell ref="W168:W169"/>
    <mergeCell ref="X168:X169"/>
    <mergeCell ref="AA168:AA169"/>
    <mergeCell ref="T62:T69"/>
    <mergeCell ref="U62:U69"/>
    <mergeCell ref="S62:S69"/>
    <mergeCell ref="A93:A94"/>
    <mergeCell ref="B93:B94"/>
    <mergeCell ref="C93:C94"/>
    <mergeCell ref="AA93:AA94"/>
    <mergeCell ref="A164:A165"/>
    <mergeCell ref="B164:B165"/>
    <mergeCell ref="C164:C165"/>
    <mergeCell ref="W164:W165"/>
    <mergeCell ref="X164:X165"/>
    <mergeCell ref="AA164:AA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S70:S101"/>
    <mergeCell ref="T70:T101"/>
    <mergeCell ref="U70:U101"/>
    <mergeCell ref="V70:V101"/>
    <mergeCell ref="W70:W101"/>
    <mergeCell ref="X70:X101"/>
    <mergeCell ref="AA82:AA84"/>
    <mergeCell ref="AA85:AA87"/>
    <mergeCell ref="AA88:AA90"/>
    <mergeCell ref="AA91:AA92"/>
    <mergeCell ref="AF20:AF21"/>
    <mergeCell ref="AF29:AF30"/>
    <mergeCell ref="AF47:AF48"/>
    <mergeCell ref="V49:V50"/>
    <mergeCell ref="T49:T50"/>
    <mergeCell ref="S49:S50"/>
    <mergeCell ref="U49:U50"/>
    <mergeCell ref="B20:B21"/>
    <mergeCell ref="AA47:AA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W42:W52"/>
    <mergeCell ref="X42:X50"/>
    <mergeCell ref="C20:C22"/>
    <mergeCell ref="C45:C46"/>
    <mergeCell ref="C47:C48"/>
    <mergeCell ref="C25:C26"/>
    <mergeCell ref="AE7:AE8"/>
    <mergeCell ref="AE9:AE10"/>
    <mergeCell ref="AE20:AE22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8:S19"/>
    <mergeCell ref="T18:T19"/>
    <mergeCell ref="U18:U19"/>
    <mergeCell ref="V18:V19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B1:AF1"/>
    <mergeCell ref="AB3:AC3"/>
    <mergeCell ref="AF3:AF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E3:AE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AD3:AD4"/>
    <mergeCell ref="BD3:BD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W5:W17"/>
    <mergeCell ref="X5:X17"/>
    <mergeCell ref="AA7:AA8"/>
    <mergeCell ref="AA9:AA10"/>
  </mergeCells>
  <phoneticPr fontId="14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308"/>
  <sheetViews>
    <sheetView zoomScaleNormal="100" workbookViewId="0">
      <pane xSplit="7" ySplit="4" topLeftCell="H221" activePane="bottomRight" state="frozen"/>
      <selection pane="topRight" activeCell="H1" sqref="H1"/>
      <selection pane="bottomLeft" activeCell="A5" sqref="A5"/>
      <selection pane="bottomRight" activeCell="AC234" sqref="AC234"/>
    </sheetView>
  </sheetViews>
  <sheetFormatPr defaultRowHeight="14.4" x14ac:dyDescent="0.25"/>
  <cols>
    <col min="1" max="2" width="10.69921875" customWidth="1"/>
    <col min="3" max="4" width="12.296875" style="56" customWidth="1"/>
    <col min="5" max="5" width="25.09765625" hidden="1" customWidth="1"/>
    <col min="6" max="7" width="10.69921875" style="56" hidden="1" customWidth="1"/>
    <col min="8" max="8" width="30.296875" bestFit="1" customWidth="1"/>
    <col min="9" max="9" width="26.69921875" bestFit="1" customWidth="1"/>
    <col min="10" max="10" width="6.296875" style="1785" hidden="1" customWidth="1"/>
    <col min="11" max="11" width="7.19921875" style="1785" hidden="1" customWidth="1"/>
    <col min="12" max="12" width="3.3984375" hidden="1" customWidth="1"/>
    <col min="13" max="13" width="3.59765625" style="1444" hidden="1" customWidth="1"/>
    <col min="14" max="14" width="6.296875" hidden="1" customWidth="1"/>
    <col min="15" max="15" width="7.19921875" hidden="1" customWidth="1"/>
    <col min="16" max="16" width="3.69921875" style="2035" hidden="1" customWidth="1"/>
    <col min="17" max="17" width="3.59765625" style="1444" hidden="1" customWidth="1"/>
    <col min="18" max="18" width="10.09765625" style="2062" hidden="1" customWidth="1"/>
    <col min="19" max="19" width="10.09765625" style="2065" hidden="1" customWidth="1"/>
    <col min="20" max="20" width="10.09765625" style="2062" hidden="1" customWidth="1"/>
    <col min="21" max="21" width="10.09765625" style="2065" hidden="1" customWidth="1"/>
    <col min="22" max="22" width="10.09765625" style="2062" hidden="1" customWidth="1"/>
    <col min="23" max="23" width="10.09765625" style="2065" hidden="1" customWidth="1"/>
    <col min="24" max="24" width="8.8984375" style="2062"/>
    <col min="25" max="25" width="8.8984375" style="2065"/>
    <col min="26" max="26" width="10.59765625" bestFit="1" customWidth="1"/>
    <col min="27" max="28" width="10.69921875" bestFit="1" customWidth="1"/>
    <col min="29" max="29" width="21.3984375" bestFit="1" customWidth="1"/>
    <col min="30" max="30" width="16.69921875" style="2989" customWidth="1"/>
    <col min="31" max="31" width="8.8984375" style="56"/>
    <col min="32" max="34" width="0" hidden="1" customWidth="1"/>
    <col min="36" max="36" width="12.3984375" bestFit="1" customWidth="1"/>
    <col min="37" max="37" width="10.59765625" bestFit="1" customWidth="1"/>
    <col min="38" max="38" width="11.69921875" bestFit="1" customWidth="1"/>
    <col min="39" max="39" width="15" bestFit="1" customWidth="1"/>
    <col min="44" max="44" width="24.59765625" bestFit="1" customWidth="1"/>
    <col min="45" max="45" width="17" bestFit="1" customWidth="1"/>
    <col min="46" max="46" width="19.3984375" bestFit="1" customWidth="1"/>
    <col min="47" max="47" width="12.19921875" customWidth="1"/>
    <col min="48" max="49" width="26.59765625" bestFit="1" customWidth="1"/>
    <col min="53" max="54" width="10.69921875" customWidth="1"/>
    <col min="55" max="55" width="22.69921875" customWidth="1"/>
    <col min="56" max="56" width="15.69921875" style="2989" customWidth="1"/>
    <col min="57" max="57" width="15.69921875" customWidth="1"/>
    <col min="58" max="58" width="14.69921875" customWidth="1"/>
  </cols>
  <sheetData>
    <row r="1" spans="1:59" ht="25.8" x14ac:dyDescent="0.25">
      <c r="A1" s="3921" t="s">
        <v>3733</v>
      </c>
      <c r="B1" s="3921"/>
      <c r="C1" s="3921"/>
      <c r="D1" s="3921"/>
      <c r="E1" s="3921"/>
      <c r="F1" s="3921"/>
      <c r="G1" s="3921"/>
      <c r="H1" s="3921"/>
      <c r="I1" s="3921"/>
      <c r="J1" s="3921"/>
      <c r="K1" s="3921"/>
      <c r="L1" s="3921"/>
      <c r="M1" s="3921"/>
      <c r="N1" s="3921"/>
      <c r="O1" s="3921"/>
      <c r="P1" s="3921"/>
      <c r="Q1" s="3921"/>
      <c r="R1" s="3921"/>
      <c r="S1" s="3921"/>
      <c r="T1" s="3921"/>
      <c r="U1" s="3921"/>
      <c r="V1" s="3921"/>
      <c r="W1" s="3921"/>
      <c r="X1" s="3921"/>
      <c r="Y1" s="3921"/>
      <c r="Z1" s="3921"/>
      <c r="AA1" s="3921"/>
      <c r="AB1" s="3921"/>
      <c r="AC1" s="3921"/>
      <c r="AD1" s="3921"/>
      <c r="AE1" s="3921"/>
      <c r="AR1" s="123"/>
      <c r="AS1" s="1266"/>
      <c r="AT1" s="123"/>
      <c r="AZ1" s="123" t="str">
        <f>'7층~4층_고객 총사용량(삭제X)'!G2</f>
        <v>미디어꾼</v>
      </c>
      <c r="BA1" s="2972" t="s">
        <v>9265</v>
      </c>
      <c r="BB1" s="2973" t="s">
        <v>9267</v>
      </c>
      <c r="BC1" s="2974" t="s">
        <v>9268</v>
      </c>
      <c r="BD1" s="2964" t="s">
        <v>9269</v>
      </c>
      <c r="BE1" s="2964" t="s">
        <v>10818</v>
      </c>
      <c r="BF1" s="2964" t="s">
        <v>10842</v>
      </c>
      <c r="BG1" s="1">
        <f>COUNTIF($BD$5:$BD$326,"&gt;0")</f>
        <v>0</v>
      </c>
    </row>
    <row r="2" spans="1:59" ht="16.2" thickBot="1" x14ac:dyDescent="0.3">
      <c r="H2" t="s">
        <v>1203</v>
      </c>
      <c r="X2" s="2063"/>
      <c r="Y2" s="2066"/>
      <c r="Z2" s="249"/>
      <c r="AA2" s="249"/>
      <c r="AB2" s="249"/>
      <c r="AC2" s="3177"/>
      <c r="AD2" s="3137"/>
      <c r="AE2" s="994"/>
      <c r="AR2" s="123"/>
      <c r="AS2" s="123"/>
      <c r="AU2" s="2978"/>
      <c r="BA2" s="2992">
        <f>IFERROR(SUBTOTAL(109,$AU$5:$AU$326), 0)</f>
        <v>0</v>
      </c>
      <c r="BB2" s="2993">
        <f>IFERROR(SUBTOTAL(109,$BD$5:$BD$326)/(24*31), 0)</f>
        <v>0</v>
      </c>
      <c r="BC2" s="2995">
        <f>BA2-BB2</f>
        <v>0</v>
      </c>
      <c r="BD2" s="2994" t="str">
        <f>IF(SIGN(BC2)&gt;=0,IF(BB2=0,"미사용 랙","적정 사용"),"사용초과")</f>
        <v>미사용 랙</v>
      </c>
      <c r="BE2" s="2993">
        <f>IFERROR(MAX($BC$5:$BC$326), 0)</f>
        <v>0</v>
      </c>
      <c r="BF2" s="3254" t="e">
        <f>BB2/BG1</f>
        <v>#DIV/0!</v>
      </c>
    </row>
    <row r="3" spans="1:59" ht="14.7" customHeight="1" thickTop="1" thickBot="1" x14ac:dyDescent="0.3">
      <c r="A3" s="3537" t="s">
        <v>3734</v>
      </c>
      <c r="B3" s="3539" t="s">
        <v>1204</v>
      </c>
      <c r="C3" s="3541" t="s">
        <v>1206</v>
      </c>
      <c r="D3" s="2920" t="s">
        <v>9265</v>
      </c>
      <c r="E3" s="3615" t="s">
        <v>3735</v>
      </c>
      <c r="F3" s="3867" t="s">
        <v>1208</v>
      </c>
      <c r="G3" s="3868"/>
      <c r="H3" s="3368" t="s">
        <v>6630</v>
      </c>
      <c r="I3" s="3369"/>
      <c r="J3" s="3789" t="s">
        <v>3736</v>
      </c>
      <c r="K3" s="3790"/>
      <c r="L3" s="3790"/>
      <c r="M3" s="3790"/>
      <c r="N3" s="3790"/>
      <c r="O3" s="3790"/>
      <c r="P3" s="3790"/>
      <c r="Q3" s="3791"/>
      <c r="R3" s="3869" t="s">
        <v>1209</v>
      </c>
      <c r="S3" s="3494"/>
      <c r="T3" s="3504" t="s">
        <v>13</v>
      </c>
      <c r="U3" s="3494"/>
      <c r="V3" s="3504" t="s">
        <v>14</v>
      </c>
      <c r="W3" s="3494"/>
      <c r="X3" s="3507" t="s">
        <v>8722</v>
      </c>
      <c r="Y3" s="3508"/>
      <c r="Z3" s="3508"/>
      <c r="AA3" s="3922" t="s">
        <v>8723</v>
      </c>
      <c r="AB3" s="3923"/>
      <c r="AC3" s="3557" t="s">
        <v>10817</v>
      </c>
      <c r="AD3" s="3617" t="s">
        <v>10848</v>
      </c>
      <c r="AE3" s="3777" t="s">
        <v>1210</v>
      </c>
      <c r="AJ3" s="3929" t="s">
        <v>10847</v>
      </c>
      <c r="AK3" s="3358" t="s">
        <v>9268</v>
      </c>
      <c r="AL3" s="3360" t="s">
        <v>9269</v>
      </c>
      <c r="AM3" s="2964" t="s">
        <v>9270</v>
      </c>
      <c r="AN3" s="2964" t="s">
        <v>9271</v>
      </c>
      <c r="AO3" s="2964" t="s">
        <v>9272</v>
      </c>
      <c r="AR3" s="3537" t="s">
        <v>3734</v>
      </c>
      <c r="AS3" s="3539" t="s">
        <v>1204</v>
      </c>
      <c r="AT3" s="3541" t="s">
        <v>1206</v>
      </c>
      <c r="AU3" s="2979" t="s">
        <v>9265</v>
      </c>
      <c r="AV3" s="3368" t="s">
        <v>6630</v>
      </c>
      <c r="AW3" s="3369"/>
      <c r="AX3" s="3547" t="s">
        <v>8722</v>
      </c>
      <c r="AY3" s="3508"/>
      <c r="AZ3" s="3508"/>
      <c r="BA3" s="3922" t="s">
        <v>8723</v>
      </c>
      <c r="BB3" s="3923"/>
      <c r="BC3" s="3557" t="s">
        <v>10817</v>
      </c>
      <c r="BD3" s="3552" t="s">
        <v>6632</v>
      </c>
      <c r="BE3" s="3777" t="s">
        <v>1210</v>
      </c>
    </row>
    <row r="4" spans="1:59" ht="15.6" thickTop="1" thickBot="1" x14ac:dyDescent="0.3">
      <c r="A4" s="3538"/>
      <c r="B4" s="3540"/>
      <c r="C4" s="3542"/>
      <c r="D4" s="2921" t="s">
        <v>9266</v>
      </c>
      <c r="E4" s="3616"/>
      <c r="F4" s="1784" t="s">
        <v>3737</v>
      </c>
      <c r="G4" s="1783" t="s">
        <v>3738</v>
      </c>
      <c r="H4" s="2059" t="s">
        <v>3737</v>
      </c>
      <c r="I4" s="2060" t="s">
        <v>3738</v>
      </c>
      <c r="J4" s="3792" t="s">
        <v>3737</v>
      </c>
      <c r="K4" s="3793"/>
      <c r="L4" s="3793"/>
      <c r="M4" s="3794"/>
      <c r="N4" s="3795" t="s">
        <v>3738</v>
      </c>
      <c r="O4" s="3796"/>
      <c r="P4" s="3796"/>
      <c r="Q4" s="3797"/>
      <c r="R4" s="1122" t="s">
        <v>3737</v>
      </c>
      <c r="S4" s="1121" t="s">
        <v>3738</v>
      </c>
      <c r="T4" s="1122" t="s">
        <v>3737</v>
      </c>
      <c r="U4" s="1121" t="s">
        <v>3738</v>
      </c>
      <c r="V4" s="1122" t="s">
        <v>3737</v>
      </c>
      <c r="W4" s="1121" t="s">
        <v>3738</v>
      </c>
      <c r="X4" s="1123" t="s">
        <v>3737</v>
      </c>
      <c r="Y4" s="2061" t="s">
        <v>3738</v>
      </c>
      <c r="Z4" s="2619" t="s">
        <v>23</v>
      </c>
      <c r="AA4" s="2681" t="s">
        <v>3737</v>
      </c>
      <c r="AB4" s="2682" t="s">
        <v>3738</v>
      </c>
      <c r="AC4" s="3776"/>
      <c r="AD4" s="3618"/>
      <c r="AE4" s="3778"/>
      <c r="AG4" s="846" t="s">
        <v>23</v>
      </c>
      <c r="AJ4" s="3357"/>
      <c r="AK4" s="3359"/>
      <c r="AL4" s="3361"/>
      <c r="AM4" s="2965">
        <f>COUNTIF(AL5:AL572,"사용초과")</f>
        <v>0</v>
      </c>
      <c r="AN4" s="2965">
        <f>COUNTIF(AL5:AL572,AN3)</f>
        <v>0</v>
      </c>
      <c r="AO4" s="2965">
        <f>COUNTIF(AL5:AL572,AO3)</f>
        <v>19</v>
      </c>
      <c r="AR4" s="3538"/>
      <c r="AS4" s="3540"/>
      <c r="AT4" s="3542"/>
      <c r="AU4" s="2980" t="s">
        <v>9266</v>
      </c>
      <c r="AV4" s="2059" t="s">
        <v>3737</v>
      </c>
      <c r="AW4" s="2060" t="s">
        <v>3738</v>
      </c>
      <c r="AX4" s="2981" t="s">
        <v>3737</v>
      </c>
      <c r="AY4" s="2061" t="s">
        <v>3738</v>
      </c>
      <c r="AZ4" s="2619" t="s">
        <v>23</v>
      </c>
      <c r="BA4" s="2681" t="s">
        <v>3737</v>
      </c>
      <c r="BB4" s="2682" t="s">
        <v>3738</v>
      </c>
      <c r="BC4" s="3558"/>
      <c r="BD4" s="3553"/>
      <c r="BE4" s="3778"/>
    </row>
    <row r="5" spans="1:59" ht="29.4" thickTop="1" x14ac:dyDescent="0.25">
      <c r="A5" s="3870" t="s">
        <v>3739</v>
      </c>
      <c r="B5" s="2886" t="s">
        <v>9173</v>
      </c>
      <c r="C5" s="1134" t="s">
        <v>9174</v>
      </c>
      <c r="D5" s="2922">
        <f>1.6*5/2</f>
        <v>4</v>
      </c>
      <c r="E5" s="327" t="s">
        <v>3740</v>
      </c>
      <c r="F5" s="2610" t="s">
        <v>3741</v>
      </c>
      <c r="G5" s="884"/>
      <c r="H5" s="2055" t="str">
        <f>"4-DaHall 1-PDU-"&amp;L5&amp;"-"&amp;K5&amp;"-"&amp;M5</f>
        <v>4-DaHall 1-PDU-02-100-1</v>
      </c>
      <c r="I5" s="2039"/>
      <c r="J5" s="2050">
        <v>380</v>
      </c>
      <c r="K5" s="2034">
        <v>100</v>
      </c>
      <c r="L5" s="2352" t="s">
        <v>6494</v>
      </c>
      <c r="M5" s="1447">
        <v>1</v>
      </c>
      <c r="N5" s="2040"/>
      <c r="O5" s="2041"/>
      <c r="P5" s="2036"/>
      <c r="Q5" s="2042"/>
      <c r="R5" s="2610" t="s">
        <v>3742</v>
      </c>
      <c r="S5" s="829"/>
      <c r="T5" s="2610" t="s">
        <v>3743</v>
      </c>
      <c r="U5" s="829"/>
      <c r="V5" s="2610" t="s">
        <v>3744</v>
      </c>
      <c r="W5" s="829"/>
      <c r="X5" s="2064">
        <f>SUM('4층_부하량(월간_AVG)'!D6:F6)</f>
        <v>0</v>
      </c>
      <c r="Y5" s="2067"/>
      <c r="Z5" s="2436">
        <f t="shared" ref="Z5:Z13" si="0">SUM(X5:Y5)</f>
        <v>0</v>
      </c>
      <c r="AA5" s="2683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699"/>
      <c r="AC5" s="3185">
        <f>VLOOKUP(H5&amp;I5,'7층~4층_매핑테이블'!$A$6:$H$2020,8,0)</f>
        <v>0.39100000000000001</v>
      </c>
      <c r="AD5" s="3178" t="e">
        <f>SUM(AA5:AB5)</f>
        <v>#N/A</v>
      </c>
      <c r="AE5" s="2471"/>
      <c r="AG5">
        <v>2.2999999999999998</v>
      </c>
      <c r="AH5" s="1363">
        <f>Z5-AG5</f>
        <v>-2.2999999999999998</v>
      </c>
      <c r="AJ5" s="2351" t="e">
        <f>AD5/(24*31)</f>
        <v>#N/A</v>
      </c>
      <c r="AK5" s="2351" t="e">
        <f>D5-AJ5</f>
        <v>#N/A</v>
      </c>
      <c r="AL5" s="123" t="e">
        <f t="shared" ref="AL5:AL68" si="1">IF(SIGN(AK5)&gt;=0,IF(AD5=0,"무부하 랙","적정함"),"사용초과")</f>
        <v>#N/A</v>
      </c>
      <c r="AR5" s="123" t="str" cm="1">
        <f t="array" ref="AR5">IF($AZ$1="", "", _xlfn._xlws.FILTER(A5:D1136, ISNUMBER(SEARCH($AZ$1,C5:C1136)), "찾을 수 없음"))</f>
        <v>찾을 수 없음</v>
      </c>
      <c r="AS5" s="123"/>
      <c r="AU5" s="2982"/>
      <c r="AV5" s="123" t="str" cm="1">
        <f t="array" ref="AV5">IF($AZ$1="", "", _xlfn._xlws.FILTER(H5:I1136, ISNUMBER(SEARCH($AZ$1,C5:C1136)), "찾을 수 없음"))</f>
        <v>찾을 수 없음</v>
      </c>
      <c r="AW5" s="123"/>
      <c r="AX5" s="2983" t="str" cm="1">
        <f t="array" ref="AX5">IF($AZ$1="", "", _xlfn._xlws.FILTER(X5:AE1136, ISNUMBER(SEARCH($AZ$1,C5:C1136)), "찾을 수 없음"))</f>
        <v>찾을 수 없음</v>
      </c>
      <c r="AY5" s="2984"/>
      <c r="AZ5" s="2985"/>
      <c r="BA5" s="3018"/>
      <c r="BB5" s="3019"/>
      <c r="BC5" s="2988"/>
    </row>
    <row r="6" spans="1:59" ht="28.8" x14ac:dyDescent="0.25">
      <c r="A6" s="3866"/>
      <c r="B6" s="2887" t="s">
        <v>9175</v>
      </c>
      <c r="C6" s="1135" t="s">
        <v>9174</v>
      </c>
      <c r="D6" s="2923">
        <f>D5</f>
        <v>4</v>
      </c>
      <c r="E6" s="250" t="s">
        <v>3745</v>
      </c>
      <c r="F6" s="2659"/>
      <c r="G6" s="2609" t="s">
        <v>3746</v>
      </c>
      <c r="H6" s="2056"/>
      <c r="I6" s="2043" t="str">
        <f>"4-DaHall 1-PDU-"&amp;P6&amp;"-"&amp;O6&amp;"-"&amp;Q6</f>
        <v>4-DaHall 1-PDU-01-100-1</v>
      </c>
      <c r="J6" s="2051"/>
      <c r="K6" s="1790"/>
      <c r="L6" s="833"/>
      <c r="M6" s="1791"/>
      <c r="N6" s="2044">
        <v>380</v>
      </c>
      <c r="O6" s="1789">
        <v>100</v>
      </c>
      <c r="P6" s="2354" t="s">
        <v>6498</v>
      </c>
      <c r="Q6" s="1448">
        <v>1</v>
      </c>
      <c r="R6" s="833"/>
      <c r="S6" s="2609" t="s">
        <v>3747</v>
      </c>
      <c r="T6" s="833"/>
      <c r="U6" s="2609" t="s">
        <v>3748</v>
      </c>
      <c r="V6" s="833"/>
      <c r="W6" s="2609" t="s">
        <v>3749</v>
      </c>
      <c r="X6" s="865"/>
      <c r="Y6" s="260">
        <f>SUM('4층_부하량(월간_AVG)'!N35:P35)</f>
        <v>0</v>
      </c>
      <c r="Z6" s="2436">
        <f t="shared" si="0"/>
        <v>0</v>
      </c>
      <c r="AA6" s="2684"/>
      <c r="AB6" s="2703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3186">
        <f>VLOOKUP(H6&amp;I6,'7층~4층_매핑테이블'!$A$6:$H$2020,8,0)</f>
        <v>0.69599999999999995</v>
      </c>
      <c r="AD6" s="3179" t="e">
        <f>SUM(AA6:AB6)</f>
        <v>#N/A</v>
      </c>
      <c r="AE6" s="2472"/>
      <c r="AG6">
        <v>3.2</v>
      </c>
      <c r="AH6" s="1363">
        <f t="shared" ref="AH6:AH233" si="2">Z6-AG6</f>
        <v>-3.2</v>
      </c>
      <c r="AJ6" s="2351" t="e">
        <f t="shared" ref="AJ6:AJ69" si="3">AD6/(24*31)</f>
        <v>#N/A</v>
      </c>
      <c r="AK6" s="2351" t="e">
        <f t="shared" ref="AK6:AK69" si="4">D6-AJ6</f>
        <v>#N/A</v>
      </c>
      <c r="AL6" s="123" t="e">
        <f t="shared" si="1"/>
        <v>#N/A</v>
      </c>
      <c r="AR6" s="123"/>
      <c r="AS6" s="123"/>
      <c r="AU6" s="2982"/>
      <c r="AV6" s="123"/>
      <c r="AW6" s="123"/>
      <c r="AX6" s="2983"/>
      <c r="AY6" s="2984"/>
      <c r="AZ6" s="2985"/>
      <c r="BA6" s="3018"/>
      <c r="BB6" s="3019"/>
      <c r="BC6" s="2988"/>
    </row>
    <row r="7" spans="1:59" ht="28.8" x14ac:dyDescent="0.25">
      <c r="A7" s="3865" t="s">
        <v>3750</v>
      </c>
      <c r="B7" s="2654"/>
      <c r="C7" s="1135" t="s">
        <v>3751</v>
      </c>
      <c r="D7" s="2923"/>
      <c r="E7" s="250" t="s">
        <v>3751</v>
      </c>
      <c r="F7" s="2604" t="s">
        <v>3752</v>
      </c>
      <c r="G7" s="2676"/>
      <c r="H7" s="2057" t="str">
        <f t="shared" ref="H7:H9" si="5">"4-DaHall 1-PDU-"&amp;L7&amp;"-"&amp;K7&amp;"-"&amp;M7</f>
        <v>4-DaHall 1-PDU-10-200-2</v>
      </c>
      <c r="I7" s="2045"/>
      <c r="J7" s="2052">
        <v>380</v>
      </c>
      <c r="K7" s="1788">
        <v>200</v>
      </c>
      <c r="L7" s="2616">
        <v>10</v>
      </c>
      <c r="M7" s="1449">
        <v>2</v>
      </c>
      <c r="N7" s="2046"/>
      <c r="O7" s="1786"/>
      <c r="P7" s="2037"/>
      <c r="Q7" s="1787"/>
      <c r="R7" s="3788" t="s">
        <v>3753</v>
      </c>
      <c r="S7" s="832"/>
      <c r="T7" s="3473" t="s">
        <v>3754</v>
      </c>
      <c r="U7" s="832"/>
      <c r="V7" s="3473" t="s">
        <v>3744</v>
      </c>
      <c r="W7" s="832"/>
      <c r="X7" s="863">
        <f>SUM('4층_부하량(월간_AVG)'!D36:F36)</f>
        <v>0</v>
      </c>
      <c r="Y7" s="2068"/>
      <c r="Z7" s="2436">
        <f t="shared" si="0"/>
        <v>0</v>
      </c>
      <c r="AA7" s="2683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50"/>
      <c r="AC7" s="3186">
        <f>VLOOKUP(H7&amp;I7,'7층~4층_매핑테이블'!$A$6:$H$2020,8,0)</f>
        <v>19.681999999999999</v>
      </c>
      <c r="AD7" s="3179" t="e">
        <f t="shared" ref="AD7:AD14" si="6">SUM(AA7:AB7)</f>
        <v>#N/A</v>
      </c>
      <c r="AE7" s="2472"/>
      <c r="AG7">
        <v>83.5</v>
      </c>
      <c r="AH7" s="1363">
        <f t="shared" si="2"/>
        <v>-83.5</v>
      </c>
      <c r="AJ7" s="2351" t="e">
        <f t="shared" si="3"/>
        <v>#N/A</v>
      </c>
      <c r="AK7" s="2351" t="e">
        <f t="shared" si="4"/>
        <v>#N/A</v>
      </c>
      <c r="AL7" s="123" t="e">
        <f t="shared" si="1"/>
        <v>#N/A</v>
      </c>
      <c r="AR7" s="123"/>
      <c r="AS7" s="123"/>
      <c r="AU7" s="2982"/>
      <c r="AV7" s="123"/>
      <c r="AW7" s="123"/>
      <c r="AX7" s="2983"/>
      <c r="AY7" s="2984"/>
      <c r="AZ7" s="2985"/>
      <c r="BA7" s="3018"/>
      <c r="BB7" s="3019"/>
      <c r="BC7" s="2988"/>
    </row>
    <row r="8" spans="1:59" ht="28.8" x14ac:dyDescent="0.25">
      <c r="A8" s="3866"/>
      <c r="B8" s="2654"/>
      <c r="C8" s="1135" t="s">
        <v>3755</v>
      </c>
      <c r="D8" s="2923"/>
      <c r="E8" s="250" t="s">
        <v>3755</v>
      </c>
      <c r="F8" s="2604" t="s">
        <v>3756</v>
      </c>
      <c r="G8" s="2676"/>
      <c r="H8" s="2057" t="str">
        <f t="shared" si="5"/>
        <v>4-DaHall 1-PDU-10-200-3</v>
      </c>
      <c r="I8" s="2045"/>
      <c r="J8" s="2052">
        <v>380</v>
      </c>
      <c r="K8" s="1788">
        <v>200</v>
      </c>
      <c r="L8" s="2616">
        <v>10</v>
      </c>
      <c r="M8" s="1449">
        <v>3</v>
      </c>
      <c r="N8" s="2046"/>
      <c r="O8" s="1786"/>
      <c r="P8" s="2037"/>
      <c r="Q8" s="1787"/>
      <c r="R8" s="3827"/>
      <c r="S8" s="832"/>
      <c r="T8" s="3488"/>
      <c r="U8" s="832"/>
      <c r="V8" s="3488"/>
      <c r="W8" s="832"/>
      <c r="X8" s="863">
        <f>SUM('4층_부하량(월간_AVG)'!D37:F37)</f>
        <v>0</v>
      </c>
      <c r="Y8" s="2068"/>
      <c r="Z8" s="2436">
        <f t="shared" si="0"/>
        <v>0</v>
      </c>
      <c r="AA8" s="2683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50"/>
      <c r="AC8" s="3186">
        <f>VLOOKUP(H8&amp;I8,'7층~4층_매핑테이블'!$A$6:$H$2020,8,0)</f>
        <v>17.48</v>
      </c>
      <c r="AD8" s="3179" t="e">
        <f t="shared" si="6"/>
        <v>#N/A</v>
      </c>
      <c r="AE8" s="2472"/>
      <c r="AG8">
        <v>43.8</v>
      </c>
      <c r="AH8" s="1363">
        <f t="shared" si="2"/>
        <v>-43.8</v>
      </c>
      <c r="AJ8" s="2351" t="e">
        <f t="shared" si="3"/>
        <v>#N/A</v>
      </c>
      <c r="AK8" s="2351" t="e">
        <f t="shared" si="4"/>
        <v>#N/A</v>
      </c>
      <c r="AL8" s="123" t="e">
        <f t="shared" si="1"/>
        <v>#N/A</v>
      </c>
      <c r="AR8" s="123"/>
      <c r="AS8" s="123"/>
      <c r="AU8" s="2982"/>
      <c r="AV8" s="123"/>
      <c r="AW8" s="123"/>
      <c r="AX8" s="2983"/>
      <c r="AY8" s="2984"/>
      <c r="AZ8" s="2985"/>
      <c r="BA8" s="3018"/>
      <c r="BB8" s="3019"/>
      <c r="BC8" s="2988"/>
    </row>
    <row r="9" spans="1:59" ht="28.8" x14ac:dyDescent="0.25">
      <c r="A9" s="1124" t="s">
        <v>3757</v>
      </c>
      <c r="B9" s="995" t="s">
        <v>9176</v>
      </c>
      <c r="C9" s="1136" t="s">
        <v>9174</v>
      </c>
      <c r="D9" s="2923">
        <f t="shared" ref="D9:D14" si="7">1.6*11</f>
        <v>17.600000000000001</v>
      </c>
      <c r="E9" s="250" t="s">
        <v>3758</v>
      </c>
      <c r="F9" s="2604" t="s">
        <v>3759</v>
      </c>
      <c r="G9" s="2609" t="s">
        <v>3760</v>
      </c>
      <c r="H9" s="2057" t="str">
        <f t="shared" si="5"/>
        <v>4-DaHall 1-PDU-02-100-3</v>
      </c>
      <c r="I9" s="2043" t="str">
        <f t="shared" ref="I9:I14" si="8">"4-DaHall 1-PDU-"&amp;P9&amp;"-"&amp;O9&amp;"-"&amp;Q9</f>
        <v>4-DaHall 1-PDU-01-100-3</v>
      </c>
      <c r="J9" s="2053">
        <v>220</v>
      </c>
      <c r="K9" s="1788">
        <v>100</v>
      </c>
      <c r="L9" s="2353" t="s">
        <v>6494</v>
      </c>
      <c r="M9" s="1449">
        <v>3</v>
      </c>
      <c r="N9" s="2047">
        <v>220</v>
      </c>
      <c r="O9" s="1789">
        <v>100</v>
      </c>
      <c r="P9" s="2354" t="s">
        <v>6498</v>
      </c>
      <c r="Q9" s="1448">
        <v>3</v>
      </c>
      <c r="R9" s="3788" t="s">
        <v>3742</v>
      </c>
      <c r="S9" s="3475" t="s">
        <v>3747</v>
      </c>
      <c r="T9" s="3473" t="s">
        <v>3743</v>
      </c>
      <c r="U9" s="3475" t="s">
        <v>3748</v>
      </c>
      <c r="V9" s="3473" t="s">
        <v>3744</v>
      </c>
      <c r="W9" s="3475" t="s">
        <v>3749</v>
      </c>
      <c r="X9" s="863">
        <f>SUM('4층_부하량(월간_AVG)'!D8:F8)</f>
        <v>0</v>
      </c>
      <c r="Y9" s="260">
        <f>SUM('4층_부하량(월간_AVG)'!N37:P37)</f>
        <v>0</v>
      </c>
      <c r="Z9" s="2436">
        <f t="shared" si="0"/>
        <v>0</v>
      </c>
      <c r="AA9" s="2683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03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3186">
        <f>VLOOKUP(H9&amp;I9,'7층~4층_매핑테이블'!$A$6:$H$2020,8,0)</f>
        <v>14.317</v>
      </c>
      <c r="AD9" s="3179" t="e">
        <f t="shared" si="6"/>
        <v>#N/A</v>
      </c>
      <c r="AE9" s="3924" t="s">
        <v>3761</v>
      </c>
      <c r="AG9">
        <v>68.099999999999994</v>
      </c>
      <c r="AH9" s="1363">
        <f t="shared" si="2"/>
        <v>-68.099999999999994</v>
      </c>
      <c r="AJ9" s="2351" t="e">
        <f t="shared" si="3"/>
        <v>#N/A</v>
      </c>
      <c r="AK9" s="2351" t="e">
        <f t="shared" si="4"/>
        <v>#N/A</v>
      </c>
      <c r="AL9" s="123" t="e">
        <f t="shared" si="1"/>
        <v>#N/A</v>
      </c>
      <c r="AR9" s="123"/>
      <c r="AS9" s="123"/>
      <c r="AU9" s="2982"/>
      <c r="AV9" s="123"/>
      <c r="AW9" s="123"/>
      <c r="AX9" s="2983"/>
      <c r="AY9" s="2984"/>
      <c r="AZ9" s="2985"/>
      <c r="BA9" s="3018"/>
      <c r="BB9" s="3019"/>
      <c r="BC9" s="2988"/>
    </row>
    <row r="10" spans="1:59" ht="28.8" x14ac:dyDescent="0.25">
      <c r="A10" s="1124" t="s">
        <v>3762</v>
      </c>
      <c r="B10" s="995" t="s">
        <v>9177</v>
      </c>
      <c r="C10" s="1136" t="s">
        <v>9174</v>
      </c>
      <c r="D10" s="2923">
        <f t="shared" si="7"/>
        <v>17.600000000000001</v>
      </c>
      <c r="E10" s="250" t="s">
        <v>3758</v>
      </c>
      <c r="F10" s="2604" t="s">
        <v>3763</v>
      </c>
      <c r="G10" s="2609" t="s">
        <v>3764</v>
      </c>
      <c r="H10" s="2057" t="str">
        <f>"4-DaHall 1-PDU-"&amp;L10&amp;"-"&amp;K10&amp;"-"&amp;M10</f>
        <v>4-DaHall 1-PDU-02-100-4</v>
      </c>
      <c r="I10" s="2043" t="str">
        <f t="shared" si="8"/>
        <v>4-DaHall 1-PDU-01-100-4</v>
      </c>
      <c r="J10" s="2053">
        <v>220</v>
      </c>
      <c r="K10" s="1788">
        <v>100</v>
      </c>
      <c r="L10" s="2353" t="s">
        <v>6494</v>
      </c>
      <c r="M10" s="1449">
        <v>4</v>
      </c>
      <c r="N10" s="2047">
        <v>220</v>
      </c>
      <c r="O10" s="1789">
        <v>100</v>
      </c>
      <c r="P10" s="2354" t="s">
        <v>6498</v>
      </c>
      <c r="Q10" s="1448">
        <v>4</v>
      </c>
      <c r="R10" s="3786"/>
      <c r="S10" s="3478"/>
      <c r="T10" s="3477"/>
      <c r="U10" s="3478"/>
      <c r="V10" s="3477"/>
      <c r="W10" s="3478"/>
      <c r="X10" s="863">
        <f>SUM('4층_부하량(월간_AVG)'!D9:F9)</f>
        <v>0</v>
      </c>
      <c r="Y10" s="260">
        <f>SUM('4층_부하량(월간_AVG)'!N38:P38)</f>
        <v>0</v>
      </c>
      <c r="Z10" s="2436">
        <f t="shared" si="0"/>
        <v>0</v>
      </c>
      <c r="AA10" s="2683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03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3186">
        <f>VLOOKUP(H10&amp;I10,'7층~4층_매핑테이블'!$A$6:$H$2020,8,0)</f>
        <v>15.279</v>
      </c>
      <c r="AD10" s="3179" t="e">
        <f t="shared" si="6"/>
        <v>#N/A</v>
      </c>
      <c r="AE10" s="3925"/>
      <c r="AG10">
        <v>74.099999999999994</v>
      </c>
      <c r="AH10" s="1363">
        <f t="shared" si="2"/>
        <v>-74.099999999999994</v>
      </c>
      <c r="AJ10" s="2351" t="e">
        <f t="shared" si="3"/>
        <v>#N/A</v>
      </c>
      <c r="AK10" s="2351" t="e">
        <f t="shared" si="4"/>
        <v>#N/A</v>
      </c>
      <c r="AL10" s="123" t="e">
        <f t="shared" si="1"/>
        <v>#N/A</v>
      </c>
      <c r="AR10" s="123"/>
      <c r="AS10" s="123"/>
      <c r="AU10" s="2982"/>
      <c r="AV10" s="123"/>
      <c r="AW10" s="123"/>
      <c r="AX10" s="2983"/>
      <c r="AY10" s="2984"/>
      <c r="AZ10" s="2985"/>
      <c r="BA10" s="3018"/>
      <c r="BB10" s="3019"/>
      <c r="BC10" s="2988"/>
    </row>
    <row r="11" spans="1:59" ht="28.8" x14ac:dyDescent="0.25">
      <c r="A11" s="1124" t="s">
        <v>3765</v>
      </c>
      <c r="B11" s="995" t="s">
        <v>9178</v>
      </c>
      <c r="C11" s="1136" t="s">
        <v>9174</v>
      </c>
      <c r="D11" s="2923">
        <f t="shared" si="7"/>
        <v>17.600000000000001</v>
      </c>
      <c r="E11" s="250" t="s">
        <v>3758</v>
      </c>
      <c r="F11" s="2604" t="s">
        <v>3766</v>
      </c>
      <c r="G11" s="2609" t="s">
        <v>3767</v>
      </c>
      <c r="H11" s="2057" t="str">
        <f t="shared" ref="H11:H14" si="9">"4-DaHall 1-PDU-"&amp;L11&amp;"-"&amp;K11&amp;"-"&amp;M11</f>
        <v>4-DaHall 1-PDU-02-100-5</v>
      </c>
      <c r="I11" s="2043" t="str">
        <f t="shared" si="8"/>
        <v>4-DaHall 1-PDU-01-100-5</v>
      </c>
      <c r="J11" s="2053">
        <v>220</v>
      </c>
      <c r="K11" s="1788">
        <v>100</v>
      </c>
      <c r="L11" s="2353" t="s">
        <v>6494</v>
      </c>
      <c r="M11" s="1449">
        <v>5</v>
      </c>
      <c r="N11" s="2047">
        <v>220</v>
      </c>
      <c r="O11" s="1789">
        <v>100</v>
      </c>
      <c r="P11" s="2354" t="s">
        <v>6498</v>
      </c>
      <c r="Q11" s="1448">
        <v>5</v>
      </c>
      <c r="R11" s="3786"/>
      <c r="S11" s="3478"/>
      <c r="T11" s="3477"/>
      <c r="U11" s="3478"/>
      <c r="V11" s="3477"/>
      <c r="W11" s="3478"/>
      <c r="X11" s="863">
        <f>SUM('4층_부하량(월간_AVG)'!D10:F10)</f>
        <v>0</v>
      </c>
      <c r="Y11" s="260">
        <f>SUM('4층_부하량(월간_AVG)'!N39:P39)</f>
        <v>0</v>
      </c>
      <c r="Z11" s="2436">
        <f t="shared" si="0"/>
        <v>0</v>
      </c>
      <c r="AA11" s="2683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03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3186">
        <f>VLOOKUP(H11&amp;I11,'7층~4층_매핑테이블'!$A$6:$H$2020,8,0)</f>
        <v>18.469000000000001</v>
      </c>
      <c r="AD11" s="3179" t="e">
        <f t="shared" si="6"/>
        <v>#N/A</v>
      </c>
      <c r="AE11" s="3925"/>
      <c r="AG11">
        <v>80.3</v>
      </c>
      <c r="AH11" s="1363">
        <f t="shared" si="2"/>
        <v>-80.3</v>
      </c>
      <c r="AJ11" s="2351" t="e">
        <f t="shared" si="3"/>
        <v>#N/A</v>
      </c>
      <c r="AK11" s="2351" t="e">
        <f t="shared" si="4"/>
        <v>#N/A</v>
      </c>
      <c r="AL11" s="123" t="e">
        <f t="shared" si="1"/>
        <v>#N/A</v>
      </c>
      <c r="AR11" s="123"/>
      <c r="AS11" s="123"/>
      <c r="AU11" s="2982"/>
      <c r="AV11" s="123"/>
      <c r="AW11" s="123"/>
      <c r="AX11" s="2983"/>
      <c r="AY11" s="2984"/>
      <c r="AZ11" s="2985"/>
      <c r="BA11" s="3018"/>
      <c r="BB11" s="3019"/>
      <c r="BC11" s="2988"/>
    </row>
    <row r="12" spans="1:59" ht="28.8" x14ac:dyDescent="0.25">
      <c r="A12" s="1124" t="s">
        <v>3768</v>
      </c>
      <c r="B12" s="995" t="s">
        <v>9179</v>
      </c>
      <c r="C12" s="1136" t="s">
        <v>9174</v>
      </c>
      <c r="D12" s="2923">
        <f t="shared" si="7"/>
        <v>17.600000000000001</v>
      </c>
      <c r="E12" s="250" t="s">
        <v>3758</v>
      </c>
      <c r="F12" s="2604" t="s">
        <v>3769</v>
      </c>
      <c r="G12" s="2609" t="s">
        <v>3770</v>
      </c>
      <c r="H12" s="2057" t="str">
        <f t="shared" si="9"/>
        <v>4-DaHall 1-PDU-02-100-2</v>
      </c>
      <c r="I12" s="2043" t="str">
        <f t="shared" si="8"/>
        <v>4-DaHall 1-PDU-01-100-2</v>
      </c>
      <c r="J12" s="2053">
        <v>220</v>
      </c>
      <c r="K12" s="1788">
        <v>100</v>
      </c>
      <c r="L12" s="2353" t="s">
        <v>6494</v>
      </c>
      <c r="M12" s="1449">
        <v>2</v>
      </c>
      <c r="N12" s="2047">
        <v>220</v>
      </c>
      <c r="O12" s="1789">
        <v>100</v>
      </c>
      <c r="P12" s="2354" t="s">
        <v>6498</v>
      </c>
      <c r="Q12" s="1448">
        <v>2</v>
      </c>
      <c r="R12" s="3827"/>
      <c r="S12" s="3487"/>
      <c r="T12" s="3488"/>
      <c r="U12" s="3487"/>
      <c r="V12" s="3488"/>
      <c r="W12" s="3487"/>
      <c r="X12" s="863">
        <f>SUM('4층_부하량(월간_AVG)'!D7:F7)</f>
        <v>0</v>
      </c>
      <c r="Y12" s="260">
        <f>SUM('4층_부하량(월간_AVG)'!N36:P36)</f>
        <v>0</v>
      </c>
      <c r="Z12" s="2436">
        <f t="shared" si="0"/>
        <v>0</v>
      </c>
      <c r="AA12" s="2683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03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3186">
        <f>VLOOKUP(H12&amp;I12,'7층~4층_매핑테이블'!$A$6:$H$2020,8,0)</f>
        <v>15.489000000000001</v>
      </c>
      <c r="AD12" s="3179" t="e">
        <f t="shared" si="6"/>
        <v>#N/A</v>
      </c>
      <c r="AE12" s="3925"/>
      <c r="AG12">
        <v>73.599999999999994</v>
      </c>
      <c r="AH12" s="1363">
        <f t="shared" si="2"/>
        <v>-73.599999999999994</v>
      </c>
      <c r="AJ12" s="2351" t="e">
        <f t="shared" si="3"/>
        <v>#N/A</v>
      </c>
      <c r="AK12" s="2351" t="e">
        <f t="shared" si="4"/>
        <v>#N/A</v>
      </c>
      <c r="AL12" s="123" t="e">
        <f t="shared" si="1"/>
        <v>#N/A</v>
      </c>
      <c r="AR12" s="123"/>
      <c r="AS12" s="123"/>
      <c r="AU12" s="2982"/>
      <c r="AV12" s="123"/>
      <c r="AW12" s="123"/>
      <c r="AX12" s="2983"/>
      <c r="AY12" s="2984"/>
      <c r="AZ12" s="2985"/>
      <c r="BA12" s="3018"/>
      <c r="BB12" s="3019"/>
      <c r="BC12" s="2988"/>
    </row>
    <row r="13" spans="1:59" ht="28.8" x14ac:dyDescent="0.25">
      <c r="A13" s="1124" t="s">
        <v>3771</v>
      </c>
      <c r="B13" s="995" t="s">
        <v>9180</v>
      </c>
      <c r="C13" s="1136" t="s">
        <v>9174</v>
      </c>
      <c r="D13" s="2923">
        <f t="shared" si="7"/>
        <v>17.600000000000001</v>
      </c>
      <c r="E13" s="250" t="s">
        <v>3758</v>
      </c>
      <c r="F13" s="2604" t="s">
        <v>3772</v>
      </c>
      <c r="G13" s="2609" t="s">
        <v>3773</v>
      </c>
      <c r="H13" s="2057" t="str">
        <f t="shared" si="9"/>
        <v>4-DaHall 1-PDU-04-100-2</v>
      </c>
      <c r="I13" s="2043" t="str">
        <f t="shared" si="8"/>
        <v>4-DaHall 1-PDU-03-100-2</v>
      </c>
      <c r="J13" s="2053">
        <v>220</v>
      </c>
      <c r="K13" s="1788">
        <v>100</v>
      </c>
      <c r="L13" s="2353" t="s">
        <v>6496</v>
      </c>
      <c r="M13" s="1449">
        <v>2</v>
      </c>
      <c r="N13" s="2047">
        <v>220</v>
      </c>
      <c r="O13" s="1789">
        <v>100</v>
      </c>
      <c r="P13" s="2354" t="s">
        <v>6500</v>
      </c>
      <c r="Q13" s="1448">
        <v>2</v>
      </c>
      <c r="R13" s="3788" t="s">
        <v>3774</v>
      </c>
      <c r="S13" s="3475" t="s">
        <v>3775</v>
      </c>
      <c r="T13" s="3473" t="s">
        <v>3776</v>
      </c>
      <c r="U13" s="3475" t="s">
        <v>3777</v>
      </c>
      <c r="V13" s="3473" t="s">
        <v>3744</v>
      </c>
      <c r="W13" s="3475" t="s">
        <v>3749</v>
      </c>
      <c r="X13" s="863">
        <f>SUM('4층_부하량(월간_AVG)'!N7:P7)</f>
        <v>0</v>
      </c>
      <c r="Y13" s="260">
        <f>SUM('4층_부하량(월간_AVG)'!D49:F49)</f>
        <v>0</v>
      </c>
      <c r="Z13" s="2436">
        <f t="shared" si="0"/>
        <v>0</v>
      </c>
      <c r="AA13" s="2683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03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3186">
        <f>VLOOKUP(H13&amp;I13,'7층~4층_매핑테이블'!$A$6:$H$2020,8,0)</f>
        <v>16.236000000000001</v>
      </c>
      <c r="AD13" s="3179" t="e">
        <f t="shared" si="6"/>
        <v>#N/A</v>
      </c>
      <c r="AE13" s="3925"/>
      <c r="AG13">
        <v>73.2</v>
      </c>
      <c r="AH13" s="1363">
        <f t="shared" si="2"/>
        <v>-73.2</v>
      </c>
      <c r="AJ13" s="2351" t="e">
        <f t="shared" si="3"/>
        <v>#N/A</v>
      </c>
      <c r="AK13" s="2351" t="e">
        <f t="shared" si="4"/>
        <v>#N/A</v>
      </c>
      <c r="AL13" s="123" t="e">
        <f t="shared" si="1"/>
        <v>#N/A</v>
      </c>
      <c r="AR13" s="123"/>
      <c r="AS13" s="123"/>
      <c r="AU13" s="2982"/>
      <c r="AV13" s="123"/>
      <c r="AW13" s="123"/>
      <c r="AX13" s="2983"/>
      <c r="AY13" s="2984"/>
      <c r="AZ13" s="2985"/>
      <c r="BA13" s="3018"/>
      <c r="BB13" s="3019"/>
      <c r="BC13" s="2988"/>
    </row>
    <row r="14" spans="1:59" ht="28.8" x14ac:dyDescent="0.25">
      <c r="A14" s="1124" t="s">
        <v>3778</v>
      </c>
      <c r="B14" s="995" t="s">
        <v>9181</v>
      </c>
      <c r="C14" s="1136" t="s">
        <v>9174</v>
      </c>
      <c r="D14" s="2924">
        <f t="shared" si="7"/>
        <v>17.600000000000001</v>
      </c>
      <c r="E14" s="250" t="s">
        <v>3758</v>
      </c>
      <c r="F14" s="2604" t="s">
        <v>3779</v>
      </c>
      <c r="G14" s="2609" t="s">
        <v>3780</v>
      </c>
      <c r="H14" s="2057" t="str">
        <f t="shared" si="9"/>
        <v>4-DaHall 1-PDU-04-100-3</v>
      </c>
      <c r="I14" s="2043" t="str">
        <f t="shared" si="8"/>
        <v>4-DaHall 1-PDU-03-100-3</v>
      </c>
      <c r="J14" s="2053">
        <v>220</v>
      </c>
      <c r="K14" s="1788">
        <v>100</v>
      </c>
      <c r="L14" s="2353" t="s">
        <v>6496</v>
      </c>
      <c r="M14" s="1449">
        <v>3</v>
      </c>
      <c r="N14" s="2047">
        <v>220</v>
      </c>
      <c r="O14" s="1789">
        <v>100</v>
      </c>
      <c r="P14" s="2354" t="s">
        <v>6500</v>
      </c>
      <c r="Q14" s="1448">
        <v>3</v>
      </c>
      <c r="R14" s="3786"/>
      <c r="S14" s="3478"/>
      <c r="T14" s="3477"/>
      <c r="U14" s="3478"/>
      <c r="V14" s="3477"/>
      <c r="W14" s="3478"/>
      <c r="X14" s="824">
        <f>SUM('4층_부하량(월간_AVG)'!N8:P8)</f>
        <v>0</v>
      </c>
      <c r="Y14" s="1400">
        <f>SUM('4층_부하량(월간_AVG)'!D50:F50)</f>
        <v>0</v>
      </c>
      <c r="Z14" s="2443">
        <f t="shared" ref="Z14" si="10">SUM(X14:Y14)</f>
        <v>0</v>
      </c>
      <c r="AA14" s="2685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03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3186">
        <f>VLOOKUP(H14&amp;I14,'7층~4층_매핑테이블'!$A$6:$H$2020,8,0)</f>
        <v>12.522</v>
      </c>
      <c r="AD14" s="3179" t="e">
        <f t="shared" si="6"/>
        <v>#N/A</v>
      </c>
      <c r="AE14" s="3926"/>
      <c r="AG14">
        <v>57.5</v>
      </c>
      <c r="AH14" s="1363">
        <f t="shared" si="2"/>
        <v>-57.5</v>
      </c>
      <c r="AJ14" s="2351" t="e">
        <f t="shared" si="3"/>
        <v>#N/A</v>
      </c>
      <c r="AK14" s="2351" t="e">
        <f t="shared" si="4"/>
        <v>#N/A</v>
      </c>
      <c r="AL14" s="123" t="e">
        <f t="shared" si="1"/>
        <v>#N/A</v>
      </c>
      <c r="AR14" s="123"/>
      <c r="AS14" s="123"/>
      <c r="AU14" s="2982"/>
      <c r="AV14" s="123"/>
      <c r="AW14" s="123"/>
      <c r="AX14" s="2983"/>
      <c r="AY14" s="2984"/>
      <c r="AZ14" s="2985"/>
      <c r="BA14" s="3018"/>
      <c r="BB14" s="3019"/>
      <c r="BC14" s="2988"/>
    </row>
    <row r="15" spans="1:59" ht="27" thickBot="1" x14ac:dyDescent="0.3">
      <c r="A15" s="1125"/>
      <c r="B15" s="1126"/>
      <c r="C15" s="1137"/>
      <c r="D15" s="1137"/>
      <c r="E15" s="2629"/>
      <c r="F15" s="2605"/>
      <c r="G15" s="2611"/>
      <c r="H15" s="2058"/>
      <c r="I15" s="2048"/>
      <c r="J15" s="2054"/>
      <c r="K15" s="1793"/>
      <c r="L15" s="849"/>
      <c r="M15" s="1451"/>
      <c r="N15" s="2049"/>
      <c r="O15" s="1792"/>
      <c r="P15" s="2038"/>
      <c r="Q15" s="1450"/>
      <c r="R15" s="3787"/>
      <c r="S15" s="3476"/>
      <c r="T15" s="3474"/>
      <c r="U15" s="3476"/>
      <c r="V15" s="3474"/>
      <c r="W15" s="3476"/>
      <c r="X15" s="1127"/>
      <c r="Y15" s="2069"/>
      <c r="Z15" s="2444"/>
      <c r="AA15" s="2686"/>
      <c r="AB15" s="2746"/>
      <c r="AC15" s="3187"/>
      <c r="AD15" s="3180"/>
      <c r="AE15" s="2473" t="s">
        <v>3781</v>
      </c>
      <c r="AG15">
        <v>0</v>
      </c>
      <c r="AH15" s="1363">
        <f t="shared" si="2"/>
        <v>0</v>
      </c>
      <c r="AJ15" s="2351">
        <f t="shared" si="3"/>
        <v>0</v>
      </c>
      <c r="AK15" s="2351">
        <f t="shared" si="4"/>
        <v>0</v>
      </c>
      <c r="AL15" s="123" t="str">
        <f t="shared" si="1"/>
        <v>무부하 랙</v>
      </c>
      <c r="AR15" s="123"/>
      <c r="AS15" s="123"/>
      <c r="AU15" s="2982"/>
      <c r="AV15" s="123"/>
      <c r="AW15" s="123"/>
      <c r="AX15" s="2983"/>
      <c r="AY15" s="2984"/>
      <c r="AZ15" s="2985"/>
      <c r="BA15" s="3018"/>
      <c r="BB15" s="3019"/>
      <c r="BC15" s="2988"/>
    </row>
    <row r="16" spans="1:59" ht="14.25" customHeight="1" thickTop="1" x14ac:dyDescent="0.25">
      <c r="A16" s="3828" t="s">
        <v>4084</v>
      </c>
      <c r="B16" s="1128" t="s">
        <v>2371</v>
      </c>
      <c r="C16" s="1142" t="s">
        <v>9183</v>
      </c>
      <c r="D16" s="3782">
        <f>2.2*6</f>
        <v>13.200000000000001</v>
      </c>
      <c r="E16" s="327" t="s">
        <v>4085</v>
      </c>
      <c r="F16" s="3491" t="s">
        <v>4086</v>
      </c>
      <c r="G16" s="3831" t="s">
        <v>4087</v>
      </c>
      <c r="H16" s="3798" t="str">
        <f>"4-DaHall 1-PDU-"&amp;L16&amp;"-"&amp;K16&amp;"-"&amp;M16</f>
        <v>4-DaHall 1-PDU-08-100-2</v>
      </c>
      <c r="I16" s="3801" t="str">
        <f>"4-DaHall 1-PDU-"&amp;P16&amp;"-"&amp;O16&amp;"-"&amp;Q16</f>
        <v>4-DaHall 1-PDU-07-100-2</v>
      </c>
      <c r="J16" s="3889">
        <v>220</v>
      </c>
      <c r="K16" s="3892">
        <v>100</v>
      </c>
      <c r="L16" s="3810" t="s">
        <v>6505</v>
      </c>
      <c r="M16" s="3812">
        <v>2</v>
      </c>
      <c r="N16" s="3895">
        <v>220</v>
      </c>
      <c r="O16" s="3898">
        <v>100</v>
      </c>
      <c r="P16" s="3821" t="s">
        <v>6492</v>
      </c>
      <c r="Q16" s="3824">
        <v>2</v>
      </c>
      <c r="R16" s="3785" t="s">
        <v>4032</v>
      </c>
      <c r="S16" s="3489" t="s">
        <v>4033</v>
      </c>
      <c r="T16" s="3491" t="s">
        <v>4034</v>
      </c>
      <c r="U16" s="3489" t="s">
        <v>4035</v>
      </c>
      <c r="V16" s="3491" t="s">
        <v>3744</v>
      </c>
      <c r="W16" s="3489" t="s">
        <v>3749</v>
      </c>
      <c r="X16" s="3847">
        <f>SUM('4층_부하량(월간_AVG)'!N20:P20)</f>
        <v>0</v>
      </c>
      <c r="Y16" s="3844">
        <f>SUM('4층_부하량(월간_AVG)'!D65:F65)</f>
        <v>0</v>
      </c>
      <c r="Z16" s="3673">
        <f>SUM(X16:Y16)</f>
        <v>0</v>
      </c>
      <c r="AA16" s="3841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904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188">
        <f>VLOOKUP(H16&amp;I16,'7층~4층_매핑테이블'!$A$6:$H$2020,8,0)</f>
        <v>15.074</v>
      </c>
      <c r="AD16" s="3181" t="e">
        <f>SUM(AA16:AB21)</f>
        <v>#N/A</v>
      </c>
      <c r="AE16" s="3927" t="s">
        <v>4088</v>
      </c>
      <c r="AG16">
        <v>67.900000000000006</v>
      </c>
      <c r="AH16" s="1363">
        <f t="shared" ref="AH16:AH45" si="11">Z16-AG16</f>
        <v>-67.900000000000006</v>
      </c>
      <c r="AJ16" s="2351" t="e">
        <f t="shared" si="3"/>
        <v>#N/A</v>
      </c>
      <c r="AK16" s="2351" t="e">
        <f t="shared" si="4"/>
        <v>#N/A</v>
      </c>
      <c r="AL16" s="123" t="e">
        <f t="shared" si="1"/>
        <v>#N/A</v>
      </c>
      <c r="AR16" s="123"/>
      <c r="AS16" s="123"/>
      <c r="AU16" s="2982"/>
      <c r="AV16" s="123"/>
      <c r="AW16" s="123"/>
      <c r="AX16" s="2983"/>
      <c r="AY16" s="2984"/>
      <c r="AZ16" s="2985"/>
      <c r="BA16" s="2986"/>
      <c r="BB16" s="2987"/>
      <c r="BC16" s="2988"/>
    </row>
    <row r="17" spans="1:55" x14ac:dyDescent="0.25">
      <c r="A17" s="3829"/>
      <c r="B17" s="2622" t="s">
        <v>4089</v>
      </c>
      <c r="C17" s="1143" t="s">
        <v>9183</v>
      </c>
      <c r="D17" s="3783"/>
      <c r="E17" s="250" t="s">
        <v>4090</v>
      </c>
      <c r="F17" s="3477"/>
      <c r="G17" s="3832"/>
      <c r="H17" s="3799"/>
      <c r="I17" s="3802"/>
      <c r="J17" s="3890"/>
      <c r="K17" s="3893"/>
      <c r="L17" s="3651"/>
      <c r="M17" s="3813"/>
      <c r="N17" s="3896"/>
      <c r="O17" s="3899"/>
      <c r="P17" s="3822"/>
      <c r="Q17" s="3825"/>
      <c r="R17" s="3786"/>
      <c r="S17" s="3478"/>
      <c r="T17" s="3477"/>
      <c r="U17" s="3478"/>
      <c r="V17" s="3477"/>
      <c r="W17" s="3478"/>
      <c r="X17" s="3848"/>
      <c r="Y17" s="3845"/>
      <c r="Z17" s="3521"/>
      <c r="AA17" s="3842"/>
      <c r="AB17" s="3905"/>
      <c r="AC17" s="3189">
        <f>$AC$16</f>
        <v>15.074</v>
      </c>
      <c r="AD17" s="3182" t="e">
        <f>AD16</f>
        <v>#N/A</v>
      </c>
      <c r="AE17" s="3925"/>
      <c r="AG17">
        <v>0</v>
      </c>
      <c r="AH17" s="1363">
        <f t="shared" si="11"/>
        <v>0</v>
      </c>
      <c r="AJ17" s="2351" t="e">
        <f t="shared" si="3"/>
        <v>#N/A</v>
      </c>
      <c r="AK17" s="2351" t="e">
        <f t="shared" si="4"/>
        <v>#N/A</v>
      </c>
      <c r="AL17" s="123" t="e">
        <f t="shared" si="1"/>
        <v>#N/A</v>
      </c>
      <c r="AR17" s="123"/>
      <c r="AS17" s="123"/>
      <c r="AU17" s="2982"/>
      <c r="AV17" s="123"/>
      <c r="AW17" s="123"/>
      <c r="AX17" s="2983"/>
      <c r="AY17" s="2984"/>
      <c r="AZ17" s="2985"/>
      <c r="BA17" s="2986"/>
      <c r="BB17" s="2987"/>
      <c r="BC17" s="2988"/>
    </row>
    <row r="18" spans="1:55" x14ac:dyDescent="0.25">
      <c r="A18" s="3829"/>
      <c r="B18" s="2622" t="s">
        <v>4091</v>
      </c>
      <c r="C18" s="1143" t="s">
        <v>9183</v>
      </c>
      <c r="D18" s="3783"/>
      <c r="E18" s="250" t="s">
        <v>4092</v>
      </c>
      <c r="F18" s="3477"/>
      <c r="G18" s="3832"/>
      <c r="H18" s="3799"/>
      <c r="I18" s="3802"/>
      <c r="J18" s="3890"/>
      <c r="K18" s="3893"/>
      <c r="L18" s="3651"/>
      <c r="M18" s="3813"/>
      <c r="N18" s="3896"/>
      <c r="O18" s="3899"/>
      <c r="P18" s="3822"/>
      <c r="Q18" s="3825"/>
      <c r="R18" s="3786"/>
      <c r="S18" s="3478"/>
      <c r="T18" s="3477"/>
      <c r="U18" s="3478"/>
      <c r="V18" s="3477"/>
      <c r="W18" s="3478"/>
      <c r="X18" s="3848"/>
      <c r="Y18" s="3845"/>
      <c r="Z18" s="3521"/>
      <c r="AA18" s="3842"/>
      <c r="AB18" s="3905"/>
      <c r="AC18" s="3189">
        <f t="shared" ref="AC18:AC21" si="12">$AC$16</f>
        <v>15.074</v>
      </c>
      <c r="AD18" s="3182" t="e">
        <f t="shared" ref="AD18:AD21" si="13">AD17</f>
        <v>#N/A</v>
      </c>
      <c r="AE18" s="3925"/>
      <c r="AG18">
        <v>0</v>
      </c>
      <c r="AH18" s="1363">
        <f t="shared" si="11"/>
        <v>0</v>
      </c>
      <c r="AJ18" s="2351" t="e">
        <f t="shared" si="3"/>
        <v>#N/A</v>
      </c>
      <c r="AK18" s="2351" t="e">
        <f t="shared" si="4"/>
        <v>#N/A</v>
      </c>
      <c r="AL18" s="123" t="e">
        <f t="shared" si="1"/>
        <v>#N/A</v>
      </c>
      <c r="AR18" s="123"/>
      <c r="AS18" s="123"/>
      <c r="AU18" s="2982"/>
      <c r="AV18" s="123"/>
      <c r="AW18" s="123"/>
      <c r="AX18" s="2983"/>
      <c r="AY18" s="2984"/>
      <c r="AZ18" s="2985"/>
      <c r="BA18" s="2986"/>
      <c r="BB18" s="2987"/>
      <c r="BC18" s="2988"/>
    </row>
    <row r="19" spans="1:55" x14ac:dyDescent="0.25">
      <c r="A19" s="3829"/>
      <c r="B19" s="2622" t="s">
        <v>4093</v>
      </c>
      <c r="C19" s="1143" t="s">
        <v>9183</v>
      </c>
      <c r="D19" s="3783"/>
      <c r="E19" s="250" t="s">
        <v>4094</v>
      </c>
      <c r="F19" s="3477"/>
      <c r="G19" s="3832"/>
      <c r="H19" s="3799"/>
      <c r="I19" s="3802"/>
      <c r="J19" s="3890"/>
      <c r="K19" s="3893"/>
      <c r="L19" s="3651"/>
      <c r="M19" s="3813"/>
      <c r="N19" s="3896"/>
      <c r="O19" s="3899"/>
      <c r="P19" s="3822"/>
      <c r="Q19" s="3825"/>
      <c r="R19" s="3786"/>
      <c r="S19" s="3478"/>
      <c r="T19" s="3477"/>
      <c r="U19" s="3478"/>
      <c r="V19" s="3477"/>
      <c r="W19" s="3478"/>
      <c r="X19" s="3848"/>
      <c r="Y19" s="3845"/>
      <c r="Z19" s="3521"/>
      <c r="AA19" s="3842"/>
      <c r="AB19" s="3905"/>
      <c r="AC19" s="3189">
        <f t="shared" si="12"/>
        <v>15.074</v>
      </c>
      <c r="AD19" s="3182" t="e">
        <f t="shared" si="13"/>
        <v>#N/A</v>
      </c>
      <c r="AE19" s="3925"/>
      <c r="AG19">
        <v>0</v>
      </c>
      <c r="AH19" s="1363">
        <f t="shared" si="11"/>
        <v>0</v>
      </c>
      <c r="AJ19" s="2351" t="e">
        <f t="shared" si="3"/>
        <v>#N/A</v>
      </c>
      <c r="AK19" s="2351" t="e">
        <f t="shared" si="4"/>
        <v>#N/A</v>
      </c>
      <c r="AL19" s="123" t="e">
        <f t="shared" si="1"/>
        <v>#N/A</v>
      </c>
      <c r="AR19" s="123"/>
      <c r="AS19" s="123"/>
      <c r="AU19" s="2982"/>
      <c r="AV19" s="123"/>
      <c r="AW19" s="123"/>
      <c r="AX19" s="2983"/>
      <c r="AY19" s="2984"/>
      <c r="AZ19" s="2985"/>
      <c r="BA19" s="2986"/>
      <c r="BB19" s="2987"/>
      <c r="BC19" s="2988"/>
    </row>
    <row r="20" spans="1:55" x14ac:dyDescent="0.25">
      <c r="A20" s="3829"/>
      <c r="B20" s="2622" t="s">
        <v>4095</v>
      </c>
      <c r="C20" s="1143" t="s">
        <v>9183</v>
      </c>
      <c r="D20" s="3783"/>
      <c r="E20" s="250" t="s">
        <v>4096</v>
      </c>
      <c r="F20" s="3477"/>
      <c r="G20" s="3832"/>
      <c r="H20" s="3799"/>
      <c r="I20" s="3802"/>
      <c r="J20" s="3890"/>
      <c r="K20" s="3893"/>
      <c r="L20" s="3651"/>
      <c r="M20" s="3813"/>
      <c r="N20" s="3896"/>
      <c r="O20" s="3899"/>
      <c r="P20" s="3822"/>
      <c r="Q20" s="3825"/>
      <c r="R20" s="3786"/>
      <c r="S20" s="3478"/>
      <c r="T20" s="3477"/>
      <c r="U20" s="3478"/>
      <c r="V20" s="3477"/>
      <c r="W20" s="3478"/>
      <c r="X20" s="3848"/>
      <c r="Y20" s="3845"/>
      <c r="Z20" s="3521"/>
      <c r="AA20" s="3842"/>
      <c r="AB20" s="3905"/>
      <c r="AC20" s="3189">
        <f t="shared" si="12"/>
        <v>15.074</v>
      </c>
      <c r="AD20" s="3182" t="e">
        <f t="shared" si="13"/>
        <v>#N/A</v>
      </c>
      <c r="AE20" s="3925"/>
      <c r="AG20">
        <v>0</v>
      </c>
      <c r="AH20" s="1363">
        <f t="shared" si="11"/>
        <v>0</v>
      </c>
      <c r="AJ20" s="2351" t="e">
        <f t="shared" si="3"/>
        <v>#N/A</v>
      </c>
      <c r="AK20" s="2351" t="e">
        <f t="shared" si="4"/>
        <v>#N/A</v>
      </c>
      <c r="AL20" s="123" t="e">
        <f t="shared" si="1"/>
        <v>#N/A</v>
      </c>
      <c r="AR20" s="123"/>
      <c r="AS20" s="123"/>
      <c r="AU20" s="2982"/>
      <c r="AV20" s="123"/>
      <c r="AW20" s="123"/>
      <c r="AX20" s="2983"/>
      <c r="AY20" s="2984"/>
      <c r="AZ20" s="2985"/>
      <c r="BA20" s="2986"/>
      <c r="BB20" s="2987"/>
      <c r="BC20" s="2988"/>
    </row>
    <row r="21" spans="1:55" ht="15" thickBot="1" x14ac:dyDescent="0.3">
      <c r="A21" s="3830"/>
      <c r="B21" s="1129" t="s">
        <v>4097</v>
      </c>
      <c r="C21" s="1140" t="s">
        <v>9183</v>
      </c>
      <c r="D21" s="3784"/>
      <c r="E21" s="2629" t="s">
        <v>4098</v>
      </c>
      <c r="F21" s="3474"/>
      <c r="G21" s="3833"/>
      <c r="H21" s="3800"/>
      <c r="I21" s="3803"/>
      <c r="J21" s="3891"/>
      <c r="K21" s="3894"/>
      <c r="L21" s="3811"/>
      <c r="M21" s="3814"/>
      <c r="N21" s="3897"/>
      <c r="O21" s="3900"/>
      <c r="P21" s="3823"/>
      <c r="Q21" s="3826"/>
      <c r="R21" s="3787"/>
      <c r="S21" s="3476"/>
      <c r="T21" s="3474"/>
      <c r="U21" s="3476"/>
      <c r="V21" s="3474"/>
      <c r="W21" s="3476"/>
      <c r="X21" s="3849"/>
      <c r="Y21" s="3846"/>
      <c r="Z21" s="3627"/>
      <c r="AA21" s="3843"/>
      <c r="AB21" s="3906"/>
      <c r="AC21" s="3189">
        <f t="shared" si="12"/>
        <v>15.074</v>
      </c>
      <c r="AD21" s="3182" t="e">
        <f t="shared" si="13"/>
        <v>#N/A</v>
      </c>
      <c r="AE21" s="3928"/>
      <c r="AG21">
        <v>0</v>
      </c>
      <c r="AH21" s="1363">
        <f t="shared" si="11"/>
        <v>0</v>
      </c>
      <c r="AJ21" s="2351" t="e">
        <f t="shared" si="3"/>
        <v>#N/A</v>
      </c>
      <c r="AK21" s="2351" t="e">
        <f t="shared" si="4"/>
        <v>#N/A</v>
      </c>
      <c r="AL21" s="123" t="e">
        <f t="shared" si="1"/>
        <v>#N/A</v>
      </c>
      <c r="AR21" s="123"/>
      <c r="AS21" s="123"/>
      <c r="AU21" s="2982"/>
      <c r="AV21" s="123"/>
      <c r="AW21" s="123"/>
      <c r="AX21" s="2983"/>
      <c r="AY21" s="2984"/>
      <c r="AZ21" s="2985"/>
      <c r="BA21" s="2986"/>
      <c r="BB21" s="2987"/>
      <c r="BC21" s="2988"/>
    </row>
    <row r="22" spans="1:55" ht="14.25" customHeight="1" thickTop="1" x14ac:dyDescent="0.25">
      <c r="A22" s="3828" t="s">
        <v>4110</v>
      </c>
      <c r="B22" s="1128" t="s">
        <v>3209</v>
      </c>
      <c r="C22" s="1142" t="s">
        <v>9183</v>
      </c>
      <c r="D22" s="3782">
        <v>6.6</v>
      </c>
      <c r="E22" s="327" t="s">
        <v>4111</v>
      </c>
      <c r="F22" s="3491" t="s">
        <v>4112</v>
      </c>
      <c r="G22" s="3831" t="s">
        <v>4113</v>
      </c>
      <c r="H22" s="3798" t="str">
        <f>"4-DaHall 1-PDU-"&amp;L22&amp;"-"&amp;K22&amp;"-"&amp;M22</f>
        <v>4-DaHall 1-PDU-08-100-6</v>
      </c>
      <c r="I22" s="3801" t="str">
        <f>"4-DaHall 1-PDU-"&amp;P22&amp;"-"&amp;O22&amp;"-"&amp;Q22</f>
        <v>4-DaHall 1-PDU-07-100-6</v>
      </c>
      <c r="J22" s="3889">
        <v>220</v>
      </c>
      <c r="K22" s="3892">
        <v>100</v>
      </c>
      <c r="L22" s="3810" t="s">
        <v>6505</v>
      </c>
      <c r="M22" s="3812">
        <v>6</v>
      </c>
      <c r="N22" s="3895">
        <v>220</v>
      </c>
      <c r="O22" s="3898">
        <v>100</v>
      </c>
      <c r="P22" s="3821" t="s">
        <v>6492</v>
      </c>
      <c r="Q22" s="3824">
        <v>6</v>
      </c>
      <c r="R22" s="3785" t="s">
        <v>4032</v>
      </c>
      <c r="S22" s="3489" t="s">
        <v>4033</v>
      </c>
      <c r="T22" s="3491" t="s">
        <v>4034</v>
      </c>
      <c r="U22" s="3489" t="s">
        <v>4035</v>
      </c>
      <c r="V22" s="3491" t="s">
        <v>3744</v>
      </c>
      <c r="W22" s="3489" t="s">
        <v>3749</v>
      </c>
      <c r="X22" s="3847">
        <f>SUM('4층_부하량(월간_AVG)'!N24:P24)</f>
        <v>0</v>
      </c>
      <c r="Y22" s="3844">
        <f>SUM('4층_부하량(월간_AVG)'!D69:F69)</f>
        <v>0</v>
      </c>
      <c r="Z22" s="3673">
        <f>SUM(X22:Y22)</f>
        <v>0</v>
      </c>
      <c r="AA22" s="3841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904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188">
        <f>VLOOKUP(H22&amp;I22,'7층~4층_매핑테이블'!$A$6:$H$2020,8,0)</f>
        <v>6.1720000000000006</v>
      </c>
      <c r="AD22" s="3181" t="e">
        <f>SUM(AA22:AB24)</f>
        <v>#N/A</v>
      </c>
      <c r="AE22" s="3927" t="s">
        <v>4088</v>
      </c>
      <c r="AG22">
        <v>28.200000000000003</v>
      </c>
      <c r="AH22" s="1363">
        <f t="shared" si="11"/>
        <v>-28.200000000000003</v>
      </c>
      <c r="AJ22" s="2351" t="e">
        <f t="shared" si="3"/>
        <v>#N/A</v>
      </c>
      <c r="AK22" s="2351" t="e">
        <f t="shared" si="4"/>
        <v>#N/A</v>
      </c>
      <c r="AL22" s="123" t="e">
        <f t="shared" si="1"/>
        <v>#N/A</v>
      </c>
      <c r="AR22" s="123"/>
      <c r="AS22" s="123"/>
      <c r="AU22" s="2982"/>
      <c r="AV22" s="123"/>
      <c r="AW22" s="123"/>
      <c r="AX22" s="2983"/>
      <c r="AY22" s="2984"/>
      <c r="AZ22" s="2985"/>
      <c r="BA22" s="2986"/>
      <c r="BB22" s="2987"/>
      <c r="BC22" s="2988"/>
    </row>
    <row r="23" spans="1:55" x14ac:dyDescent="0.25">
      <c r="A23" s="3829"/>
      <c r="B23" s="2622" t="s">
        <v>3215</v>
      </c>
      <c r="C23" s="1143" t="s">
        <v>9183</v>
      </c>
      <c r="D23" s="3783"/>
      <c r="E23" s="250" t="s">
        <v>4114</v>
      </c>
      <c r="F23" s="3477"/>
      <c r="G23" s="3832"/>
      <c r="H23" s="3799"/>
      <c r="I23" s="3802"/>
      <c r="J23" s="3890"/>
      <c r="K23" s="3893"/>
      <c r="L23" s="3651"/>
      <c r="M23" s="3813"/>
      <c r="N23" s="3896"/>
      <c r="O23" s="3899"/>
      <c r="P23" s="3822"/>
      <c r="Q23" s="3825"/>
      <c r="R23" s="3786"/>
      <c r="S23" s="3478"/>
      <c r="T23" s="3477"/>
      <c r="U23" s="3478"/>
      <c r="V23" s="3477"/>
      <c r="W23" s="3478"/>
      <c r="X23" s="3848"/>
      <c r="Y23" s="3845"/>
      <c r="Z23" s="3521"/>
      <c r="AA23" s="3842"/>
      <c r="AB23" s="3905"/>
      <c r="AC23" s="3189">
        <f>$AC$22</f>
        <v>6.1720000000000006</v>
      </c>
      <c r="AD23" s="3182" t="e">
        <f>$AD$22</f>
        <v>#N/A</v>
      </c>
      <c r="AE23" s="3925"/>
      <c r="AG23">
        <v>0</v>
      </c>
      <c r="AH23" s="1363">
        <f t="shared" si="11"/>
        <v>0</v>
      </c>
      <c r="AJ23" s="2351" t="e">
        <f t="shared" si="3"/>
        <v>#N/A</v>
      </c>
      <c r="AK23" s="2351" t="e">
        <f t="shared" si="4"/>
        <v>#N/A</v>
      </c>
      <c r="AL23" s="123" t="e">
        <f t="shared" si="1"/>
        <v>#N/A</v>
      </c>
      <c r="AR23" s="123"/>
      <c r="AS23" s="123"/>
      <c r="AU23" s="2982"/>
      <c r="AV23" s="123"/>
      <c r="AW23" s="123"/>
      <c r="AX23" s="2983"/>
      <c r="AY23" s="2984"/>
      <c r="AZ23" s="2985"/>
      <c r="BA23" s="2986"/>
      <c r="BB23" s="2987"/>
      <c r="BC23" s="2988"/>
    </row>
    <row r="24" spans="1:55" ht="15" thickBot="1" x14ac:dyDescent="0.3">
      <c r="A24" s="3830"/>
      <c r="B24" s="2627" t="s">
        <v>4115</v>
      </c>
      <c r="C24" s="1140" t="s">
        <v>9183</v>
      </c>
      <c r="D24" s="3784"/>
      <c r="E24" s="1133" t="s">
        <v>4116</v>
      </c>
      <c r="F24" s="3474"/>
      <c r="G24" s="3833"/>
      <c r="H24" s="3800"/>
      <c r="I24" s="3803"/>
      <c r="J24" s="3891"/>
      <c r="K24" s="3894"/>
      <c r="L24" s="3811"/>
      <c r="M24" s="3814"/>
      <c r="N24" s="3897"/>
      <c r="O24" s="3900"/>
      <c r="P24" s="3823"/>
      <c r="Q24" s="3826"/>
      <c r="R24" s="3787"/>
      <c r="S24" s="3476"/>
      <c r="T24" s="3474"/>
      <c r="U24" s="3476"/>
      <c r="V24" s="3474"/>
      <c r="W24" s="3476"/>
      <c r="X24" s="3849"/>
      <c r="Y24" s="3846"/>
      <c r="Z24" s="3627"/>
      <c r="AA24" s="3843"/>
      <c r="AB24" s="3906"/>
      <c r="AC24" s="3189">
        <f>$AC$22</f>
        <v>6.1720000000000006</v>
      </c>
      <c r="AD24" s="3182" t="e">
        <f>$AD$22</f>
        <v>#N/A</v>
      </c>
      <c r="AE24" s="3928"/>
      <c r="AG24">
        <v>0</v>
      </c>
      <c r="AH24" s="1363">
        <f t="shared" si="11"/>
        <v>0</v>
      </c>
      <c r="AJ24" s="2351" t="e">
        <f t="shared" si="3"/>
        <v>#N/A</v>
      </c>
      <c r="AK24" s="2351" t="e">
        <f t="shared" si="4"/>
        <v>#N/A</v>
      </c>
      <c r="AL24" s="123" t="e">
        <f t="shared" si="1"/>
        <v>#N/A</v>
      </c>
      <c r="AR24" s="123"/>
      <c r="AS24" s="123"/>
      <c r="AU24" s="2982"/>
      <c r="AV24" s="123"/>
      <c r="AW24" s="123"/>
      <c r="AX24" s="2983"/>
      <c r="AY24" s="2984"/>
      <c r="AZ24" s="2985"/>
      <c r="BA24" s="2986"/>
      <c r="BB24" s="2987"/>
      <c r="BC24" s="2988"/>
    </row>
    <row r="25" spans="1:55" ht="14.25" customHeight="1" thickTop="1" x14ac:dyDescent="0.25">
      <c r="A25" s="3828" t="s">
        <v>4099</v>
      </c>
      <c r="B25" s="1128" t="s">
        <v>4100</v>
      </c>
      <c r="C25" s="1142" t="s">
        <v>9183</v>
      </c>
      <c r="D25" s="3782">
        <v>11</v>
      </c>
      <c r="E25" s="327" t="s">
        <v>4101</v>
      </c>
      <c r="F25" s="3491" t="s">
        <v>4102</v>
      </c>
      <c r="G25" s="3831" t="s">
        <v>4103</v>
      </c>
      <c r="H25" s="3798" t="str">
        <f>"4-DaHall 1-PDU-"&amp;L25&amp;"-"&amp;K25&amp;"-"&amp;M25</f>
        <v>4-DaHall 1-PDU-08-100-4</v>
      </c>
      <c r="I25" s="3801" t="str">
        <f>"4-DaHall 1-PDU-"&amp;P25&amp;"-"&amp;O25&amp;"-"&amp;Q25</f>
        <v>4-DaHall 1-PDU-07-100-4</v>
      </c>
      <c r="J25" s="3889">
        <v>220</v>
      </c>
      <c r="K25" s="3892">
        <v>100</v>
      </c>
      <c r="L25" s="3810" t="s">
        <v>6505</v>
      </c>
      <c r="M25" s="3812">
        <v>4</v>
      </c>
      <c r="N25" s="3895">
        <v>220</v>
      </c>
      <c r="O25" s="3898">
        <v>100</v>
      </c>
      <c r="P25" s="3821" t="s">
        <v>6492</v>
      </c>
      <c r="Q25" s="3824">
        <v>4</v>
      </c>
      <c r="R25" s="3785" t="s">
        <v>4032</v>
      </c>
      <c r="S25" s="3489" t="s">
        <v>4033</v>
      </c>
      <c r="T25" s="3491" t="s">
        <v>4034</v>
      </c>
      <c r="U25" s="3489" t="s">
        <v>4035</v>
      </c>
      <c r="V25" s="3491" t="s">
        <v>3744</v>
      </c>
      <c r="W25" s="3489" t="s">
        <v>3749</v>
      </c>
      <c r="X25" s="3847">
        <f>SUM('4층_부하량(월간_AVG)'!N22:P22)</f>
        <v>0</v>
      </c>
      <c r="Y25" s="3844">
        <f>SUM('4층_부하량(월간_AVG)'!D67:F67)</f>
        <v>0</v>
      </c>
      <c r="Z25" s="3673">
        <f>SUM(X25:Y25)</f>
        <v>0</v>
      </c>
      <c r="AA25" s="3841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904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188">
        <f>VLOOKUP(H25&amp;I25,'7층~4층_매핑테이블'!$A$6:$H$2020,8,0)</f>
        <v>4.3170000000000002</v>
      </c>
      <c r="AD25" s="3181" t="e">
        <f>SUM(AA25:AB29)</f>
        <v>#N/A</v>
      </c>
      <c r="AE25" s="3927" t="s">
        <v>4088</v>
      </c>
      <c r="AG25">
        <v>20.2</v>
      </c>
      <c r="AH25" s="1363">
        <f t="shared" si="11"/>
        <v>-20.2</v>
      </c>
      <c r="AJ25" s="2351" t="e">
        <f t="shared" si="3"/>
        <v>#N/A</v>
      </c>
      <c r="AK25" s="2351" t="e">
        <f t="shared" si="4"/>
        <v>#N/A</v>
      </c>
      <c r="AL25" s="123" t="e">
        <f t="shared" si="1"/>
        <v>#N/A</v>
      </c>
      <c r="AR25" s="123"/>
      <c r="AS25" s="123"/>
      <c r="AU25" s="2982"/>
      <c r="AV25" s="123"/>
      <c r="AW25" s="123"/>
      <c r="AX25" s="2983"/>
      <c r="AY25" s="2984"/>
      <c r="AZ25" s="2985"/>
      <c r="BA25" s="2986"/>
      <c r="BB25" s="2987"/>
      <c r="BC25" s="2988"/>
    </row>
    <row r="26" spans="1:55" x14ac:dyDescent="0.25">
      <c r="A26" s="3829"/>
      <c r="B26" s="2622" t="s">
        <v>3227</v>
      </c>
      <c r="C26" s="1143" t="s">
        <v>9183</v>
      </c>
      <c r="D26" s="3783"/>
      <c r="E26" s="250" t="s">
        <v>4104</v>
      </c>
      <c r="F26" s="3477"/>
      <c r="G26" s="3832"/>
      <c r="H26" s="3799"/>
      <c r="I26" s="3802"/>
      <c r="J26" s="3890"/>
      <c r="K26" s="3893"/>
      <c r="L26" s="3651"/>
      <c r="M26" s="3813"/>
      <c r="N26" s="3896"/>
      <c r="O26" s="3899"/>
      <c r="P26" s="3822"/>
      <c r="Q26" s="3825"/>
      <c r="R26" s="3786"/>
      <c r="S26" s="3478"/>
      <c r="T26" s="3477"/>
      <c r="U26" s="3478"/>
      <c r="V26" s="3477"/>
      <c r="W26" s="3478"/>
      <c r="X26" s="3848"/>
      <c r="Y26" s="3845"/>
      <c r="Z26" s="3521"/>
      <c r="AA26" s="3842"/>
      <c r="AB26" s="3905"/>
      <c r="AC26" s="3189">
        <f>$AC$25</f>
        <v>4.3170000000000002</v>
      </c>
      <c r="AD26" s="3182" t="e">
        <f>AD25</f>
        <v>#N/A</v>
      </c>
      <c r="AE26" s="3925"/>
      <c r="AG26">
        <v>0</v>
      </c>
      <c r="AH26" s="1363">
        <f t="shared" si="11"/>
        <v>0</v>
      </c>
      <c r="AJ26" s="2351" t="e">
        <f t="shared" si="3"/>
        <v>#N/A</v>
      </c>
      <c r="AK26" s="2351" t="e">
        <f t="shared" si="4"/>
        <v>#N/A</v>
      </c>
      <c r="AL26" s="123" t="e">
        <f t="shared" si="1"/>
        <v>#N/A</v>
      </c>
      <c r="AR26" s="123"/>
      <c r="AS26" s="123"/>
      <c r="AU26" s="2982"/>
      <c r="AV26" s="123"/>
      <c r="AW26" s="123"/>
      <c r="AX26" s="2983"/>
      <c r="AY26" s="2984"/>
      <c r="AZ26" s="2985"/>
      <c r="BA26" s="2986"/>
      <c r="BB26" s="2987"/>
      <c r="BC26" s="2988"/>
    </row>
    <row r="27" spans="1:55" x14ac:dyDescent="0.25">
      <c r="A27" s="3829"/>
      <c r="B27" s="2622" t="s">
        <v>3233</v>
      </c>
      <c r="C27" s="1143" t="s">
        <v>9183</v>
      </c>
      <c r="D27" s="3783"/>
      <c r="E27" s="250" t="s">
        <v>4105</v>
      </c>
      <c r="F27" s="3477"/>
      <c r="G27" s="3832"/>
      <c r="H27" s="3799"/>
      <c r="I27" s="3802"/>
      <c r="J27" s="3890"/>
      <c r="K27" s="3893"/>
      <c r="L27" s="3651"/>
      <c r="M27" s="3813"/>
      <c r="N27" s="3896"/>
      <c r="O27" s="3899"/>
      <c r="P27" s="3822"/>
      <c r="Q27" s="3825"/>
      <c r="R27" s="3786"/>
      <c r="S27" s="3478"/>
      <c r="T27" s="3477"/>
      <c r="U27" s="3478"/>
      <c r="V27" s="3477"/>
      <c r="W27" s="3478"/>
      <c r="X27" s="3848"/>
      <c r="Y27" s="3845"/>
      <c r="Z27" s="3521"/>
      <c r="AA27" s="3842"/>
      <c r="AB27" s="3905"/>
      <c r="AC27" s="3189">
        <f t="shared" ref="AC27:AC29" si="14">$AC$25</f>
        <v>4.3170000000000002</v>
      </c>
      <c r="AD27" s="3182" t="e">
        <f t="shared" ref="AD27:AD29" si="15">AD26</f>
        <v>#N/A</v>
      </c>
      <c r="AE27" s="3925"/>
      <c r="AG27">
        <v>0</v>
      </c>
      <c r="AH27" s="1363">
        <f t="shared" si="11"/>
        <v>0</v>
      </c>
      <c r="AJ27" s="2351" t="e">
        <f t="shared" si="3"/>
        <v>#N/A</v>
      </c>
      <c r="AK27" s="2351" t="e">
        <f t="shared" si="4"/>
        <v>#N/A</v>
      </c>
      <c r="AL27" s="123" t="e">
        <f t="shared" si="1"/>
        <v>#N/A</v>
      </c>
      <c r="AR27" s="123"/>
      <c r="AS27" s="123"/>
      <c r="AU27" s="2982"/>
      <c r="AV27" s="123"/>
      <c r="AW27" s="123"/>
      <c r="AX27" s="2983"/>
      <c r="AY27" s="2984"/>
      <c r="AZ27" s="2985"/>
      <c r="BA27" s="2986"/>
      <c r="BB27" s="2987"/>
      <c r="BC27" s="2988"/>
    </row>
    <row r="28" spans="1:55" x14ac:dyDescent="0.25">
      <c r="A28" s="3829"/>
      <c r="B28" s="2622" t="s">
        <v>4106</v>
      </c>
      <c r="C28" s="1143" t="s">
        <v>9183</v>
      </c>
      <c r="D28" s="3783"/>
      <c r="E28" s="250" t="s">
        <v>4107</v>
      </c>
      <c r="F28" s="3477"/>
      <c r="G28" s="3832"/>
      <c r="H28" s="3799"/>
      <c r="I28" s="3802"/>
      <c r="J28" s="3890"/>
      <c r="K28" s="3893"/>
      <c r="L28" s="3651"/>
      <c r="M28" s="3813"/>
      <c r="N28" s="3896"/>
      <c r="O28" s="3899"/>
      <c r="P28" s="3822"/>
      <c r="Q28" s="3825"/>
      <c r="R28" s="3786"/>
      <c r="S28" s="3478"/>
      <c r="T28" s="3477"/>
      <c r="U28" s="3478"/>
      <c r="V28" s="3477"/>
      <c r="W28" s="3478"/>
      <c r="X28" s="3848"/>
      <c r="Y28" s="3845"/>
      <c r="Z28" s="3521"/>
      <c r="AA28" s="3842"/>
      <c r="AB28" s="3905"/>
      <c r="AC28" s="3189">
        <f t="shared" si="14"/>
        <v>4.3170000000000002</v>
      </c>
      <c r="AD28" s="3182" t="e">
        <f t="shared" si="15"/>
        <v>#N/A</v>
      </c>
      <c r="AE28" s="3925"/>
      <c r="AG28">
        <v>0</v>
      </c>
      <c r="AH28" s="1363">
        <f t="shared" si="11"/>
        <v>0</v>
      </c>
      <c r="AJ28" s="2351" t="e">
        <f t="shared" si="3"/>
        <v>#N/A</v>
      </c>
      <c r="AK28" s="2351" t="e">
        <f t="shared" si="4"/>
        <v>#N/A</v>
      </c>
      <c r="AL28" s="123" t="e">
        <f t="shared" si="1"/>
        <v>#N/A</v>
      </c>
      <c r="AR28" s="123"/>
      <c r="AS28" s="123"/>
      <c r="AU28" s="2982"/>
      <c r="AV28" s="123"/>
      <c r="AW28" s="123"/>
      <c r="AX28" s="2983"/>
      <c r="AY28" s="2984"/>
      <c r="AZ28" s="2985"/>
      <c r="BA28" s="2986"/>
      <c r="BB28" s="2987"/>
      <c r="BC28" s="2988"/>
    </row>
    <row r="29" spans="1:55" ht="15" thickBot="1" x14ac:dyDescent="0.3">
      <c r="A29" s="3830"/>
      <c r="B29" s="1129" t="s">
        <v>4108</v>
      </c>
      <c r="C29" s="1140" t="s">
        <v>9183</v>
      </c>
      <c r="D29" s="3784"/>
      <c r="E29" s="2629" t="s">
        <v>4109</v>
      </c>
      <c r="F29" s="3474"/>
      <c r="G29" s="3833"/>
      <c r="H29" s="3800"/>
      <c r="I29" s="3803"/>
      <c r="J29" s="3891"/>
      <c r="K29" s="3894"/>
      <c r="L29" s="3811"/>
      <c r="M29" s="3814"/>
      <c r="N29" s="3897"/>
      <c r="O29" s="3900"/>
      <c r="P29" s="3823"/>
      <c r="Q29" s="3826"/>
      <c r="R29" s="3787"/>
      <c r="S29" s="3476"/>
      <c r="T29" s="3474"/>
      <c r="U29" s="3476"/>
      <c r="V29" s="3474"/>
      <c r="W29" s="3476"/>
      <c r="X29" s="3849"/>
      <c r="Y29" s="3846"/>
      <c r="Z29" s="3627"/>
      <c r="AA29" s="3843"/>
      <c r="AB29" s="3906"/>
      <c r="AC29" s="3189">
        <f t="shared" si="14"/>
        <v>4.3170000000000002</v>
      </c>
      <c r="AD29" s="3182" t="e">
        <f t="shared" si="15"/>
        <v>#N/A</v>
      </c>
      <c r="AE29" s="3928"/>
      <c r="AG29">
        <v>0</v>
      </c>
      <c r="AH29" s="1363">
        <f t="shared" si="11"/>
        <v>0</v>
      </c>
      <c r="AJ29" s="2351" t="e">
        <f t="shared" si="3"/>
        <v>#N/A</v>
      </c>
      <c r="AK29" s="2351" t="e">
        <f t="shared" si="4"/>
        <v>#N/A</v>
      </c>
      <c r="AL29" s="123" t="e">
        <f t="shared" si="1"/>
        <v>#N/A</v>
      </c>
      <c r="AR29" s="123"/>
      <c r="AS29" s="123"/>
      <c r="AU29" s="2982"/>
      <c r="AV29" s="123"/>
      <c r="AW29" s="123"/>
      <c r="AX29" s="2983"/>
      <c r="AY29" s="2984"/>
      <c r="AZ29" s="2985"/>
      <c r="BA29" s="2986"/>
      <c r="BB29" s="2987"/>
      <c r="BC29" s="2988"/>
    </row>
    <row r="30" spans="1:55" ht="14.25" customHeight="1" thickTop="1" x14ac:dyDescent="0.25">
      <c r="A30" s="3828" t="s">
        <v>4117</v>
      </c>
      <c r="B30" s="1128" t="s">
        <v>4118</v>
      </c>
      <c r="C30" s="1142" t="s">
        <v>9183</v>
      </c>
      <c r="D30" s="3782">
        <v>13.2</v>
      </c>
      <c r="E30" s="327" t="s">
        <v>4119</v>
      </c>
      <c r="F30" s="3491" t="s">
        <v>4120</v>
      </c>
      <c r="G30" s="3831" t="s">
        <v>4121</v>
      </c>
      <c r="H30" s="3798" t="str">
        <f>"4-DaHall 1-PDU-"&amp;L30&amp;"-"&amp;K30&amp;"-"&amp;M30</f>
        <v>4-DaHall 1-PDU-08-100-8</v>
      </c>
      <c r="I30" s="3801" t="str">
        <f>"4-DaHall 1-PDU-"&amp;P30&amp;"-"&amp;O30&amp;"-"&amp;Q30</f>
        <v>4-DaHall 1-PDU-07-100-8</v>
      </c>
      <c r="J30" s="3889">
        <v>220</v>
      </c>
      <c r="K30" s="3892">
        <v>100</v>
      </c>
      <c r="L30" s="3810" t="s">
        <v>6505</v>
      </c>
      <c r="M30" s="3812">
        <v>8</v>
      </c>
      <c r="N30" s="3895">
        <v>220</v>
      </c>
      <c r="O30" s="3898">
        <v>100</v>
      </c>
      <c r="P30" s="3821" t="s">
        <v>6492</v>
      </c>
      <c r="Q30" s="3824">
        <v>8</v>
      </c>
      <c r="R30" s="3785" t="s">
        <v>4032</v>
      </c>
      <c r="S30" s="3489" t="s">
        <v>4033</v>
      </c>
      <c r="T30" s="3491" t="s">
        <v>4034</v>
      </c>
      <c r="U30" s="3489" t="s">
        <v>4035</v>
      </c>
      <c r="V30" s="3491" t="s">
        <v>3744</v>
      </c>
      <c r="W30" s="3489" t="s">
        <v>3749</v>
      </c>
      <c r="X30" s="3847">
        <f>SUM('4층_부하량(월간_AVG)'!N26:P26)</f>
        <v>0</v>
      </c>
      <c r="Y30" s="3844">
        <f>SUM('4층_부하량(월간_AVG)'!D71:F71)</f>
        <v>0</v>
      </c>
      <c r="Z30" s="3673">
        <f>SUM(X30:Y30)</f>
        <v>0</v>
      </c>
      <c r="AA30" s="3841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904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188">
        <f>VLOOKUP(H30&amp;I30,'7층~4층_매핑테이블'!$A$6:$H$2020,8,0)</f>
        <v>14.798999999999999</v>
      </c>
      <c r="AD30" s="3181" t="e">
        <f>SUM(AA30:AB35)</f>
        <v>#N/A</v>
      </c>
      <c r="AE30" s="3927" t="s">
        <v>4122</v>
      </c>
      <c r="AG30">
        <v>61.3</v>
      </c>
      <c r="AH30" s="1363">
        <f t="shared" si="11"/>
        <v>-61.3</v>
      </c>
      <c r="AJ30" s="2351" t="e">
        <f t="shared" si="3"/>
        <v>#N/A</v>
      </c>
      <c r="AK30" s="2351" t="e">
        <f t="shared" si="4"/>
        <v>#N/A</v>
      </c>
      <c r="AL30" s="123" t="e">
        <f t="shared" si="1"/>
        <v>#N/A</v>
      </c>
      <c r="AR30" s="123"/>
      <c r="AS30" s="123"/>
      <c r="AU30" s="2982"/>
      <c r="AV30" s="123"/>
      <c r="AW30" s="123"/>
      <c r="AX30" s="2983"/>
      <c r="AY30" s="2984"/>
      <c r="AZ30" s="2985"/>
      <c r="BA30" s="2986"/>
      <c r="BB30" s="2987"/>
      <c r="BC30" s="2988"/>
    </row>
    <row r="31" spans="1:55" x14ac:dyDescent="0.25">
      <c r="A31" s="3829"/>
      <c r="B31" s="2623" t="s">
        <v>4123</v>
      </c>
      <c r="C31" s="1143" t="s">
        <v>9183</v>
      </c>
      <c r="D31" s="3783"/>
      <c r="E31" s="250" t="s">
        <v>4124</v>
      </c>
      <c r="F31" s="3477"/>
      <c r="G31" s="3832"/>
      <c r="H31" s="3799"/>
      <c r="I31" s="3802"/>
      <c r="J31" s="3890"/>
      <c r="K31" s="3893"/>
      <c r="L31" s="3651"/>
      <c r="M31" s="3813"/>
      <c r="N31" s="3896"/>
      <c r="O31" s="3899"/>
      <c r="P31" s="3822"/>
      <c r="Q31" s="3825"/>
      <c r="R31" s="3786"/>
      <c r="S31" s="3478"/>
      <c r="T31" s="3477"/>
      <c r="U31" s="3478"/>
      <c r="V31" s="3477"/>
      <c r="W31" s="3478"/>
      <c r="X31" s="3848"/>
      <c r="Y31" s="3845"/>
      <c r="Z31" s="3521"/>
      <c r="AA31" s="3842"/>
      <c r="AB31" s="3905"/>
      <c r="AC31" s="3189">
        <f>$AC$30</f>
        <v>14.798999999999999</v>
      </c>
      <c r="AD31" s="3182" t="e">
        <f>AD30</f>
        <v>#N/A</v>
      </c>
      <c r="AE31" s="3925"/>
      <c r="AG31">
        <v>0</v>
      </c>
      <c r="AH31" s="1363">
        <f t="shared" si="11"/>
        <v>0</v>
      </c>
      <c r="AJ31" s="2351" t="e">
        <f t="shared" si="3"/>
        <v>#N/A</v>
      </c>
      <c r="AK31" s="2351" t="e">
        <f t="shared" si="4"/>
        <v>#N/A</v>
      </c>
      <c r="AL31" s="123" t="e">
        <f t="shared" si="1"/>
        <v>#N/A</v>
      </c>
      <c r="AR31" s="123"/>
      <c r="AS31" s="123"/>
      <c r="AU31" s="2982"/>
      <c r="AV31" s="123"/>
      <c r="AW31" s="123"/>
      <c r="AX31" s="2983"/>
      <c r="AY31" s="2984"/>
      <c r="AZ31" s="2985"/>
      <c r="BA31" s="2986"/>
      <c r="BB31" s="2987"/>
      <c r="BC31" s="2988"/>
    </row>
    <row r="32" spans="1:55" x14ac:dyDescent="0.25">
      <c r="A32" s="3829"/>
      <c r="B32" s="2623" t="s">
        <v>4125</v>
      </c>
      <c r="C32" s="1143" t="s">
        <v>9183</v>
      </c>
      <c r="D32" s="3783"/>
      <c r="E32" s="250" t="s">
        <v>4126</v>
      </c>
      <c r="F32" s="3477"/>
      <c r="G32" s="3832"/>
      <c r="H32" s="3799"/>
      <c r="I32" s="3802"/>
      <c r="J32" s="3890"/>
      <c r="K32" s="3893"/>
      <c r="L32" s="3651"/>
      <c r="M32" s="3813"/>
      <c r="N32" s="3896"/>
      <c r="O32" s="3899"/>
      <c r="P32" s="3822"/>
      <c r="Q32" s="3825"/>
      <c r="R32" s="3786"/>
      <c r="S32" s="3478"/>
      <c r="T32" s="3477"/>
      <c r="U32" s="3478"/>
      <c r="V32" s="3477"/>
      <c r="W32" s="3478"/>
      <c r="X32" s="3848"/>
      <c r="Y32" s="3845"/>
      <c r="Z32" s="3521"/>
      <c r="AA32" s="3842"/>
      <c r="AB32" s="3905"/>
      <c r="AC32" s="3189">
        <f t="shared" ref="AC32:AC35" si="16">$AC$30</f>
        <v>14.798999999999999</v>
      </c>
      <c r="AD32" s="3182" t="e">
        <f t="shared" ref="AD32:AD35" si="17">AD31</f>
        <v>#N/A</v>
      </c>
      <c r="AE32" s="3925"/>
      <c r="AG32">
        <v>0</v>
      </c>
      <c r="AH32" s="1363">
        <f t="shared" si="11"/>
        <v>0</v>
      </c>
      <c r="AJ32" s="2351" t="e">
        <f t="shared" si="3"/>
        <v>#N/A</v>
      </c>
      <c r="AK32" s="2351" t="e">
        <f t="shared" si="4"/>
        <v>#N/A</v>
      </c>
      <c r="AL32" s="123" t="e">
        <f t="shared" si="1"/>
        <v>#N/A</v>
      </c>
      <c r="AR32" s="123"/>
      <c r="AS32" s="123"/>
      <c r="AU32" s="2982"/>
      <c r="AV32" s="123"/>
      <c r="AW32" s="123"/>
      <c r="AX32" s="2983"/>
      <c r="AY32" s="2984"/>
      <c r="AZ32" s="2985"/>
      <c r="BA32" s="2986"/>
      <c r="BB32" s="2987"/>
      <c r="BC32" s="2988"/>
    </row>
    <row r="33" spans="1:55" x14ac:dyDescent="0.25">
      <c r="A33" s="3829"/>
      <c r="B33" s="2623" t="s">
        <v>4127</v>
      </c>
      <c r="C33" s="1143" t="s">
        <v>9183</v>
      </c>
      <c r="D33" s="3783"/>
      <c r="E33" s="250" t="s">
        <v>4128</v>
      </c>
      <c r="F33" s="3477"/>
      <c r="G33" s="3832"/>
      <c r="H33" s="3799"/>
      <c r="I33" s="3802"/>
      <c r="J33" s="3890"/>
      <c r="K33" s="3893"/>
      <c r="L33" s="3651"/>
      <c r="M33" s="3813"/>
      <c r="N33" s="3896"/>
      <c r="O33" s="3899"/>
      <c r="P33" s="3822"/>
      <c r="Q33" s="3825"/>
      <c r="R33" s="3786"/>
      <c r="S33" s="3478"/>
      <c r="T33" s="3477"/>
      <c r="U33" s="3478"/>
      <c r="V33" s="3477"/>
      <c r="W33" s="3478"/>
      <c r="X33" s="3848"/>
      <c r="Y33" s="3845"/>
      <c r="Z33" s="3521"/>
      <c r="AA33" s="3842"/>
      <c r="AB33" s="3905"/>
      <c r="AC33" s="3189">
        <f t="shared" si="16"/>
        <v>14.798999999999999</v>
      </c>
      <c r="AD33" s="3182" t="e">
        <f t="shared" si="17"/>
        <v>#N/A</v>
      </c>
      <c r="AE33" s="3925"/>
      <c r="AG33">
        <v>0</v>
      </c>
      <c r="AH33" s="1363">
        <f t="shared" si="11"/>
        <v>0</v>
      </c>
      <c r="AJ33" s="2351" t="e">
        <f t="shared" si="3"/>
        <v>#N/A</v>
      </c>
      <c r="AK33" s="2351" t="e">
        <f t="shared" si="4"/>
        <v>#N/A</v>
      </c>
      <c r="AL33" s="123" t="e">
        <f t="shared" si="1"/>
        <v>#N/A</v>
      </c>
      <c r="AR33" s="123"/>
      <c r="AS33" s="123"/>
      <c r="AU33" s="2982"/>
      <c r="AV33" s="123"/>
      <c r="AW33" s="123"/>
      <c r="AX33" s="2983"/>
      <c r="AY33" s="2984"/>
      <c r="AZ33" s="2985"/>
      <c r="BA33" s="2986"/>
      <c r="BB33" s="2987"/>
      <c r="BC33" s="2988"/>
    </row>
    <row r="34" spans="1:55" x14ac:dyDescent="0.25">
      <c r="A34" s="3829"/>
      <c r="B34" s="2623" t="s">
        <v>4129</v>
      </c>
      <c r="C34" s="1143" t="s">
        <v>9183</v>
      </c>
      <c r="D34" s="3783"/>
      <c r="E34" s="250" t="s">
        <v>4130</v>
      </c>
      <c r="F34" s="3477"/>
      <c r="G34" s="3832"/>
      <c r="H34" s="3799"/>
      <c r="I34" s="3802"/>
      <c r="J34" s="3890"/>
      <c r="K34" s="3893"/>
      <c r="L34" s="3651"/>
      <c r="M34" s="3813"/>
      <c r="N34" s="3896"/>
      <c r="O34" s="3899"/>
      <c r="P34" s="3822"/>
      <c r="Q34" s="3825"/>
      <c r="R34" s="3786"/>
      <c r="S34" s="3478"/>
      <c r="T34" s="3477"/>
      <c r="U34" s="3478"/>
      <c r="V34" s="3477"/>
      <c r="W34" s="3478"/>
      <c r="X34" s="3848"/>
      <c r="Y34" s="3845"/>
      <c r="Z34" s="3521"/>
      <c r="AA34" s="3842"/>
      <c r="AB34" s="3905"/>
      <c r="AC34" s="3189">
        <f t="shared" si="16"/>
        <v>14.798999999999999</v>
      </c>
      <c r="AD34" s="3182" t="e">
        <f t="shared" si="17"/>
        <v>#N/A</v>
      </c>
      <c r="AE34" s="3925"/>
      <c r="AG34">
        <v>0</v>
      </c>
      <c r="AH34" s="1363">
        <f t="shared" si="11"/>
        <v>0</v>
      </c>
      <c r="AJ34" s="2351" t="e">
        <f t="shared" si="3"/>
        <v>#N/A</v>
      </c>
      <c r="AK34" s="2351" t="e">
        <f t="shared" si="4"/>
        <v>#N/A</v>
      </c>
      <c r="AL34" s="123" t="e">
        <f t="shared" si="1"/>
        <v>#N/A</v>
      </c>
      <c r="AR34" s="123"/>
      <c r="AS34" s="123"/>
      <c r="AU34" s="2982"/>
      <c r="AV34" s="123"/>
      <c r="AW34" s="123"/>
      <c r="AX34" s="2983"/>
      <c r="AY34" s="2984"/>
      <c r="AZ34" s="2985"/>
      <c r="BA34" s="2986"/>
      <c r="BB34" s="2987"/>
      <c r="BC34" s="2988"/>
    </row>
    <row r="35" spans="1:55" ht="15" thickBot="1" x14ac:dyDescent="0.3">
      <c r="A35" s="3830"/>
      <c r="B35" s="2627" t="s">
        <v>4131</v>
      </c>
      <c r="C35" s="1140" t="s">
        <v>9183</v>
      </c>
      <c r="D35" s="3784"/>
      <c r="E35" s="2629" t="s">
        <v>4132</v>
      </c>
      <c r="F35" s="3474"/>
      <c r="G35" s="3833"/>
      <c r="H35" s="3907"/>
      <c r="I35" s="3908"/>
      <c r="J35" s="3909"/>
      <c r="K35" s="3910"/>
      <c r="L35" s="3911"/>
      <c r="M35" s="3912"/>
      <c r="N35" s="3913"/>
      <c r="O35" s="3914"/>
      <c r="P35" s="3915"/>
      <c r="Q35" s="3916"/>
      <c r="R35" s="3787"/>
      <c r="S35" s="3476"/>
      <c r="T35" s="3474"/>
      <c r="U35" s="3476"/>
      <c r="V35" s="3474"/>
      <c r="W35" s="3476"/>
      <c r="X35" s="3849"/>
      <c r="Y35" s="3846"/>
      <c r="Z35" s="3627"/>
      <c r="AA35" s="3843"/>
      <c r="AB35" s="3906"/>
      <c r="AC35" s="3189">
        <f t="shared" si="16"/>
        <v>14.798999999999999</v>
      </c>
      <c r="AD35" s="3182" t="e">
        <f t="shared" si="17"/>
        <v>#N/A</v>
      </c>
      <c r="AE35" s="3928"/>
      <c r="AG35">
        <v>0</v>
      </c>
      <c r="AH35" s="1363">
        <f t="shared" si="11"/>
        <v>0</v>
      </c>
      <c r="AJ35" s="2351" t="e">
        <f t="shared" si="3"/>
        <v>#N/A</v>
      </c>
      <c r="AK35" s="2351" t="e">
        <f t="shared" si="4"/>
        <v>#N/A</v>
      </c>
      <c r="AL35" s="123" t="e">
        <f t="shared" si="1"/>
        <v>#N/A</v>
      </c>
      <c r="AR35" s="123"/>
      <c r="AS35" s="123"/>
      <c r="AU35" s="2982"/>
      <c r="AV35" s="123"/>
      <c r="AW35" s="123"/>
      <c r="AX35" s="2983"/>
      <c r="AY35" s="2984"/>
      <c r="AZ35" s="2985"/>
      <c r="BA35" s="2986"/>
      <c r="BB35" s="2987"/>
      <c r="BC35" s="2988"/>
    </row>
    <row r="36" spans="1:55" ht="22.2" thickTop="1" x14ac:dyDescent="0.25">
      <c r="A36" s="3828" t="s">
        <v>4073</v>
      </c>
      <c r="B36" s="1130" t="s">
        <v>4082</v>
      </c>
      <c r="C36" s="1138" t="s">
        <v>9182</v>
      </c>
      <c r="D36" s="3782">
        <v>8.8000000000000007</v>
      </c>
      <c r="E36" s="2888" t="s">
        <v>4083</v>
      </c>
      <c r="F36" s="3491" t="s">
        <v>4076</v>
      </c>
      <c r="G36" s="3831" t="s">
        <v>4077</v>
      </c>
      <c r="H36" s="3798" t="str">
        <f>"4-DaHall 1-PDU-"&amp;L36&amp;"-"&amp;K36&amp;"-"&amp;M36</f>
        <v>4-DaHall 1-PDU-08-100-7</v>
      </c>
      <c r="I36" s="3801" t="str">
        <f>"4-DaHall 1-PDU-"&amp;P36&amp;"-"&amp;O36&amp;"-"&amp;Q36</f>
        <v>4-DaHall 1-PDU-07-100-7</v>
      </c>
      <c r="J36" s="3889">
        <v>220</v>
      </c>
      <c r="K36" s="3892">
        <v>100</v>
      </c>
      <c r="L36" s="3810" t="s">
        <v>6505</v>
      </c>
      <c r="M36" s="3812">
        <v>7</v>
      </c>
      <c r="N36" s="3895">
        <v>220</v>
      </c>
      <c r="O36" s="3898">
        <v>100</v>
      </c>
      <c r="P36" s="3821" t="s">
        <v>6492</v>
      </c>
      <c r="Q36" s="3824">
        <v>7</v>
      </c>
      <c r="R36" s="3785" t="s">
        <v>4032</v>
      </c>
      <c r="S36" s="3489" t="s">
        <v>4033</v>
      </c>
      <c r="T36" s="3491" t="s">
        <v>4034</v>
      </c>
      <c r="U36" s="3489" t="s">
        <v>4035</v>
      </c>
      <c r="V36" s="3491" t="s">
        <v>3744</v>
      </c>
      <c r="W36" s="3489" t="s">
        <v>3749</v>
      </c>
      <c r="X36" s="3847">
        <f>SUM('4층_부하량(월간_AVG)'!N25:P25)</f>
        <v>0</v>
      </c>
      <c r="Y36" s="3844">
        <f>SUM('4층_부하량(월간_AVG)'!D70:F70)</f>
        <v>0</v>
      </c>
      <c r="Z36" s="3673">
        <f>SUM(X36:Y36)</f>
        <v>0</v>
      </c>
      <c r="AA36" s="3841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904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188">
        <f>VLOOKUP(H36&amp;I36,'7층~4층_매핑테이블'!$A$6:$H$2020,8,0)</f>
        <v>5.0500000000000007</v>
      </c>
      <c r="AD36" s="3181" t="e">
        <f>SUM(AA36:AB39)</f>
        <v>#N/A</v>
      </c>
      <c r="AE36" s="3927" t="s">
        <v>3826</v>
      </c>
      <c r="AG36">
        <v>27.4</v>
      </c>
      <c r="AH36" s="1363">
        <f t="shared" si="11"/>
        <v>-27.4</v>
      </c>
      <c r="AJ36" s="2351" t="e">
        <f t="shared" si="3"/>
        <v>#N/A</v>
      </c>
      <c r="AK36" s="2351" t="e">
        <f t="shared" si="4"/>
        <v>#N/A</v>
      </c>
      <c r="AL36" s="123" t="e">
        <f t="shared" si="1"/>
        <v>#N/A</v>
      </c>
      <c r="AR36" s="123"/>
      <c r="AS36" s="123"/>
      <c r="AU36" s="2982"/>
      <c r="AV36" s="123"/>
      <c r="AW36" s="123"/>
      <c r="AX36" s="2983"/>
      <c r="AY36" s="2984"/>
      <c r="AZ36" s="2985"/>
      <c r="BA36" s="2986"/>
      <c r="BB36" s="2987"/>
      <c r="BC36" s="2988"/>
    </row>
    <row r="37" spans="1:55" ht="21.6" x14ac:dyDescent="0.25">
      <c r="A37" s="3829"/>
      <c r="B37" s="1131" t="s">
        <v>4080</v>
      </c>
      <c r="C37" s="1139" t="s">
        <v>9182</v>
      </c>
      <c r="D37" s="3783"/>
      <c r="E37" s="2875" t="s">
        <v>4081</v>
      </c>
      <c r="F37" s="3477"/>
      <c r="G37" s="3832"/>
      <c r="H37" s="3799"/>
      <c r="I37" s="3802"/>
      <c r="J37" s="3890"/>
      <c r="K37" s="3893"/>
      <c r="L37" s="3651"/>
      <c r="M37" s="3813"/>
      <c r="N37" s="3896"/>
      <c r="O37" s="3899"/>
      <c r="P37" s="3822"/>
      <c r="Q37" s="3825"/>
      <c r="R37" s="3786"/>
      <c r="S37" s="3478"/>
      <c r="T37" s="3477"/>
      <c r="U37" s="3478"/>
      <c r="V37" s="3477"/>
      <c r="W37" s="3478"/>
      <c r="X37" s="3848"/>
      <c r="Y37" s="3845"/>
      <c r="Z37" s="3521"/>
      <c r="AA37" s="3842"/>
      <c r="AB37" s="3905"/>
      <c r="AC37" s="3189">
        <f>$AC$36</f>
        <v>5.0500000000000007</v>
      </c>
      <c r="AD37" s="3182" t="e">
        <f>$AD$36</f>
        <v>#N/A</v>
      </c>
      <c r="AE37" s="3925"/>
      <c r="AG37">
        <v>0</v>
      </c>
      <c r="AH37" s="1363">
        <f t="shared" si="11"/>
        <v>0</v>
      </c>
      <c r="AJ37" s="2351" t="e">
        <f t="shared" si="3"/>
        <v>#N/A</v>
      </c>
      <c r="AK37" s="2351" t="e">
        <f t="shared" si="4"/>
        <v>#N/A</v>
      </c>
      <c r="AL37" s="123" t="e">
        <f t="shared" si="1"/>
        <v>#N/A</v>
      </c>
      <c r="AR37" s="123"/>
      <c r="AS37" s="123"/>
      <c r="AU37" s="2982"/>
      <c r="AV37" s="123"/>
      <c r="AW37" s="123"/>
      <c r="AX37" s="2983"/>
      <c r="AY37" s="2984"/>
      <c r="AZ37" s="2985"/>
      <c r="BA37" s="2986"/>
      <c r="BB37" s="2987"/>
      <c r="BC37" s="2988"/>
    </row>
    <row r="38" spans="1:55" ht="21.6" x14ac:dyDescent="0.25">
      <c r="A38" s="3829"/>
      <c r="B38" s="1131" t="s">
        <v>4078</v>
      </c>
      <c r="C38" s="1139" t="s">
        <v>9182</v>
      </c>
      <c r="D38" s="3783"/>
      <c r="E38" s="2875" t="s">
        <v>4079</v>
      </c>
      <c r="F38" s="3477"/>
      <c r="G38" s="3832"/>
      <c r="H38" s="3799"/>
      <c r="I38" s="3802"/>
      <c r="J38" s="3890"/>
      <c r="K38" s="3893"/>
      <c r="L38" s="3651"/>
      <c r="M38" s="3813"/>
      <c r="N38" s="3896"/>
      <c r="O38" s="3899"/>
      <c r="P38" s="3822"/>
      <c r="Q38" s="3825"/>
      <c r="R38" s="3786"/>
      <c r="S38" s="3478"/>
      <c r="T38" s="3477"/>
      <c r="U38" s="3478"/>
      <c r="V38" s="3477"/>
      <c r="W38" s="3478"/>
      <c r="X38" s="3848"/>
      <c r="Y38" s="3845"/>
      <c r="Z38" s="3521"/>
      <c r="AA38" s="3842"/>
      <c r="AB38" s="3905"/>
      <c r="AC38" s="3189">
        <f t="shared" ref="AC38:AC39" si="18">$AC$36</f>
        <v>5.0500000000000007</v>
      </c>
      <c r="AD38" s="3182" t="e">
        <f t="shared" ref="AD38:AD39" si="19">$AD$36</f>
        <v>#N/A</v>
      </c>
      <c r="AE38" s="3925"/>
      <c r="AG38">
        <v>0</v>
      </c>
      <c r="AH38" s="1363">
        <f t="shared" si="11"/>
        <v>0</v>
      </c>
      <c r="AJ38" s="2351" t="e">
        <f t="shared" si="3"/>
        <v>#N/A</v>
      </c>
      <c r="AK38" s="2351" t="e">
        <f t="shared" si="4"/>
        <v>#N/A</v>
      </c>
      <c r="AL38" s="123" t="e">
        <f t="shared" si="1"/>
        <v>#N/A</v>
      </c>
      <c r="AR38" s="123"/>
      <c r="AS38" s="123"/>
      <c r="AU38" s="2982"/>
      <c r="AV38" s="123"/>
      <c r="AW38" s="123"/>
      <c r="AX38" s="2983"/>
      <c r="AY38" s="2984"/>
      <c r="AZ38" s="2985"/>
      <c r="BA38" s="2986"/>
      <c r="BB38" s="2987"/>
      <c r="BC38" s="2988"/>
    </row>
    <row r="39" spans="1:55" ht="22.2" thickBot="1" x14ac:dyDescent="0.3">
      <c r="A39" s="3830"/>
      <c r="B39" s="1129" t="s">
        <v>4074</v>
      </c>
      <c r="C39" s="1140" t="s">
        <v>9182</v>
      </c>
      <c r="D39" s="3784"/>
      <c r="E39" s="2889" t="s">
        <v>4075</v>
      </c>
      <c r="F39" s="3474"/>
      <c r="G39" s="3833"/>
      <c r="H39" s="3800"/>
      <c r="I39" s="3803"/>
      <c r="J39" s="3891"/>
      <c r="K39" s="3894"/>
      <c r="L39" s="3811"/>
      <c r="M39" s="3814"/>
      <c r="N39" s="3897"/>
      <c r="O39" s="3900"/>
      <c r="P39" s="3823"/>
      <c r="Q39" s="3826"/>
      <c r="R39" s="3787"/>
      <c r="S39" s="3476"/>
      <c r="T39" s="3474"/>
      <c r="U39" s="3476"/>
      <c r="V39" s="3474"/>
      <c r="W39" s="3476"/>
      <c r="X39" s="3849"/>
      <c r="Y39" s="3846"/>
      <c r="Z39" s="3627"/>
      <c r="AA39" s="3843"/>
      <c r="AB39" s="3906"/>
      <c r="AC39" s="3189">
        <f t="shared" si="18"/>
        <v>5.0500000000000007</v>
      </c>
      <c r="AD39" s="3182" t="e">
        <f t="shared" si="19"/>
        <v>#N/A</v>
      </c>
      <c r="AE39" s="3928"/>
      <c r="AG39">
        <v>0</v>
      </c>
      <c r="AH39" s="1363">
        <f t="shared" si="11"/>
        <v>0</v>
      </c>
      <c r="AJ39" s="2351" t="e">
        <f t="shared" si="3"/>
        <v>#N/A</v>
      </c>
      <c r="AK39" s="2351" t="e">
        <f t="shared" si="4"/>
        <v>#N/A</v>
      </c>
      <c r="AL39" s="123" t="e">
        <f t="shared" si="1"/>
        <v>#N/A</v>
      </c>
      <c r="AR39" s="123"/>
      <c r="AS39" s="123"/>
      <c r="AU39" s="2982"/>
      <c r="AV39" s="123"/>
      <c r="AW39" s="123"/>
      <c r="AX39" s="2983"/>
      <c r="AY39" s="2984"/>
      <c r="AZ39" s="2985"/>
      <c r="BA39" s="2986"/>
      <c r="BB39" s="2987"/>
      <c r="BC39" s="2988"/>
    </row>
    <row r="40" spans="1:55" ht="22.2" thickTop="1" x14ac:dyDescent="0.25">
      <c r="A40" s="3828" t="s">
        <v>4056</v>
      </c>
      <c r="B40" s="1130" t="s">
        <v>4062</v>
      </c>
      <c r="C40" s="1138" t="s">
        <v>9182</v>
      </c>
      <c r="D40" s="3782">
        <v>6.6</v>
      </c>
      <c r="E40" s="2888" t="s">
        <v>4063</v>
      </c>
      <c r="F40" s="3491" t="s">
        <v>4059</v>
      </c>
      <c r="G40" s="3831" t="s">
        <v>4060</v>
      </c>
      <c r="H40" s="3798" t="str">
        <f>"4-DaHall 1-PDU-"&amp;L40&amp;"-"&amp;K40&amp;"-"&amp;M40</f>
        <v>4-DaHall 1-PDU-08-100-3</v>
      </c>
      <c r="I40" s="3801" t="str">
        <f>"4-DaHall 1-PDU-"&amp;P40&amp;"-"&amp;O40&amp;"-"&amp;Q40</f>
        <v>4-DaHall 1-PDU-07-100-3</v>
      </c>
      <c r="J40" s="3889">
        <v>220</v>
      </c>
      <c r="K40" s="3892">
        <v>100</v>
      </c>
      <c r="L40" s="3810" t="s">
        <v>6505</v>
      </c>
      <c r="M40" s="3812">
        <v>3</v>
      </c>
      <c r="N40" s="3895">
        <v>220</v>
      </c>
      <c r="O40" s="3898">
        <v>100</v>
      </c>
      <c r="P40" s="3821" t="s">
        <v>6492</v>
      </c>
      <c r="Q40" s="3824">
        <v>3</v>
      </c>
      <c r="R40" s="3785" t="s">
        <v>4032</v>
      </c>
      <c r="S40" s="3489" t="s">
        <v>4033</v>
      </c>
      <c r="T40" s="3491" t="s">
        <v>4034</v>
      </c>
      <c r="U40" s="3489" t="s">
        <v>4035</v>
      </c>
      <c r="V40" s="3491" t="s">
        <v>3744</v>
      </c>
      <c r="W40" s="3489" t="s">
        <v>3749</v>
      </c>
      <c r="X40" s="3847">
        <f>SUM('4층_부하량(월간_AVG)'!N21:P21)</f>
        <v>0</v>
      </c>
      <c r="Y40" s="3844">
        <f>SUM('4층_부하량(월간_AVG)'!D66:F66)</f>
        <v>0</v>
      </c>
      <c r="Z40" s="3673">
        <f>SUM(X40:Y40)</f>
        <v>0</v>
      </c>
      <c r="AA40" s="3841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904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188">
        <f>VLOOKUP(H40&amp;I40,'7층~4층_매핑테이블'!$A$6:$H$2020,8,0)</f>
        <v>2.298</v>
      </c>
      <c r="AD40" s="3181" t="e">
        <f>SUM(AA40:AB42)</f>
        <v>#N/A</v>
      </c>
      <c r="AE40" s="3927" t="s">
        <v>3826</v>
      </c>
      <c r="AG40">
        <v>10.8</v>
      </c>
      <c r="AH40" s="1363">
        <f t="shared" si="11"/>
        <v>-10.8</v>
      </c>
      <c r="AJ40" s="2351" t="e">
        <f t="shared" si="3"/>
        <v>#N/A</v>
      </c>
      <c r="AK40" s="2351" t="e">
        <f t="shared" si="4"/>
        <v>#N/A</v>
      </c>
      <c r="AL40" s="123" t="e">
        <f t="shared" si="1"/>
        <v>#N/A</v>
      </c>
      <c r="AR40" s="123"/>
      <c r="AS40" s="123"/>
      <c r="AU40" s="2982"/>
      <c r="AV40" s="123"/>
      <c r="AW40" s="123"/>
      <c r="AX40" s="2983"/>
      <c r="AY40" s="2984"/>
      <c r="AZ40" s="2985"/>
      <c r="BA40" s="2986"/>
      <c r="BB40" s="2987"/>
      <c r="BC40" s="2988"/>
    </row>
    <row r="41" spans="1:55" ht="21.6" x14ac:dyDescent="0.25">
      <c r="A41" s="3829"/>
      <c r="B41" s="1131" t="s">
        <v>3291</v>
      </c>
      <c r="C41" s="1139" t="s">
        <v>9182</v>
      </c>
      <c r="D41" s="3783"/>
      <c r="E41" s="2875" t="s">
        <v>4061</v>
      </c>
      <c r="F41" s="3477"/>
      <c r="G41" s="3832"/>
      <c r="H41" s="3799"/>
      <c r="I41" s="3802"/>
      <c r="J41" s="3890"/>
      <c r="K41" s="3893"/>
      <c r="L41" s="3651"/>
      <c r="M41" s="3813"/>
      <c r="N41" s="3896"/>
      <c r="O41" s="3899"/>
      <c r="P41" s="3822"/>
      <c r="Q41" s="3825"/>
      <c r="R41" s="3786"/>
      <c r="S41" s="3478"/>
      <c r="T41" s="3477"/>
      <c r="U41" s="3478"/>
      <c r="V41" s="3477"/>
      <c r="W41" s="3478"/>
      <c r="X41" s="3848"/>
      <c r="Y41" s="3845"/>
      <c r="Z41" s="3521"/>
      <c r="AA41" s="3842"/>
      <c r="AB41" s="3905"/>
      <c r="AC41" s="3189">
        <f>$AC$40</f>
        <v>2.298</v>
      </c>
      <c r="AD41" s="3182" t="e">
        <f>$AD$40</f>
        <v>#N/A</v>
      </c>
      <c r="AE41" s="3925"/>
      <c r="AG41">
        <v>0</v>
      </c>
      <c r="AH41" s="1363">
        <f t="shared" si="11"/>
        <v>0</v>
      </c>
      <c r="AJ41" s="2351" t="e">
        <f t="shared" si="3"/>
        <v>#N/A</v>
      </c>
      <c r="AK41" s="2351" t="e">
        <f t="shared" si="4"/>
        <v>#N/A</v>
      </c>
      <c r="AL41" s="123" t="e">
        <f t="shared" si="1"/>
        <v>#N/A</v>
      </c>
      <c r="AR41" s="123"/>
      <c r="AS41" s="123"/>
      <c r="AU41" s="2982"/>
      <c r="AV41" s="123"/>
      <c r="AW41" s="123"/>
      <c r="AX41" s="2983"/>
      <c r="AY41" s="2984"/>
      <c r="AZ41" s="2985"/>
      <c r="BA41" s="2986"/>
      <c r="BB41" s="2987"/>
      <c r="BC41" s="2988"/>
    </row>
    <row r="42" spans="1:55" ht="22.2" thickBot="1" x14ac:dyDescent="0.3">
      <c r="A42" s="3830"/>
      <c r="B42" s="1129" t="s">
        <v>4057</v>
      </c>
      <c r="C42" s="1140" t="s">
        <v>9182</v>
      </c>
      <c r="D42" s="3784"/>
      <c r="E42" s="2889" t="s">
        <v>4058</v>
      </c>
      <c r="F42" s="3474"/>
      <c r="G42" s="3833"/>
      <c r="H42" s="3800"/>
      <c r="I42" s="3803"/>
      <c r="J42" s="3891"/>
      <c r="K42" s="3894"/>
      <c r="L42" s="3811"/>
      <c r="M42" s="3814"/>
      <c r="N42" s="3897"/>
      <c r="O42" s="3900"/>
      <c r="P42" s="3823"/>
      <c r="Q42" s="3826"/>
      <c r="R42" s="3787"/>
      <c r="S42" s="3476"/>
      <c r="T42" s="3474"/>
      <c r="U42" s="3476"/>
      <c r="V42" s="3474"/>
      <c r="W42" s="3476"/>
      <c r="X42" s="3849"/>
      <c r="Y42" s="3846"/>
      <c r="Z42" s="3627"/>
      <c r="AA42" s="3843"/>
      <c r="AB42" s="3906"/>
      <c r="AC42" s="3189">
        <f>$AC$40</f>
        <v>2.298</v>
      </c>
      <c r="AD42" s="3182" t="e">
        <f>$AD$40</f>
        <v>#N/A</v>
      </c>
      <c r="AE42" s="3928"/>
      <c r="AG42">
        <v>0</v>
      </c>
      <c r="AH42" s="1363">
        <f t="shared" si="11"/>
        <v>0</v>
      </c>
      <c r="AJ42" s="2351" t="e">
        <f t="shared" si="3"/>
        <v>#N/A</v>
      </c>
      <c r="AK42" s="2351" t="e">
        <f t="shared" si="4"/>
        <v>#N/A</v>
      </c>
      <c r="AL42" s="123" t="e">
        <f t="shared" si="1"/>
        <v>#N/A</v>
      </c>
      <c r="AR42" s="123"/>
      <c r="AS42" s="123"/>
      <c r="AU42" s="2982"/>
      <c r="AV42" s="123"/>
      <c r="AW42" s="123"/>
      <c r="AX42" s="2983"/>
      <c r="AY42" s="2984"/>
      <c r="AZ42" s="2985"/>
      <c r="BA42" s="2986"/>
      <c r="BB42" s="2987"/>
      <c r="BC42" s="2988"/>
    </row>
    <row r="43" spans="1:55" ht="22.2" thickTop="1" x14ac:dyDescent="0.25">
      <c r="A43" s="3828" t="s">
        <v>4064</v>
      </c>
      <c r="B43" s="1130" t="s">
        <v>4071</v>
      </c>
      <c r="C43" s="1138" t="s">
        <v>9182</v>
      </c>
      <c r="D43" s="3782">
        <v>6.6</v>
      </c>
      <c r="E43" s="2888" t="s">
        <v>4072</v>
      </c>
      <c r="F43" s="3491" t="s">
        <v>4067</v>
      </c>
      <c r="G43" s="3831" t="s">
        <v>4068</v>
      </c>
      <c r="H43" s="3798" t="str">
        <f>"4-DaHall 1-PDU-"&amp;L43&amp;"-"&amp;K43&amp;"-"&amp;M43</f>
        <v>4-DaHall 1-PDU-08-100-5</v>
      </c>
      <c r="I43" s="3801" t="str">
        <f>"4-DaHall 1-PDU-"&amp;P43&amp;"-"&amp;O43&amp;"-"&amp;Q43</f>
        <v>4-DaHall 1-PDU-07-100-5</v>
      </c>
      <c r="J43" s="3889">
        <v>220</v>
      </c>
      <c r="K43" s="3892">
        <v>100</v>
      </c>
      <c r="L43" s="3810" t="s">
        <v>6505</v>
      </c>
      <c r="M43" s="3812">
        <v>5</v>
      </c>
      <c r="N43" s="3895">
        <v>220</v>
      </c>
      <c r="O43" s="3898">
        <v>100</v>
      </c>
      <c r="P43" s="3821" t="s">
        <v>6492</v>
      </c>
      <c r="Q43" s="3824">
        <v>5</v>
      </c>
      <c r="R43" s="3785" t="s">
        <v>4032</v>
      </c>
      <c r="S43" s="3489" t="s">
        <v>4033</v>
      </c>
      <c r="T43" s="3491" t="s">
        <v>4034</v>
      </c>
      <c r="U43" s="3489" t="s">
        <v>4035</v>
      </c>
      <c r="V43" s="3491" t="s">
        <v>3744</v>
      </c>
      <c r="W43" s="3489" t="s">
        <v>3749</v>
      </c>
      <c r="X43" s="3847">
        <f>SUM('4층_부하량(월간_AVG)'!N23:P23)</f>
        <v>0</v>
      </c>
      <c r="Y43" s="3844">
        <f>SUM('4층_부하량(월간_AVG)'!D68:F68)</f>
        <v>0</v>
      </c>
      <c r="Z43" s="3673">
        <f>SUM(X43:Y43)</f>
        <v>0</v>
      </c>
      <c r="AA43" s="3841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904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188">
        <f>VLOOKUP(H43&amp;I43,'7층~4층_매핑테이블'!$A$6:$H$2020,8,0)</f>
        <v>2.9459999999999997</v>
      </c>
      <c r="AD43" s="3181" t="e">
        <f>SUM(AA43:AB45)</f>
        <v>#N/A</v>
      </c>
      <c r="AE43" s="3927" t="s">
        <v>3826</v>
      </c>
      <c r="AG43">
        <v>13.5</v>
      </c>
      <c r="AH43" s="1363">
        <f t="shared" si="11"/>
        <v>-13.5</v>
      </c>
      <c r="AJ43" s="2351" t="e">
        <f t="shared" si="3"/>
        <v>#N/A</v>
      </c>
      <c r="AK43" s="2351" t="e">
        <f t="shared" si="4"/>
        <v>#N/A</v>
      </c>
      <c r="AL43" s="123" t="e">
        <f t="shared" si="1"/>
        <v>#N/A</v>
      </c>
      <c r="AR43" s="123"/>
      <c r="AS43" s="123"/>
      <c r="AU43" s="2982"/>
      <c r="AV43" s="123"/>
      <c r="AW43" s="123"/>
      <c r="AX43" s="2983"/>
      <c r="AY43" s="2984"/>
      <c r="AZ43" s="2985"/>
      <c r="BA43" s="2986"/>
      <c r="BB43" s="2987"/>
      <c r="BC43" s="2988"/>
    </row>
    <row r="44" spans="1:55" ht="21.6" x14ac:dyDescent="0.25">
      <c r="A44" s="3829"/>
      <c r="B44" s="1131" t="s">
        <v>4069</v>
      </c>
      <c r="C44" s="1139" t="s">
        <v>9182</v>
      </c>
      <c r="D44" s="3783"/>
      <c r="E44" s="2875" t="s">
        <v>4070</v>
      </c>
      <c r="F44" s="3477"/>
      <c r="G44" s="3832"/>
      <c r="H44" s="3799"/>
      <c r="I44" s="3802"/>
      <c r="J44" s="3890"/>
      <c r="K44" s="3893"/>
      <c r="L44" s="3651"/>
      <c r="M44" s="3813"/>
      <c r="N44" s="3896"/>
      <c r="O44" s="3899"/>
      <c r="P44" s="3822"/>
      <c r="Q44" s="3825"/>
      <c r="R44" s="3786"/>
      <c r="S44" s="3478"/>
      <c r="T44" s="3477"/>
      <c r="U44" s="3478"/>
      <c r="V44" s="3477"/>
      <c r="W44" s="3478"/>
      <c r="X44" s="3848"/>
      <c r="Y44" s="3845"/>
      <c r="Z44" s="3521"/>
      <c r="AA44" s="3842"/>
      <c r="AB44" s="3905"/>
      <c r="AC44" s="3189">
        <f>$AC$43</f>
        <v>2.9459999999999997</v>
      </c>
      <c r="AD44" s="3182" t="e">
        <f>$AD$43</f>
        <v>#N/A</v>
      </c>
      <c r="AE44" s="3925"/>
      <c r="AG44">
        <v>0</v>
      </c>
      <c r="AH44" s="1363">
        <f t="shared" si="11"/>
        <v>0</v>
      </c>
      <c r="AJ44" s="2351" t="e">
        <f t="shared" si="3"/>
        <v>#N/A</v>
      </c>
      <c r="AK44" s="2351" t="e">
        <f t="shared" si="4"/>
        <v>#N/A</v>
      </c>
      <c r="AL44" s="123" t="e">
        <f t="shared" si="1"/>
        <v>#N/A</v>
      </c>
      <c r="AR44" s="123"/>
      <c r="AS44" s="123"/>
      <c r="AU44" s="2982"/>
      <c r="AV44" s="123"/>
      <c r="AW44" s="123"/>
      <c r="AX44" s="2983"/>
      <c r="AY44" s="2984"/>
      <c r="AZ44" s="2985"/>
      <c r="BA44" s="2986"/>
      <c r="BB44" s="2987"/>
      <c r="BC44" s="2988"/>
    </row>
    <row r="45" spans="1:55" ht="22.2" thickBot="1" x14ac:dyDescent="0.3">
      <c r="A45" s="3830"/>
      <c r="B45" s="1129" t="s">
        <v>4065</v>
      </c>
      <c r="C45" s="1140" t="s">
        <v>9182</v>
      </c>
      <c r="D45" s="3784"/>
      <c r="E45" s="2889" t="s">
        <v>4066</v>
      </c>
      <c r="F45" s="3474"/>
      <c r="G45" s="3833"/>
      <c r="H45" s="3800"/>
      <c r="I45" s="3803"/>
      <c r="J45" s="3891"/>
      <c r="K45" s="3894"/>
      <c r="L45" s="3811"/>
      <c r="M45" s="3814"/>
      <c r="N45" s="3897"/>
      <c r="O45" s="3900"/>
      <c r="P45" s="3823"/>
      <c r="Q45" s="3826"/>
      <c r="R45" s="3787"/>
      <c r="S45" s="3476"/>
      <c r="T45" s="3474"/>
      <c r="U45" s="3476"/>
      <c r="V45" s="3474"/>
      <c r="W45" s="3476"/>
      <c r="X45" s="3849"/>
      <c r="Y45" s="3846"/>
      <c r="Z45" s="3627"/>
      <c r="AA45" s="3843"/>
      <c r="AB45" s="3906"/>
      <c r="AC45" s="3189">
        <f>$AC$43</f>
        <v>2.9459999999999997</v>
      </c>
      <c r="AD45" s="3182" t="e">
        <f>$AD$43</f>
        <v>#N/A</v>
      </c>
      <c r="AE45" s="3928"/>
      <c r="AG45">
        <v>0</v>
      </c>
      <c r="AH45" s="1363">
        <f t="shared" si="11"/>
        <v>0</v>
      </c>
      <c r="AJ45" s="2351" t="e">
        <f t="shared" si="3"/>
        <v>#N/A</v>
      </c>
      <c r="AK45" s="2351" t="e">
        <f t="shared" si="4"/>
        <v>#N/A</v>
      </c>
      <c r="AL45" s="123" t="e">
        <f t="shared" si="1"/>
        <v>#N/A</v>
      </c>
      <c r="AR45" s="123"/>
      <c r="AS45" s="123"/>
      <c r="AU45" s="2982"/>
      <c r="AV45" s="123"/>
      <c r="AW45" s="123"/>
      <c r="AX45" s="2983"/>
      <c r="AY45" s="2984"/>
      <c r="AZ45" s="2985"/>
      <c r="BA45" s="2986"/>
      <c r="BB45" s="2987"/>
      <c r="BC45" s="2988"/>
    </row>
    <row r="46" spans="1:55" ht="22.2" thickTop="1" x14ac:dyDescent="0.25">
      <c r="A46" s="3828" t="s">
        <v>4041</v>
      </c>
      <c r="B46" s="1130" t="s">
        <v>4054</v>
      </c>
      <c r="C46" s="1138" t="s">
        <v>9182</v>
      </c>
      <c r="D46" s="3782">
        <v>13.2</v>
      </c>
      <c r="E46" s="2888" t="s">
        <v>4055</v>
      </c>
      <c r="F46" s="3491" t="s">
        <v>4044</v>
      </c>
      <c r="G46" s="3831" t="s">
        <v>4045</v>
      </c>
      <c r="H46" s="3798" t="str">
        <f>"4-DaHall 1-PDU-"&amp;L46&amp;"-"&amp;K46&amp;"-"&amp;M46</f>
        <v>4-DaHall 1-PDU-08-100-1</v>
      </c>
      <c r="I46" s="3801" t="str">
        <f>"4-DaHall 1-PDU-"&amp;P46&amp;"-"&amp;O46&amp;"-"&amp;Q46</f>
        <v>4-DaHall 1-PDU-07-100-1</v>
      </c>
      <c r="J46" s="3889">
        <v>220</v>
      </c>
      <c r="K46" s="3892">
        <v>100</v>
      </c>
      <c r="L46" s="3810" t="s">
        <v>6505</v>
      </c>
      <c r="M46" s="3812">
        <v>1</v>
      </c>
      <c r="N46" s="3895">
        <v>220</v>
      </c>
      <c r="O46" s="3898">
        <v>100</v>
      </c>
      <c r="P46" s="3821" t="s">
        <v>6492</v>
      </c>
      <c r="Q46" s="3824">
        <v>1</v>
      </c>
      <c r="R46" s="3785" t="s">
        <v>4032</v>
      </c>
      <c r="S46" s="3489" t="s">
        <v>4033</v>
      </c>
      <c r="T46" s="3491" t="s">
        <v>4034</v>
      </c>
      <c r="U46" s="3489" t="s">
        <v>4035</v>
      </c>
      <c r="V46" s="3491" t="s">
        <v>3744</v>
      </c>
      <c r="W46" s="3489" t="s">
        <v>3749</v>
      </c>
      <c r="X46" s="3847">
        <f>SUM('4층_부하량(월간_AVG)'!N19:P19)</f>
        <v>0</v>
      </c>
      <c r="Y46" s="3844">
        <f>SUM('4층_부하량(월간_AVG)'!D64:F64)</f>
        <v>0</v>
      </c>
      <c r="Z46" s="3673">
        <f>SUM(X46:Y46)</f>
        <v>0</v>
      </c>
      <c r="AA46" s="3841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904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188">
        <f>VLOOKUP(H46&amp;I46,'7층~4층_매핑테이블'!$A$6:$H$2020,8,0)</f>
        <v>9.847999999999999</v>
      </c>
      <c r="AD46" s="3181" t="e">
        <f>SUM(AA46:AB51)</f>
        <v>#N/A</v>
      </c>
      <c r="AE46" s="3927" t="s">
        <v>3826</v>
      </c>
      <c r="AG46">
        <v>44.2</v>
      </c>
      <c r="AH46" s="1363">
        <f t="shared" ref="AH46:AH51" si="20">Z46-AG46</f>
        <v>-44.2</v>
      </c>
      <c r="AJ46" s="2351" t="e">
        <f t="shared" si="3"/>
        <v>#N/A</v>
      </c>
      <c r="AK46" s="2351" t="e">
        <f t="shared" si="4"/>
        <v>#N/A</v>
      </c>
      <c r="AL46" s="123" t="e">
        <f t="shared" si="1"/>
        <v>#N/A</v>
      </c>
      <c r="AR46" s="123"/>
      <c r="AS46" s="123"/>
      <c r="AU46" s="2982"/>
      <c r="AV46" s="123"/>
      <c r="AW46" s="123"/>
      <c r="AX46" s="2983"/>
      <c r="AY46" s="2984"/>
      <c r="AZ46" s="2985"/>
      <c r="BA46" s="2986"/>
      <c r="BB46" s="2987"/>
      <c r="BC46" s="2988"/>
    </row>
    <row r="47" spans="1:55" ht="21.6" x14ac:dyDescent="0.25">
      <c r="A47" s="3829"/>
      <c r="B47" s="1131" t="s">
        <v>4052</v>
      </c>
      <c r="C47" s="1139" t="s">
        <v>9182</v>
      </c>
      <c r="D47" s="3783"/>
      <c r="E47" s="2875" t="s">
        <v>4053</v>
      </c>
      <c r="F47" s="3477"/>
      <c r="G47" s="3832"/>
      <c r="H47" s="3799"/>
      <c r="I47" s="3802"/>
      <c r="J47" s="3890"/>
      <c r="K47" s="3893"/>
      <c r="L47" s="3651"/>
      <c r="M47" s="3813"/>
      <c r="N47" s="3896"/>
      <c r="O47" s="3899"/>
      <c r="P47" s="3822"/>
      <c r="Q47" s="3825"/>
      <c r="R47" s="3786"/>
      <c r="S47" s="3478"/>
      <c r="T47" s="3477"/>
      <c r="U47" s="3478"/>
      <c r="V47" s="3477"/>
      <c r="W47" s="3478"/>
      <c r="X47" s="3848"/>
      <c r="Y47" s="3845"/>
      <c r="Z47" s="3521"/>
      <c r="AA47" s="3842"/>
      <c r="AB47" s="3905"/>
      <c r="AC47" s="3189">
        <f>$AC$46</f>
        <v>9.847999999999999</v>
      </c>
      <c r="AD47" s="3182" t="e">
        <f>$AD$46</f>
        <v>#N/A</v>
      </c>
      <c r="AE47" s="3925"/>
      <c r="AG47">
        <v>0</v>
      </c>
      <c r="AH47" s="1363">
        <f t="shared" si="20"/>
        <v>0</v>
      </c>
      <c r="AJ47" s="2351" t="e">
        <f t="shared" si="3"/>
        <v>#N/A</v>
      </c>
      <c r="AK47" s="2351" t="e">
        <f t="shared" si="4"/>
        <v>#N/A</v>
      </c>
      <c r="AL47" s="123" t="e">
        <f t="shared" si="1"/>
        <v>#N/A</v>
      </c>
      <c r="AR47" s="123"/>
      <c r="AS47" s="123"/>
      <c r="AU47" s="2982"/>
      <c r="AV47" s="123"/>
      <c r="AW47" s="123"/>
      <c r="AX47" s="2983"/>
      <c r="AY47" s="2984"/>
      <c r="AZ47" s="2985"/>
      <c r="BA47" s="2986"/>
      <c r="BB47" s="2987"/>
      <c r="BC47" s="2988"/>
    </row>
    <row r="48" spans="1:55" ht="21.6" x14ac:dyDescent="0.25">
      <c r="A48" s="3829"/>
      <c r="B48" s="1131" t="s">
        <v>4050</v>
      </c>
      <c r="C48" s="1139" t="s">
        <v>9182</v>
      </c>
      <c r="D48" s="3783"/>
      <c r="E48" s="2875" t="s">
        <v>4051</v>
      </c>
      <c r="F48" s="3477"/>
      <c r="G48" s="3832"/>
      <c r="H48" s="3799"/>
      <c r="I48" s="3802"/>
      <c r="J48" s="3890"/>
      <c r="K48" s="3893"/>
      <c r="L48" s="3651"/>
      <c r="M48" s="3813"/>
      <c r="N48" s="3896"/>
      <c r="O48" s="3899"/>
      <c r="P48" s="3822"/>
      <c r="Q48" s="3825"/>
      <c r="R48" s="3786"/>
      <c r="S48" s="3478"/>
      <c r="T48" s="3477"/>
      <c r="U48" s="3478"/>
      <c r="V48" s="3477"/>
      <c r="W48" s="3478"/>
      <c r="X48" s="3848"/>
      <c r="Y48" s="3845"/>
      <c r="Z48" s="3521"/>
      <c r="AA48" s="3842"/>
      <c r="AB48" s="3905"/>
      <c r="AC48" s="3189">
        <f t="shared" ref="AC48:AC51" si="21">$AC$46</f>
        <v>9.847999999999999</v>
      </c>
      <c r="AD48" s="3182" t="e">
        <f t="shared" ref="AD48:AD51" si="22">$AD$46</f>
        <v>#N/A</v>
      </c>
      <c r="AE48" s="3925"/>
      <c r="AG48">
        <v>0</v>
      </c>
      <c r="AH48" s="1363">
        <f t="shared" si="20"/>
        <v>0</v>
      </c>
      <c r="AJ48" s="2351" t="e">
        <f t="shared" si="3"/>
        <v>#N/A</v>
      </c>
      <c r="AK48" s="2351" t="e">
        <f t="shared" si="4"/>
        <v>#N/A</v>
      </c>
      <c r="AL48" s="123" t="e">
        <f t="shared" si="1"/>
        <v>#N/A</v>
      </c>
      <c r="AR48" s="123"/>
      <c r="AS48" s="123"/>
      <c r="AU48" s="2982"/>
      <c r="AV48" s="123"/>
      <c r="AW48" s="123"/>
      <c r="AX48" s="2983"/>
      <c r="AY48" s="2984"/>
      <c r="AZ48" s="2985"/>
      <c r="BA48" s="2986"/>
      <c r="BB48" s="2987"/>
      <c r="BC48" s="2988"/>
    </row>
    <row r="49" spans="1:55" ht="21.6" x14ac:dyDescent="0.25">
      <c r="A49" s="3829"/>
      <c r="B49" s="1131" t="s">
        <v>4048</v>
      </c>
      <c r="C49" s="1139" t="s">
        <v>9182</v>
      </c>
      <c r="D49" s="3783"/>
      <c r="E49" s="2875" t="s">
        <v>4049</v>
      </c>
      <c r="F49" s="3477"/>
      <c r="G49" s="3832"/>
      <c r="H49" s="3799"/>
      <c r="I49" s="3802"/>
      <c r="J49" s="3890"/>
      <c r="K49" s="3893"/>
      <c r="L49" s="3651"/>
      <c r="M49" s="3813"/>
      <c r="N49" s="3896"/>
      <c r="O49" s="3899"/>
      <c r="P49" s="3822"/>
      <c r="Q49" s="3825"/>
      <c r="R49" s="3786"/>
      <c r="S49" s="3478"/>
      <c r="T49" s="3477"/>
      <c r="U49" s="3478"/>
      <c r="V49" s="3477"/>
      <c r="W49" s="3478"/>
      <c r="X49" s="3848"/>
      <c r="Y49" s="3845"/>
      <c r="Z49" s="3521"/>
      <c r="AA49" s="3842"/>
      <c r="AB49" s="3905"/>
      <c r="AC49" s="3189">
        <f t="shared" si="21"/>
        <v>9.847999999999999</v>
      </c>
      <c r="AD49" s="3182" t="e">
        <f t="shared" si="22"/>
        <v>#N/A</v>
      </c>
      <c r="AE49" s="3925"/>
      <c r="AG49">
        <v>0</v>
      </c>
      <c r="AH49" s="1363">
        <f t="shared" si="20"/>
        <v>0</v>
      </c>
      <c r="AJ49" s="2351" t="e">
        <f t="shared" si="3"/>
        <v>#N/A</v>
      </c>
      <c r="AK49" s="2351" t="e">
        <f t="shared" si="4"/>
        <v>#N/A</v>
      </c>
      <c r="AL49" s="123" t="e">
        <f t="shared" si="1"/>
        <v>#N/A</v>
      </c>
      <c r="AR49" s="123"/>
      <c r="AS49" s="123"/>
      <c r="AU49" s="2982"/>
      <c r="AV49" s="123"/>
      <c r="AW49" s="123"/>
      <c r="AX49" s="2983"/>
      <c r="AY49" s="2984"/>
      <c r="AZ49" s="2985"/>
      <c r="BA49" s="2986"/>
      <c r="BB49" s="2987"/>
      <c r="BC49" s="2988"/>
    </row>
    <row r="50" spans="1:55" ht="21.6" x14ac:dyDescent="0.25">
      <c r="A50" s="3829"/>
      <c r="B50" s="1131" t="s">
        <v>4046</v>
      </c>
      <c r="C50" s="1139" t="s">
        <v>9182</v>
      </c>
      <c r="D50" s="3783"/>
      <c r="E50" s="2875" t="s">
        <v>4047</v>
      </c>
      <c r="F50" s="3477"/>
      <c r="G50" s="3832"/>
      <c r="H50" s="3799"/>
      <c r="I50" s="3802"/>
      <c r="J50" s="3890"/>
      <c r="K50" s="3893"/>
      <c r="L50" s="3651"/>
      <c r="M50" s="3813"/>
      <c r="N50" s="3896"/>
      <c r="O50" s="3899"/>
      <c r="P50" s="3822"/>
      <c r="Q50" s="3825"/>
      <c r="R50" s="3786"/>
      <c r="S50" s="3478"/>
      <c r="T50" s="3477"/>
      <c r="U50" s="3478"/>
      <c r="V50" s="3477"/>
      <c r="W50" s="3478"/>
      <c r="X50" s="3848"/>
      <c r="Y50" s="3845"/>
      <c r="Z50" s="3521"/>
      <c r="AA50" s="3842"/>
      <c r="AB50" s="3905"/>
      <c r="AC50" s="3189">
        <f t="shared" si="21"/>
        <v>9.847999999999999</v>
      </c>
      <c r="AD50" s="3182" t="e">
        <f t="shared" si="22"/>
        <v>#N/A</v>
      </c>
      <c r="AE50" s="3925"/>
      <c r="AG50">
        <v>0</v>
      </c>
      <c r="AH50" s="1363">
        <f t="shared" si="20"/>
        <v>0</v>
      </c>
      <c r="AJ50" s="2351" t="e">
        <f t="shared" si="3"/>
        <v>#N/A</v>
      </c>
      <c r="AK50" s="2351" t="e">
        <f t="shared" si="4"/>
        <v>#N/A</v>
      </c>
      <c r="AL50" s="123" t="e">
        <f t="shared" si="1"/>
        <v>#N/A</v>
      </c>
      <c r="AR50" s="123"/>
      <c r="AS50" s="123"/>
      <c r="AU50" s="2982"/>
      <c r="AV50" s="123"/>
      <c r="AW50" s="123"/>
      <c r="AX50" s="2983"/>
      <c r="AY50" s="2984"/>
      <c r="AZ50" s="2985"/>
      <c r="BA50" s="2986"/>
      <c r="BB50" s="2987"/>
      <c r="BC50" s="2988"/>
    </row>
    <row r="51" spans="1:55" ht="22.2" thickBot="1" x14ac:dyDescent="0.3">
      <c r="A51" s="3830"/>
      <c r="B51" s="1129" t="s">
        <v>4042</v>
      </c>
      <c r="C51" s="1140" t="s">
        <v>9182</v>
      </c>
      <c r="D51" s="3784"/>
      <c r="E51" s="2889" t="s">
        <v>4043</v>
      </c>
      <c r="F51" s="3474"/>
      <c r="G51" s="3833"/>
      <c r="H51" s="3800"/>
      <c r="I51" s="3803"/>
      <c r="J51" s="3891"/>
      <c r="K51" s="3894"/>
      <c r="L51" s="3811"/>
      <c r="M51" s="3814"/>
      <c r="N51" s="3897"/>
      <c r="O51" s="3900"/>
      <c r="P51" s="3823"/>
      <c r="Q51" s="3826"/>
      <c r="R51" s="3787"/>
      <c r="S51" s="3476"/>
      <c r="T51" s="3474"/>
      <c r="U51" s="3476"/>
      <c r="V51" s="3474"/>
      <c r="W51" s="3476"/>
      <c r="X51" s="3849"/>
      <c r="Y51" s="3846"/>
      <c r="Z51" s="3627"/>
      <c r="AA51" s="3843"/>
      <c r="AB51" s="3906"/>
      <c r="AC51" s="3189">
        <f t="shared" si="21"/>
        <v>9.847999999999999</v>
      </c>
      <c r="AD51" s="3182" t="e">
        <f t="shared" si="22"/>
        <v>#N/A</v>
      </c>
      <c r="AE51" s="3928"/>
      <c r="AG51">
        <v>0</v>
      </c>
      <c r="AH51" s="1363">
        <f t="shared" si="20"/>
        <v>0</v>
      </c>
      <c r="AJ51" s="2351" t="e">
        <f t="shared" si="3"/>
        <v>#N/A</v>
      </c>
      <c r="AK51" s="2351" t="e">
        <f t="shared" si="4"/>
        <v>#N/A</v>
      </c>
      <c r="AL51" s="123" t="e">
        <f t="shared" si="1"/>
        <v>#N/A</v>
      </c>
      <c r="AR51" s="123"/>
      <c r="AS51" s="123"/>
      <c r="AU51" s="2982"/>
      <c r="AV51" s="123"/>
      <c r="AW51" s="123"/>
      <c r="AX51" s="2983"/>
      <c r="AY51" s="2984"/>
      <c r="AZ51" s="2985"/>
      <c r="BA51" s="2986"/>
      <c r="BB51" s="2987"/>
      <c r="BC51" s="2988"/>
    </row>
    <row r="52" spans="1:55" ht="15" thickTop="1" x14ac:dyDescent="0.25">
      <c r="A52" s="3828" t="s">
        <v>4038</v>
      </c>
      <c r="B52" s="1130"/>
      <c r="C52" s="1138"/>
      <c r="D52" s="3782"/>
      <c r="E52" s="327"/>
      <c r="F52" s="3491" t="s">
        <v>4039</v>
      </c>
      <c r="G52" s="3831" t="s">
        <v>4040</v>
      </c>
      <c r="H52" s="3798" t="str">
        <f>"4-DaHall 1-PDU-"&amp;L52&amp;"-"&amp;K52&amp;"-"&amp;M52</f>
        <v>4-DaHall 1-PDU-08-100-10</v>
      </c>
      <c r="I52" s="3801" t="str">
        <f>"4-DaHall 1-PDU-"&amp;P52&amp;"-"&amp;O52&amp;"-"&amp;Q52</f>
        <v>4-DaHall 1-PDU-07-100-10</v>
      </c>
      <c r="J52" s="3889">
        <v>220</v>
      </c>
      <c r="K52" s="3892">
        <v>100</v>
      </c>
      <c r="L52" s="3810" t="s">
        <v>6505</v>
      </c>
      <c r="M52" s="3812">
        <v>10</v>
      </c>
      <c r="N52" s="3895">
        <v>220</v>
      </c>
      <c r="O52" s="3898">
        <v>100</v>
      </c>
      <c r="P52" s="3821" t="s">
        <v>6492</v>
      </c>
      <c r="Q52" s="3824">
        <v>10</v>
      </c>
      <c r="R52" s="3785" t="s">
        <v>4032</v>
      </c>
      <c r="S52" s="3489" t="s">
        <v>4033</v>
      </c>
      <c r="T52" s="3491" t="s">
        <v>4034</v>
      </c>
      <c r="U52" s="3489" t="s">
        <v>4035</v>
      </c>
      <c r="V52" s="3491" t="s">
        <v>3744</v>
      </c>
      <c r="W52" s="3489" t="s">
        <v>3749</v>
      </c>
      <c r="X52" s="3847">
        <f>SUM('4층_부하량(월간_AVG)'!N28:P28)</f>
        <v>0</v>
      </c>
      <c r="Y52" s="3844">
        <f>SUM('4층_부하량(월간_AVG)'!D73:F73)</f>
        <v>0</v>
      </c>
      <c r="Z52" s="3673">
        <f>SUM(X52:Y52)</f>
        <v>0</v>
      </c>
      <c r="AA52" s="3841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904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188">
        <f>VLOOKUP(H52&amp;I52,'7층~4층_매핑테이블'!$A$6:$H$2020,8,0)</f>
        <v>0</v>
      </c>
      <c r="AD52" s="3181" t="e">
        <f>SUM(AA52:AB54)</f>
        <v>#N/A</v>
      </c>
      <c r="AE52" s="3927"/>
      <c r="AG52">
        <v>0</v>
      </c>
      <c r="AH52" s="1363">
        <f t="shared" ref="AH52:AH83" si="23">Z52-AG52</f>
        <v>0</v>
      </c>
      <c r="AJ52" s="2351" t="e">
        <f t="shared" si="3"/>
        <v>#N/A</v>
      </c>
      <c r="AK52" s="2351" t="e">
        <f t="shared" si="4"/>
        <v>#N/A</v>
      </c>
      <c r="AL52" s="123" t="e">
        <f t="shared" si="1"/>
        <v>#N/A</v>
      </c>
      <c r="AR52" s="123"/>
      <c r="AS52" s="123"/>
      <c r="AU52" s="2982"/>
      <c r="AV52" s="123"/>
      <c r="AW52" s="123"/>
      <c r="AX52" s="2983"/>
      <c r="AY52" s="2984"/>
      <c r="AZ52" s="2985"/>
      <c r="BA52" s="2986"/>
      <c r="BB52" s="2987"/>
      <c r="BC52" s="2988"/>
    </row>
    <row r="53" spans="1:55" x14ac:dyDescent="0.25">
      <c r="A53" s="3829"/>
      <c r="B53" s="1131"/>
      <c r="C53" s="1139"/>
      <c r="D53" s="3783"/>
      <c r="E53" s="250"/>
      <c r="F53" s="3477"/>
      <c r="G53" s="3832"/>
      <c r="H53" s="3799"/>
      <c r="I53" s="3802"/>
      <c r="J53" s="3890"/>
      <c r="K53" s="3893"/>
      <c r="L53" s="3651"/>
      <c r="M53" s="3813"/>
      <c r="N53" s="3896"/>
      <c r="O53" s="3899"/>
      <c r="P53" s="3822"/>
      <c r="Q53" s="3825"/>
      <c r="R53" s="3786"/>
      <c r="S53" s="3478"/>
      <c r="T53" s="3477"/>
      <c r="U53" s="3478"/>
      <c r="V53" s="3477"/>
      <c r="W53" s="3478"/>
      <c r="X53" s="3848"/>
      <c r="Y53" s="3845"/>
      <c r="Z53" s="3521"/>
      <c r="AA53" s="3842"/>
      <c r="AB53" s="3905"/>
      <c r="AC53" s="3189">
        <f>$AC$52</f>
        <v>0</v>
      </c>
      <c r="AD53" s="3182" t="e">
        <f>$AD$52</f>
        <v>#N/A</v>
      </c>
      <c r="AE53" s="3925"/>
      <c r="AG53">
        <v>0</v>
      </c>
      <c r="AH53" s="1363">
        <f t="shared" si="23"/>
        <v>0</v>
      </c>
      <c r="AJ53" s="2351" t="e">
        <f t="shared" si="3"/>
        <v>#N/A</v>
      </c>
      <c r="AK53" s="2351" t="e">
        <f t="shared" si="4"/>
        <v>#N/A</v>
      </c>
      <c r="AL53" s="123" t="e">
        <f t="shared" si="1"/>
        <v>#N/A</v>
      </c>
      <c r="AR53" s="123"/>
      <c r="AS53" s="123"/>
      <c r="AU53" s="2982"/>
      <c r="AV53" s="123"/>
      <c r="AW53" s="123"/>
      <c r="AX53" s="2983"/>
      <c r="AY53" s="2984"/>
      <c r="AZ53" s="2985"/>
      <c r="BA53" s="2986"/>
      <c r="BB53" s="2987"/>
      <c r="BC53" s="2988"/>
    </row>
    <row r="54" spans="1:55" ht="15" thickBot="1" x14ac:dyDescent="0.3">
      <c r="A54" s="3830"/>
      <c r="B54" s="1129"/>
      <c r="C54" s="1140"/>
      <c r="D54" s="3784"/>
      <c r="E54" s="2629"/>
      <c r="F54" s="3474"/>
      <c r="G54" s="3833"/>
      <c r="H54" s="3800"/>
      <c r="I54" s="3803"/>
      <c r="J54" s="3891"/>
      <c r="K54" s="3894"/>
      <c r="L54" s="3811"/>
      <c r="M54" s="3814"/>
      <c r="N54" s="3897"/>
      <c r="O54" s="3900"/>
      <c r="P54" s="3823"/>
      <c r="Q54" s="3826"/>
      <c r="R54" s="3787"/>
      <c r="S54" s="3476"/>
      <c r="T54" s="3474"/>
      <c r="U54" s="3476"/>
      <c r="V54" s="3474"/>
      <c r="W54" s="3476"/>
      <c r="X54" s="3849"/>
      <c r="Y54" s="3846"/>
      <c r="Z54" s="3627"/>
      <c r="AA54" s="3843"/>
      <c r="AB54" s="3906"/>
      <c r="AC54" s="3189">
        <f>$AC$52</f>
        <v>0</v>
      </c>
      <c r="AD54" s="3182" t="e">
        <f>$AD$52</f>
        <v>#N/A</v>
      </c>
      <c r="AE54" s="3928"/>
      <c r="AG54">
        <v>0</v>
      </c>
      <c r="AH54" s="1363">
        <f t="shared" si="23"/>
        <v>0</v>
      </c>
      <c r="AJ54" s="2351" t="e">
        <f t="shared" si="3"/>
        <v>#N/A</v>
      </c>
      <c r="AK54" s="2351" t="e">
        <f t="shared" si="4"/>
        <v>#N/A</v>
      </c>
      <c r="AL54" s="123" t="e">
        <f t="shared" si="1"/>
        <v>#N/A</v>
      </c>
      <c r="AR54" s="123"/>
      <c r="AS54" s="123"/>
      <c r="AU54" s="2982"/>
      <c r="AV54" s="123"/>
      <c r="AW54" s="123"/>
      <c r="AX54" s="2983"/>
      <c r="AY54" s="2984"/>
      <c r="AZ54" s="2985"/>
      <c r="BA54" s="2986"/>
      <c r="BB54" s="2987"/>
      <c r="BC54" s="2988"/>
    </row>
    <row r="55" spans="1:55" ht="33" thickTop="1" x14ac:dyDescent="0.25">
      <c r="A55" s="3828" t="s">
        <v>4028</v>
      </c>
      <c r="B55" s="1130" t="s">
        <v>4029</v>
      </c>
      <c r="C55" s="1138"/>
      <c r="D55" s="3779"/>
      <c r="E55" s="2652"/>
      <c r="F55" s="3491" t="s">
        <v>4030</v>
      </c>
      <c r="G55" s="3831" t="s">
        <v>4031</v>
      </c>
      <c r="H55" s="3798" t="str">
        <f>"4-DaHall 1-PDU-"&amp;L55&amp;"-"&amp;K55&amp;"-"&amp;M55</f>
        <v>4-DaHall 1-PDU-08-100-9</v>
      </c>
      <c r="I55" s="3801" t="str">
        <f>"4-DaHall 1-PDU-"&amp;P55&amp;"-"&amp;O55&amp;"-"&amp;Q55</f>
        <v>4-DaHall 1-PDU-07-100-9</v>
      </c>
      <c r="J55" s="3804">
        <v>220</v>
      </c>
      <c r="K55" s="3807">
        <v>100</v>
      </c>
      <c r="L55" s="3810" t="s">
        <v>6505</v>
      </c>
      <c r="M55" s="3812">
        <v>9</v>
      </c>
      <c r="N55" s="3815">
        <v>220</v>
      </c>
      <c r="O55" s="3818">
        <v>100</v>
      </c>
      <c r="P55" s="3821" t="s">
        <v>6492</v>
      </c>
      <c r="Q55" s="3824">
        <v>9</v>
      </c>
      <c r="R55" s="3785" t="s">
        <v>4032</v>
      </c>
      <c r="S55" s="3489" t="s">
        <v>4033</v>
      </c>
      <c r="T55" s="3491" t="s">
        <v>4034</v>
      </c>
      <c r="U55" s="3489" t="s">
        <v>4035</v>
      </c>
      <c r="V55" s="3491" t="s">
        <v>3744</v>
      </c>
      <c r="W55" s="3489" t="s">
        <v>3749</v>
      </c>
      <c r="X55" s="3856">
        <f>SUM('4층_부하량(월간_AVG)'!N27:P27)</f>
        <v>0</v>
      </c>
      <c r="Y55" s="3838">
        <f>SUM('4층_부하량(월간_AVG)'!D72:F72)</f>
        <v>0</v>
      </c>
      <c r="Z55" s="3837">
        <f>SUM(X55:Y55)</f>
        <v>0</v>
      </c>
      <c r="AA55" s="3834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904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188">
        <f>VLOOKUP(H55&amp;I55,'7층~4층_매핑테이블'!$A$6:$H$2020,8,0)</f>
        <v>0</v>
      </c>
      <c r="AD55" s="3181" t="e">
        <f>SUM(AA55:AB56)</f>
        <v>#N/A</v>
      </c>
      <c r="AE55" s="2484" t="s">
        <v>4036</v>
      </c>
      <c r="AG55">
        <v>1.4</v>
      </c>
      <c r="AH55" s="1363">
        <f t="shared" si="23"/>
        <v>-1.4</v>
      </c>
      <c r="AJ55" s="2351" t="e">
        <f t="shared" si="3"/>
        <v>#N/A</v>
      </c>
      <c r="AK55" s="2351" t="e">
        <f t="shared" si="4"/>
        <v>#N/A</v>
      </c>
      <c r="AL55" s="123" t="e">
        <f t="shared" si="1"/>
        <v>#N/A</v>
      </c>
      <c r="AR55" s="123"/>
      <c r="AS55" s="123"/>
      <c r="AU55" s="2982"/>
      <c r="AV55" s="123"/>
      <c r="AW55" s="123"/>
      <c r="AX55" s="2983"/>
      <c r="AY55" s="2984"/>
      <c r="AZ55" s="2985"/>
      <c r="BA55" s="2986"/>
      <c r="BB55" s="2987"/>
      <c r="BC55" s="2988"/>
    </row>
    <row r="56" spans="1:55" ht="21.6" x14ac:dyDescent="0.25">
      <c r="A56" s="3829"/>
      <c r="B56" s="1131" t="s">
        <v>3951</v>
      </c>
      <c r="C56" s="1139"/>
      <c r="D56" s="3780"/>
      <c r="E56" s="989"/>
      <c r="F56" s="3477"/>
      <c r="G56" s="3832"/>
      <c r="H56" s="3799"/>
      <c r="I56" s="3802"/>
      <c r="J56" s="3805"/>
      <c r="K56" s="3808"/>
      <c r="L56" s="3651"/>
      <c r="M56" s="3813"/>
      <c r="N56" s="3816"/>
      <c r="O56" s="3819"/>
      <c r="P56" s="3822"/>
      <c r="Q56" s="3825"/>
      <c r="R56" s="3786"/>
      <c r="S56" s="3478"/>
      <c r="T56" s="3477"/>
      <c r="U56" s="3478"/>
      <c r="V56" s="3477"/>
      <c r="W56" s="3478"/>
      <c r="X56" s="3886"/>
      <c r="Y56" s="3887"/>
      <c r="Z56" s="3638"/>
      <c r="AA56" s="3888"/>
      <c r="AB56" s="3917"/>
      <c r="AC56" s="3190">
        <f>$AC$55</f>
        <v>0</v>
      </c>
      <c r="AD56" s="3183" t="e">
        <f>$AD$55</f>
        <v>#N/A</v>
      </c>
      <c r="AE56" s="2485" t="s">
        <v>4037</v>
      </c>
      <c r="AG56">
        <v>0</v>
      </c>
      <c r="AH56" s="1363">
        <f t="shared" si="23"/>
        <v>0</v>
      </c>
      <c r="AJ56" s="2351" t="e">
        <f t="shared" si="3"/>
        <v>#N/A</v>
      </c>
      <c r="AK56" s="2351" t="e">
        <f t="shared" si="4"/>
        <v>#N/A</v>
      </c>
      <c r="AL56" s="123" t="e">
        <f t="shared" si="1"/>
        <v>#N/A</v>
      </c>
      <c r="AR56" s="123"/>
      <c r="AS56" s="123"/>
      <c r="AU56" s="2982"/>
      <c r="AV56" s="123"/>
      <c r="AW56" s="123"/>
      <c r="AX56" s="2983"/>
      <c r="AY56" s="2984"/>
      <c r="AZ56" s="2985"/>
      <c r="BA56" s="2986"/>
      <c r="BB56" s="2987"/>
      <c r="BC56" s="2988"/>
    </row>
    <row r="57" spans="1:55" x14ac:dyDescent="0.25">
      <c r="A57" s="3829"/>
      <c r="B57" s="1131"/>
      <c r="C57" s="1139"/>
      <c r="D57" s="3780"/>
      <c r="E57" s="250"/>
      <c r="F57" s="3477"/>
      <c r="G57" s="3832"/>
      <c r="H57" s="3799"/>
      <c r="I57" s="3802"/>
      <c r="J57" s="3805"/>
      <c r="K57" s="3808"/>
      <c r="L57" s="3651"/>
      <c r="M57" s="3813"/>
      <c r="N57" s="3816"/>
      <c r="O57" s="3819"/>
      <c r="P57" s="3822"/>
      <c r="Q57" s="3825"/>
      <c r="R57" s="3786"/>
      <c r="S57" s="3478"/>
      <c r="T57" s="3477"/>
      <c r="U57" s="3478"/>
      <c r="V57" s="3477"/>
      <c r="W57" s="3478"/>
      <c r="X57" s="3871"/>
      <c r="Y57" s="3874"/>
      <c r="Z57" s="3877"/>
      <c r="AA57" s="3880"/>
      <c r="AB57" s="3918"/>
      <c r="AC57" s="3191"/>
      <c r="AD57" s="3883"/>
      <c r="AE57" s="3924"/>
      <c r="AG57">
        <v>0</v>
      </c>
      <c r="AH57" s="1363">
        <f t="shared" si="23"/>
        <v>0</v>
      </c>
      <c r="AJ57" s="2351">
        <f t="shared" si="3"/>
        <v>0</v>
      </c>
      <c r="AK57" s="2351">
        <f t="shared" si="4"/>
        <v>0</v>
      </c>
      <c r="AL57" s="123" t="str">
        <f t="shared" si="1"/>
        <v>무부하 랙</v>
      </c>
      <c r="AR57" s="123"/>
      <c r="AS57" s="123"/>
      <c r="AU57" s="2982"/>
      <c r="AV57" s="123"/>
      <c r="AW57" s="123"/>
      <c r="AX57" s="2983"/>
      <c r="AY57" s="2984"/>
      <c r="AZ57" s="2985"/>
      <c r="BA57" s="2986"/>
      <c r="BB57" s="2987"/>
      <c r="BC57" s="2988"/>
    </row>
    <row r="58" spans="1:55" x14ac:dyDescent="0.25">
      <c r="A58" s="3829"/>
      <c r="B58" s="1131"/>
      <c r="C58" s="1139"/>
      <c r="D58" s="3780"/>
      <c r="E58" s="250"/>
      <c r="F58" s="3477"/>
      <c r="G58" s="3832"/>
      <c r="H58" s="3799"/>
      <c r="I58" s="3802"/>
      <c r="J58" s="3805"/>
      <c r="K58" s="3808"/>
      <c r="L58" s="3651"/>
      <c r="M58" s="3813"/>
      <c r="N58" s="3816"/>
      <c r="O58" s="3819"/>
      <c r="P58" s="3822"/>
      <c r="Q58" s="3825"/>
      <c r="R58" s="3786"/>
      <c r="S58" s="3478"/>
      <c r="T58" s="3477"/>
      <c r="U58" s="3478"/>
      <c r="V58" s="3477"/>
      <c r="W58" s="3478"/>
      <c r="X58" s="3872"/>
      <c r="Y58" s="3875"/>
      <c r="Z58" s="3878"/>
      <c r="AA58" s="3881"/>
      <c r="AB58" s="3919"/>
      <c r="AC58" s="3192"/>
      <c r="AD58" s="3884"/>
      <c r="AE58" s="3925"/>
      <c r="AG58">
        <v>0</v>
      </c>
      <c r="AH58" s="1363">
        <f t="shared" si="23"/>
        <v>0</v>
      </c>
      <c r="AJ58" s="2351">
        <f t="shared" si="3"/>
        <v>0</v>
      </c>
      <c r="AK58" s="2351">
        <f t="shared" si="4"/>
        <v>0</v>
      </c>
      <c r="AL58" s="123" t="str">
        <f t="shared" si="1"/>
        <v>무부하 랙</v>
      </c>
      <c r="AR58" s="123"/>
      <c r="AS58" s="123"/>
      <c r="AU58" s="2982"/>
      <c r="AV58" s="123"/>
      <c r="AW58" s="123"/>
      <c r="AX58" s="2983"/>
      <c r="AY58" s="2984"/>
      <c r="AZ58" s="2985"/>
      <c r="BA58" s="2986"/>
      <c r="BB58" s="2987"/>
      <c r="BC58" s="2988"/>
    </row>
    <row r="59" spans="1:55" x14ac:dyDescent="0.25">
      <c r="A59" s="3829"/>
      <c r="B59" s="1131"/>
      <c r="C59" s="1139"/>
      <c r="D59" s="3780"/>
      <c r="E59" s="250"/>
      <c r="F59" s="3477"/>
      <c r="G59" s="3832"/>
      <c r="H59" s="3799"/>
      <c r="I59" s="3802"/>
      <c r="J59" s="3805"/>
      <c r="K59" s="3808"/>
      <c r="L59" s="3651"/>
      <c r="M59" s="3813"/>
      <c r="N59" s="3816"/>
      <c r="O59" s="3819"/>
      <c r="P59" s="3822"/>
      <c r="Q59" s="3825"/>
      <c r="R59" s="3786"/>
      <c r="S59" s="3478"/>
      <c r="T59" s="3477"/>
      <c r="U59" s="3478"/>
      <c r="V59" s="3477"/>
      <c r="W59" s="3478"/>
      <c r="X59" s="3872"/>
      <c r="Y59" s="3875"/>
      <c r="Z59" s="3878"/>
      <c r="AA59" s="3881"/>
      <c r="AB59" s="3919"/>
      <c r="AC59" s="3192"/>
      <c r="AD59" s="3884"/>
      <c r="AE59" s="3925"/>
      <c r="AG59">
        <v>0</v>
      </c>
      <c r="AH59" s="1363">
        <f t="shared" si="23"/>
        <v>0</v>
      </c>
      <c r="AJ59" s="2351">
        <f t="shared" si="3"/>
        <v>0</v>
      </c>
      <c r="AK59" s="2351">
        <f t="shared" si="4"/>
        <v>0</v>
      </c>
      <c r="AL59" s="123" t="str">
        <f t="shared" si="1"/>
        <v>무부하 랙</v>
      </c>
      <c r="AR59" s="123"/>
      <c r="AS59" s="123"/>
      <c r="AU59" s="2982"/>
      <c r="AV59" s="123"/>
      <c r="AW59" s="123"/>
      <c r="AX59" s="2983"/>
      <c r="AY59" s="2984"/>
      <c r="AZ59" s="2985"/>
      <c r="BA59" s="2986"/>
      <c r="BB59" s="2987"/>
      <c r="BC59" s="2988"/>
    </row>
    <row r="60" spans="1:55" x14ac:dyDescent="0.25">
      <c r="A60" s="3829"/>
      <c r="B60" s="1131"/>
      <c r="C60" s="1139"/>
      <c r="D60" s="3780"/>
      <c r="E60" s="250"/>
      <c r="F60" s="3477"/>
      <c r="G60" s="3832"/>
      <c r="H60" s="3799"/>
      <c r="I60" s="3802"/>
      <c r="J60" s="3805"/>
      <c r="K60" s="3808"/>
      <c r="L60" s="3651"/>
      <c r="M60" s="3813"/>
      <c r="N60" s="3816"/>
      <c r="O60" s="3819"/>
      <c r="P60" s="3822"/>
      <c r="Q60" s="3825"/>
      <c r="R60" s="3786"/>
      <c r="S60" s="3478"/>
      <c r="T60" s="3477"/>
      <c r="U60" s="3478"/>
      <c r="V60" s="3477"/>
      <c r="W60" s="3478"/>
      <c r="X60" s="3872"/>
      <c r="Y60" s="3875"/>
      <c r="Z60" s="3878"/>
      <c r="AA60" s="3881"/>
      <c r="AB60" s="3919"/>
      <c r="AC60" s="3192"/>
      <c r="AD60" s="3884"/>
      <c r="AE60" s="3925"/>
      <c r="AG60">
        <v>0</v>
      </c>
      <c r="AH60" s="1363">
        <f t="shared" si="23"/>
        <v>0</v>
      </c>
      <c r="AJ60" s="2351">
        <f t="shared" si="3"/>
        <v>0</v>
      </c>
      <c r="AK60" s="2351">
        <f t="shared" si="4"/>
        <v>0</v>
      </c>
      <c r="AL60" s="123" t="str">
        <f t="shared" si="1"/>
        <v>무부하 랙</v>
      </c>
      <c r="AR60" s="123"/>
      <c r="AS60" s="123"/>
      <c r="AU60" s="2982"/>
      <c r="AV60" s="123"/>
      <c r="AW60" s="123"/>
      <c r="AX60" s="2983"/>
      <c r="AY60" s="2984"/>
      <c r="AZ60" s="2985"/>
      <c r="BA60" s="2986"/>
      <c r="BB60" s="2987"/>
      <c r="BC60" s="2988"/>
    </row>
    <row r="61" spans="1:55" x14ac:dyDescent="0.25">
      <c r="A61" s="3829"/>
      <c r="B61" s="1131"/>
      <c r="C61" s="1139"/>
      <c r="D61" s="3780"/>
      <c r="E61" s="250"/>
      <c r="F61" s="3477"/>
      <c r="G61" s="3832"/>
      <c r="H61" s="3799"/>
      <c r="I61" s="3802"/>
      <c r="J61" s="3805"/>
      <c r="K61" s="3808"/>
      <c r="L61" s="3651"/>
      <c r="M61" s="3813"/>
      <c r="N61" s="3816"/>
      <c r="O61" s="3819"/>
      <c r="P61" s="3822"/>
      <c r="Q61" s="3825"/>
      <c r="R61" s="3786"/>
      <c r="S61" s="3478"/>
      <c r="T61" s="3477"/>
      <c r="U61" s="3478"/>
      <c r="V61" s="3477"/>
      <c r="W61" s="3478"/>
      <c r="X61" s="3872"/>
      <c r="Y61" s="3875"/>
      <c r="Z61" s="3878"/>
      <c r="AA61" s="3881"/>
      <c r="AB61" s="3919"/>
      <c r="AC61" s="3192"/>
      <c r="AD61" s="3884"/>
      <c r="AE61" s="3925"/>
      <c r="AG61">
        <v>0</v>
      </c>
      <c r="AH61" s="1363">
        <f t="shared" si="23"/>
        <v>0</v>
      </c>
      <c r="AJ61" s="2351">
        <f t="shared" si="3"/>
        <v>0</v>
      </c>
      <c r="AK61" s="2351">
        <f t="shared" si="4"/>
        <v>0</v>
      </c>
      <c r="AL61" s="123" t="str">
        <f t="shared" si="1"/>
        <v>무부하 랙</v>
      </c>
      <c r="AR61" s="123"/>
      <c r="AS61" s="123"/>
      <c r="AU61" s="2982"/>
      <c r="AV61" s="123"/>
      <c r="AW61" s="123"/>
      <c r="AX61" s="2983"/>
      <c r="AY61" s="2984"/>
      <c r="AZ61" s="2985"/>
      <c r="BA61" s="2986"/>
      <c r="BB61" s="2987"/>
      <c r="BC61" s="2988"/>
    </row>
    <row r="62" spans="1:55" ht="15" thickBot="1" x14ac:dyDescent="0.3">
      <c r="A62" s="3830"/>
      <c r="B62" s="1129"/>
      <c r="C62" s="1140"/>
      <c r="D62" s="3781"/>
      <c r="E62" s="2629"/>
      <c r="F62" s="3474"/>
      <c r="G62" s="3833"/>
      <c r="H62" s="3800"/>
      <c r="I62" s="3803"/>
      <c r="J62" s="3806"/>
      <c r="K62" s="3809"/>
      <c r="L62" s="3811"/>
      <c r="M62" s="3814"/>
      <c r="N62" s="3817"/>
      <c r="O62" s="3820"/>
      <c r="P62" s="3823"/>
      <c r="Q62" s="3826"/>
      <c r="R62" s="3787"/>
      <c r="S62" s="3476"/>
      <c r="T62" s="3474"/>
      <c r="U62" s="3476"/>
      <c r="V62" s="3474"/>
      <c r="W62" s="3476"/>
      <c r="X62" s="3873"/>
      <c r="Y62" s="3876"/>
      <c r="Z62" s="3879"/>
      <c r="AA62" s="3882"/>
      <c r="AB62" s="3920"/>
      <c r="AC62" s="3193"/>
      <c r="AD62" s="3885"/>
      <c r="AE62" s="3928"/>
      <c r="AG62">
        <v>0</v>
      </c>
      <c r="AH62" s="1363">
        <f t="shared" si="23"/>
        <v>0</v>
      </c>
      <c r="AJ62" s="2351">
        <f t="shared" si="3"/>
        <v>0</v>
      </c>
      <c r="AK62" s="2351">
        <f t="shared" si="4"/>
        <v>0</v>
      </c>
      <c r="AL62" s="123" t="str">
        <f t="shared" si="1"/>
        <v>무부하 랙</v>
      </c>
      <c r="AR62" s="123"/>
      <c r="AS62" s="123"/>
      <c r="AU62" s="2982"/>
      <c r="AV62" s="123"/>
      <c r="AW62" s="123"/>
      <c r="AX62" s="2983"/>
      <c r="AY62" s="2984"/>
      <c r="AZ62" s="2985"/>
      <c r="BA62" s="2986"/>
      <c r="BB62" s="2987"/>
      <c r="BC62" s="2988"/>
    </row>
    <row r="63" spans="1:55" ht="15" thickTop="1" x14ac:dyDescent="0.25">
      <c r="A63" s="3828" t="s">
        <v>4015</v>
      </c>
      <c r="B63" s="1130" t="s">
        <v>9193</v>
      </c>
      <c r="C63" s="1138" t="s">
        <v>9183</v>
      </c>
      <c r="D63" s="3779">
        <f>1.1+2.2*9</f>
        <v>20.900000000000002</v>
      </c>
      <c r="E63" s="993" t="s">
        <v>4016</v>
      </c>
      <c r="F63" s="3491" t="s">
        <v>4017</v>
      </c>
      <c r="G63" s="3831" t="s">
        <v>4018</v>
      </c>
      <c r="H63" s="3798" t="str">
        <f>"4-DaHall 1-PDU-"&amp;L63&amp;"-"&amp;K63&amp;"-"&amp;M63</f>
        <v>4-DaHall 1-PDU-06-100-10</v>
      </c>
      <c r="I63" s="3801" t="str">
        <f>"4-DaHall 1-PDU-"&amp;P63&amp;"-"&amp;O63&amp;"-"&amp;Q63</f>
        <v>4-DaHall 1-PDU-05-100-10</v>
      </c>
      <c r="J63" s="3804">
        <v>220</v>
      </c>
      <c r="K63" s="3807">
        <v>100</v>
      </c>
      <c r="L63" s="3810" t="s">
        <v>6502</v>
      </c>
      <c r="M63" s="3812">
        <v>10</v>
      </c>
      <c r="N63" s="3815">
        <v>220</v>
      </c>
      <c r="O63" s="3818">
        <v>100</v>
      </c>
      <c r="P63" s="3821" t="s">
        <v>6491</v>
      </c>
      <c r="Q63" s="3824">
        <v>10</v>
      </c>
      <c r="R63" s="3785" t="s">
        <v>3886</v>
      </c>
      <c r="S63" s="3489" t="s">
        <v>3887</v>
      </c>
      <c r="T63" s="3491" t="s">
        <v>3888</v>
      </c>
      <c r="U63" s="3489" t="s">
        <v>3889</v>
      </c>
      <c r="V63" s="3491" t="s">
        <v>3744</v>
      </c>
      <c r="W63" s="3489" t="s">
        <v>3749</v>
      </c>
      <c r="X63" s="3856">
        <f>SUM('4층_부하량(월간_AVG)'!D28:F28)</f>
        <v>0</v>
      </c>
      <c r="Y63" s="3838">
        <f>SUM('4층_부하량(월간_AVG)'!N57:P57)</f>
        <v>0</v>
      </c>
      <c r="Z63" s="3837">
        <f t="shared" ref="Z63" si="24">SUM(X63:Y63)</f>
        <v>0</v>
      </c>
      <c r="AA63" s="3834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904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188">
        <f>VLOOKUP(H63&amp;I63,'7층~4층_매핑테이블'!$A$6:$H$2020,8,0)</f>
        <v>15.148</v>
      </c>
      <c r="AD63" s="3181" t="e">
        <f>SUM(AA63:AB72)</f>
        <v>#N/A</v>
      </c>
      <c r="AE63" s="2474"/>
      <c r="AG63">
        <v>70.2</v>
      </c>
      <c r="AH63" s="1363">
        <f t="shared" si="23"/>
        <v>-70.2</v>
      </c>
      <c r="AJ63" s="2351" t="e">
        <f t="shared" si="3"/>
        <v>#N/A</v>
      </c>
      <c r="AK63" s="2351" t="e">
        <f t="shared" si="4"/>
        <v>#N/A</v>
      </c>
      <c r="AL63" s="123" t="e">
        <f t="shared" si="1"/>
        <v>#N/A</v>
      </c>
      <c r="AR63" s="123"/>
      <c r="AS63" s="123"/>
      <c r="AU63" s="2982"/>
      <c r="AV63" s="123"/>
      <c r="AW63" s="123"/>
      <c r="AX63" s="2983"/>
      <c r="AY63" s="2984"/>
      <c r="AZ63" s="2985"/>
      <c r="BA63" s="2986"/>
      <c r="BB63" s="2987"/>
      <c r="BC63" s="2988"/>
    </row>
    <row r="64" spans="1:55" x14ac:dyDescent="0.25">
      <c r="A64" s="3829"/>
      <c r="B64" s="1131" t="s">
        <v>4019</v>
      </c>
      <c r="C64" s="1139"/>
      <c r="D64" s="3780"/>
      <c r="E64" s="2621" t="s">
        <v>9194</v>
      </c>
      <c r="F64" s="3477"/>
      <c r="G64" s="3832"/>
      <c r="H64" s="3799"/>
      <c r="I64" s="3802"/>
      <c r="J64" s="3805"/>
      <c r="K64" s="3808"/>
      <c r="L64" s="3651"/>
      <c r="M64" s="3813"/>
      <c r="N64" s="3816"/>
      <c r="O64" s="3819"/>
      <c r="P64" s="3822"/>
      <c r="Q64" s="3825"/>
      <c r="R64" s="3786"/>
      <c r="S64" s="3478"/>
      <c r="T64" s="3477"/>
      <c r="U64" s="3478"/>
      <c r="V64" s="3477"/>
      <c r="W64" s="3478"/>
      <c r="X64" s="3857"/>
      <c r="Y64" s="3839"/>
      <c r="Z64" s="3637"/>
      <c r="AA64" s="3835"/>
      <c r="AB64" s="3905"/>
      <c r="AC64" s="3189">
        <f>$AC$63</f>
        <v>15.148</v>
      </c>
      <c r="AD64" s="3182" t="e">
        <f>AD63</f>
        <v>#N/A</v>
      </c>
      <c r="AE64" s="2475"/>
      <c r="AG64">
        <v>0</v>
      </c>
      <c r="AH64" s="1363">
        <f t="shared" si="23"/>
        <v>0</v>
      </c>
      <c r="AJ64" s="2351" t="e">
        <f t="shared" si="3"/>
        <v>#N/A</v>
      </c>
      <c r="AK64" s="2351" t="e">
        <f t="shared" si="4"/>
        <v>#N/A</v>
      </c>
      <c r="AL64" s="123" t="e">
        <f t="shared" si="1"/>
        <v>#N/A</v>
      </c>
      <c r="AR64" s="123"/>
      <c r="AS64" s="123"/>
      <c r="AU64" s="2982"/>
      <c r="AV64" s="123"/>
      <c r="AW64" s="123"/>
      <c r="AX64" s="2983"/>
      <c r="AY64" s="2984"/>
      <c r="AZ64" s="2985"/>
      <c r="BA64" s="2986"/>
      <c r="BB64" s="2987"/>
      <c r="BC64" s="2988"/>
    </row>
    <row r="65" spans="1:55" ht="21.6" x14ac:dyDescent="0.25">
      <c r="A65" s="3829"/>
      <c r="B65" s="1131" t="s">
        <v>1756</v>
      </c>
      <c r="C65" s="1139" t="s">
        <v>9184</v>
      </c>
      <c r="D65" s="3780"/>
      <c r="E65" s="2621" t="s">
        <v>4020</v>
      </c>
      <c r="F65" s="3477"/>
      <c r="G65" s="3832"/>
      <c r="H65" s="3799"/>
      <c r="I65" s="3802"/>
      <c r="J65" s="3805"/>
      <c r="K65" s="3808"/>
      <c r="L65" s="3651"/>
      <c r="M65" s="3813"/>
      <c r="N65" s="3816"/>
      <c r="O65" s="3819"/>
      <c r="P65" s="3822"/>
      <c r="Q65" s="3825"/>
      <c r="R65" s="3786"/>
      <c r="S65" s="3478"/>
      <c r="T65" s="3477"/>
      <c r="U65" s="3478"/>
      <c r="V65" s="3477"/>
      <c r="W65" s="3478"/>
      <c r="X65" s="3857"/>
      <c r="Y65" s="3839"/>
      <c r="Z65" s="3637"/>
      <c r="AA65" s="3835"/>
      <c r="AB65" s="3905"/>
      <c r="AC65" s="3189">
        <f t="shared" ref="AC65:AC72" si="25">$AC$63</f>
        <v>15.148</v>
      </c>
      <c r="AD65" s="3182" t="e">
        <f t="shared" ref="AD65:AD72" si="26">AD64</f>
        <v>#N/A</v>
      </c>
      <c r="AE65" s="2475"/>
      <c r="AG65">
        <v>0</v>
      </c>
      <c r="AH65" s="1363">
        <f t="shared" si="23"/>
        <v>0</v>
      </c>
      <c r="AJ65" s="2351" t="e">
        <f t="shared" si="3"/>
        <v>#N/A</v>
      </c>
      <c r="AK65" s="2351" t="e">
        <f t="shared" si="4"/>
        <v>#N/A</v>
      </c>
      <c r="AL65" s="123" t="e">
        <f t="shared" si="1"/>
        <v>#N/A</v>
      </c>
      <c r="AR65" s="123"/>
      <c r="AS65" s="123"/>
      <c r="AU65" s="2982"/>
      <c r="AV65" s="123"/>
      <c r="AW65" s="123"/>
      <c r="AX65" s="2983"/>
      <c r="AY65" s="2984"/>
      <c r="AZ65" s="2985"/>
      <c r="BA65" s="2986"/>
      <c r="BB65" s="2987"/>
      <c r="BC65" s="2988"/>
    </row>
    <row r="66" spans="1:55" ht="21.6" x14ac:dyDescent="0.25">
      <c r="A66" s="3829"/>
      <c r="B66" s="1131" t="s">
        <v>1762</v>
      </c>
      <c r="C66" s="1139" t="s">
        <v>9184</v>
      </c>
      <c r="D66" s="3780"/>
      <c r="E66" s="2621" t="s">
        <v>4021</v>
      </c>
      <c r="F66" s="3477"/>
      <c r="G66" s="3832"/>
      <c r="H66" s="3799"/>
      <c r="I66" s="3802"/>
      <c r="J66" s="3805"/>
      <c r="K66" s="3808"/>
      <c r="L66" s="3651"/>
      <c r="M66" s="3813"/>
      <c r="N66" s="3816"/>
      <c r="O66" s="3819"/>
      <c r="P66" s="3822"/>
      <c r="Q66" s="3825"/>
      <c r="R66" s="3786"/>
      <c r="S66" s="3478"/>
      <c r="T66" s="3477"/>
      <c r="U66" s="3478"/>
      <c r="V66" s="3477"/>
      <c r="W66" s="3478"/>
      <c r="X66" s="3857"/>
      <c r="Y66" s="3839"/>
      <c r="Z66" s="3637"/>
      <c r="AA66" s="3835"/>
      <c r="AB66" s="3905"/>
      <c r="AC66" s="3189">
        <f t="shared" si="25"/>
        <v>15.148</v>
      </c>
      <c r="AD66" s="3182" t="e">
        <f t="shared" si="26"/>
        <v>#N/A</v>
      </c>
      <c r="AE66" s="2475"/>
      <c r="AG66">
        <v>0</v>
      </c>
      <c r="AH66" s="1363">
        <f t="shared" si="23"/>
        <v>0</v>
      </c>
      <c r="AJ66" s="2351" t="e">
        <f t="shared" si="3"/>
        <v>#N/A</v>
      </c>
      <c r="AK66" s="2351" t="e">
        <f t="shared" si="4"/>
        <v>#N/A</v>
      </c>
      <c r="AL66" s="123" t="e">
        <f t="shared" si="1"/>
        <v>#N/A</v>
      </c>
      <c r="AR66" s="123"/>
      <c r="AS66" s="123"/>
      <c r="AU66" s="2982"/>
      <c r="AV66" s="123"/>
      <c r="AW66" s="123"/>
      <c r="AX66" s="2983"/>
      <c r="AY66" s="2984"/>
      <c r="AZ66" s="2985"/>
      <c r="BA66" s="2986"/>
      <c r="BB66" s="2987"/>
      <c r="BC66" s="2988"/>
    </row>
    <row r="67" spans="1:55" ht="21.6" x14ac:dyDescent="0.25">
      <c r="A67" s="3829"/>
      <c r="B67" s="1131" t="s">
        <v>2839</v>
      </c>
      <c r="C67" s="1139" t="s">
        <v>9184</v>
      </c>
      <c r="D67" s="3780"/>
      <c r="E67" s="2621" t="s">
        <v>4022</v>
      </c>
      <c r="F67" s="3477"/>
      <c r="G67" s="3832"/>
      <c r="H67" s="3799"/>
      <c r="I67" s="3802"/>
      <c r="J67" s="3805"/>
      <c r="K67" s="3808"/>
      <c r="L67" s="3651"/>
      <c r="M67" s="3813"/>
      <c r="N67" s="3816"/>
      <c r="O67" s="3819"/>
      <c r="P67" s="3822"/>
      <c r="Q67" s="3825"/>
      <c r="R67" s="3786"/>
      <c r="S67" s="3478"/>
      <c r="T67" s="3477"/>
      <c r="U67" s="3478"/>
      <c r="V67" s="3477"/>
      <c r="W67" s="3478"/>
      <c r="X67" s="3857"/>
      <c r="Y67" s="3839"/>
      <c r="Z67" s="3637"/>
      <c r="AA67" s="3835"/>
      <c r="AB67" s="3905"/>
      <c r="AC67" s="3189">
        <f t="shared" si="25"/>
        <v>15.148</v>
      </c>
      <c r="AD67" s="3182" t="e">
        <f t="shared" si="26"/>
        <v>#N/A</v>
      </c>
      <c r="AE67" s="2475"/>
      <c r="AG67">
        <v>0</v>
      </c>
      <c r="AH67" s="1363">
        <f t="shared" si="23"/>
        <v>0</v>
      </c>
      <c r="AJ67" s="2351" t="e">
        <f t="shared" si="3"/>
        <v>#N/A</v>
      </c>
      <c r="AK67" s="2351" t="e">
        <f t="shared" si="4"/>
        <v>#N/A</v>
      </c>
      <c r="AL67" s="123" t="e">
        <f t="shared" si="1"/>
        <v>#N/A</v>
      </c>
      <c r="AR67" s="123"/>
      <c r="AS67" s="123"/>
      <c r="AU67" s="2982"/>
      <c r="AV67" s="123"/>
      <c r="AW67" s="123"/>
      <c r="AX67" s="2983"/>
      <c r="AY67" s="2984"/>
      <c r="AZ67" s="2985"/>
      <c r="BA67" s="2986"/>
      <c r="BB67" s="2987"/>
      <c r="BC67" s="2988"/>
    </row>
    <row r="68" spans="1:55" ht="21.6" x14ac:dyDescent="0.25">
      <c r="A68" s="3829"/>
      <c r="B68" s="1131" t="s">
        <v>2841</v>
      </c>
      <c r="C68" s="1139" t="s">
        <v>9184</v>
      </c>
      <c r="D68" s="3780"/>
      <c r="E68" s="2621" t="s">
        <v>4023</v>
      </c>
      <c r="F68" s="3477"/>
      <c r="G68" s="3832"/>
      <c r="H68" s="3799"/>
      <c r="I68" s="3802"/>
      <c r="J68" s="3805"/>
      <c r="K68" s="3808"/>
      <c r="L68" s="3651"/>
      <c r="M68" s="3813"/>
      <c r="N68" s="3816"/>
      <c r="O68" s="3819"/>
      <c r="P68" s="3822"/>
      <c r="Q68" s="3825"/>
      <c r="R68" s="3786"/>
      <c r="S68" s="3478"/>
      <c r="T68" s="3477"/>
      <c r="U68" s="3478"/>
      <c r="V68" s="3477"/>
      <c r="W68" s="3478"/>
      <c r="X68" s="3857"/>
      <c r="Y68" s="3839"/>
      <c r="Z68" s="3637"/>
      <c r="AA68" s="3835"/>
      <c r="AB68" s="3905"/>
      <c r="AC68" s="3189">
        <f t="shared" si="25"/>
        <v>15.148</v>
      </c>
      <c r="AD68" s="3182" t="e">
        <f t="shared" si="26"/>
        <v>#N/A</v>
      </c>
      <c r="AE68" s="2475"/>
      <c r="AG68">
        <v>0</v>
      </c>
      <c r="AH68" s="1363">
        <f t="shared" si="23"/>
        <v>0</v>
      </c>
      <c r="AJ68" s="2351" t="e">
        <f t="shared" si="3"/>
        <v>#N/A</v>
      </c>
      <c r="AK68" s="2351" t="e">
        <f t="shared" si="4"/>
        <v>#N/A</v>
      </c>
      <c r="AL68" s="123" t="e">
        <f t="shared" si="1"/>
        <v>#N/A</v>
      </c>
      <c r="AR68" s="123"/>
      <c r="AS68" s="123"/>
      <c r="AU68" s="2982"/>
      <c r="AV68" s="123"/>
      <c r="AW68" s="123"/>
      <c r="AX68" s="2983"/>
      <c r="AY68" s="2984"/>
      <c r="AZ68" s="2985"/>
      <c r="BA68" s="2986"/>
      <c r="BB68" s="2987"/>
      <c r="BC68" s="2988"/>
    </row>
    <row r="69" spans="1:55" ht="21.6" x14ac:dyDescent="0.25">
      <c r="A69" s="3829"/>
      <c r="B69" s="1131" t="s">
        <v>2843</v>
      </c>
      <c r="C69" s="1139" t="s">
        <v>9184</v>
      </c>
      <c r="D69" s="3780"/>
      <c r="E69" s="2621" t="s">
        <v>4024</v>
      </c>
      <c r="F69" s="3477"/>
      <c r="G69" s="3832"/>
      <c r="H69" s="3799"/>
      <c r="I69" s="3802"/>
      <c r="J69" s="3805"/>
      <c r="K69" s="3808"/>
      <c r="L69" s="3651"/>
      <c r="M69" s="3813"/>
      <c r="N69" s="3816"/>
      <c r="O69" s="3819"/>
      <c r="P69" s="3822"/>
      <c r="Q69" s="3825"/>
      <c r="R69" s="3786"/>
      <c r="S69" s="3478"/>
      <c r="T69" s="3477"/>
      <c r="U69" s="3478"/>
      <c r="V69" s="3477"/>
      <c r="W69" s="3478"/>
      <c r="X69" s="3857"/>
      <c r="Y69" s="3839"/>
      <c r="Z69" s="3637"/>
      <c r="AA69" s="3835"/>
      <c r="AB69" s="3905"/>
      <c r="AC69" s="3189">
        <f t="shared" si="25"/>
        <v>15.148</v>
      </c>
      <c r="AD69" s="3182" t="e">
        <f t="shared" si="26"/>
        <v>#N/A</v>
      </c>
      <c r="AE69" s="2475"/>
      <c r="AG69">
        <v>0</v>
      </c>
      <c r="AH69" s="1363">
        <f t="shared" si="23"/>
        <v>0</v>
      </c>
      <c r="AJ69" s="2351" t="e">
        <f t="shared" si="3"/>
        <v>#N/A</v>
      </c>
      <c r="AK69" s="2351" t="e">
        <f t="shared" si="4"/>
        <v>#N/A</v>
      </c>
      <c r="AL69" s="123" t="e">
        <f t="shared" ref="AL69:AL132" si="27">IF(SIGN(AK69)&gt;=0,IF(AD69=0,"무부하 랙","적정함"),"사용초과")</f>
        <v>#N/A</v>
      </c>
      <c r="AR69" s="123"/>
      <c r="AS69" s="123"/>
      <c r="AU69" s="2982"/>
      <c r="AV69" s="123"/>
      <c r="AW69" s="123"/>
      <c r="AX69" s="2983"/>
      <c r="AY69" s="2984"/>
      <c r="AZ69" s="2985"/>
      <c r="BA69" s="2986"/>
      <c r="BB69" s="2987"/>
      <c r="BC69" s="2988"/>
    </row>
    <row r="70" spans="1:55" ht="21.6" x14ac:dyDescent="0.25">
      <c r="A70" s="3829"/>
      <c r="B70" s="1131" t="s">
        <v>1794</v>
      </c>
      <c r="C70" s="1139" t="s">
        <v>9184</v>
      </c>
      <c r="D70" s="3780"/>
      <c r="E70" s="2621" t="s">
        <v>4025</v>
      </c>
      <c r="F70" s="3477"/>
      <c r="G70" s="3832"/>
      <c r="H70" s="3799"/>
      <c r="I70" s="3802"/>
      <c r="J70" s="3805"/>
      <c r="K70" s="3808"/>
      <c r="L70" s="3651"/>
      <c r="M70" s="3813"/>
      <c r="N70" s="3816"/>
      <c r="O70" s="3819"/>
      <c r="P70" s="3822"/>
      <c r="Q70" s="3825"/>
      <c r="R70" s="3786"/>
      <c r="S70" s="3478"/>
      <c r="T70" s="3477"/>
      <c r="U70" s="3478"/>
      <c r="V70" s="3477"/>
      <c r="W70" s="3478"/>
      <c r="X70" s="3857"/>
      <c r="Y70" s="3839"/>
      <c r="Z70" s="3637"/>
      <c r="AA70" s="3835"/>
      <c r="AB70" s="3905"/>
      <c r="AC70" s="3189">
        <f t="shared" si="25"/>
        <v>15.148</v>
      </c>
      <c r="AD70" s="3182" t="e">
        <f t="shared" si="26"/>
        <v>#N/A</v>
      </c>
      <c r="AE70" s="2475"/>
      <c r="AG70">
        <v>0</v>
      </c>
      <c r="AH70" s="1363">
        <f t="shared" si="23"/>
        <v>0</v>
      </c>
      <c r="AJ70" s="2351" t="e">
        <f t="shared" ref="AJ70:AJ133" si="28">AD70/(24*31)</f>
        <v>#N/A</v>
      </c>
      <c r="AK70" s="2351" t="e">
        <f t="shared" ref="AK70:AK133" si="29">D70-AJ70</f>
        <v>#N/A</v>
      </c>
      <c r="AL70" s="123" t="e">
        <f t="shared" si="27"/>
        <v>#N/A</v>
      </c>
      <c r="AR70" s="123"/>
      <c r="AS70" s="123"/>
      <c r="AU70" s="2982"/>
      <c r="AV70" s="123"/>
      <c r="AW70" s="123"/>
      <c r="AX70" s="2983"/>
      <c r="AY70" s="2984"/>
      <c r="AZ70" s="2985"/>
      <c r="BA70" s="2986"/>
      <c r="BB70" s="2987"/>
      <c r="BC70" s="2988"/>
    </row>
    <row r="71" spans="1:55" ht="21.6" x14ac:dyDescent="0.25">
      <c r="A71" s="3829"/>
      <c r="B71" s="1131" t="s">
        <v>1796</v>
      </c>
      <c r="C71" s="1139" t="s">
        <v>9184</v>
      </c>
      <c r="D71" s="3780"/>
      <c r="E71" s="2621" t="s">
        <v>4026</v>
      </c>
      <c r="F71" s="3477"/>
      <c r="G71" s="3832"/>
      <c r="H71" s="3799"/>
      <c r="I71" s="3802"/>
      <c r="J71" s="3805"/>
      <c r="K71" s="3808"/>
      <c r="L71" s="3651"/>
      <c r="M71" s="3813"/>
      <c r="N71" s="3816"/>
      <c r="O71" s="3819"/>
      <c r="P71" s="3822"/>
      <c r="Q71" s="3825"/>
      <c r="R71" s="3786"/>
      <c r="S71" s="3478"/>
      <c r="T71" s="3477"/>
      <c r="U71" s="3478"/>
      <c r="V71" s="3477"/>
      <c r="W71" s="3478"/>
      <c r="X71" s="3857"/>
      <c r="Y71" s="3839"/>
      <c r="Z71" s="3637"/>
      <c r="AA71" s="3835"/>
      <c r="AB71" s="3905"/>
      <c r="AC71" s="3189">
        <f t="shared" si="25"/>
        <v>15.148</v>
      </c>
      <c r="AD71" s="3182" t="e">
        <f t="shared" si="26"/>
        <v>#N/A</v>
      </c>
      <c r="AE71" s="2475"/>
      <c r="AG71">
        <v>0</v>
      </c>
      <c r="AH71" s="1363">
        <f t="shared" si="23"/>
        <v>0</v>
      </c>
      <c r="AJ71" s="2351" t="e">
        <f t="shared" si="28"/>
        <v>#N/A</v>
      </c>
      <c r="AK71" s="2351" t="e">
        <f t="shared" si="29"/>
        <v>#N/A</v>
      </c>
      <c r="AL71" s="123" t="e">
        <f t="shared" si="27"/>
        <v>#N/A</v>
      </c>
      <c r="AR71" s="123"/>
      <c r="AS71" s="123"/>
      <c r="AU71" s="2982"/>
      <c r="AV71" s="123"/>
      <c r="AW71" s="123"/>
      <c r="AX71" s="2983"/>
      <c r="AY71" s="2984"/>
      <c r="AZ71" s="2985"/>
      <c r="BA71" s="2986"/>
      <c r="BB71" s="2987"/>
      <c r="BC71" s="2988"/>
    </row>
    <row r="72" spans="1:55" ht="22.2" thickBot="1" x14ac:dyDescent="0.3">
      <c r="A72" s="3830"/>
      <c r="B72" s="1129" t="s">
        <v>1798</v>
      </c>
      <c r="C72" s="1140" t="s">
        <v>9184</v>
      </c>
      <c r="D72" s="3781"/>
      <c r="E72" s="2640" t="s">
        <v>4027</v>
      </c>
      <c r="F72" s="3474"/>
      <c r="G72" s="3833"/>
      <c r="H72" s="3800"/>
      <c r="I72" s="3803"/>
      <c r="J72" s="3806"/>
      <c r="K72" s="3809"/>
      <c r="L72" s="3811"/>
      <c r="M72" s="3814"/>
      <c r="N72" s="3817"/>
      <c r="O72" s="3820"/>
      <c r="P72" s="3823"/>
      <c r="Q72" s="3826"/>
      <c r="R72" s="3787"/>
      <c r="S72" s="3476"/>
      <c r="T72" s="3474"/>
      <c r="U72" s="3476"/>
      <c r="V72" s="3474"/>
      <c r="W72" s="3476"/>
      <c r="X72" s="3858"/>
      <c r="Y72" s="3840"/>
      <c r="Z72" s="3644"/>
      <c r="AA72" s="3836"/>
      <c r="AB72" s="3906"/>
      <c r="AC72" s="3189">
        <f t="shared" si="25"/>
        <v>15.148</v>
      </c>
      <c r="AD72" s="3182" t="e">
        <f t="shared" si="26"/>
        <v>#N/A</v>
      </c>
      <c r="AE72" s="2476"/>
      <c r="AG72">
        <v>0</v>
      </c>
      <c r="AH72" s="1363">
        <f t="shared" si="23"/>
        <v>0</v>
      </c>
      <c r="AJ72" s="2351" t="e">
        <f t="shared" si="28"/>
        <v>#N/A</v>
      </c>
      <c r="AK72" s="2351" t="e">
        <f t="shared" si="29"/>
        <v>#N/A</v>
      </c>
      <c r="AL72" s="123" t="e">
        <f t="shared" si="27"/>
        <v>#N/A</v>
      </c>
      <c r="AR72" s="123"/>
      <c r="AS72" s="123"/>
      <c r="AU72" s="2982"/>
      <c r="AV72" s="123"/>
      <c r="AW72" s="123"/>
      <c r="AX72" s="2983"/>
      <c r="AY72" s="2984"/>
      <c r="AZ72" s="2985"/>
      <c r="BA72" s="2986"/>
      <c r="BB72" s="2987"/>
      <c r="BC72" s="2988"/>
    </row>
    <row r="73" spans="1:55" ht="15" thickTop="1" x14ac:dyDescent="0.25">
      <c r="A73" s="3828" t="s">
        <v>4003</v>
      </c>
      <c r="B73" s="1130"/>
      <c r="C73" s="1138"/>
      <c r="D73" s="3779"/>
      <c r="E73" s="327" t="s">
        <v>4004</v>
      </c>
      <c r="F73" s="3491" t="s">
        <v>4005</v>
      </c>
      <c r="G73" s="3831" t="s">
        <v>4006</v>
      </c>
      <c r="H73" s="3798" t="str">
        <f>"4-DaHall 1-PDU-"&amp;L73&amp;"-"&amp;K73&amp;"-"&amp;M73</f>
        <v>4-DaHall 1-PDU-06-100-9</v>
      </c>
      <c r="I73" s="3801" t="str">
        <f>"4-DaHall 1-PDU-"&amp;P73&amp;"-"&amp;O73&amp;"-"&amp;Q73</f>
        <v>4-DaHall 1-PDU-05-100-9</v>
      </c>
      <c r="J73" s="3804">
        <v>220</v>
      </c>
      <c r="K73" s="3807">
        <v>100</v>
      </c>
      <c r="L73" s="3810" t="s">
        <v>6502</v>
      </c>
      <c r="M73" s="3812">
        <v>9</v>
      </c>
      <c r="N73" s="3815">
        <v>220</v>
      </c>
      <c r="O73" s="3818">
        <v>100</v>
      </c>
      <c r="P73" s="3821" t="s">
        <v>6491</v>
      </c>
      <c r="Q73" s="3824">
        <v>9</v>
      </c>
      <c r="R73" s="3785" t="s">
        <v>3886</v>
      </c>
      <c r="S73" s="3489" t="s">
        <v>3887</v>
      </c>
      <c r="T73" s="3491" t="s">
        <v>3888</v>
      </c>
      <c r="U73" s="3489" t="s">
        <v>3889</v>
      </c>
      <c r="V73" s="3491" t="s">
        <v>3744</v>
      </c>
      <c r="W73" s="3489" t="s">
        <v>3749</v>
      </c>
      <c r="X73" s="3856">
        <f>SUM('4층_부하량(월간_AVG)'!D27:F27)</f>
        <v>0</v>
      </c>
      <c r="Y73" s="3838">
        <f>SUM('4층_부하량(월간_AVG)'!N56:P56)</f>
        <v>0</v>
      </c>
      <c r="Z73" s="3837">
        <f>SUM(X73:Y73)</f>
        <v>0</v>
      </c>
      <c r="AA73" s="3834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904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188">
        <f>VLOOKUP(H73&amp;I73,'7층~4층_매핑테이블'!$A$6:$H$2020,8,0)</f>
        <v>0</v>
      </c>
      <c r="AD73" s="3181" t="e">
        <f>SUM(AA73:AB82)</f>
        <v>#N/A</v>
      </c>
      <c r="AE73" s="2474"/>
      <c r="AG73">
        <v>0</v>
      </c>
      <c r="AH73" s="1363">
        <f t="shared" si="23"/>
        <v>0</v>
      </c>
      <c r="AJ73" s="2351" t="e">
        <f t="shared" si="28"/>
        <v>#N/A</v>
      </c>
      <c r="AK73" s="2351" t="e">
        <f t="shared" si="29"/>
        <v>#N/A</v>
      </c>
      <c r="AL73" s="123" t="e">
        <f t="shared" si="27"/>
        <v>#N/A</v>
      </c>
      <c r="AR73" s="123"/>
      <c r="AS73" s="123"/>
      <c r="AU73" s="2982"/>
      <c r="AV73" s="123"/>
      <c r="AW73" s="123"/>
      <c r="AX73" s="2983"/>
      <c r="AY73" s="2984"/>
      <c r="AZ73" s="2985"/>
      <c r="BA73" s="2986"/>
      <c r="BB73" s="2987"/>
      <c r="BC73" s="2988"/>
    </row>
    <row r="74" spans="1:55" x14ac:dyDescent="0.25">
      <c r="A74" s="3829"/>
      <c r="B74" s="1131"/>
      <c r="C74" s="1139"/>
      <c r="D74" s="3780"/>
      <c r="E74" s="250" t="s">
        <v>9195</v>
      </c>
      <c r="F74" s="3477"/>
      <c r="G74" s="3832"/>
      <c r="H74" s="3799"/>
      <c r="I74" s="3802"/>
      <c r="J74" s="3805"/>
      <c r="K74" s="3808"/>
      <c r="L74" s="3651"/>
      <c r="M74" s="3813"/>
      <c r="N74" s="3816"/>
      <c r="O74" s="3819"/>
      <c r="P74" s="3822"/>
      <c r="Q74" s="3825"/>
      <c r="R74" s="3786"/>
      <c r="S74" s="3478"/>
      <c r="T74" s="3477"/>
      <c r="U74" s="3478"/>
      <c r="V74" s="3477"/>
      <c r="W74" s="3478"/>
      <c r="X74" s="3857"/>
      <c r="Y74" s="3839"/>
      <c r="Z74" s="3637"/>
      <c r="AA74" s="3835"/>
      <c r="AB74" s="3905"/>
      <c r="AC74" s="3189">
        <f>$AC$73</f>
        <v>0</v>
      </c>
      <c r="AD74" s="3182" t="e">
        <f>$AD$73</f>
        <v>#N/A</v>
      </c>
      <c r="AE74" s="2475"/>
      <c r="AG74">
        <v>0</v>
      </c>
      <c r="AH74" s="1363">
        <f t="shared" si="23"/>
        <v>0</v>
      </c>
      <c r="AJ74" s="2351" t="e">
        <f t="shared" si="28"/>
        <v>#N/A</v>
      </c>
      <c r="AK74" s="2351" t="e">
        <f t="shared" si="29"/>
        <v>#N/A</v>
      </c>
      <c r="AL74" s="123" t="e">
        <f t="shared" si="27"/>
        <v>#N/A</v>
      </c>
      <c r="AR74" s="123"/>
      <c r="AS74" s="123"/>
      <c r="AU74" s="2982"/>
      <c r="AV74" s="123"/>
      <c r="AW74" s="123"/>
      <c r="AX74" s="2983"/>
      <c r="AY74" s="2984"/>
      <c r="AZ74" s="2985"/>
      <c r="BA74" s="2986"/>
      <c r="BB74" s="2987"/>
      <c r="BC74" s="2988"/>
    </row>
    <row r="75" spans="1:55" x14ac:dyDescent="0.25">
      <c r="A75" s="3829"/>
      <c r="B75" s="1131"/>
      <c r="C75" s="1139"/>
      <c r="D75" s="3780"/>
      <c r="E75" s="250" t="s">
        <v>4007</v>
      </c>
      <c r="F75" s="3477"/>
      <c r="G75" s="3832"/>
      <c r="H75" s="3799"/>
      <c r="I75" s="3802"/>
      <c r="J75" s="3805"/>
      <c r="K75" s="3808"/>
      <c r="L75" s="3651"/>
      <c r="M75" s="3813"/>
      <c r="N75" s="3816"/>
      <c r="O75" s="3819"/>
      <c r="P75" s="3822"/>
      <c r="Q75" s="3825"/>
      <c r="R75" s="3786"/>
      <c r="S75" s="3478"/>
      <c r="T75" s="3477"/>
      <c r="U75" s="3478"/>
      <c r="V75" s="3477"/>
      <c r="W75" s="3478"/>
      <c r="X75" s="3857"/>
      <c r="Y75" s="3839"/>
      <c r="Z75" s="3637"/>
      <c r="AA75" s="3835"/>
      <c r="AB75" s="3905"/>
      <c r="AC75" s="3189">
        <f t="shared" ref="AC75:AC82" si="30">$AC$73</f>
        <v>0</v>
      </c>
      <c r="AD75" s="3182" t="e">
        <f t="shared" ref="AD75:AD82" si="31">$AD$73</f>
        <v>#N/A</v>
      </c>
      <c r="AE75" s="2475"/>
      <c r="AG75">
        <v>0</v>
      </c>
      <c r="AH75" s="1363">
        <f t="shared" si="23"/>
        <v>0</v>
      </c>
      <c r="AJ75" s="2351" t="e">
        <f t="shared" si="28"/>
        <v>#N/A</v>
      </c>
      <c r="AK75" s="2351" t="e">
        <f t="shared" si="29"/>
        <v>#N/A</v>
      </c>
      <c r="AL75" s="123" t="e">
        <f t="shared" si="27"/>
        <v>#N/A</v>
      </c>
      <c r="AR75" s="123"/>
      <c r="AS75" s="123"/>
      <c r="AU75" s="2982"/>
      <c r="AV75" s="123"/>
      <c r="AW75" s="123"/>
      <c r="AX75" s="2983"/>
      <c r="AY75" s="2984"/>
      <c r="AZ75" s="2985"/>
      <c r="BA75" s="2986"/>
      <c r="BB75" s="2987"/>
      <c r="BC75" s="2988"/>
    </row>
    <row r="76" spans="1:55" x14ac:dyDescent="0.25">
      <c r="A76" s="3829"/>
      <c r="B76" s="1131"/>
      <c r="C76" s="1139"/>
      <c r="D76" s="3780"/>
      <c r="E76" s="250" t="s">
        <v>4008</v>
      </c>
      <c r="F76" s="3477"/>
      <c r="G76" s="3832"/>
      <c r="H76" s="3799"/>
      <c r="I76" s="3802"/>
      <c r="J76" s="3805"/>
      <c r="K76" s="3808"/>
      <c r="L76" s="3651"/>
      <c r="M76" s="3813"/>
      <c r="N76" s="3816"/>
      <c r="O76" s="3819"/>
      <c r="P76" s="3822"/>
      <c r="Q76" s="3825"/>
      <c r="R76" s="3786"/>
      <c r="S76" s="3478"/>
      <c r="T76" s="3477"/>
      <c r="U76" s="3478"/>
      <c r="V76" s="3477"/>
      <c r="W76" s="3478"/>
      <c r="X76" s="3857"/>
      <c r="Y76" s="3839"/>
      <c r="Z76" s="3637"/>
      <c r="AA76" s="3835"/>
      <c r="AB76" s="3905"/>
      <c r="AC76" s="3189">
        <f t="shared" si="30"/>
        <v>0</v>
      </c>
      <c r="AD76" s="3182" t="e">
        <f t="shared" si="31"/>
        <v>#N/A</v>
      </c>
      <c r="AE76" s="2475"/>
      <c r="AG76">
        <v>0</v>
      </c>
      <c r="AH76" s="1363">
        <f t="shared" si="23"/>
        <v>0</v>
      </c>
      <c r="AJ76" s="2351" t="e">
        <f t="shared" si="28"/>
        <v>#N/A</v>
      </c>
      <c r="AK76" s="2351" t="e">
        <f t="shared" si="29"/>
        <v>#N/A</v>
      </c>
      <c r="AL76" s="123" t="e">
        <f t="shared" si="27"/>
        <v>#N/A</v>
      </c>
      <c r="AR76" s="123"/>
      <c r="AS76" s="123"/>
      <c r="AU76" s="2982"/>
      <c r="AV76" s="123"/>
      <c r="AW76" s="123"/>
      <c r="AX76" s="2983"/>
      <c r="AY76" s="2984"/>
      <c r="AZ76" s="2985"/>
      <c r="BA76" s="2986"/>
      <c r="BB76" s="2987"/>
      <c r="BC76" s="2988"/>
    </row>
    <row r="77" spans="1:55" x14ac:dyDescent="0.25">
      <c r="A77" s="3829"/>
      <c r="B77" s="1131"/>
      <c r="C77" s="1139"/>
      <c r="D77" s="3780"/>
      <c r="E77" s="250" t="s">
        <v>4009</v>
      </c>
      <c r="F77" s="3477"/>
      <c r="G77" s="3832"/>
      <c r="H77" s="3799"/>
      <c r="I77" s="3802"/>
      <c r="J77" s="3805"/>
      <c r="K77" s="3808"/>
      <c r="L77" s="3651"/>
      <c r="M77" s="3813"/>
      <c r="N77" s="3816"/>
      <c r="O77" s="3819"/>
      <c r="P77" s="3822"/>
      <c r="Q77" s="3825"/>
      <c r="R77" s="3786"/>
      <c r="S77" s="3478"/>
      <c r="T77" s="3477"/>
      <c r="U77" s="3478"/>
      <c r="V77" s="3477"/>
      <c r="W77" s="3478"/>
      <c r="X77" s="3857"/>
      <c r="Y77" s="3839"/>
      <c r="Z77" s="3637"/>
      <c r="AA77" s="3835"/>
      <c r="AB77" s="3905"/>
      <c r="AC77" s="3189">
        <f t="shared" si="30"/>
        <v>0</v>
      </c>
      <c r="AD77" s="3182" t="e">
        <f t="shared" si="31"/>
        <v>#N/A</v>
      </c>
      <c r="AE77" s="2475"/>
      <c r="AG77">
        <v>0</v>
      </c>
      <c r="AH77" s="1363">
        <f t="shared" si="23"/>
        <v>0</v>
      </c>
      <c r="AJ77" s="2351" t="e">
        <f t="shared" si="28"/>
        <v>#N/A</v>
      </c>
      <c r="AK77" s="2351" t="e">
        <f t="shared" si="29"/>
        <v>#N/A</v>
      </c>
      <c r="AL77" s="123" t="e">
        <f t="shared" si="27"/>
        <v>#N/A</v>
      </c>
      <c r="AR77" s="123"/>
      <c r="AS77" s="123"/>
      <c r="AU77" s="2982"/>
      <c r="AV77" s="123"/>
      <c r="AW77" s="123"/>
      <c r="AX77" s="2983"/>
      <c r="AY77" s="2984"/>
      <c r="AZ77" s="2985"/>
      <c r="BA77" s="2986"/>
      <c r="BB77" s="2987"/>
      <c r="BC77" s="2988"/>
    </row>
    <row r="78" spans="1:55" x14ac:dyDescent="0.25">
      <c r="A78" s="3829"/>
      <c r="B78" s="1131"/>
      <c r="C78" s="1139"/>
      <c r="D78" s="3780"/>
      <c r="E78" s="250" t="s">
        <v>4010</v>
      </c>
      <c r="F78" s="3477"/>
      <c r="G78" s="3832"/>
      <c r="H78" s="3799"/>
      <c r="I78" s="3802"/>
      <c r="J78" s="3805"/>
      <c r="K78" s="3808"/>
      <c r="L78" s="3651"/>
      <c r="M78" s="3813"/>
      <c r="N78" s="3816"/>
      <c r="O78" s="3819"/>
      <c r="P78" s="3822"/>
      <c r="Q78" s="3825"/>
      <c r="R78" s="3786"/>
      <c r="S78" s="3478"/>
      <c r="T78" s="3477"/>
      <c r="U78" s="3478"/>
      <c r="V78" s="3477"/>
      <c r="W78" s="3478"/>
      <c r="X78" s="3857"/>
      <c r="Y78" s="3839"/>
      <c r="Z78" s="3637"/>
      <c r="AA78" s="3835"/>
      <c r="AB78" s="3905"/>
      <c r="AC78" s="3189">
        <f t="shared" si="30"/>
        <v>0</v>
      </c>
      <c r="AD78" s="3182" t="e">
        <f t="shared" si="31"/>
        <v>#N/A</v>
      </c>
      <c r="AE78" s="2475"/>
      <c r="AG78">
        <v>0</v>
      </c>
      <c r="AH78" s="1363">
        <f t="shared" si="23"/>
        <v>0</v>
      </c>
      <c r="AJ78" s="2351" t="e">
        <f t="shared" si="28"/>
        <v>#N/A</v>
      </c>
      <c r="AK78" s="2351" t="e">
        <f t="shared" si="29"/>
        <v>#N/A</v>
      </c>
      <c r="AL78" s="123" t="e">
        <f t="shared" si="27"/>
        <v>#N/A</v>
      </c>
      <c r="AR78" s="123"/>
      <c r="AS78" s="123"/>
      <c r="AU78" s="2982"/>
      <c r="AV78" s="123"/>
      <c r="AW78" s="123"/>
      <c r="AX78" s="2983"/>
      <c r="AY78" s="2984"/>
      <c r="AZ78" s="2985"/>
      <c r="BA78" s="2986"/>
      <c r="BB78" s="2987"/>
      <c r="BC78" s="2988"/>
    </row>
    <row r="79" spans="1:55" x14ac:dyDescent="0.25">
      <c r="A79" s="3829"/>
      <c r="B79" s="1131"/>
      <c r="C79" s="1139"/>
      <c r="D79" s="3780"/>
      <c r="E79" s="250" t="s">
        <v>4011</v>
      </c>
      <c r="F79" s="3477"/>
      <c r="G79" s="3832"/>
      <c r="H79" s="3799"/>
      <c r="I79" s="3802"/>
      <c r="J79" s="3805"/>
      <c r="K79" s="3808"/>
      <c r="L79" s="3651"/>
      <c r="M79" s="3813"/>
      <c r="N79" s="3816"/>
      <c r="O79" s="3819"/>
      <c r="P79" s="3822"/>
      <c r="Q79" s="3825"/>
      <c r="R79" s="3786"/>
      <c r="S79" s="3478"/>
      <c r="T79" s="3477"/>
      <c r="U79" s="3478"/>
      <c r="V79" s="3477"/>
      <c r="W79" s="3478"/>
      <c r="X79" s="3857"/>
      <c r="Y79" s="3839"/>
      <c r="Z79" s="3637"/>
      <c r="AA79" s="3835"/>
      <c r="AB79" s="3905"/>
      <c r="AC79" s="3189">
        <f t="shared" si="30"/>
        <v>0</v>
      </c>
      <c r="AD79" s="3182" t="e">
        <f t="shared" si="31"/>
        <v>#N/A</v>
      </c>
      <c r="AE79" s="2475"/>
      <c r="AG79">
        <v>0</v>
      </c>
      <c r="AH79" s="1363">
        <f t="shared" si="23"/>
        <v>0</v>
      </c>
      <c r="AJ79" s="2351" t="e">
        <f t="shared" si="28"/>
        <v>#N/A</v>
      </c>
      <c r="AK79" s="2351" t="e">
        <f t="shared" si="29"/>
        <v>#N/A</v>
      </c>
      <c r="AL79" s="123" t="e">
        <f t="shared" si="27"/>
        <v>#N/A</v>
      </c>
      <c r="AR79" s="123"/>
      <c r="AS79" s="123"/>
      <c r="AU79" s="2982"/>
      <c r="AV79" s="123"/>
      <c r="AW79" s="123"/>
      <c r="AX79" s="2983"/>
      <c r="AY79" s="2984"/>
      <c r="AZ79" s="2985"/>
      <c r="BA79" s="2986"/>
      <c r="BB79" s="2987"/>
      <c r="BC79" s="2988"/>
    </row>
    <row r="80" spans="1:55" x14ac:dyDescent="0.25">
      <c r="A80" s="3829"/>
      <c r="B80" s="1131"/>
      <c r="C80" s="1139"/>
      <c r="D80" s="3780"/>
      <c r="E80" s="250" t="s">
        <v>4012</v>
      </c>
      <c r="F80" s="3477"/>
      <c r="G80" s="3832"/>
      <c r="H80" s="3799"/>
      <c r="I80" s="3802"/>
      <c r="J80" s="3805"/>
      <c r="K80" s="3808"/>
      <c r="L80" s="3651"/>
      <c r="M80" s="3813"/>
      <c r="N80" s="3816"/>
      <c r="O80" s="3819"/>
      <c r="P80" s="3822"/>
      <c r="Q80" s="3825"/>
      <c r="R80" s="3786"/>
      <c r="S80" s="3478"/>
      <c r="T80" s="3477"/>
      <c r="U80" s="3478"/>
      <c r="V80" s="3477"/>
      <c r="W80" s="3478"/>
      <c r="X80" s="3857"/>
      <c r="Y80" s="3839"/>
      <c r="Z80" s="3637"/>
      <c r="AA80" s="3835"/>
      <c r="AB80" s="3905"/>
      <c r="AC80" s="3189">
        <f t="shared" si="30"/>
        <v>0</v>
      </c>
      <c r="AD80" s="3182" t="e">
        <f t="shared" si="31"/>
        <v>#N/A</v>
      </c>
      <c r="AE80" s="2475"/>
      <c r="AG80">
        <v>0</v>
      </c>
      <c r="AH80" s="1363">
        <f t="shared" si="23"/>
        <v>0</v>
      </c>
      <c r="AJ80" s="2351" t="e">
        <f t="shared" si="28"/>
        <v>#N/A</v>
      </c>
      <c r="AK80" s="2351" t="e">
        <f t="shared" si="29"/>
        <v>#N/A</v>
      </c>
      <c r="AL80" s="123" t="e">
        <f t="shared" si="27"/>
        <v>#N/A</v>
      </c>
      <c r="AR80" s="123"/>
      <c r="AS80" s="123"/>
      <c r="AU80" s="2982"/>
      <c r="AV80" s="123"/>
      <c r="AW80" s="123"/>
      <c r="AX80" s="2983"/>
      <c r="AY80" s="2984"/>
      <c r="AZ80" s="2985"/>
      <c r="BA80" s="2986"/>
      <c r="BB80" s="2987"/>
      <c r="BC80" s="2988"/>
    </row>
    <row r="81" spans="1:55" x14ac:dyDescent="0.25">
      <c r="A81" s="3829"/>
      <c r="B81" s="1131"/>
      <c r="C81" s="1139"/>
      <c r="D81" s="3780"/>
      <c r="E81" s="250" t="s">
        <v>4013</v>
      </c>
      <c r="F81" s="3477"/>
      <c r="G81" s="3832"/>
      <c r="H81" s="3799"/>
      <c r="I81" s="3802"/>
      <c r="J81" s="3805"/>
      <c r="K81" s="3808"/>
      <c r="L81" s="3651"/>
      <c r="M81" s="3813"/>
      <c r="N81" s="3816"/>
      <c r="O81" s="3819"/>
      <c r="P81" s="3822"/>
      <c r="Q81" s="3825"/>
      <c r="R81" s="3786"/>
      <c r="S81" s="3478"/>
      <c r="T81" s="3477"/>
      <c r="U81" s="3478"/>
      <c r="V81" s="3477"/>
      <c r="W81" s="3478"/>
      <c r="X81" s="3857"/>
      <c r="Y81" s="3839"/>
      <c r="Z81" s="3637"/>
      <c r="AA81" s="3835"/>
      <c r="AB81" s="3905"/>
      <c r="AC81" s="3189">
        <f t="shared" si="30"/>
        <v>0</v>
      </c>
      <c r="AD81" s="3182" t="e">
        <f t="shared" si="31"/>
        <v>#N/A</v>
      </c>
      <c r="AE81" s="2475"/>
      <c r="AG81">
        <v>0</v>
      </c>
      <c r="AH81" s="1363">
        <f t="shared" si="23"/>
        <v>0</v>
      </c>
      <c r="AJ81" s="2351" t="e">
        <f t="shared" si="28"/>
        <v>#N/A</v>
      </c>
      <c r="AK81" s="2351" t="e">
        <f t="shared" si="29"/>
        <v>#N/A</v>
      </c>
      <c r="AL81" s="123" t="e">
        <f t="shared" si="27"/>
        <v>#N/A</v>
      </c>
      <c r="AR81" s="123"/>
      <c r="AS81" s="123"/>
      <c r="AU81" s="2982"/>
      <c r="AV81" s="123"/>
      <c r="AW81" s="123"/>
      <c r="AX81" s="2983"/>
      <c r="AY81" s="2984"/>
      <c r="AZ81" s="2985"/>
      <c r="BA81" s="2986"/>
      <c r="BB81" s="2987"/>
      <c r="BC81" s="2988"/>
    </row>
    <row r="82" spans="1:55" ht="15" thickBot="1" x14ac:dyDescent="0.3">
      <c r="A82" s="3830"/>
      <c r="B82" s="1129"/>
      <c r="C82" s="1140"/>
      <c r="D82" s="3781"/>
      <c r="E82" s="2629" t="s">
        <v>4014</v>
      </c>
      <c r="F82" s="3474"/>
      <c r="G82" s="3833"/>
      <c r="H82" s="3800"/>
      <c r="I82" s="3803"/>
      <c r="J82" s="3806"/>
      <c r="K82" s="3809"/>
      <c r="L82" s="3811"/>
      <c r="M82" s="3814"/>
      <c r="N82" s="3817"/>
      <c r="O82" s="3820"/>
      <c r="P82" s="3823"/>
      <c r="Q82" s="3826"/>
      <c r="R82" s="3787"/>
      <c r="S82" s="3476"/>
      <c r="T82" s="3474"/>
      <c r="U82" s="3476"/>
      <c r="V82" s="3474"/>
      <c r="W82" s="3476"/>
      <c r="X82" s="3858"/>
      <c r="Y82" s="3840"/>
      <c r="Z82" s="3644"/>
      <c r="AA82" s="3836"/>
      <c r="AB82" s="3906"/>
      <c r="AC82" s="3189">
        <f t="shared" si="30"/>
        <v>0</v>
      </c>
      <c r="AD82" s="3182" t="e">
        <f t="shared" si="31"/>
        <v>#N/A</v>
      </c>
      <c r="AE82" s="2476"/>
      <c r="AG82">
        <v>0</v>
      </c>
      <c r="AH82" s="1363">
        <f t="shared" si="23"/>
        <v>0</v>
      </c>
      <c r="AJ82" s="2351" t="e">
        <f t="shared" si="28"/>
        <v>#N/A</v>
      </c>
      <c r="AK82" s="2351" t="e">
        <f t="shared" si="29"/>
        <v>#N/A</v>
      </c>
      <c r="AL82" s="123" t="e">
        <f t="shared" si="27"/>
        <v>#N/A</v>
      </c>
      <c r="AR82" s="123"/>
      <c r="AS82" s="123"/>
      <c r="AU82" s="2982"/>
      <c r="AV82" s="123"/>
      <c r="AW82" s="123"/>
      <c r="AX82" s="2983"/>
      <c r="AY82" s="2984"/>
      <c r="AZ82" s="2985"/>
      <c r="BA82" s="2986"/>
      <c r="BB82" s="2987"/>
      <c r="BC82" s="2988"/>
    </row>
    <row r="83" spans="1:55" ht="15" thickTop="1" x14ac:dyDescent="0.25">
      <c r="A83" s="3828" t="s">
        <v>3992</v>
      </c>
      <c r="B83" s="1130" t="s">
        <v>9196</v>
      </c>
      <c r="C83" s="1138"/>
      <c r="D83" s="3779">
        <f>2.2*6</f>
        <v>13.200000000000001</v>
      </c>
      <c r="E83" s="327" t="s">
        <v>9197</v>
      </c>
      <c r="F83" s="3491" t="s">
        <v>3993</v>
      </c>
      <c r="G83" s="3831" t="s">
        <v>3994</v>
      </c>
      <c r="H83" s="3798" t="str">
        <f>"4-DaHall 1-PDU-"&amp;L83&amp;"-"&amp;K83&amp;"-"&amp;M83</f>
        <v>4-DaHall 1-PDU-06-100-8</v>
      </c>
      <c r="I83" s="3801" t="str">
        <f>"4-DaHall 1-PDU-"&amp;P83&amp;"-"&amp;O83&amp;"-"&amp;Q83</f>
        <v>4-DaHall 1-PDU-05-100-8</v>
      </c>
      <c r="J83" s="3804">
        <v>220</v>
      </c>
      <c r="K83" s="3807">
        <v>100</v>
      </c>
      <c r="L83" s="3810" t="s">
        <v>6502</v>
      </c>
      <c r="M83" s="3812">
        <v>8</v>
      </c>
      <c r="N83" s="3815">
        <v>220</v>
      </c>
      <c r="O83" s="3818">
        <v>100</v>
      </c>
      <c r="P83" s="3821" t="s">
        <v>6491</v>
      </c>
      <c r="Q83" s="3824">
        <v>8</v>
      </c>
      <c r="R83" s="3785" t="s">
        <v>3886</v>
      </c>
      <c r="S83" s="3489" t="s">
        <v>3887</v>
      </c>
      <c r="T83" s="3491" t="s">
        <v>3888</v>
      </c>
      <c r="U83" s="3489" t="s">
        <v>3889</v>
      </c>
      <c r="V83" s="3491" t="s">
        <v>3744</v>
      </c>
      <c r="W83" s="3489" t="s">
        <v>3749</v>
      </c>
      <c r="X83" s="3856">
        <f>SUM('4층_부하량(월간_AVG)'!D26:F26)</f>
        <v>0</v>
      </c>
      <c r="Y83" s="3838">
        <f>SUM('4층_부하량(월간_AVG)'!N55:P55)</f>
        <v>0</v>
      </c>
      <c r="Z83" s="3837">
        <f t="shared" ref="Z83" si="32">SUM(X83:Y83)</f>
        <v>0</v>
      </c>
      <c r="AA83" s="3834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904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188">
        <f>VLOOKUP(H83&amp;I83,'7층~4층_매핑테이블'!$A$6:$H$2020,8,0)</f>
        <v>5.8550000000000004</v>
      </c>
      <c r="AD83" s="3181" t="e">
        <f>SUM(AA83:AB92)</f>
        <v>#N/A</v>
      </c>
      <c r="AE83" s="2474"/>
      <c r="AG83">
        <v>26</v>
      </c>
      <c r="AH83" s="1363">
        <f t="shared" si="23"/>
        <v>-26</v>
      </c>
      <c r="AJ83" s="2351" t="e">
        <f t="shared" si="28"/>
        <v>#N/A</v>
      </c>
      <c r="AK83" s="2351" t="e">
        <f t="shared" si="29"/>
        <v>#N/A</v>
      </c>
      <c r="AL83" s="123" t="e">
        <f t="shared" si="27"/>
        <v>#N/A</v>
      </c>
      <c r="AR83" s="123"/>
      <c r="AS83" s="123"/>
      <c r="AU83" s="2982"/>
      <c r="AV83" s="123"/>
      <c r="AW83" s="123"/>
      <c r="AX83" s="2983"/>
      <c r="AY83" s="2984"/>
      <c r="AZ83" s="2985"/>
      <c r="BA83" s="2986"/>
      <c r="BB83" s="2987"/>
      <c r="BC83" s="2988"/>
    </row>
    <row r="84" spans="1:55" ht="21.6" x14ac:dyDescent="0.25">
      <c r="A84" s="3829"/>
      <c r="B84" s="1131" t="s">
        <v>1632</v>
      </c>
      <c r="C84" s="1139" t="s">
        <v>9184</v>
      </c>
      <c r="D84" s="3780"/>
      <c r="E84" s="2621" t="s">
        <v>3995</v>
      </c>
      <c r="F84" s="3477"/>
      <c r="G84" s="3832"/>
      <c r="H84" s="3799"/>
      <c r="I84" s="3802"/>
      <c r="J84" s="3805"/>
      <c r="K84" s="3808"/>
      <c r="L84" s="3651"/>
      <c r="M84" s="3813"/>
      <c r="N84" s="3816"/>
      <c r="O84" s="3819"/>
      <c r="P84" s="3822"/>
      <c r="Q84" s="3825"/>
      <c r="R84" s="3786"/>
      <c r="S84" s="3478"/>
      <c r="T84" s="3477"/>
      <c r="U84" s="3478"/>
      <c r="V84" s="3477"/>
      <c r="W84" s="3478"/>
      <c r="X84" s="3857"/>
      <c r="Y84" s="3839"/>
      <c r="Z84" s="3637"/>
      <c r="AA84" s="3835"/>
      <c r="AB84" s="3905"/>
      <c r="AC84" s="3189">
        <f>$AC$83</f>
        <v>5.8550000000000004</v>
      </c>
      <c r="AD84" s="3182" t="e">
        <f>$AD$83</f>
        <v>#N/A</v>
      </c>
      <c r="AE84" s="2475"/>
      <c r="AG84">
        <v>0</v>
      </c>
      <c r="AH84" s="1363">
        <f t="shared" ref="AH84:AH115" si="33">Z84-AG84</f>
        <v>0</v>
      </c>
      <c r="AJ84" s="2351" t="e">
        <f t="shared" si="28"/>
        <v>#N/A</v>
      </c>
      <c r="AK84" s="2351" t="e">
        <f t="shared" si="29"/>
        <v>#N/A</v>
      </c>
      <c r="AL84" s="123" t="e">
        <f t="shared" si="27"/>
        <v>#N/A</v>
      </c>
      <c r="AR84" s="123"/>
      <c r="AS84" s="123"/>
      <c r="AU84" s="2982"/>
      <c r="AV84" s="123"/>
      <c r="AW84" s="123"/>
      <c r="AX84" s="2983"/>
      <c r="AY84" s="2984"/>
      <c r="AZ84" s="2985"/>
      <c r="BA84" s="2986"/>
      <c r="BB84" s="2987"/>
      <c r="BC84" s="2988"/>
    </row>
    <row r="85" spans="1:55" ht="21.6" x14ac:dyDescent="0.25">
      <c r="A85" s="3829"/>
      <c r="B85" s="1131" t="s">
        <v>1638</v>
      </c>
      <c r="C85" s="1139" t="s">
        <v>9184</v>
      </c>
      <c r="D85" s="3780"/>
      <c r="E85" s="2621" t="s">
        <v>9198</v>
      </c>
      <c r="F85" s="3477"/>
      <c r="G85" s="3832"/>
      <c r="H85" s="3799"/>
      <c r="I85" s="3802"/>
      <c r="J85" s="3805"/>
      <c r="K85" s="3808"/>
      <c r="L85" s="3651"/>
      <c r="M85" s="3813"/>
      <c r="N85" s="3816"/>
      <c r="O85" s="3819"/>
      <c r="P85" s="3822"/>
      <c r="Q85" s="3825"/>
      <c r="R85" s="3786"/>
      <c r="S85" s="3478"/>
      <c r="T85" s="3477"/>
      <c r="U85" s="3478"/>
      <c r="V85" s="3477"/>
      <c r="W85" s="3478"/>
      <c r="X85" s="3857"/>
      <c r="Y85" s="3839"/>
      <c r="Z85" s="3637"/>
      <c r="AA85" s="3835"/>
      <c r="AB85" s="3905"/>
      <c r="AC85" s="3189">
        <f t="shared" ref="AC85:AC92" si="34">$AC$83</f>
        <v>5.8550000000000004</v>
      </c>
      <c r="AD85" s="3182" t="e">
        <f t="shared" ref="AD85:AD92" si="35">$AD$83</f>
        <v>#N/A</v>
      </c>
      <c r="AE85" s="2475"/>
      <c r="AG85">
        <v>0</v>
      </c>
      <c r="AH85" s="1363">
        <f t="shared" si="33"/>
        <v>0</v>
      </c>
      <c r="AJ85" s="2351" t="e">
        <f t="shared" si="28"/>
        <v>#N/A</v>
      </c>
      <c r="AK85" s="2351" t="e">
        <f t="shared" si="29"/>
        <v>#N/A</v>
      </c>
      <c r="AL85" s="123" t="e">
        <f t="shared" si="27"/>
        <v>#N/A</v>
      </c>
      <c r="AR85" s="123"/>
      <c r="AS85" s="123"/>
      <c r="AU85" s="2982"/>
      <c r="AV85" s="123"/>
      <c r="AW85" s="123"/>
      <c r="AX85" s="2983"/>
      <c r="AY85" s="2984"/>
      <c r="AZ85" s="2985"/>
      <c r="BA85" s="2986"/>
      <c r="BB85" s="2987"/>
      <c r="BC85" s="2988"/>
    </row>
    <row r="86" spans="1:55" x14ac:dyDescent="0.25">
      <c r="A86" s="3829"/>
      <c r="B86" s="1131" t="s">
        <v>1644</v>
      </c>
      <c r="C86" s="1139"/>
      <c r="D86" s="3780"/>
      <c r="E86" s="250" t="s">
        <v>3996</v>
      </c>
      <c r="F86" s="3477"/>
      <c r="G86" s="3832"/>
      <c r="H86" s="3799"/>
      <c r="I86" s="3802"/>
      <c r="J86" s="3805"/>
      <c r="K86" s="3808"/>
      <c r="L86" s="3651"/>
      <c r="M86" s="3813"/>
      <c r="N86" s="3816"/>
      <c r="O86" s="3819"/>
      <c r="P86" s="3822"/>
      <c r="Q86" s="3825"/>
      <c r="R86" s="3786"/>
      <c r="S86" s="3478"/>
      <c r="T86" s="3477"/>
      <c r="U86" s="3478"/>
      <c r="V86" s="3477"/>
      <c r="W86" s="3478"/>
      <c r="X86" s="3857"/>
      <c r="Y86" s="3839"/>
      <c r="Z86" s="3637"/>
      <c r="AA86" s="3835"/>
      <c r="AB86" s="3905"/>
      <c r="AC86" s="3189">
        <f t="shared" si="34"/>
        <v>5.8550000000000004</v>
      </c>
      <c r="AD86" s="3182" t="e">
        <f t="shared" si="35"/>
        <v>#N/A</v>
      </c>
      <c r="AE86" s="2475"/>
      <c r="AG86">
        <v>0</v>
      </c>
      <c r="AH86" s="1363">
        <f t="shared" si="33"/>
        <v>0</v>
      </c>
      <c r="AJ86" s="2351" t="e">
        <f t="shared" si="28"/>
        <v>#N/A</v>
      </c>
      <c r="AK86" s="2351" t="e">
        <f t="shared" si="29"/>
        <v>#N/A</v>
      </c>
      <c r="AL86" s="123" t="e">
        <f t="shared" si="27"/>
        <v>#N/A</v>
      </c>
      <c r="AR86" s="123"/>
      <c r="AS86" s="123"/>
      <c r="AU86" s="2982"/>
      <c r="AV86" s="123"/>
      <c r="AW86" s="123"/>
      <c r="AX86" s="2983"/>
      <c r="AY86" s="2984"/>
      <c r="AZ86" s="2985"/>
      <c r="BA86" s="2986"/>
      <c r="BB86" s="2987"/>
      <c r="BC86" s="2988"/>
    </row>
    <row r="87" spans="1:55" x14ac:dyDescent="0.25">
      <c r="A87" s="3829"/>
      <c r="B87" s="1131" t="s">
        <v>1650</v>
      </c>
      <c r="C87" s="1139"/>
      <c r="D87" s="3780"/>
      <c r="E87" s="250" t="s">
        <v>3997</v>
      </c>
      <c r="F87" s="3477"/>
      <c r="G87" s="3832"/>
      <c r="H87" s="3799"/>
      <c r="I87" s="3802"/>
      <c r="J87" s="3805"/>
      <c r="K87" s="3808"/>
      <c r="L87" s="3651"/>
      <c r="M87" s="3813"/>
      <c r="N87" s="3816"/>
      <c r="O87" s="3819"/>
      <c r="P87" s="3822"/>
      <c r="Q87" s="3825"/>
      <c r="R87" s="3786"/>
      <c r="S87" s="3478"/>
      <c r="T87" s="3477"/>
      <c r="U87" s="3478"/>
      <c r="V87" s="3477"/>
      <c r="W87" s="3478"/>
      <c r="X87" s="3857"/>
      <c r="Y87" s="3839"/>
      <c r="Z87" s="3637"/>
      <c r="AA87" s="3835"/>
      <c r="AB87" s="3905"/>
      <c r="AC87" s="3189">
        <f t="shared" si="34"/>
        <v>5.8550000000000004</v>
      </c>
      <c r="AD87" s="3182" t="e">
        <f t="shared" si="35"/>
        <v>#N/A</v>
      </c>
      <c r="AE87" s="2475"/>
      <c r="AG87">
        <v>0</v>
      </c>
      <c r="AH87" s="1363">
        <f t="shared" si="33"/>
        <v>0</v>
      </c>
      <c r="AJ87" s="2351" t="e">
        <f t="shared" si="28"/>
        <v>#N/A</v>
      </c>
      <c r="AK87" s="2351" t="e">
        <f t="shared" si="29"/>
        <v>#N/A</v>
      </c>
      <c r="AL87" s="123" t="e">
        <f t="shared" si="27"/>
        <v>#N/A</v>
      </c>
      <c r="AR87" s="123"/>
      <c r="AS87" s="123"/>
      <c r="AU87" s="2982"/>
      <c r="AV87" s="123"/>
      <c r="AW87" s="123"/>
      <c r="AX87" s="2983"/>
      <c r="AY87" s="2984"/>
      <c r="AZ87" s="2985"/>
      <c r="BA87" s="2986"/>
      <c r="BB87" s="2987"/>
      <c r="BC87" s="2988"/>
    </row>
    <row r="88" spans="1:55" x14ac:dyDescent="0.25">
      <c r="A88" s="3829"/>
      <c r="B88" s="1131" t="s">
        <v>1656</v>
      </c>
      <c r="C88" s="1139"/>
      <c r="D88" s="3780"/>
      <c r="E88" s="250" t="s">
        <v>3998</v>
      </c>
      <c r="F88" s="3477"/>
      <c r="G88" s="3832"/>
      <c r="H88" s="3799"/>
      <c r="I88" s="3802"/>
      <c r="J88" s="3805"/>
      <c r="K88" s="3808"/>
      <c r="L88" s="3651"/>
      <c r="M88" s="3813"/>
      <c r="N88" s="3816"/>
      <c r="O88" s="3819"/>
      <c r="P88" s="3822"/>
      <c r="Q88" s="3825"/>
      <c r="R88" s="3786"/>
      <c r="S88" s="3478"/>
      <c r="T88" s="3477"/>
      <c r="U88" s="3478"/>
      <c r="V88" s="3477"/>
      <c r="W88" s="3478"/>
      <c r="X88" s="3857"/>
      <c r="Y88" s="3839"/>
      <c r="Z88" s="3637"/>
      <c r="AA88" s="3835"/>
      <c r="AB88" s="3905"/>
      <c r="AC88" s="3189">
        <f t="shared" si="34"/>
        <v>5.8550000000000004</v>
      </c>
      <c r="AD88" s="3182" t="e">
        <f t="shared" si="35"/>
        <v>#N/A</v>
      </c>
      <c r="AE88" s="2475"/>
      <c r="AG88">
        <v>0</v>
      </c>
      <c r="AH88" s="1363">
        <f t="shared" si="33"/>
        <v>0</v>
      </c>
      <c r="AJ88" s="2351" t="e">
        <f t="shared" si="28"/>
        <v>#N/A</v>
      </c>
      <c r="AK88" s="2351" t="e">
        <f t="shared" si="29"/>
        <v>#N/A</v>
      </c>
      <c r="AL88" s="123" t="e">
        <f t="shared" si="27"/>
        <v>#N/A</v>
      </c>
      <c r="AR88" s="123"/>
      <c r="AS88" s="123"/>
      <c r="AU88" s="2982"/>
      <c r="AV88" s="123"/>
      <c r="AW88" s="123"/>
      <c r="AX88" s="2983"/>
      <c r="AY88" s="2984"/>
      <c r="AZ88" s="2985"/>
      <c r="BA88" s="2986"/>
      <c r="BB88" s="2987"/>
      <c r="BC88" s="2988"/>
    </row>
    <row r="89" spans="1:55" ht="21.6" x14ac:dyDescent="0.25">
      <c r="A89" s="3829"/>
      <c r="B89" s="1131" t="s">
        <v>1662</v>
      </c>
      <c r="C89" s="1139" t="s">
        <v>9185</v>
      </c>
      <c r="D89" s="3780"/>
      <c r="E89" s="2621" t="s">
        <v>3999</v>
      </c>
      <c r="F89" s="3477"/>
      <c r="G89" s="3832"/>
      <c r="H89" s="3799"/>
      <c r="I89" s="3802"/>
      <c r="J89" s="3805"/>
      <c r="K89" s="3808"/>
      <c r="L89" s="3651"/>
      <c r="M89" s="3813"/>
      <c r="N89" s="3816"/>
      <c r="O89" s="3819"/>
      <c r="P89" s="3822"/>
      <c r="Q89" s="3825"/>
      <c r="R89" s="3786"/>
      <c r="S89" s="3478"/>
      <c r="T89" s="3477"/>
      <c r="U89" s="3478"/>
      <c r="V89" s="3477"/>
      <c r="W89" s="3478"/>
      <c r="X89" s="3857"/>
      <c r="Y89" s="3839"/>
      <c r="Z89" s="3637"/>
      <c r="AA89" s="3835"/>
      <c r="AB89" s="3905"/>
      <c r="AC89" s="3189">
        <f t="shared" si="34"/>
        <v>5.8550000000000004</v>
      </c>
      <c r="AD89" s="3182" t="e">
        <f t="shared" si="35"/>
        <v>#N/A</v>
      </c>
      <c r="AE89" s="2475"/>
      <c r="AG89">
        <v>0</v>
      </c>
      <c r="AH89" s="1363">
        <f t="shared" si="33"/>
        <v>0</v>
      </c>
      <c r="AJ89" s="2351" t="e">
        <f t="shared" si="28"/>
        <v>#N/A</v>
      </c>
      <c r="AK89" s="2351" t="e">
        <f t="shared" si="29"/>
        <v>#N/A</v>
      </c>
      <c r="AL89" s="123" t="e">
        <f t="shared" si="27"/>
        <v>#N/A</v>
      </c>
      <c r="AR89" s="123"/>
      <c r="AS89" s="123"/>
      <c r="AU89" s="2982"/>
      <c r="AV89" s="123"/>
      <c r="AW89" s="123"/>
      <c r="AX89" s="2983"/>
      <c r="AY89" s="2984"/>
      <c r="AZ89" s="2985"/>
      <c r="BA89" s="2986"/>
      <c r="BB89" s="2987"/>
      <c r="BC89" s="2988"/>
    </row>
    <row r="90" spans="1:55" ht="21.6" x14ac:dyDescent="0.25">
      <c r="A90" s="3829"/>
      <c r="B90" s="1131" t="s">
        <v>1668</v>
      </c>
      <c r="C90" s="1139" t="s">
        <v>9185</v>
      </c>
      <c r="D90" s="3780"/>
      <c r="E90" s="2621" t="s">
        <v>4000</v>
      </c>
      <c r="F90" s="3477"/>
      <c r="G90" s="3832"/>
      <c r="H90" s="3799"/>
      <c r="I90" s="3802"/>
      <c r="J90" s="3805"/>
      <c r="K90" s="3808"/>
      <c r="L90" s="3651"/>
      <c r="M90" s="3813"/>
      <c r="N90" s="3816"/>
      <c r="O90" s="3819"/>
      <c r="P90" s="3822"/>
      <c r="Q90" s="3825"/>
      <c r="R90" s="3786"/>
      <c r="S90" s="3478"/>
      <c r="T90" s="3477"/>
      <c r="U90" s="3478"/>
      <c r="V90" s="3477"/>
      <c r="W90" s="3478"/>
      <c r="X90" s="3857"/>
      <c r="Y90" s="3839"/>
      <c r="Z90" s="3637"/>
      <c r="AA90" s="3835"/>
      <c r="AB90" s="3905"/>
      <c r="AC90" s="3189">
        <f t="shared" si="34"/>
        <v>5.8550000000000004</v>
      </c>
      <c r="AD90" s="3182" t="e">
        <f t="shared" si="35"/>
        <v>#N/A</v>
      </c>
      <c r="AE90" s="2475"/>
      <c r="AG90">
        <v>0</v>
      </c>
      <c r="AH90" s="1363">
        <f t="shared" si="33"/>
        <v>0</v>
      </c>
      <c r="AJ90" s="2351" t="e">
        <f t="shared" si="28"/>
        <v>#N/A</v>
      </c>
      <c r="AK90" s="2351" t="e">
        <f t="shared" si="29"/>
        <v>#N/A</v>
      </c>
      <c r="AL90" s="123" t="e">
        <f t="shared" si="27"/>
        <v>#N/A</v>
      </c>
      <c r="AR90" s="123"/>
      <c r="AS90" s="123"/>
      <c r="AU90" s="2982"/>
      <c r="AV90" s="123"/>
      <c r="AW90" s="123"/>
      <c r="AX90" s="2983"/>
      <c r="AY90" s="2984"/>
      <c r="AZ90" s="2985"/>
      <c r="BA90" s="2986"/>
      <c r="BB90" s="2987"/>
      <c r="BC90" s="2988"/>
    </row>
    <row r="91" spans="1:55" ht="21.6" x14ac:dyDescent="0.25">
      <c r="A91" s="3829"/>
      <c r="B91" s="1131" t="s">
        <v>1674</v>
      </c>
      <c r="C91" s="1139" t="s">
        <v>9185</v>
      </c>
      <c r="D91" s="3780"/>
      <c r="E91" s="2621" t="s">
        <v>4001</v>
      </c>
      <c r="F91" s="3477"/>
      <c r="G91" s="3832"/>
      <c r="H91" s="3799"/>
      <c r="I91" s="3802"/>
      <c r="J91" s="3805"/>
      <c r="K91" s="3808"/>
      <c r="L91" s="3651"/>
      <c r="M91" s="3813"/>
      <c r="N91" s="3816"/>
      <c r="O91" s="3819"/>
      <c r="P91" s="3822"/>
      <c r="Q91" s="3825"/>
      <c r="R91" s="3786"/>
      <c r="S91" s="3478"/>
      <c r="T91" s="3477"/>
      <c r="U91" s="3478"/>
      <c r="V91" s="3477"/>
      <c r="W91" s="3478"/>
      <c r="X91" s="3857"/>
      <c r="Y91" s="3839"/>
      <c r="Z91" s="3637"/>
      <c r="AA91" s="3835"/>
      <c r="AB91" s="3905"/>
      <c r="AC91" s="3189">
        <f t="shared" si="34"/>
        <v>5.8550000000000004</v>
      </c>
      <c r="AD91" s="3182" t="e">
        <f t="shared" si="35"/>
        <v>#N/A</v>
      </c>
      <c r="AE91" s="2475"/>
      <c r="AG91">
        <v>0</v>
      </c>
      <c r="AH91" s="1363">
        <f t="shared" si="33"/>
        <v>0</v>
      </c>
      <c r="AJ91" s="2351" t="e">
        <f t="shared" si="28"/>
        <v>#N/A</v>
      </c>
      <c r="AK91" s="2351" t="e">
        <f t="shared" si="29"/>
        <v>#N/A</v>
      </c>
      <c r="AL91" s="123" t="e">
        <f t="shared" si="27"/>
        <v>#N/A</v>
      </c>
      <c r="AR91" s="123"/>
      <c r="AS91" s="123"/>
      <c r="AU91" s="2982"/>
      <c r="AV91" s="123"/>
      <c r="AW91" s="123"/>
      <c r="AX91" s="2983"/>
      <c r="AY91" s="2984"/>
      <c r="AZ91" s="2985"/>
      <c r="BA91" s="2986"/>
      <c r="BB91" s="2987"/>
      <c r="BC91" s="2988"/>
    </row>
    <row r="92" spans="1:55" ht="22.2" thickBot="1" x14ac:dyDescent="0.3">
      <c r="A92" s="3830"/>
      <c r="B92" s="1129" t="s">
        <v>1680</v>
      </c>
      <c r="C92" s="1140" t="s">
        <v>9186</v>
      </c>
      <c r="D92" s="3781"/>
      <c r="E92" s="2629" t="s">
        <v>4002</v>
      </c>
      <c r="F92" s="3474"/>
      <c r="G92" s="3833"/>
      <c r="H92" s="3800"/>
      <c r="I92" s="3803"/>
      <c r="J92" s="3806"/>
      <c r="K92" s="3809"/>
      <c r="L92" s="3811"/>
      <c r="M92" s="3814"/>
      <c r="N92" s="3817"/>
      <c r="O92" s="3820"/>
      <c r="P92" s="3823"/>
      <c r="Q92" s="3826"/>
      <c r="R92" s="3787"/>
      <c r="S92" s="3476"/>
      <c r="T92" s="3474"/>
      <c r="U92" s="3476"/>
      <c r="V92" s="3474"/>
      <c r="W92" s="3476"/>
      <c r="X92" s="3858"/>
      <c r="Y92" s="3840"/>
      <c r="Z92" s="3644"/>
      <c r="AA92" s="3836"/>
      <c r="AB92" s="3906"/>
      <c r="AC92" s="3189">
        <f t="shared" si="34"/>
        <v>5.8550000000000004</v>
      </c>
      <c r="AD92" s="3182" t="e">
        <f t="shared" si="35"/>
        <v>#N/A</v>
      </c>
      <c r="AE92" s="2476"/>
      <c r="AG92">
        <v>0</v>
      </c>
      <c r="AH92" s="1363">
        <f t="shared" si="33"/>
        <v>0</v>
      </c>
      <c r="AJ92" s="2351" t="e">
        <f t="shared" si="28"/>
        <v>#N/A</v>
      </c>
      <c r="AK92" s="2351" t="e">
        <f t="shared" si="29"/>
        <v>#N/A</v>
      </c>
      <c r="AL92" s="123" t="e">
        <f t="shared" si="27"/>
        <v>#N/A</v>
      </c>
      <c r="AR92" s="123"/>
      <c r="AS92" s="123"/>
      <c r="AU92" s="2982"/>
      <c r="AV92" s="123"/>
      <c r="AW92" s="123"/>
      <c r="AX92" s="2983"/>
      <c r="AY92" s="2984"/>
      <c r="AZ92" s="2985"/>
      <c r="BA92" s="2986"/>
      <c r="BB92" s="2987"/>
      <c r="BC92" s="2988"/>
    </row>
    <row r="93" spans="1:55" ht="15" thickTop="1" x14ac:dyDescent="0.25">
      <c r="A93" s="3828" t="s">
        <v>3980</v>
      </c>
      <c r="B93" s="1130" t="s">
        <v>9199</v>
      </c>
      <c r="C93" s="1138"/>
      <c r="D93" s="3779">
        <f>0.55+2.2*3</f>
        <v>7.15</v>
      </c>
      <c r="E93" s="327" t="s">
        <v>3981</v>
      </c>
      <c r="F93" s="3491" t="s">
        <v>3982</v>
      </c>
      <c r="G93" s="3831" t="s">
        <v>3983</v>
      </c>
      <c r="H93" s="3798" t="str">
        <f>"4-DaHall 1-PDU-"&amp;L93&amp;"-"&amp;K93&amp;"-"&amp;M93</f>
        <v>4-DaHall 1-PDU-06-100-7</v>
      </c>
      <c r="I93" s="3801" t="str">
        <f>"4-DaHall 1-PDU-"&amp;P93&amp;"-"&amp;O93&amp;"-"&amp;Q93</f>
        <v>4-DaHall 1-PDU-05-100-7</v>
      </c>
      <c r="J93" s="3804">
        <v>220</v>
      </c>
      <c r="K93" s="3807">
        <v>100</v>
      </c>
      <c r="L93" s="3810" t="s">
        <v>6502</v>
      </c>
      <c r="M93" s="3812">
        <v>7</v>
      </c>
      <c r="N93" s="3815">
        <v>220</v>
      </c>
      <c r="O93" s="3818">
        <v>100</v>
      </c>
      <c r="P93" s="3821" t="s">
        <v>6491</v>
      </c>
      <c r="Q93" s="3824">
        <v>7</v>
      </c>
      <c r="R93" s="3785" t="s">
        <v>3886</v>
      </c>
      <c r="S93" s="3489" t="s">
        <v>3887</v>
      </c>
      <c r="T93" s="3491" t="s">
        <v>3888</v>
      </c>
      <c r="U93" s="3489" t="s">
        <v>3889</v>
      </c>
      <c r="V93" s="3491" t="s">
        <v>3744</v>
      </c>
      <c r="W93" s="3489" t="s">
        <v>3749</v>
      </c>
      <c r="X93" s="3856">
        <f>SUM('4층_부하량(월간_AVG)'!D25:F25)</f>
        <v>0</v>
      </c>
      <c r="Y93" s="3838">
        <f>SUM('4층_부하량(월간_AVG)'!N54:P54)</f>
        <v>0</v>
      </c>
      <c r="Z93" s="3837">
        <f t="shared" ref="Z93" si="36">SUM(X93:Y93)</f>
        <v>0</v>
      </c>
      <c r="AA93" s="3834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904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188">
        <f>VLOOKUP(H93&amp;I93,'7층~4층_매핑테이블'!$A$6:$H$2020,8,0)</f>
        <v>3.4470000000000001</v>
      </c>
      <c r="AD93" s="3181" t="e">
        <f>SUM(AA93:AB102)</f>
        <v>#N/A</v>
      </c>
      <c r="AE93" s="2474"/>
      <c r="AG93">
        <v>15.7</v>
      </c>
      <c r="AH93" s="1363">
        <f t="shared" si="33"/>
        <v>-15.7</v>
      </c>
      <c r="AJ93" s="2351" t="e">
        <f t="shared" si="28"/>
        <v>#N/A</v>
      </c>
      <c r="AK93" s="2351" t="e">
        <f t="shared" si="29"/>
        <v>#N/A</v>
      </c>
      <c r="AL93" s="123" t="e">
        <f t="shared" si="27"/>
        <v>#N/A</v>
      </c>
      <c r="AR93" s="123"/>
      <c r="AS93" s="123"/>
      <c r="AU93" s="2982"/>
      <c r="AV93" s="123"/>
      <c r="AW93" s="123"/>
      <c r="AX93" s="2983"/>
      <c r="AY93" s="2984"/>
      <c r="AZ93" s="2985"/>
      <c r="BA93" s="2986"/>
      <c r="BB93" s="2987"/>
      <c r="BC93" s="2988"/>
    </row>
    <row r="94" spans="1:55" ht="21.6" x14ac:dyDescent="0.25">
      <c r="A94" s="3829"/>
      <c r="B94" s="1131" t="s">
        <v>1575</v>
      </c>
      <c r="C94" s="3023" t="s">
        <v>9300</v>
      </c>
      <c r="D94" s="3780"/>
      <c r="E94" s="250" t="s">
        <v>9200</v>
      </c>
      <c r="F94" s="3477"/>
      <c r="G94" s="3832"/>
      <c r="H94" s="3799"/>
      <c r="I94" s="3802"/>
      <c r="J94" s="3805"/>
      <c r="K94" s="3808"/>
      <c r="L94" s="3651"/>
      <c r="M94" s="3813"/>
      <c r="N94" s="3816"/>
      <c r="O94" s="3819"/>
      <c r="P94" s="3822"/>
      <c r="Q94" s="3825"/>
      <c r="R94" s="3786"/>
      <c r="S94" s="3478"/>
      <c r="T94" s="3477"/>
      <c r="U94" s="3478"/>
      <c r="V94" s="3477"/>
      <c r="W94" s="3478"/>
      <c r="X94" s="3857"/>
      <c r="Y94" s="3839"/>
      <c r="Z94" s="3637"/>
      <c r="AA94" s="3835"/>
      <c r="AB94" s="3905"/>
      <c r="AC94" s="3189">
        <f>$AC$93</f>
        <v>3.4470000000000001</v>
      </c>
      <c r="AD94" s="3182" t="e">
        <f>$AD$93</f>
        <v>#N/A</v>
      </c>
      <c r="AE94" s="2475"/>
      <c r="AG94">
        <v>0</v>
      </c>
      <c r="AH94" s="1363">
        <f t="shared" si="33"/>
        <v>0</v>
      </c>
      <c r="AJ94" s="2351" t="e">
        <f t="shared" si="28"/>
        <v>#N/A</v>
      </c>
      <c r="AK94" s="2351" t="e">
        <f t="shared" si="29"/>
        <v>#N/A</v>
      </c>
      <c r="AL94" s="123" t="e">
        <f t="shared" si="27"/>
        <v>#N/A</v>
      </c>
      <c r="AR94" s="123"/>
      <c r="AS94" s="123"/>
      <c r="AU94" s="2982"/>
      <c r="AV94" s="123"/>
      <c r="AW94" s="123"/>
      <c r="AX94" s="2983"/>
      <c r="AY94" s="2984"/>
      <c r="AZ94" s="2985"/>
      <c r="BA94" s="2986"/>
      <c r="BB94" s="2987"/>
      <c r="BC94" s="2988"/>
    </row>
    <row r="95" spans="1:55" x14ac:dyDescent="0.25">
      <c r="A95" s="3829"/>
      <c r="B95" s="1131" t="s">
        <v>1586</v>
      </c>
      <c r="C95" s="1139"/>
      <c r="D95" s="3780"/>
      <c r="E95" s="250" t="s">
        <v>3984</v>
      </c>
      <c r="F95" s="3477"/>
      <c r="G95" s="3832"/>
      <c r="H95" s="3799"/>
      <c r="I95" s="3802"/>
      <c r="J95" s="3805"/>
      <c r="K95" s="3808"/>
      <c r="L95" s="3651"/>
      <c r="M95" s="3813"/>
      <c r="N95" s="3816"/>
      <c r="O95" s="3819"/>
      <c r="P95" s="3822"/>
      <c r="Q95" s="3825"/>
      <c r="R95" s="3786"/>
      <c r="S95" s="3478"/>
      <c r="T95" s="3477"/>
      <c r="U95" s="3478"/>
      <c r="V95" s="3477"/>
      <c r="W95" s="3478"/>
      <c r="X95" s="3857"/>
      <c r="Y95" s="3839"/>
      <c r="Z95" s="3637"/>
      <c r="AA95" s="3835"/>
      <c r="AB95" s="3905"/>
      <c r="AC95" s="3189">
        <f t="shared" ref="AC95:AC102" si="37">$AC$93</f>
        <v>3.4470000000000001</v>
      </c>
      <c r="AD95" s="3182" t="e">
        <f t="shared" ref="AD95:AD102" si="38">$AD$93</f>
        <v>#N/A</v>
      </c>
      <c r="AE95" s="2475"/>
      <c r="AG95">
        <v>0</v>
      </c>
      <c r="AH95" s="1363">
        <f t="shared" si="33"/>
        <v>0</v>
      </c>
      <c r="AJ95" s="2351" t="e">
        <f t="shared" si="28"/>
        <v>#N/A</v>
      </c>
      <c r="AK95" s="2351" t="e">
        <f t="shared" si="29"/>
        <v>#N/A</v>
      </c>
      <c r="AL95" s="123" t="e">
        <f t="shared" si="27"/>
        <v>#N/A</v>
      </c>
      <c r="AR95" s="123"/>
      <c r="AS95" s="123"/>
      <c r="AU95" s="2982"/>
      <c r="AV95" s="123"/>
      <c r="AW95" s="123"/>
      <c r="AX95" s="2983"/>
      <c r="AY95" s="2984"/>
      <c r="AZ95" s="2985"/>
      <c r="BA95" s="2986"/>
      <c r="BB95" s="2987"/>
      <c r="BC95" s="2988"/>
    </row>
    <row r="96" spans="1:55" ht="21.6" x14ac:dyDescent="0.25">
      <c r="A96" s="3829"/>
      <c r="B96" s="1131" t="s">
        <v>1592</v>
      </c>
      <c r="C96" s="1139" t="s">
        <v>9174</v>
      </c>
      <c r="D96" s="3780"/>
      <c r="E96" s="2621" t="s">
        <v>3985</v>
      </c>
      <c r="F96" s="3477"/>
      <c r="G96" s="3832"/>
      <c r="H96" s="3799"/>
      <c r="I96" s="3802"/>
      <c r="J96" s="3805"/>
      <c r="K96" s="3808"/>
      <c r="L96" s="3651"/>
      <c r="M96" s="3813"/>
      <c r="N96" s="3816"/>
      <c r="O96" s="3819"/>
      <c r="P96" s="3822"/>
      <c r="Q96" s="3825"/>
      <c r="R96" s="3786"/>
      <c r="S96" s="3478"/>
      <c r="T96" s="3477"/>
      <c r="U96" s="3478"/>
      <c r="V96" s="3477"/>
      <c r="W96" s="3478"/>
      <c r="X96" s="3857"/>
      <c r="Y96" s="3839"/>
      <c r="Z96" s="3637"/>
      <c r="AA96" s="3835"/>
      <c r="AB96" s="3905"/>
      <c r="AC96" s="3189">
        <f t="shared" si="37"/>
        <v>3.4470000000000001</v>
      </c>
      <c r="AD96" s="3182" t="e">
        <f t="shared" si="38"/>
        <v>#N/A</v>
      </c>
      <c r="AE96" s="2475"/>
      <c r="AG96">
        <v>0</v>
      </c>
      <c r="AH96" s="1363">
        <f t="shared" si="33"/>
        <v>0</v>
      </c>
      <c r="AJ96" s="2351" t="e">
        <f t="shared" si="28"/>
        <v>#N/A</v>
      </c>
      <c r="AK96" s="2351" t="e">
        <f t="shared" si="29"/>
        <v>#N/A</v>
      </c>
      <c r="AL96" s="123" t="e">
        <f t="shared" si="27"/>
        <v>#N/A</v>
      </c>
      <c r="AR96" s="123"/>
      <c r="AS96" s="123"/>
      <c r="AU96" s="2982"/>
      <c r="AV96" s="123"/>
      <c r="AW96" s="123"/>
      <c r="AX96" s="2983"/>
      <c r="AY96" s="2984"/>
      <c r="AZ96" s="2985"/>
      <c r="BA96" s="2986"/>
      <c r="BB96" s="2987"/>
      <c r="BC96" s="2988"/>
    </row>
    <row r="97" spans="1:55" ht="21.6" x14ac:dyDescent="0.25">
      <c r="A97" s="3829"/>
      <c r="B97" s="1131" t="s">
        <v>1598</v>
      </c>
      <c r="C97" s="1139" t="s">
        <v>9174</v>
      </c>
      <c r="D97" s="3780"/>
      <c r="E97" s="2621" t="s">
        <v>3986</v>
      </c>
      <c r="F97" s="3477"/>
      <c r="G97" s="3832"/>
      <c r="H97" s="3799"/>
      <c r="I97" s="3802"/>
      <c r="J97" s="3805"/>
      <c r="K97" s="3808"/>
      <c r="L97" s="3651"/>
      <c r="M97" s="3813"/>
      <c r="N97" s="3816"/>
      <c r="O97" s="3819"/>
      <c r="P97" s="3822"/>
      <c r="Q97" s="3825"/>
      <c r="R97" s="3786"/>
      <c r="S97" s="3478"/>
      <c r="T97" s="3477"/>
      <c r="U97" s="3478"/>
      <c r="V97" s="3477"/>
      <c r="W97" s="3478"/>
      <c r="X97" s="3857"/>
      <c r="Y97" s="3839"/>
      <c r="Z97" s="3637"/>
      <c r="AA97" s="3835"/>
      <c r="AB97" s="3905"/>
      <c r="AC97" s="3189">
        <f t="shared" si="37"/>
        <v>3.4470000000000001</v>
      </c>
      <c r="AD97" s="3182" t="e">
        <f t="shared" si="38"/>
        <v>#N/A</v>
      </c>
      <c r="AE97" s="2475"/>
      <c r="AG97">
        <v>0</v>
      </c>
      <c r="AH97" s="1363">
        <f t="shared" si="33"/>
        <v>0</v>
      </c>
      <c r="AJ97" s="2351" t="e">
        <f t="shared" si="28"/>
        <v>#N/A</v>
      </c>
      <c r="AK97" s="2351" t="e">
        <f t="shared" si="29"/>
        <v>#N/A</v>
      </c>
      <c r="AL97" s="123" t="e">
        <f t="shared" si="27"/>
        <v>#N/A</v>
      </c>
      <c r="AR97" s="123"/>
      <c r="AS97" s="123"/>
      <c r="AU97" s="2982"/>
      <c r="AV97" s="123"/>
      <c r="AW97" s="123"/>
      <c r="AX97" s="2983"/>
      <c r="AY97" s="2984"/>
      <c r="AZ97" s="2985"/>
      <c r="BA97" s="2986"/>
      <c r="BB97" s="2987"/>
      <c r="BC97" s="2988"/>
    </row>
    <row r="98" spans="1:55" ht="21.6" x14ac:dyDescent="0.25">
      <c r="A98" s="3829"/>
      <c r="B98" s="1131" t="s">
        <v>1604</v>
      </c>
      <c r="C98" s="1139" t="s">
        <v>9186</v>
      </c>
      <c r="D98" s="3780"/>
      <c r="E98" s="2621" t="s">
        <v>3987</v>
      </c>
      <c r="F98" s="3477"/>
      <c r="G98" s="3832"/>
      <c r="H98" s="3799"/>
      <c r="I98" s="3802"/>
      <c r="J98" s="3805"/>
      <c r="K98" s="3808"/>
      <c r="L98" s="3651"/>
      <c r="M98" s="3813"/>
      <c r="N98" s="3816"/>
      <c r="O98" s="3819"/>
      <c r="P98" s="3822"/>
      <c r="Q98" s="3825"/>
      <c r="R98" s="3786"/>
      <c r="S98" s="3478"/>
      <c r="T98" s="3477"/>
      <c r="U98" s="3478"/>
      <c r="V98" s="3477"/>
      <c r="W98" s="3478"/>
      <c r="X98" s="3857"/>
      <c r="Y98" s="3839"/>
      <c r="Z98" s="3637"/>
      <c r="AA98" s="3835"/>
      <c r="AB98" s="3905"/>
      <c r="AC98" s="3189">
        <f t="shared" si="37"/>
        <v>3.4470000000000001</v>
      </c>
      <c r="AD98" s="3182" t="e">
        <f t="shared" si="38"/>
        <v>#N/A</v>
      </c>
      <c r="AE98" s="2475"/>
      <c r="AG98">
        <v>0</v>
      </c>
      <c r="AH98" s="1363">
        <f t="shared" si="33"/>
        <v>0</v>
      </c>
      <c r="AJ98" s="2351" t="e">
        <f t="shared" si="28"/>
        <v>#N/A</v>
      </c>
      <c r="AK98" s="2351" t="e">
        <f t="shared" si="29"/>
        <v>#N/A</v>
      </c>
      <c r="AL98" s="123" t="e">
        <f t="shared" si="27"/>
        <v>#N/A</v>
      </c>
      <c r="AR98" s="123"/>
      <c r="AS98" s="123"/>
      <c r="AU98" s="2982"/>
      <c r="AV98" s="123"/>
      <c r="AW98" s="123"/>
      <c r="AX98" s="2983"/>
      <c r="AY98" s="2984"/>
      <c r="AZ98" s="2985"/>
      <c r="BA98" s="2986"/>
      <c r="BB98" s="2987"/>
      <c r="BC98" s="2988"/>
    </row>
    <row r="99" spans="1:55" x14ac:dyDescent="0.25">
      <c r="A99" s="3829"/>
      <c r="B99" s="1131" t="s">
        <v>1610</v>
      </c>
      <c r="C99" s="1139"/>
      <c r="D99" s="3780"/>
      <c r="E99" s="2621" t="s">
        <v>3988</v>
      </c>
      <c r="F99" s="3477"/>
      <c r="G99" s="3832"/>
      <c r="H99" s="3799"/>
      <c r="I99" s="3802"/>
      <c r="J99" s="3805"/>
      <c r="K99" s="3808"/>
      <c r="L99" s="3651"/>
      <c r="M99" s="3813"/>
      <c r="N99" s="3816"/>
      <c r="O99" s="3819"/>
      <c r="P99" s="3822"/>
      <c r="Q99" s="3825"/>
      <c r="R99" s="3786"/>
      <c r="S99" s="3478"/>
      <c r="T99" s="3477"/>
      <c r="U99" s="3478"/>
      <c r="V99" s="3477"/>
      <c r="W99" s="3478"/>
      <c r="X99" s="3857"/>
      <c r="Y99" s="3839"/>
      <c r="Z99" s="3637"/>
      <c r="AA99" s="3835"/>
      <c r="AB99" s="3905"/>
      <c r="AC99" s="3189">
        <f t="shared" si="37"/>
        <v>3.4470000000000001</v>
      </c>
      <c r="AD99" s="3182" t="e">
        <f t="shared" si="38"/>
        <v>#N/A</v>
      </c>
      <c r="AE99" s="2475"/>
      <c r="AG99">
        <v>0</v>
      </c>
      <c r="AH99" s="1363">
        <f t="shared" si="33"/>
        <v>0</v>
      </c>
      <c r="AJ99" s="2351" t="e">
        <f t="shared" si="28"/>
        <v>#N/A</v>
      </c>
      <c r="AK99" s="2351" t="e">
        <f t="shared" si="29"/>
        <v>#N/A</v>
      </c>
      <c r="AL99" s="123" t="e">
        <f t="shared" si="27"/>
        <v>#N/A</v>
      </c>
      <c r="AR99" s="123"/>
      <c r="AS99" s="123"/>
      <c r="AU99" s="2982"/>
      <c r="AV99" s="123"/>
      <c r="AW99" s="123"/>
      <c r="AX99" s="2983"/>
      <c r="AY99" s="2984"/>
      <c r="AZ99" s="2985"/>
      <c r="BA99" s="2986"/>
      <c r="BB99" s="2987"/>
      <c r="BC99" s="2988"/>
    </row>
    <row r="100" spans="1:55" ht="21.6" x14ac:dyDescent="0.25">
      <c r="A100" s="3829"/>
      <c r="B100" s="1131" t="s">
        <v>334</v>
      </c>
      <c r="C100" s="1139" t="s">
        <v>9186</v>
      </c>
      <c r="D100" s="3780"/>
      <c r="E100" s="2621" t="s">
        <v>3989</v>
      </c>
      <c r="F100" s="3477"/>
      <c r="G100" s="3832"/>
      <c r="H100" s="3799"/>
      <c r="I100" s="3802"/>
      <c r="J100" s="3805"/>
      <c r="K100" s="3808"/>
      <c r="L100" s="3651"/>
      <c r="M100" s="3813"/>
      <c r="N100" s="3816"/>
      <c r="O100" s="3819"/>
      <c r="P100" s="3822"/>
      <c r="Q100" s="3825"/>
      <c r="R100" s="3786"/>
      <c r="S100" s="3478"/>
      <c r="T100" s="3477"/>
      <c r="U100" s="3478"/>
      <c r="V100" s="3477"/>
      <c r="W100" s="3478"/>
      <c r="X100" s="3857"/>
      <c r="Y100" s="3839"/>
      <c r="Z100" s="3637"/>
      <c r="AA100" s="3835"/>
      <c r="AB100" s="3905"/>
      <c r="AC100" s="3189">
        <f t="shared" si="37"/>
        <v>3.4470000000000001</v>
      </c>
      <c r="AD100" s="3182" t="e">
        <f t="shared" si="38"/>
        <v>#N/A</v>
      </c>
      <c r="AE100" s="2475"/>
      <c r="AG100">
        <v>0</v>
      </c>
      <c r="AH100" s="1363">
        <f t="shared" si="33"/>
        <v>0</v>
      </c>
      <c r="AJ100" s="2351" t="e">
        <f t="shared" si="28"/>
        <v>#N/A</v>
      </c>
      <c r="AK100" s="2351" t="e">
        <f t="shared" si="29"/>
        <v>#N/A</v>
      </c>
      <c r="AL100" s="123" t="e">
        <f t="shared" si="27"/>
        <v>#N/A</v>
      </c>
      <c r="AR100" s="123"/>
      <c r="AS100" s="123"/>
      <c r="AU100" s="2982"/>
      <c r="AV100" s="123"/>
      <c r="AW100" s="123"/>
      <c r="AX100" s="2983"/>
      <c r="AY100" s="2984"/>
      <c r="AZ100" s="2985"/>
      <c r="BA100" s="2986"/>
      <c r="BB100" s="2987"/>
      <c r="BC100" s="2988"/>
    </row>
    <row r="101" spans="1:55" x14ac:dyDescent="0.25">
      <c r="A101" s="3829"/>
      <c r="B101" s="1131" t="s">
        <v>332</v>
      </c>
      <c r="C101" s="1139"/>
      <c r="D101" s="3780"/>
      <c r="E101" s="250" t="s">
        <v>3990</v>
      </c>
      <c r="F101" s="3477"/>
      <c r="G101" s="3832"/>
      <c r="H101" s="3799"/>
      <c r="I101" s="3802"/>
      <c r="J101" s="3805"/>
      <c r="K101" s="3808"/>
      <c r="L101" s="3651"/>
      <c r="M101" s="3813"/>
      <c r="N101" s="3816"/>
      <c r="O101" s="3819"/>
      <c r="P101" s="3822"/>
      <c r="Q101" s="3825"/>
      <c r="R101" s="3786"/>
      <c r="S101" s="3478"/>
      <c r="T101" s="3477"/>
      <c r="U101" s="3478"/>
      <c r="V101" s="3477"/>
      <c r="W101" s="3478"/>
      <c r="X101" s="3857"/>
      <c r="Y101" s="3839"/>
      <c r="Z101" s="3637"/>
      <c r="AA101" s="3835"/>
      <c r="AB101" s="3905"/>
      <c r="AC101" s="3189">
        <f t="shared" si="37"/>
        <v>3.4470000000000001</v>
      </c>
      <c r="AD101" s="3182" t="e">
        <f t="shared" si="38"/>
        <v>#N/A</v>
      </c>
      <c r="AE101" s="2475"/>
      <c r="AG101">
        <v>0</v>
      </c>
      <c r="AH101" s="1363">
        <f t="shared" si="33"/>
        <v>0</v>
      </c>
      <c r="AJ101" s="2351" t="e">
        <f t="shared" si="28"/>
        <v>#N/A</v>
      </c>
      <c r="AK101" s="2351" t="e">
        <f t="shared" si="29"/>
        <v>#N/A</v>
      </c>
      <c r="AL101" s="123" t="e">
        <f t="shared" si="27"/>
        <v>#N/A</v>
      </c>
      <c r="AR101" s="123"/>
      <c r="AS101" s="123"/>
      <c r="AU101" s="2982"/>
      <c r="AV101" s="123"/>
      <c r="AW101" s="123"/>
      <c r="AX101" s="2983"/>
      <c r="AY101" s="2984"/>
      <c r="AZ101" s="2985"/>
      <c r="BA101" s="2986"/>
      <c r="BB101" s="2987"/>
      <c r="BC101" s="2988"/>
    </row>
    <row r="102" spans="1:55" ht="15" thickBot="1" x14ac:dyDescent="0.3">
      <c r="A102" s="3830"/>
      <c r="B102" s="1129" t="s">
        <v>328</v>
      </c>
      <c r="C102" s="1140"/>
      <c r="D102" s="3781"/>
      <c r="E102" s="2629" t="s">
        <v>3991</v>
      </c>
      <c r="F102" s="3474"/>
      <c r="G102" s="3833"/>
      <c r="H102" s="3800"/>
      <c r="I102" s="3803"/>
      <c r="J102" s="3806"/>
      <c r="K102" s="3809"/>
      <c r="L102" s="3811"/>
      <c r="M102" s="3814"/>
      <c r="N102" s="3817"/>
      <c r="O102" s="3820"/>
      <c r="P102" s="3823"/>
      <c r="Q102" s="3826"/>
      <c r="R102" s="3787"/>
      <c r="S102" s="3476"/>
      <c r="T102" s="3474"/>
      <c r="U102" s="3476"/>
      <c r="V102" s="3474"/>
      <c r="W102" s="3476"/>
      <c r="X102" s="3858"/>
      <c r="Y102" s="3840"/>
      <c r="Z102" s="3644"/>
      <c r="AA102" s="3836"/>
      <c r="AB102" s="3906"/>
      <c r="AC102" s="3189">
        <f t="shared" si="37"/>
        <v>3.4470000000000001</v>
      </c>
      <c r="AD102" s="3182" t="e">
        <f t="shared" si="38"/>
        <v>#N/A</v>
      </c>
      <c r="AE102" s="2476"/>
      <c r="AG102">
        <v>0</v>
      </c>
      <c r="AH102" s="1363">
        <f t="shared" si="33"/>
        <v>0</v>
      </c>
      <c r="AJ102" s="2351" t="e">
        <f t="shared" si="28"/>
        <v>#N/A</v>
      </c>
      <c r="AK102" s="2351" t="e">
        <f t="shared" si="29"/>
        <v>#N/A</v>
      </c>
      <c r="AL102" s="123" t="e">
        <f t="shared" si="27"/>
        <v>#N/A</v>
      </c>
      <c r="AR102" s="123"/>
      <c r="AS102" s="123"/>
      <c r="AU102" s="2982"/>
      <c r="AV102" s="123"/>
      <c r="AW102" s="123"/>
      <c r="AX102" s="2983"/>
      <c r="AY102" s="2984"/>
      <c r="AZ102" s="2985"/>
      <c r="BA102" s="2986"/>
      <c r="BB102" s="2987"/>
      <c r="BC102" s="2988"/>
    </row>
    <row r="103" spans="1:55" ht="15" thickTop="1" x14ac:dyDescent="0.25">
      <c r="A103" s="3828" t="s">
        <v>3956</v>
      </c>
      <c r="B103" s="1130"/>
      <c r="C103" s="1138"/>
      <c r="D103" s="3779">
        <f>0.55+2.2*4+1.1*2</f>
        <v>11.55</v>
      </c>
      <c r="E103" s="2652"/>
      <c r="F103" s="3491" t="s">
        <v>3957</v>
      </c>
      <c r="G103" s="3831" t="s">
        <v>3958</v>
      </c>
      <c r="H103" s="3798" t="str">
        <f>"4-DaHall 1-PDU-"&amp;L103&amp;"-"&amp;K103&amp;"-"&amp;M103</f>
        <v>4-DaHall 1-PDU-06-100-6</v>
      </c>
      <c r="I103" s="3801" t="str">
        <f>"4-DaHall 1-PDU-"&amp;P103&amp;"-"&amp;O103&amp;"-"&amp;Q103</f>
        <v>4-DaHall 1-PDU-05-100-6</v>
      </c>
      <c r="J103" s="3804">
        <v>220</v>
      </c>
      <c r="K103" s="3807">
        <v>100</v>
      </c>
      <c r="L103" s="3810" t="s">
        <v>6502</v>
      </c>
      <c r="M103" s="3812">
        <v>6</v>
      </c>
      <c r="N103" s="3815">
        <v>220</v>
      </c>
      <c r="O103" s="3818">
        <v>100</v>
      </c>
      <c r="P103" s="3821" t="s">
        <v>6491</v>
      </c>
      <c r="Q103" s="3824">
        <v>6</v>
      </c>
      <c r="R103" s="3785" t="s">
        <v>3886</v>
      </c>
      <c r="S103" s="3489" t="s">
        <v>3887</v>
      </c>
      <c r="T103" s="3491" t="s">
        <v>3888</v>
      </c>
      <c r="U103" s="3489" t="s">
        <v>3889</v>
      </c>
      <c r="V103" s="3491" t="s">
        <v>3744</v>
      </c>
      <c r="W103" s="3489" t="s">
        <v>3749</v>
      </c>
      <c r="X103" s="3856">
        <f>SUM('4층_부하량(월간_AVG)'!D24:F24)</f>
        <v>0</v>
      </c>
      <c r="Y103" s="3838">
        <f>SUM('4층_부하량(월간_AVG)'!N53:P53)</f>
        <v>0</v>
      </c>
      <c r="Z103" s="3837">
        <f t="shared" ref="Z103" si="39">SUM(X103:Y103)</f>
        <v>0</v>
      </c>
      <c r="AA103" s="3834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904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188">
        <f>VLOOKUP(H103&amp;I103,'7층~4층_매핑테이블'!$A$6:$H$2020,8,0)</f>
        <v>2.57</v>
      </c>
      <c r="AD103" s="3181" t="e">
        <f>SUM(AA103:AB114)</f>
        <v>#N/A</v>
      </c>
      <c r="AE103" s="2483" t="s">
        <v>3959</v>
      </c>
      <c r="AG103">
        <v>36.299999999999997</v>
      </c>
      <c r="AH103" s="1363">
        <f t="shared" si="33"/>
        <v>-36.299999999999997</v>
      </c>
      <c r="AJ103" s="2351" t="e">
        <f t="shared" si="28"/>
        <v>#N/A</v>
      </c>
      <c r="AK103" s="2351" t="e">
        <f t="shared" si="29"/>
        <v>#N/A</v>
      </c>
      <c r="AL103" s="123" t="e">
        <f t="shared" si="27"/>
        <v>#N/A</v>
      </c>
      <c r="AR103" s="123"/>
      <c r="AS103" s="123"/>
      <c r="AU103" s="2982"/>
      <c r="AV103" s="123"/>
      <c r="AW103" s="123"/>
      <c r="AX103" s="2983"/>
      <c r="AY103" s="2984"/>
      <c r="AZ103" s="2985"/>
      <c r="BA103" s="2986"/>
      <c r="BB103" s="2987"/>
      <c r="BC103" s="2988"/>
    </row>
    <row r="104" spans="1:55" x14ac:dyDescent="0.25">
      <c r="A104" s="3829"/>
      <c r="B104" s="1131"/>
      <c r="C104" s="1139"/>
      <c r="D104" s="3780"/>
      <c r="E104" s="989"/>
      <c r="F104" s="3477"/>
      <c r="G104" s="3832"/>
      <c r="H104" s="3799"/>
      <c r="I104" s="3802"/>
      <c r="J104" s="3805"/>
      <c r="K104" s="3808"/>
      <c r="L104" s="3651"/>
      <c r="M104" s="3813"/>
      <c r="N104" s="3816"/>
      <c r="O104" s="3819"/>
      <c r="P104" s="3822"/>
      <c r="Q104" s="3825"/>
      <c r="R104" s="3786"/>
      <c r="S104" s="3478"/>
      <c r="T104" s="3477"/>
      <c r="U104" s="3478"/>
      <c r="V104" s="3477"/>
      <c r="W104" s="3478"/>
      <c r="X104" s="3857"/>
      <c r="Y104" s="3839"/>
      <c r="Z104" s="3637"/>
      <c r="AA104" s="3835"/>
      <c r="AB104" s="3905"/>
      <c r="AC104" s="3189">
        <f>$AC$103</f>
        <v>2.57</v>
      </c>
      <c r="AD104" s="3182" t="e">
        <f>$AD$103</f>
        <v>#N/A</v>
      </c>
      <c r="AE104" s="2460" t="s">
        <v>3960</v>
      </c>
      <c r="AG104">
        <v>0</v>
      </c>
      <c r="AH104" s="1363">
        <f t="shared" si="33"/>
        <v>0</v>
      </c>
      <c r="AJ104" s="2351" t="e">
        <f t="shared" si="28"/>
        <v>#N/A</v>
      </c>
      <c r="AK104" s="2351" t="e">
        <f t="shared" si="29"/>
        <v>#N/A</v>
      </c>
      <c r="AL104" s="123" t="e">
        <f t="shared" si="27"/>
        <v>#N/A</v>
      </c>
      <c r="AR104" s="123"/>
      <c r="AS104" s="123"/>
      <c r="AU104" s="2982"/>
      <c r="AV104" s="123"/>
      <c r="AW104" s="123"/>
      <c r="AX104" s="2983"/>
      <c r="AY104" s="2984"/>
      <c r="AZ104" s="2985"/>
      <c r="BA104" s="2986"/>
      <c r="BB104" s="2987"/>
      <c r="BC104" s="2988"/>
    </row>
    <row r="105" spans="1:55" x14ac:dyDescent="0.25">
      <c r="A105" s="3829"/>
      <c r="B105" s="1131" t="s">
        <v>9201</v>
      </c>
      <c r="C105" s="1139"/>
      <c r="D105" s="3780"/>
      <c r="E105" s="2621" t="s">
        <v>3961</v>
      </c>
      <c r="F105" s="3477"/>
      <c r="G105" s="3832"/>
      <c r="H105" s="3799"/>
      <c r="I105" s="3802"/>
      <c r="J105" s="3805"/>
      <c r="K105" s="3808"/>
      <c r="L105" s="3651"/>
      <c r="M105" s="3813"/>
      <c r="N105" s="3816"/>
      <c r="O105" s="3819"/>
      <c r="P105" s="3822"/>
      <c r="Q105" s="3825"/>
      <c r="R105" s="3786"/>
      <c r="S105" s="3478"/>
      <c r="T105" s="3477"/>
      <c r="U105" s="3478"/>
      <c r="V105" s="3477"/>
      <c r="W105" s="3478"/>
      <c r="X105" s="3857"/>
      <c r="Y105" s="3839"/>
      <c r="Z105" s="3637"/>
      <c r="AA105" s="3835"/>
      <c r="AB105" s="3905"/>
      <c r="AC105" s="3189">
        <f t="shared" ref="AC105:AC114" si="40">$AC$103</f>
        <v>2.57</v>
      </c>
      <c r="AD105" s="3182" t="e">
        <f t="shared" ref="AD105:AD114" si="41">$AD$103</f>
        <v>#N/A</v>
      </c>
      <c r="AE105" s="2460"/>
      <c r="AG105">
        <v>0</v>
      </c>
      <c r="AH105" s="1363">
        <f t="shared" si="33"/>
        <v>0</v>
      </c>
      <c r="AJ105" s="2351" t="e">
        <f t="shared" si="28"/>
        <v>#N/A</v>
      </c>
      <c r="AK105" s="2351" t="e">
        <f t="shared" si="29"/>
        <v>#N/A</v>
      </c>
      <c r="AL105" s="123" t="e">
        <f t="shared" si="27"/>
        <v>#N/A</v>
      </c>
      <c r="AR105" s="123"/>
      <c r="AS105" s="123"/>
      <c r="AU105" s="2982"/>
      <c r="AV105" s="123"/>
      <c r="AW105" s="123"/>
      <c r="AX105" s="2983"/>
      <c r="AY105" s="2984"/>
      <c r="AZ105" s="2985"/>
      <c r="BA105" s="2986"/>
      <c r="BB105" s="2987"/>
      <c r="BC105" s="2988"/>
    </row>
    <row r="106" spans="1:55" ht="43.2" x14ac:dyDescent="0.25">
      <c r="A106" s="3829"/>
      <c r="B106" s="1131" t="s">
        <v>3962</v>
      </c>
      <c r="C106" s="1139" t="s">
        <v>9187</v>
      </c>
      <c r="D106" s="3780"/>
      <c r="E106" s="2621" t="s">
        <v>3963</v>
      </c>
      <c r="F106" s="3477"/>
      <c r="G106" s="3832"/>
      <c r="H106" s="3799"/>
      <c r="I106" s="3802"/>
      <c r="J106" s="3805"/>
      <c r="K106" s="3808"/>
      <c r="L106" s="3651"/>
      <c r="M106" s="3813"/>
      <c r="N106" s="3816"/>
      <c r="O106" s="3819"/>
      <c r="P106" s="3822"/>
      <c r="Q106" s="3825"/>
      <c r="R106" s="3786"/>
      <c r="S106" s="3478"/>
      <c r="T106" s="3477"/>
      <c r="U106" s="3478"/>
      <c r="V106" s="3477"/>
      <c r="W106" s="3478"/>
      <c r="X106" s="3857"/>
      <c r="Y106" s="3839"/>
      <c r="Z106" s="3637"/>
      <c r="AA106" s="3835"/>
      <c r="AB106" s="3905"/>
      <c r="AC106" s="3189">
        <f t="shared" si="40"/>
        <v>2.57</v>
      </c>
      <c r="AD106" s="3182" t="e">
        <f t="shared" si="41"/>
        <v>#N/A</v>
      </c>
      <c r="AE106" s="2460"/>
      <c r="AG106">
        <v>0</v>
      </c>
      <c r="AH106" s="1363">
        <f t="shared" si="33"/>
        <v>0</v>
      </c>
      <c r="AJ106" s="2351" t="e">
        <f t="shared" si="28"/>
        <v>#N/A</v>
      </c>
      <c r="AK106" s="2351" t="e">
        <f t="shared" si="29"/>
        <v>#N/A</v>
      </c>
      <c r="AL106" s="123" t="e">
        <f t="shared" si="27"/>
        <v>#N/A</v>
      </c>
      <c r="AR106" s="123"/>
      <c r="AS106" s="123"/>
      <c r="AU106" s="2982"/>
      <c r="AV106" s="123"/>
      <c r="AW106" s="123"/>
      <c r="AX106" s="2983"/>
      <c r="AY106" s="2984"/>
      <c r="AZ106" s="2985"/>
      <c r="BA106" s="2986"/>
      <c r="BB106" s="2987"/>
      <c r="BC106" s="2988"/>
    </row>
    <row r="107" spans="1:55" x14ac:dyDescent="0.25">
      <c r="A107" s="3829"/>
      <c r="B107" s="1131" t="s">
        <v>3964</v>
      </c>
      <c r="C107" s="1139" t="s">
        <v>9188</v>
      </c>
      <c r="D107" s="3780"/>
      <c r="E107" s="2621" t="s">
        <v>3965</v>
      </c>
      <c r="F107" s="3477"/>
      <c r="G107" s="3832"/>
      <c r="H107" s="3799"/>
      <c r="I107" s="3802"/>
      <c r="J107" s="3805"/>
      <c r="K107" s="3808"/>
      <c r="L107" s="3651"/>
      <c r="M107" s="3813"/>
      <c r="N107" s="3816"/>
      <c r="O107" s="3819"/>
      <c r="P107" s="3822"/>
      <c r="Q107" s="3825"/>
      <c r="R107" s="3786"/>
      <c r="S107" s="3478"/>
      <c r="T107" s="3477"/>
      <c r="U107" s="3478"/>
      <c r="V107" s="3477"/>
      <c r="W107" s="3478"/>
      <c r="X107" s="3857"/>
      <c r="Y107" s="3839"/>
      <c r="Z107" s="3637"/>
      <c r="AA107" s="3835"/>
      <c r="AB107" s="3905"/>
      <c r="AC107" s="3189">
        <f t="shared" si="40"/>
        <v>2.57</v>
      </c>
      <c r="AD107" s="3182" t="e">
        <f t="shared" si="41"/>
        <v>#N/A</v>
      </c>
      <c r="AE107" s="2475"/>
      <c r="AG107">
        <v>0</v>
      </c>
      <c r="AH107" s="1363">
        <f t="shared" si="33"/>
        <v>0</v>
      </c>
      <c r="AJ107" s="2351" t="e">
        <f t="shared" si="28"/>
        <v>#N/A</v>
      </c>
      <c r="AK107" s="2351" t="e">
        <f t="shared" si="29"/>
        <v>#N/A</v>
      </c>
      <c r="AL107" s="123" t="e">
        <f t="shared" si="27"/>
        <v>#N/A</v>
      </c>
      <c r="AR107" s="123"/>
      <c r="AS107" s="123"/>
      <c r="AU107" s="2982"/>
      <c r="AV107" s="123"/>
      <c r="AW107" s="123"/>
      <c r="AX107" s="2983"/>
      <c r="AY107" s="2984"/>
      <c r="AZ107" s="2985"/>
      <c r="BA107" s="2986"/>
      <c r="BB107" s="2987"/>
      <c r="BC107" s="2988"/>
    </row>
    <row r="108" spans="1:55" ht="21.6" x14ac:dyDescent="0.25">
      <c r="A108" s="3829"/>
      <c r="B108" s="1131" t="s">
        <v>3966</v>
      </c>
      <c r="C108" s="1139" t="s">
        <v>9189</v>
      </c>
      <c r="D108" s="3780"/>
      <c r="E108" s="2621" t="s">
        <v>3967</v>
      </c>
      <c r="F108" s="3477"/>
      <c r="G108" s="3832"/>
      <c r="H108" s="3799"/>
      <c r="I108" s="3802"/>
      <c r="J108" s="3805"/>
      <c r="K108" s="3808"/>
      <c r="L108" s="3651"/>
      <c r="M108" s="3813"/>
      <c r="N108" s="3816"/>
      <c r="O108" s="3819"/>
      <c r="P108" s="3822"/>
      <c r="Q108" s="3825"/>
      <c r="R108" s="3786"/>
      <c r="S108" s="3478"/>
      <c r="T108" s="3477"/>
      <c r="U108" s="3478"/>
      <c r="V108" s="3477"/>
      <c r="W108" s="3478"/>
      <c r="X108" s="3857"/>
      <c r="Y108" s="3839"/>
      <c r="Z108" s="3637"/>
      <c r="AA108" s="3835"/>
      <c r="AB108" s="3905"/>
      <c r="AC108" s="3189">
        <f t="shared" si="40"/>
        <v>2.57</v>
      </c>
      <c r="AD108" s="3182" t="e">
        <f t="shared" si="41"/>
        <v>#N/A</v>
      </c>
      <c r="AE108" s="2475"/>
      <c r="AG108">
        <v>0</v>
      </c>
      <c r="AH108" s="1363">
        <f t="shared" si="33"/>
        <v>0</v>
      </c>
      <c r="AJ108" s="2351" t="e">
        <f t="shared" si="28"/>
        <v>#N/A</v>
      </c>
      <c r="AK108" s="2351" t="e">
        <f t="shared" si="29"/>
        <v>#N/A</v>
      </c>
      <c r="AL108" s="123" t="e">
        <f t="shared" si="27"/>
        <v>#N/A</v>
      </c>
      <c r="AR108" s="123"/>
      <c r="AS108" s="123"/>
      <c r="AU108" s="2982"/>
      <c r="AV108" s="123"/>
      <c r="AW108" s="123"/>
      <c r="AX108" s="2983"/>
      <c r="AY108" s="2984"/>
      <c r="AZ108" s="2985"/>
      <c r="BA108" s="2986"/>
      <c r="BB108" s="2987"/>
      <c r="BC108" s="2988"/>
    </row>
    <row r="109" spans="1:55" ht="21.6" x14ac:dyDescent="0.25">
      <c r="A109" s="3829"/>
      <c r="B109" s="1131" t="s">
        <v>3968</v>
      </c>
      <c r="C109" s="1139" t="s">
        <v>9190</v>
      </c>
      <c r="D109" s="3780"/>
      <c r="E109" s="2621" t="s">
        <v>3969</v>
      </c>
      <c r="F109" s="3477"/>
      <c r="G109" s="3832"/>
      <c r="H109" s="3799"/>
      <c r="I109" s="3802"/>
      <c r="J109" s="3805"/>
      <c r="K109" s="3808"/>
      <c r="L109" s="3651"/>
      <c r="M109" s="3813"/>
      <c r="N109" s="3816"/>
      <c r="O109" s="3819"/>
      <c r="P109" s="3822"/>
      <c r="Q109" s="3825"/>
      <c r="R109" s="3786"/>
      <c r="S109" s="3478"/>
      <c r="T109" s="3477"/>
      <c r="U109" s="3478"/>
      <c r="V109" s="3477"/>
      <c r="W109" s="3478"/>
      <c r="X109" s="3857"/>
      <c r="Y109" s="3839"/>
      <c r="Z109" s="3637"/>
      <c r="AA109" s="3835"/>
      <c r="AB109" s="3905"/>
      <c r="AC109" s="3189">
        <f t="shared" si="40"/>
        <v>2.57</v>
      </c>
      <c r="AD109" s="3182" t="e">
        <f t="shared" si="41"/>
        <v>#N/A</v>
      </c>
      <c r="AE109" s="2475"/>
      <c r="AG109">
        <v>0</v>
      </c>
      <c r="AH109" s="1363">
        <f t="shared" si="33"/>
        <v>0</v>
      </c>
      <c r="AJ109" s="2351" t="e">
        <f t="shared" si="28"/>
        <v>#N/A</v>
      </c>
      <c r="AK109" s="2351" t="e">
        <f t="shared" si="29"/>
        <v>#N/A</v>
      </c>
      <c r="AL109" s="123" t="e">
        <f t="shared" si="27"/>
        <v>#N/A</v>
      </c>
      <c r="AR109" s="123"/>
      <c r="AS109" s="123"/>
      <c r="AU109" s="2982"/>
      <c r="AV109" s="123"/>
      <c r="AW109" s="123"/>
      <c r="AX109" s="2983"/>
      <c r="AY109" s="2984"/>
      <c r="AZ109" s="2985"/>
      <c r="BA109" s="2986"/>
      <c r="BB109" s="2987"/>
      <c r="BC109" s="2988"/>
    </row>
    <row r="110" spans="1:55" x14ac:dyDescent="0.25">
      <c r="A110" s="3829"/>
      <c r="B110" s="1131" t="s">
        <v>3970</v>
      </c>
      <c r="C110" s="1139"/>
      <c r="D110" s="3780"/>
      <c r="E110" s="2621" t="s">
        <v>3971</v>
      </c>
      <c r="F110" s="3477"/>
      <c r="G110" s="3832"/>
      <c r="H110" s="3799"/>
      <c r="I110" s="3802"/>
      <c r="J110" s="3805"/>
      <c r="K110" s="3808"/>
      <c r="L110" s="3651"/>
      <c r="M110" s="3813"/>
      <c r="N110" s="3816"/>
      <c r="O110" s="3819"/>
      <c r="P110" s="3822"/>
      <c r="Q110" s="3825"/>
      <c r="R110" s="3786"/>
      <c r="S110" s="3478"/>
      <c r="T110" s="3477"/>
      <c r="U110" s="3478"/>
      <c r="V110" s="3477"/>
      <c r="W110" s="3478"/>
      <c r="X110" s="3857"/>
      <c r="Y110" s="3839"/>
      <c r="Z110" s="3637"/>
      <c r="AA110" s="3835"/>
      <c r="AB110" s="3905"/>
      <c r="AC110" s="3189">
        <f t="shared" si="40"/>
        <v>2.57</v>
      </c>
      <c r="AD110" s="3182" t="e">
        <f t="shared" si="41"/>
        <v>#N/A</v>
      </c>
      <c r="AE110" s="2475"/>
      <c r="AG110">
        <v>0</v>
      </c>
      <c r="AH110" s="1363">
        <f t="shared" si="33"/>
        <v>0</v>
      </c>
      <c r="AJ110" s="2351" t="e">
        <f t="shared" si="28"/>
        <v>#N/A</v>
      </c>
      <c r="AK110" s="2351" t="e">
        <f t="shared" si="29"/>
        <v>#N/A</v>
      </c>
      <c r="AL110" s="123" t="e">
        <f t="shared" si="27"/>
        <v>#N/A</v>
      </c>
      <c r="AR110" s="123"/>
      <c r="AS110" s="123"/>
      <c r="AU110" s="2982"/>
      <c r="AV110" s="123"/>
      <c r="AW110" s="123"/>
      <c r="AX110" s="2983"/>
      <c r="AY110" s="2984"/>
      <c r="AZ110" s="2985"/>
      <c r="BA110" s="2986"/>
      <c r="BB110" s="2987"/>
      <c r="BC110" s="2988"/>
    </row>
    <row r="111" spans="1:55" x14ac:dyDescent="0.25">
      <c r="A111" s="3829"/>
      <c r="B111" s="1131" t="s">
        <v>3972</v>
      </c>
      <c r="C111" s="1139"/>
      <c r="D111" s="3780"/>
      <c r="E111" s="250" t="s">
        <v>3973</v>
      </c>
      <c r="F111" s="3477"/>
      <c r="G111" s="3832"/>
      <c r="H111" s="3799"/>
      <c r="I111" s="3802"/>
      <c r="J111" s="3805"/>
      <c r="K111" s="3808"/>
      <c r="L111" s="3651"/>
      <c r="M111" s="3813"/>
      <c r="N111" s="3816"/>
      <c r="O111" s="3819"/>
      <c r="P111" s="3822"/>
      <c r="Q111" s="3825"/>
      <c r="R111" s="3786"/>
      <c r="S111" s="3478"/>
      <c r="T111" s="3477"/>
      <c r="U111" s="3478"/>
      <c r="V111" s="3477"/>
      <c r="W111" s="3478"/>
      <c r="X111" s="3857"/>
      <c r="Y111" s="3839"/>
      <c r="Z111" s="3637"/>
      <c r="AA111" s="3835"/>
      <c r="AB111" s="3905"/>
      <c r="AC111" s="3189">
        <f t="shared" si="40"/>
        <v>2.57</v>
      </c>
      <c r="AD111" s="3182" t="e">
        <f t="shared" si="41"/>
        <v>#N/A</v>
      </c>
      <c r="AE111" s="2475"/>
      <c r="AG111">
        <v>0</v>
      </c>
      <c r="AH111" s="1363">
        <f t="shared" si="33"/>
        <v>0</v>
      </c>
      <c r="AJ111" s="2351" t="e">
        <f t="shared" si="28"/>
        <v>#N/A</v>
      </c>
      <c r="AK111" s="2351" t="e">
        <f t="shared" si="29"/>
        <v>#N/A</v>
      </c>
      <c r="AL111" s="123" t="e">
        <f t="shared" si="27"/>
        <v>#N/A</v>
      </c>
      <c r="AR111" s="123"/>
      <c r="AS111" s="123"/>
      <c r="AU111" s="2982"/>
      <c r="AV111" s="123"/>
      <c r="AW111" s="123"/>
      <c r="AX111" s="2983"/>
      <c r="AY111" s="2984"/>
      <c r="AZ111" s="2985"/>
      <c r="BA111" s="2986"/>
      <c r="BB111" s="2987"/>
      <c r="BC111" s="2988"/>
    </row>
    <row r="112" spans="1:55" ht="21.6" x14ac:dyDescent="0.25">
      <c r="A112" s="3829"/>
      <c r="B112" s="1131" t="s">
        <v>3974</v>
      </c>
      <c r="C112" s="1139" t="s">
        <v>9190</v>
      </c>
      <c r="D112" s="3780"/>
      <c r="E112" s="2621" t="s">
        <v>3975</v>
      </c>
      <c r="F112" s="3477"/>
      <c r="G112" s="3832"/>
      <c r="H112" s="3799"/>
      <c r="I112" s="3802"/>
      <c r="J112" s="3805"/>
      <c r="K112" s="3808"/>
      <c r="L112" s="3651"/>
      <c r="M112" s="3813"/>
      <c r="N112" s="3816"/>
      <c r="O112" s="3819"/>
      <c r="P112" s="3822"/>
      <c r="Q112" s="3825"/>
      <c r="R112" s="3786"/>
      <c r="S112" s="3478"/>
      <c r="T112" s="3477"/>
      <c r="U112" s="3478"/>
      <c r="V112" s="3477"/>
      <c r="W112" s="3478"/>
      <c r="X112" s="3857"/>
      <c r="Y112" s="3839"/>
      <c r="Z112" s="3637"/>
      <c r="AA112" s="3835"/>
      <c r="AB112" s="3905"/>
      <c r="AC112" s="3189">
        <f t="shared" si="40"/>
        <v>2.57</v>
      </c>
      <c r="AD112" s="3182" t="e">
        <f t="shared" si="41"/>
        <v>#N/A</v>
      </c>
      <c r="AE112" s="2475"/>
      <c r="AG112">
        <v>0</v>
      </c>
      <c r="AH112" s="1363">
        <f t="shared" si="33"/>
        <v>0</v>
      </c>
      <c r="AJ112" s="2351" t="e">
        <f t="shared" si="28"/>
        <v>#N/A</v>
      </c>
      <c r="AK112" s="2351" t="e">
        <f t="shared" si="29"/>
        <v>#N/A</v>
      </c>
      <c r="AL112" s="123" t="e">
        <f t="shared" si="27"/>
        <v>#N/A</v>
      </c>
      <c r="AR112" s="123"/>
      <c r="AS112" s="123"/>
      <c r="AU112" s="2982"/>
      <c r="AV112" s="123"/>
      <c r="AW112" s="123"/>
      <c r="AX112" s="2983"/>
      <c r="AY112" s="2984"/>
      <c r="AZ112" s="2985"/>
      <c r="BA112" s="2986"/>
      <c r="BB112" s="2987"/>
      <c r="BC112" s="2988"/>
    </row>
    <row r="113" spans="1:55" x14ac:dyDescent="0.25">
      <c r="A113" s="3829"/>
      <c r="B113" s="1131" t="s">
        <v>3976</v>
      </c>
      <c r="C113" s="1139" t="s">
        <v>9191</v>
      </c>
      <c r="D113" s="3780"/>
      <c r="E113" s="2621" t="s">
        <v>3977</v>
      </c>
      <c r="F113" s="3477"/>
      <c r="G113" s="3832"/>
      <c r="H113" s="3799"/>
      <c r="I113" s="3802"/>
      <c r="J113" s="3805"/>
      <c r="K113" s="3808"/>
      <c r="L113" s="3651"/>
      <c r="M113" s="3813"/>
      <c r="N113" s="3816"/>
      <c r="O113" s="3819"/>
      <c r="P113" s="3822"/>
      <c r="Q113" s="3825"/>
      <c r="R113" s="3786"/>
      <c r="S113" s="3478"/>
      <c r="T113" s="3477"/>
      <c r="U113" s="3478"/>
      <c r="V113" s="3477"/>
      <c r="W113" s="3478"/>
      <c r="X113" s="3857"/>
      <c r="Y113" s="3839"/>
      <c r="Z113" s="3637"/>
      <c r="AA113" s="3835"/>
      <c r="AB113" s="3905"/>
      <c r="AC113" s="3189">
        <f t="shared" si="40"/>
        <v>2.57</v>
      </c>
      <c r="AD113" s="3182" t="e">
        <f t="shared" si="41"/>
        <v>#N/A</v>
      </c>
      <c r="AE113" s="2475"/>
      <c r="AG113">
        <v>0</v>
      </c>
      <c r="AH113" s="1363">
        <f t="shared" si="33"/>
        <v>0</v>
      </c>
      <c r="AJ113" s="2351" t="e">
        <f t="shared" si="28"/>
        <v>#N/A</v>
      </c>
      <c r="AK113" s="2351" t="e">
        <f t="shared" si="29"/>
        <v>#N/A</v>
      </c>
      <c r="AL113" s="123" t="e">
        <f t="shared" si="27"/>
        <v>#N/A</v>
      </c>
      <c r="AR113" s="123"/>
      <c r="AS113" s="123"/>
      <c r="AU113" s="2982"/>
      <c r="AV113" s="123"/>
      <c r="AW113" s="123"/>
      <c r="AX113" s="2983"/>
      <c r="AY113" s="2984"/>
      <c r="AZ113" s="2985"/>
      <c r="BA113" s="2986"/>
      <c r="BB113" s="2987"/>
      <c r="BC113" s="2988"/>
    </row>
    <row r="114" spans="1:55" ht="22.2" thickBot="1" x14ac:dyDescent="0.3">
      <c r="A114" s="3830"/>
      <c r="B114" s="1129" t="s">
        <v>3978</v>
      </c>
      <c r="C114" s="1140" t="s">
        <v>9192</v>
      </c>
      <c r="D114" s="3781"/>
      <c r="E114" s="2640" t="s">
        <v>3979</v>
      </c>
      <c r="F114" s="3474"/>
      <c r="G114" s="3833"/>
      <c r="H114" s="3800"/>
      <c r="I114" s="3803"/>
      <c r="J114" s="3806"/>
      <c r="K114" s="3809"/>
      <c r="L114" s="3811"/>
      <c r="M114" s="3814"/>
      <c r="N114" s="3817"/>
      <c r="O114" s="3820"/>
      <c r="P114" s="3823"/>
      <c r="Q114" s="3826"/>
      <c r="R114" s="3787"/>
      <c r="S114" s="3476"/>
      <c r="T114" s="3474"/>
      <c r="U114" s="3476"/>
      <c r="V114" s="3474"/>
      <c r="W114" s="3476"/>
      <c r="X114" s="3858"/>
      <c r="Y114" s="3840"/>
      <c r="Z114" s="3644"/>
      <c r="AA114" s="3836"/>
      <c r="AB114" s="3906"/>
      <c r="AC114" s="3189">
        <f t="shared" si="40"/>
        <v>2.57</v>
      </c>
      <c r="AD114" s="3182" t="e">
        <f t="shared" si="41"/>
        <v>#N/A</v>
      </c>
      <c r="AE114" s="2476"/>
      <c r="AG114">
        <v>0</v>
      </c>
      <c r="AH114" s="1363">
        <f t="shared" si="33"/>
        <v>0</v>
      </c>
      <c r="AJ114" s="2351" t="e">
        <f t="shared" si="28"/>
        <v>#N/A</v>
      </c>
      <c r="AK114" s="2351" t="e">
        <f t="shared" si="29"/>
        <v>#N/A</v>
      </c>
      <c r="AL114" s="123" t="e">
        <f t="shared" si="27"/>
        <v>#N/A</v>
      </c>
      <c r="AR114" s="123"/>
      <c r="AS114" s="123"/>
      <c r="AU114" s="2982"/>
      <c r="AV114" s="123"/>
      <c r="AW114" s="123"/>
      <c r="AX114" s="2983"/>
      <c r="AY114" s="2984"/>
      <c r="AZ114" s="2985"/>
      <c r="BA114" s="2986"/>
      <c r="BB114" s="2987"/>
      <c r="BC114" s="2988"/>
    </row>
    <row r="115" spans="1:55" ht="15" thickTop="1" x14ac:dyDescent="0.25">
      <c r="A115" s="3850" t="s">
        <v>3943</v>
      </c>
      <c r="B115" s="1130"/>
      <c r="C115" s="1138"/>
      <c r="D115" s="3779"/>
      <c r="E115" s="327" t="s">
        <v>3944</v>
      </c>
      <c r="F115" s="3491" t="s">
        <v>3945</v>
      </c>
      <c r="G115" s="3831" t="s">
        <v>3946</v>
      </c>
      <c r="H115" s="3798" t="str">
        <f>"4-DaHall 1-PDU-"&amp;L115&amp;"-"&amp;K115&amp;"-"&amp;M115</f>
        <v>4-DaHall 1-PDU-06-100-5</v>
      </c>
      <c r="I115" s="3801" t="str">
        <f>"4-DaHall 1-PDU-"&amp;P115&amp;"-"&amp;O115&amp;"-"&amp;Q115</f>
        <v>4-DaHall 1-PDU-05-100-5</v>
      </c>
      <c r="J115" s="3804">
        <v>220</v>
      </c>
      <c r="K115" s="3807">
        <v>100</v>
      </c>
      <c r="L115" s="3810" t="s">
        <v>6502</v>
      </c>
      <c r="M115" s="3812">
        <v>5</v>
      </c>
      <c r="N115" s="3815">
        <v>220</v>
      </c>
      <c r="O115" s="3818">
        <v>100</v>
      </c>
      <c r="P115" s="3821" t="s">
        <v>6491</v>
      </c>
      <c r="Q115" s="3824">
        <v>5</v>
      </c>
      <c r="R115" s="3785" t="s">
        <v>3886</v>
      </c>
      <c r="S115" s="3489" t="s">
        <v>3887</v>
      </c>
      <c r="T115" s="3491" t="s">
        <v>3888</v>
      </c>
      <c r="U115" s="3489" t="s">
        <v>3889</v>
      </c>
      <c r="V115" s="3491" t="s">
        <v>3744</v>
      </c>
      <c r="W115" s="3489" t="s">
        <v>3749</v>
      </c>
      <c r="X115" s="3856">
        <f>SUM('4층_부하량(월간_AVG)'!D23:F23)</f>
        <v>0</v>
      </c>
      <c r="Y115" s="3838">
        <f>SUM('4층_부하량(월간_AVG)'!N52:P52)</f>
        <v>0</v>
      </c>
      <c r="Z115" s="3837">
        <f>SUM(X115:Y115)</f>
        <v>0</v>
      </c>
      <c r="AA115" s="3834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904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188">
        <f>VLOOKUP(H115&amp;I115,'7층~4층_매핑테이블'!$A$6:$H$2020,8,0)</f>
        <v>0</v>
      </c>
      <c r="AD115" s="3181" t="e">
        <f>SUM(AA115:AB122)</f>
        <v>#N/A</v>
      </c>
      <c r="AE115" s="2479" t="s">
        <v>3947</v>
      </c>
      <c r="AG115">
        <v>35.5</v>
      </c>
      <c r="AH115" s="1363">
        <f t="shared" si="33"/>
        <v>-35.5</v>
      </c>
      <c r="AJ115" s="2351" t="e">
        <f t="shared" si="28"/>
        <v>#N/A</v>
      </c>
      <c r="AK115" s="2351" t="e">
        <f t="shared" si="29"/>
        <v>#N/A</v>
      </c>
      <c r="AL115" s="123" t="e">
        <f t="shared" si="27"/>
        <v>#N/A</v>
      </c>
      <c r="AR115" s="123"/>
      <c r="AS115" s="123"/>
      <c r="AU115" s="2982"/>
      <c r="AV115" s="123"/>
      <c r="AW115" s="123"/>
      <c r="AX115" s="2983"/>
      <c r="AY115" s="2984"/>
      <c r="AZ115" s="2985"/>
      <c r="BA115" s="2986"/>
      <c r="BB115" s="2987"/>
      <c r="BC115" s="2988"/>
    </row>
    <row r="116" spans="1:55" x14ac:dyDescent="0.25">
      <c r="A116" s="3851"/>
      <c r="B116" s="1131"/>
      <c r="C116" s="1139"/>
      <c r="D116" s="3780"/>
      <c r="E116" s="250" t="s">
        <v>3948</v>
      </c>
      <c r="F116" s="3477"/>
      <c r="G116" s="3832"/>
      <c r="H116" s="3799"/>
      <c r="I116" s="3802"/>
      <c r="J116" s="3805"/>
      <c r="K116" s="3808"/>
      <c r="L116" s="3651"/>
      <c r="M116" s="3813"/>
      <c r="N116" s="3816"/>
      <c r="O116" s="3819"/>
      <c r="P116" s="3822"/>
      <c r="Q116" s="3825"/>
      <c r="R116" s="3786"/>
      <c r="S116" s="3478"/>
      <c r="T116" s="3477"/>
      <c r="U116" s="3478"/>
      <c r="V116" s="3477"/>
      <c r="W116" s="3478"/>
      <c r="X116" s="3857"/>
      <c r="Y116" s="3839"/>
      <c r="Z116" s="3637"/>
      <c r="AA116" s="3835"/>
      <c r="AB116" s="3905"/>
      <c r="AC116" s="3189">
        <f>$AC$115</f>
        <v>0</v>
      </c>
      <c r="AD116" s="3182" t="e">
        <f>$AD$115</f>
        <v>#N/A</v>
      </c>
      <c r="AE116" s="2919" t="s">
        <v>3947</v>
      </c>
      <c r="AG116">
        <v>0</v>
      </c>
      <c r="AH116" s="1363">
        <f t="shared" ref="AH116:AH121" si="42">Z116-AG116</f>
        <v>0</v>
      </c>
      <c r="AJ116" s="2351" t="e">
        <f t="shared" si="28"/>
        <v>#N/A</v>
      </c>
      <c r="AK116" s="2351" t="e">
        <f t="shared" si="29"/>
        <v>#N/A</v>
      </c>
      <c r="AL116" s="123" t="e">
        <f t="shared" si="27"/>
        <v>#N/A</v>
      </c>
      <c r="AR116" s="123"/>
      <c r="AS116" s="123"/>
      <c r="AU116" s="2982"/>
      <c r="AV116" s="123"/>
      <c r="AW116" s="123"/>
      <c r="AX116" s="2983"/>
      <c r="AY116" s="2984"/>
      <c r="AZ116" s="2985"/>
      <c r="BA116" s="2986"/>
      <c r="BB116" s="2987"/>
      <c r="BC116" s="2988"/>
    </row>
    <row r="117" spans="1:55" x14ac:dyDescent="0.25">
      <c r="A117" s="3851"/>
      <c r="B117" s="1131"/>
      <c r="C117" s="1139"/>
      <c r="D117" s="3780"/>
      <c r="E117" s="250" t="s">
        <v>3949</v>
      </c>
      <c r="F117" s="3477"/>
      <c r="G117" s="3832"/>
      <c r="H117" s="3799"/>
      <c r="I117" s="3802"/>
      <c r="J117" s="3805"/>
      <c r="K117" s="3808"/>
      <c r="L117" s="3651"/>
      <c r="M117" s="3813"/>
      <c r="N117" s="3816"/>
      <c r="O117" s="3819"/>
      <c r="P117" s="3822"/>
      <c r="Q117" s="3825"/>
      <c r="R117" s="3786"/>
      <c r="S117" s="3478"/>
      <c r="T117" s="3477"/>
      <c r="U117" s="3478"/>
      <c r="V117" s="3477"/>
      <c r="W117" s="3478"/>
      <c r="X117" s="3857"/>
      <c r="Y117" s="3839"/>
      <c r="Z117" s="3637"/>
      <c r="AA117" s="3835"/>
      <c r="AB117" s="3905"/>
      <c r="AC117" s="3189">
        <f t="shared" ref="AC117:AC122" si="43">$AC$115</f>
        <v>0</v>
      </c>
      <c r="AD117" s="3182" t="e">
        <f t="shared" ref="AD117:AD122" si="44">$AD$115</f>
        <v>#N/A</v>
      </c>
      <c r="AE117" s="2919" t="s">
        <v>3947</v>
      </c>
      <c r="AG117">
        <v>0</v>
      </c>
      <c r="AH117" s="1363">
        <f t="shared" si="42"/>
        <v>0</v>
      </c>
      <c r="AJ117" s="2351" t="e">
        <f t="shared" si="28"/>
        <v>#N/A</v>
      </c>
      <c r="AK117" s="2351" t="e">
        <f t="shared" si="29"/>
        <v>#N/A</v>
      </c>
      <c r="AL117" s="123" t="e">
        <f t="shared" si="27"/>
        <v>#N/A</v>
      </c>
      <c r="AR117" s="123"/>
      <c r="AS117" s="123"/>
      <c r="AU117" s="2982"/>
      <c r="AV117" s="123"/>
      <c r="AW117" s="123"/>
      <c r="AX117" s="2983"/>
      <c r="AY117" s="2984"/>
      <c r="AZ117" s="2985"/>
      <c r="BA117" s="2986"/>
      <c r="BB117" s="2987"/>
      <c r="BC117" s="2988"/>
    </row>
    <row r="118" spans="1:55" x14ac:dyDescent="0.25">
      <c r="A118" s="3851"/>
      <c r="B118" s="1131"/>
      <c r="C118" s="1139"/>
      <c r="D118" s="3780"/>
      <c r="E118" s="250" t="s">
        <v>3950</v>
      </c>
      <c r="F118" s="3477"/>
      <c r="G118" s="3832"/>
      <c r="H118" s="3799"/>
      <c r="I118" s="3802"/>
      <c r="J118" s="3805"/>
      <c r="K118" s="3808"/>
      <c r="L118" s="3651"/>
      <c r="M118" s="3813"/>
      <c r="N118" s="3816"/>
      <c r="O118" s="3819"/>
      <c r="P118" s="3822"/>
      <c r="Q118" s="3825"/>
      <c r="R118" s="3786"/>
      <c r="S118" s="3478"/>
      <c r="T118" s="3477"/>
      <c r="U118" s="3478"/>
      <c r="V118" s="3477"/>
      <c r="W118" s="3478"/>
      <c r="X118" s="3857"/>
      <c r="Y118" s="3839"/>
      <c r="Z118" s="3637"/>
      <c r="AA118" s="3835"/>
      <c r="AB118" s="3905"/>
      <c r="AC118" s="3189">
        <f t="shared" si="43"/>
        <v>0</v>
      </c>
      <c r="AD118" s="3182" t="e">
        <f t="shared" si="44"/>
        <v>#N/A</v>
      </c>
      <c r="AE118" s="2919" t="s">
        <v>3947</v>
      </c>
      <c r="AG118">
        <v>0</v>
      </c>
      <c r="AH118" s="1363">
        <f t="shared" si="42"/>
        <v>0</v>
      </c>
      <c r="AJ118" s="2351" t="e">
        <f t="shared" si="28"/>
        <v>#N/A</v>
      </c>
      <c r="AK118" s="2351" t="e">
        <f t="shared" si="29"/>
        <v>#N/A</v>
      </c>
      <c r="AL118" s="123" t="e">
        <f t="shared" si="27"/>
        <v>#N/A</v>
      </c>
      <c r="AR118" s="123"/>
      <c r="AS118" s="123"/>
      <c r="AU118" s="2982"/>
      <c r="AV118" s="123"/>
      <c r="AW118" s="123"/>
      <c r="AX118" s="2983"/>
      <c r="AY118" s="2984"/>
      <c r="AZ118" s="2985"/>
      <c r="BA118" s="2986"/>
      <c r="BB118" s="2987"/>
      <c r="BC118" s="2988"/>
    </row>
    <row r="119" spans="1:55" x14ac:dyDescent="0.25">
      <c r="A119" s="3851"/>
      <c r="B119" s="1131"/>
      <c r="C119" s="1139"/>
      <c r="D119" s="3780"/>
      <c r="E119" s="989"/>
      <c r="F119" s="3477"/>
      <c r="G119" s="3832"/>
      <c r="H119" s="3799"/>
      <c r="I119" s="3802"/>
      <c r="J119" s="3805"/>
      <c r="K119" s="3808"/>
      <c r="L119" s="3651"/>
      <c r="M119" s="3813"/>
      <c r="N119" s="3816"/>
      <c r="O119" s="3819"/>
      <c r="P119" s="3822"/>
      <c r="Q119" s="3825"/>
      <c r="R119" s="3786"/>
      <c r="S119" s="3478"/>
      <c r="T119" s="3477"/>
      <c r="U119" s="3478"/>
      <c r="V119" s="3477"/>
      <c r="W119" s="3478"/>
      <c r="X119" s="3857"/>
      <c r="Y119" s="3839"/>
      <c r="Z119" s="3637"/>
      <c r="AA119" s="3835"/>
      <c r="AB119" s="3905"/>
      <c r="AC119" s="3189">
        <f t="shared" si="43"/>
        <v>0</v>
      </c>
      <c r="AD119" s="3182" t="e">
        <f t="shared" si="44"/>
        <v>#N/A</v>
      </c>
      <c r="AE119" s="2460" t="s">
        <v>3952</v>
      </c>
      <c r="AG119">
        <v>0</v>
      </c>
      <c r="AH119" s="1363">
        <f t="shared" si="42"/>
        <v>0</v>
      </c>
      <c r="AJ119" s="2351" t="e">
        <f t="shared" si="28"/>
        <v>#N/A</v>
      </c>
      <c r="AK119" s="2351" t="e">
        <f t="shared" si="29"/>
        <v>#N/A</v>
      </c>
      <c r="AL119" s="123" t="e">
        <f t="shared" si="27"/>
        <v>#N/A</v>
      </c>
      <c r="AR119" s="123"/>
      <c r="AS119" s="123"/>
      <c r="AU119" s="2982"/>
      <c r="AV119" s="123"/>
      <c r="AW119" s="123"/>
      <c r="AX119" s="2983"/>
      <c r="AY119" s="2984"/>
      <c r="AZ119" s="2985"/>
      <c r="BA119" s="2986"/>
      <c r="BB119" s="2987"/>
      <c r="BC119" s="2988"/>
    </row>
    <row r="120" spans="1:55" ht="28.8" x14ac:dyDescent="0.25">
      <c r="A120" s="3851"/>
      <c r="B120" s="1131"/>
      <c r="C120" s="1139"/>
      <c r="D120" s="3780"/>
      <c r="E120" s="989"/>
      <c r="F120" s="3477"/>
      <c r="G120" s="3832"/>
      <c r="H120" s="3799"/>
      <c r="I120" s="3802"/>
      <c r="J120" s="3805"/>
      <c r="K120" s="3808"/>
      <c r="L120" s="3651"/>
      <c r="M120" s="3813"/>
      <c r="N120" s="3816"/>
      <c r="O120" s="3819"/>
      <c r="P120" s="3822"/>
      <c r="Q120" s="3825"/>
      <c r="R120" s="3786"/>
      <c r="S120" s="3478"/>
      <c r="T120" s="3477"/>
      <c r="U120" s="3478"/>
      <c r="V120" s="3477"/>
      <c r="W120" s="3478"/>
      <c r="X120" s="3857"/>
      <c r="Y120" s="3839"/>
      <c r="Z120" s="3637"/>
      <c r="AA120" s="3835"/>
      <c r="AB120" s="3905"/>
      <c r="AC120" s="3189">
        <f t="shared" si="43"/>
        <v>0</v>
      </c>
      <c r="AD120" s="3182" t="e">
        <f t="shared" si="44"/>
        <v>#N/A</v>
      </c>
      <c r="AE120" s="2481" t="s">
        <v>3953</v>
      </c>
      <c r="AG120">
        <v>0</v>
      </c>
      <c r="AH120" s="1363">
        <f t="shared" si="42"/>
        <v>0</v>
      </c>
      <c r="AJ120" s="2351" t="e">
        <f t="shared" si="28"/>
        <v>#N/A</v>
      </c>
      <c r="AK120" s="2351" t="e">
        <f t="shared" si="29"/>
        <v>#N/A</v>
      </c>
      <c r="AL120" s="123" t="e">
        <f t="shared" si="27"/>
        <v>#N/A</v>
      </c>
      <c r="AR120" s="123"/>
      <c r="AS120" s="123"/>
      <c r="AU120" s="2982"/>
      <c r="AV120" s="123"/>
      <c r="AW120" s="123"/>
      <c r="AX120" s="2983"/>
      <c r="AY120" s="2984"/>
      <c r="AZ120" s="2985"/>
      <c r="BA120" s="2986"/>
      <c r="BB120" s="2987"/>
      <c r="BC120" s="2988"/>
    </row>
    <row r="121" spans="1:55" ht="28.8" x14ac:dyDescent="0.25">
      <c r="A121" s="3851"/>
      <c r="B121" s="1131"/>
      <c r="C121" s="1139"/>
      <c r="D121" s="3780"/>
      <c r="E121" s="989"/>
      <c r="F121" s="3477"/>
      <c r="G121" s="3832"/>
      <c r="H121" s="3799"/>
      <c r="I121" s="3802"/>
      <c r="J121" s="3805"/>
      <c r="K121" s="3808"/>
      <c r="L121" s="3651"/>
      <c r="M121" s="3813"/>
      <c r="N121" s="3816"/>
      <c r="O121" s="3819"/>
      <c r="P121" s="3822"/>
      <c r="Q121" s="3825"/>
      <c r="R121" s="3786"/>
      <c r="S121" s="3478"/>
      <c r="T121" s="3477"/>
      <c r="U121" s="3478"/>
      <c r="V121" s="3477"/>
      <c r="W121" s="3478"/>
      <c r="X121" s="3857"/>
      <c r="Y121" s="3839"/>
      <c r="Z121" s="3637"/>
      <c r="AA121" s="3835"/>
      <c r="AB121" s="3905"/>
      <c r="AC121" s="3189">
        <f t="shared" si="43"/>
        <v>0</v>
      </c>
      <c r="AD121" s="3182" t="e">
        <f t="shared" si="44"/>
        <v>#N/A</v>
      </c>
      <c r="AE121" s="2481" t="s">
        <v>3954</v>
      </c>
      <c r="AG121">
        <v>0</v>
      </c>
      <c r="AH121" s="1363">
        <f t="shared" si="42"/>
        <v>0</v>
      </c>
      <c r="AJ121" s="2351" t="e">
        <f t="shared" si="28"/>
        <v>#N/A</v>
      </c>
      <c r="AK121" s="2351" t="e">
        <f t="shared" si="29"/>
        <v>#N/A</v>
      </c>
      <c r="AL121" s="123" t="e">
        <f t="shared" si="27"/>
        <v>#N/A</v>
      </c>
      <c r="AR121" s="123"/>
      <c r="AS121" s="123"/>
      <c r="AU121" s="2982"/>
      <c r="AV121" s="123"/>
      <c r="AW121" s="123"/>
      <c r="AX121" s="2983"/>
      <c r="AY121" s="2984"/>
      <c r="AZ121" s="2985"/>
      <c r="BA121" s="2986"/>
      <c r="BB121" s="2987"/>
      <c r="BC121" s="2988"/>
    </row>
    <row r="122" spans="1:55" ht="15" thickBot="1" x14ac:dyDescent="0.3">
      <c r="A122" s="3852"/>
      <c r="B122" s="1129"/>
      <c r="C122" s="1140"/>
      <c r="D122" s="3781"/>
      <c r="E122" s="1132"/>
      <c r="F122" s="3474"/>
      <c r="G122" s="3833"/>
      <c r="H122" s="3800"/>
      <c r="I122" s="3803"/>
      <c r="J122" s="3806"/>
      <c r="K122" s="3809"/>
      <c r="L122" s="3811"/>
      <c r="M122" s="3814"/>
      <c r="N122" s="3817"/>
      <c r="O122" s="3820"/>
      <c r="P122" s="3823"/>
      <c r="Q122" s="3826"/>
      <c r="R122" s="3787"/>
      <c r="S122" s="3476"/>
      <c r="T122" s="3474"/>
      <c r="U122" s="3476"/>
      <c r="V122" s="3474"/>
      <c r="W122" s="3476"/>
      <c r="X122" s="3858"/>
      <c r="Y122" s="3840"/>
      <c r="Z122" s="3644"/>
      <c r="AA122" s="3836"/>
      <c r="AB122" s="3906"/>
      <c r="AC122" s="3189">
        <f t="shared" si="43"/>
        <v>0</v>
      </c>
      <c r="AD122" s="3182" t="e">
        <f t="shared" si="44"/>
        <v>#N/A</v>
      </c>
      <c r="AE122" s="2482" t="s">
        <v>3955</v>
      </c>
      <c r="AG122">
        <v>0</v>
      </c>
      <c r="AH122" s="1363">
        <f t="shared" ref="AH122" si="45">Z122-AG122</f>
        <v>0</v>
      </c>
      <c r="AJ122" s="2351" t="e">
        <f t="shared" si="28"/>
        <v>#N/A</v>
      </c>
      <c r="AK122" s="2351" t="e">
        <f t="shared" si="29"/>
        <v>#N/A</v>
      </c>
      <c r="AL122" s="123" t="e">
        <f t="shared" si="27"/>
        <v>#N/A</v>
      </c>
      <c r="AR122" s="123"/>
      <c r="AS122" s="123"/>
      <c r="AU122" s="2982"/>
      <c r="AV122" s="123"/>
      <c r="AW122" s="123"/>
      <c r="AX122" s="2983"/>
      <c r="AY122" s="2984"/>
      <c r="AZ122" s="2985"/>
      <c r="BA122" s="2986"/>
      <c r="BB122" s="2987"/>
      <c r="BC122" s="2988"/>
    </row>
    <row r="123" spans="1:55" ht="15" thickTop="1" x14ac:dyDescent="0.25">
      <c r="A123" s="3850" t="s">
        <v>3912</v>
      </c>
      <c r="B123" s="1128" t="s">
        <v>1519</v>
      </c>
      <c r="C123" s="1138"/>
      <c r="D123" s="3779">
        <f>2.2*3</f>
        <v>6.6000000000000005</v>
      </c>
      <c r="E123" s="327" t="s">
        <v>3928</v>
      </c>
      <c r="F123" s="3491" t="s">
        <v>3929</v>
      </c>
      <c r="G123" s="3831" t="s">
        <v>3930</v>
      </c>
      <c r="H123" s="3798" t="str">
        <f>"4-DaHall 1-PDU-"&amp;L123&amp;"-"&amp;K123&amp;"-"&amp;M123</f>
        <v>4-DaHall 1-PDU-06-100-4</v>
      </c>
      <c r="I123" s="3801" t="str">
        <f>"4-DaHall 1-PDU-"&amp;P123&amp;"-"&amp;O123&amp;"-"&amp;Q123</f>
        <v>4-DaHall 1-PDU-05-100-4</v>
      </c>
      <c r="J123" s="3804">
        <v>220</v>
      </c>
      <c r="K123" s="3807">
        <v>100</v>
      </c>
      <c r="L123" s="3810" t="s">
        <v>6502</v>
      </c>
      <c r="M123" s="3812">
        <v>4</v>
      </c>
      <c r="N123" s="3815">
        <v>220</v>
      </c>
      <c r="O123" s="3818">
        <v>100</v>
      </c>
      <c r="P123" s="3821" t="s">
        <v>6491</v>
      </c>
      <c r="Q123" s="3824">
        <v>4</v>
      </c>
      <c r="R123" s="3785" t="s">
        <v>3886</v>
      </c>
      <c r="S123" s="3489" t="s">
        <v>3887</v>
      </c>
      <c r="T123" s="3491" t="s">
        <v>3888</v>
      </c>
      <c r="U123" s="3489" t="s">
        <v>3889</v>
      </c>
      <c r="V123" s="3491" t="s">
        <v>3744</v>
      </c>
      <c r="W123" s="3489" t="s">
        <v>3749</v>
      </c>
      <c r="X123" s="3856">
        <f>SUM('4층_부하량(월간_AVG)'!D22:F22)</f>
        <v>0</v>
      </c>
      <c r="Y123" s="3838">
        <f>SUM('4층_부하량(월간_AVG)'!N51:P51)</f>
        <v>0</v>
      </c>
      <c r="Z123" s="3837">
        <f t="shared" ref="Z123" si="46">SUM(X123:Y123)</f>
        <v>0</v>
      </c>
      <c r="AA123" s="3834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904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188">
        <f>VLOOKUP(H123&amp;I123,'7층~4층_매핑테이블'!$A$6:$H$2020,8,0)</f>
        <v>3.0380000000000003</v>
      </c>
      <c r="AD123" s="3181" t="e">
        <f>SUM(AA123:AB133)</f>
        <v>#N/A</v>
      </c>
      <c r="AE123" s="2479" t="s">
        <v>3931</v>
      </c>
      <c r="AG123">
        <v>14.5</v>
      </c>
      <c r="AH123" s="1363">
        <f t="shared" ref="AH123:AH154" si="47">Z123-AG123</f>
        <v>-14.5</v>
      </c>
      <c r="AJ123" s="2351" t="e">
        <f t="shared" si="28"/>
        <v>#N/A</v>
      </c>
      <c r="AK123" s="2351" t="e">
        <f t="shared" si="29"/>
        <v>#N/A</v>
      </c>
      <c r="AL123" s="123" t="e">
        <f t="shared" si="27"/>
        <v>#N/A</v>
      </c>
      <c r="AR123" s="123"/>
      <c r="AS123" s="123"/>
      <c r="AU123" s="2982"/>
      <c r="AV123" s="123"/>
      <c r="AW123" s="123"/>
      <c r="AX123" s="2983"/>
      <c r="AY123" s="2984"/>
      <c r="AZ123" s="2985"/>
      <c r="BA123" s="2986"/>
      <c r="BB123" s="2987"/>
      <c r="BC123" s="2988"/>
    </row>
    <row r="124" spans="1:55" x14ac:dyDescent="0.25">
      <c r="A124" s="3851"/>
      <c r="B124" s="2622" t="s">
        <v>1520</v>
      </c>
      <c r="C124" s="1139"/>
      <c r="D124" s="3780"/>
      <c r="E124" s="250" t="s">
        <v>3932</v>
      </c>
      <c r="F124" s="3477"/>
      <c r="G124" s="3832"/>
      <c r="H124" s="3799"/>
      <c r="I124" s="3802"/>
      <c r="J124" s="3805"/>
      <c r="K124" s="3808"/>
      <c r="L124" s="3651"/>
      <c r="M124" s="3813"/>
      <c r="N124" s="3816"/>
      <c r="O124" s="3819"/>
      <c r="P124" s="3822"/>
      <c r="Q124" s="3825"/>
      <c r="R124" s="3786"/>
      <c r="S124" s="3478"/>
      <c r="T124" s="3477"/>
      <c r="U124" s="3478"/>
      <c r="V124" s="3477"/>
      <c r="W124" s="3478"/>
      <c r="X124" s="3857"/>
      <c r="Y124" s="3839"/>
      <c r="Z124" s="3637"/>
      <c r="AA124" s="3835"/>
      <c r="AB124" s="3905"/>
      <c r="AC124" s="3189">
        <f>$AC$123</f>
        <v>3.0380000000000003</v>
      </c>
      <c r="AD124" s="3182" t="e">
        <f>$AD$123</f>
        <v>#N/A</v>
      </c>
      <c r="AE124" s="2919" t="s">
        <v>3931</v>
      </c>
      <c r="AG124">
        <v>0</v>
      </c>
      <c r="AH124" s="1363">
        <f t="shared" si="47"/>
        <v>0</v>
      </c>
      <c r="AJ124" s="2351" t="e">
        <f t="shared" si="28"/>
        <v>#N/A</v>
      </c>
      <c r="AK124" s="2351" t="e">
        <f t="shared" si="29"/>
        <v>#N/A</v>
      </c>
      <c r="AL124" s="123" t="e">
        <f t="shared" si="27"/>
        <v>#N/A</v>
      </c>
      <c r="AR124" s="123"/>
      <c r="AS124" s="123"/>
      <c r="AU124" s="2982"/>
      <c r="AV124" s="123"/>
      <c r="AW124" s="123"/>
      <c r="AX124" s="2983"/>
      <c r="AY124" s="2984"/>
      <c r="AZ124" s="2985"/>
      <c r="BA124" s="2986"/>
      <c r="BB124" s="2987"/>
      <c r="BC124" s="2988"/>
    </row>
    <row r="125" spans="1:55" x14ac:dyDescent="0.25">
      <c r="A125" s="3851"/>
      <c r="B125" s="2622" t="s">
        <v>1526</v>
      </c>
      <c r="C125" s="1139"/>
      <c r="D125" s="3780"/>
      <c r="E125" s="250" t="s">
        <v>3933</v>
      </c>
      <c r="F125" s="3477"/>
      <c r="G125" s="3832"/>
      <c r="H125" s="3799"/>
      <c r="I125" s="3802"/>
      <c r="J125" s="3805"/>
      <c r="K125" s="3808"/>
      <c r="L125" s="3651"/>
      <c r="M125" s="3813"/>
      <c r="N125" s="3816"/>
      <c r="O125" s="3819"/>
      <c r="P125" s="3822"/>
      <c r="Q125" s="3825"/>
      <c r="R125" s="3786"/>
      <c r="S125" s="3478"/>
      <c r="T125" s="3477"/>
      <c r="U125" s="3478"/>
      <c r="V125" s="3477"/>
      <c r="W125" s="3478"/>
      <c r="X125" s="3857"/>
      <c r="Y125" s="3839"/>
      <c r="Z125" s="3637"/>
      <c r="AA125" s="3835"/>
      <c r="AB125" s="3905"/>
      <c r="AC125" s="3189">
        <f t="shared" ref="AC125:AC133" si="48">$AC$123</f>
        <v>3.0380000000000003</v>
      </c>
      <c r="AD125" s="3182" t="e">
        <f t="shared" ref="AD125:AD133" si="49">$AD$123</f>
        <v>#N/A</v>
      </c>
      <c r="AE125" s="2919" t="s">
        <v>3931</v>
      </c>
      <c r="AG125">
        <v>0</v>
      </c>
      <c r="AH125" s="1363">
        <f t="shared" si="47"/>
        <v>0</v>
      </c>
      <c r="AJ125" s="2351" t="e">
        <f t="shared" si="28"/>
        <v>#N/A</v>
      </c>
      <c r="AK125" s="2351" t="e">
        <f t="shared" si="29"/>
        <v>#N/A</v>
      </c>
      <c r="AL125" s="123" t="e">
        <f t="shared" si="27"/>
        <v>#N/A</v>
      </c>
      <c r="AR125" s="123"/>
      <c r="AS125" s="123"/>
      <c r="AU125" s="2982"/>
      <c r="AV125" s="123"/>
      <c r="AW125" s="123"/>
      <c r="AX125" s="2983"/>
      <c r="AY125" s="2984"/>
      <c r="AZ125" s="2985"/>
      <c r="BA125" s="2986"/>
      <c r="BB125" s="2987"/>
      <c r="BC125" s="2988"/>
    </row>
    <row r="126" spans="1:55" x14ac:dyDescent="0.25">
      <c r="A126" s="3851"/>
      <c r="B126" s="2622" t="s">
        <v>1533</v>
      </c>
      <c r="C126" s="1139"/>
      <c r="D126" s="3780"/>
      <c r="E126" s="250" t="s">
        <v>3934</v>
      </c>
      <c r="F126" s="3477"/>
      <c r="G126" s="3832"/>
      <c r="H126" s="3799"/>
      <c r="I126" s="3802"/>
      <c r="J126" s="3805"/>
      <c r="K126" s="3808"/>
      <c r="L126" s="3651"/>
      <c r="M126" s="3813"/>
      <c r="N126" s="3816"/>
      <c r="O126" s="3819"/>
      <c r="P126" s="3822"/>
      <c r="Q126" s="3825"/>
      <c r="R126" s="3786"/>
      <c r="S126" s="3478"/>
      <c r="T126" s="3477"/>
      <c r="U126" s="3478"/>
      <c r="V126" s="3477"/>
      <c r="W126" s="3478"/>
      <c r="X126" s="3857"/>
      <c r="Y126" s="3839"/>
      <c r="Z126" s="3637"/>
      <c r="AA126" s="3835"/>
      <c r="AB126" s="3905"/>
      <c r="AC126" s="3189">
        <f t="shared" si="48"/>
        <v>3.0380000000000003</v>
      </c>
      <c r="AD126" s="3182" t="e">
        <f t="shared" si="49"/>
        <v>#N/A</v>
      </c>
      <c r="AE126" s="2919"/>
      <c r="AG126">
        <v>0</v>
      </c>
      <c r="AH126" s="1363">
        <f t="shared" si="47"/>
        <v>0</v>
      </c>
      <c r="AJ126" s="2351" t="e">
        <f t="shared" si="28"/>
        <v>#N/A</v>
      </c>
      <c r="AK126" s="2351" t="e">
        <f t="shared" si="29"/>
        <v>#N/A</v>
      </c>
      <c r="AL126" s="123" t="e">
        <f t="shared" si="27"/>
        <v>#N/A</v>
      </c>
      <c r="AR126" s="123"/>
      <c r="AS126" s="123"/>
      <c r="AU126" s="2982"/>
      <c r="AV126" s="123"/>
      <c r="AW126" s="123"/>
      <c r="AX126" s="2983"/>
      <c r="AY126" s="2984"/>
      <c r="AZ126" s="2985"/>
      <c r="BA126" s="2986"/>
      <c r="BB126" s="2987"/>
      <c r="BC126" s="2988"/>
    </row>
    <row r="127" spans="1:55" x14ac:dyDescent="0.25">
      <c r="A127" s="3851"/>
      <c r="B127" s="2622" t="s">
        <v>1539</v>
      </c>
      <c r="C127" s="1139"/>
      <c r="D127" s="3780"/>
      <c r="E127" s="250" t="s">
        <v>3935</v>
      </c>
      <c r="F127" s="3477"/>
      <c r="G127" s="3832"/>
      <c r="H127" s="3799"/>
      <c r="I127" s="3802"/>
      <c r="J127" s="3805"/>
      <c r="K127" s="3808"/>
      <c r="L127" s="3651"/>
      <c r="M127" s="3813"/>
      <c r="N127" s="3816"/>
      <c r="O127" s="3819"/>
      <c r="P127" s="3822"/>
      <c r="Q127" s="3825"/>
      <c r="R127" s="3786"/>
      <c r="S127" s="3478"/>
      <c r="T127" s="3477"/>
      <c r="U127" s="3478"/>
      <c r="V127" s="3477"/>
      <c r="W127" s="3478"/>
      <c r="X127" s="3857"/>
      <c r="Y127" s="3839"/>
      <c r="Z127" s="3637"/>
      <c r="AA127" s="3835"/>
      <c r="AB127" s="3905"/>
      <c r="AC127" s="3189">
        <f t="shared" si="48"/>
        <v>3.0380000000000003</v>
      </c>
      <c r="AD127" s="3182" t="e">
        <f t="shared" si="49"/>
        <v>#N/A</v>
      </c>
      <c r="AE127" s="2919"/>
      <c r="AG127">
        <v>0</v>
      </c>
      <c r="AH127" s="1363">
        <f t="shared" si="47"/>
        <v>0</v>
      </c>
      <c r="AJ127" s="2351" t="e">
        <f t="shared" si="28"/>
        <v>#N/A</v>
      </c>
      <c r="AK127" s="2351" t="e">
        <f t="shared" si="29"/>
        <v>#N/A</v>
      </c>
      <c r="AL127" s="123" t="e">
        <f t="shared" si="27"/>
        <v>#N/A</v>
      </c>
      <c r="AR127" s="123"/>
      <c r="AS127" s="123"/>
      <c r="AU127" s="2982"/>
      <c r="AV127" s="123"/>
      <c r="AW127" s="123"/>
      <c r="AX127" s="2983"/>
      <c r="AY127" s="2984"/>
      <c r="AZ127" s="2985"/>
      <c r="BA127" s="2986"/>
      <c r="BB127" s="2987"/>
      <c r="BC127" s="2988"/>
    </row>
    <row r="128" spans="1:55" ht="21.6" x14ac:dyDescent="0.25">
      <c r="A128" s="3851"/>
      <c r="B128" s="2622" t="s">
        <v>1545</v>
      </c>
      <c r="C128" s="1139" t="s">
        <v>9185</v>
      </c>
      <c r="D128" s="3780"/>
      <c r="E128" s="2621" t="s">
        <v>3936</v>
      </c>
      <c r="F128" s="3477"/>
      <c r="G128" s="3832"/>
      <c r="H128" s="3799"/>
      <c r="I128" s="3802"/>
      <c r="J128" s="3805"/>
      <c r="K128" s="3808"/>
      <c r="L128" s="3651"/>
      <c r="M128" s="3813"/>
      <c r="N128" s="3816"/>
      <c r="O128" s="3819"/>
      <c r="P128" s="3822"/>
      <c r="Q128" s="3825"/>
      <c r="R128" s="3786"/>
      <c r="S128" s="3478"/>
      <c r="T128" s="3477"/>
      <c r="U128" s="3478"/>
      <c r="V128" s="3477"/>
      <c r="W128" s="3478"/>
      <c r="X128" s="3857"/>
      <c r="Y128" s="3839"/>
      <c r="Z128" s="3637"/>
      <c r="AA128" s="3835"/>
      <c r="AB128" s="3905"/>
      <c r="AC128" s="3189">
        <f t="shared" si="48"/>
        <v>3.0380000000000003</v>
      </c>
      <c r="AD128" s="3182" t="e">
        <f t="shared" si="49"/>
        <v>#N/A</v>
      </c>
      <c r="AE128" s="2919"/>
      <c r="AG128">
        <v>0</v>
      </c>
      <c r="AH128" s="1363">
        <f t="shared" si="47"/>
        <v>0</v>
      </c>
      <c r="AJ128" s="2351" t="e">
        <f t="shared" si="28"/>
        <v>#N/A</v>
      </c>
      <c r="AK128" s="2351" t="e">
        <f t="shared" si="29"/>
        <v>#N/A</v>
      </c>
      <c r="AL128" s="123" t="e">
        <f t="shared" si="27"/>
        <v>#N/A</v>
      </c>
      <c r="AR128" s="123"/>
      <c r="AS128" s="123"/>
      <c r="AU128" s="2982"/>
      <c r="AV128" s="123"/>
      <c r="AW128" s="123"/>
      <c r="AX128" s="2983"/>
      <c r="AY128" s="2984"/>
      <c r="AZ128" s="2985"/>
      <c r="BA128" s="2986"/>
      <c r="BB128" s="2987"/>
      <c r="BC128" s="2988"/>
    </row>
    <row r="129" spans="1:55" x14ac:dyDescent="0.25">
      <c r="A129" s="3851"/>
      <c r="B129" s="2622" t="s">
        <v>1551</v>
      </c>
      <c r="C129" s="1139"/>
      <c r="D129" s="3780"/>
      <c r="E129" s="250" t="s">
        <v>3937</v>
      </c>
      <c r="F129" s="3477"/>
      <c r="G129" s="3832"/>
      <c r="H129" s="3799"/>
      <c r="I129" s="3802"/>
      <c r="J129" s="3805"/>
      <c r="K129" s="3808"/>
      <c r="L129" s="3651"/>
      <c r="M129" s="3813"/>
      <c r="N129" s="3816"/>
      <c r="O129" s="3819"/>
      <c r="P129" s="3822"/>
      <c r="Q129" s="3825"/>
      <c r="R129" s="3786"/>
      <c r="S129" s="3478"/>
      <c r="T129" s="3477"/>
      <c r="U129" s="3478"/>
      <c r="V129" s="3477"/>
      <c r="W129" s="3478"/>
      <c r="X129" s="3857"/>
      <c r="Y129" s="3839"/>
      <c r="Z129" s="3637"/>
      <c r="AA129" s="3835"/>
      <c r="AB129" s="3905"/>
      <c r="AC129" s="3189">
        <f t="shared" si="48"/>
        <v>3.0380000000000003</v>
      </c>
      <c r="AD129" s="3182" t="e">
        <f t="shared" si="49"/>
        <v>#N/A</v>
      </c>
      <c r="AE129" s="2919"/>
      <c r="AG129">
        <v>0</v>
      </c>
      <c r="AH129" s="1363">
        <f t="shared" si="47"/>
        <v>0</v>
      </c>
      <c r="AJ129" s="2351" t="e">
        <f t="shared" si="28"/>
        <v>#N/A</v>
      </c>
      <c r="AK129" s="2351" t="e">
        <f t="shared" si="29"/>
        <v>#N/A</v>
      </c>
      <c r="AL129" s="123" t="e">
        <f t="shared" si="27"/>
        <v>#N/A</v>
      </c>
      <c r="AR129" s="123"/>
      <c r="AS129" s="123"/>
      <c r="AU129" s="2982"/>
      <c r="AV129" s="123"/>
      <c r="AW129" s="123"/>
      <c r="AX129" s="2983"/>
      <c r="AY129" s="2984"/>
      <c r="AZ129" s="2985"/>
      <c r="BA129" s="2986"/>
      <c r="BB129" s="2987"/>
      <c r="BC129" s="2988"/>
    </row>
    <row r="130" spans="1:55" ht="21.6" x14ac:dyDescent="0.25">
      <c r="A130" s="3851"/>
      <c r="B130" s="2622" t="s">
        <v>1557</v>
      </c>
      <c r="C130" s="1139" t="s">
        <v>9185</v>
      </c>
      <c r="D130" s="3780"/>
      <c r="E130" s="2621" t="s">
        <v>3938</v>
      </c>
      <c r="F130" s="3477"/>
      <c r="G130" s="3832"/>
      <c r="H130" s="3799"/>
      <c r="I130" s="3802"/>
      <c r="J130" s="3805"/>
      <c r="K130" s="3808"/>
      <c r="L130" s="3651"/>
      <c r="M130" s="3813"/>
      <c r="N130" s="3816"/>
      <c r="O130" s="3819"/>
      <c r="P130" s="3822"/>
      <c r="Q130" s="3825"/>
      <c r="R130" s="3786"/>
      <c r="S130" s="3478"/>
      <c r="T130" s="3477"/>
      <c r="U130" s="3478"/>
      <c r="V130" s="3477"/>
      <c r="W130" s="3478"/>
      <c r="X130" s="3857"/>
      <c r="Y130" s="3839"/>
      <c r="Z130" s="3637"/>
      <c r="AA130" s="3835"/>
      <c r="AB130" s="3905"/>
      <c r="AC130" s="3189">
        <f t="shared" si="48"/>
        <v>3.0380000000000003</v>
      </c>
      <c r="AD130" s="3182" t="e">
        <f t="shared" si="49"/>
        <v>#N/A</v>
      </c>
      <c r="AE130" s="2919"/>
      <c r="AG130">
        <v>0</v>
      </c>
      <c r="AH130" s="1363">
        <f t="shared" si="47"/>
        <v>0</v>
      </c>
      <c r="AJ130" s="2351" t="e">
        <f t="shared" si="28"/>
        <v>#N/A</v>
      </c>
      <c r="AK130" s="2351" t="e">
        <f t="shared" si="29"/>
        <v>#N/A</v>
      </c>
      <c r="AL130" s="123" t="e">
        <f t="shared" si="27"/>
        <v>#N/A</v>
      </c>
      <c r="AR130" s="123"/>
      <c r="AS130" s="123"/>
      <c r="AU130" s="2982"/>
      <c r="AV130" s="123"/>
      <c r="AW130" s="123"/>
      <c r="AX130" s="2983"/>
      <c r="AY130" s="2984"/>
      <c r="AZ130" s="2985"/>
      <c r="BA130" s="2986"/>
      <c r="BB130" s="2987"/>
      <c r="BC130" s="2988"/>
    </row>
    <row r="131" spans="1:55" ht="21.6" x14ac:dyDescent="0.25">
      <c r="A131" s="3851"/>
      <c r="B131" s="2622" t="s">
        <v>1563</v>
      </c>
      <c r="C131" s="1139" t="s">
        <v>9185</v>
      </c>
      <c r="D131" s="3780"/>
      <c r="E131" s="2621" t="s">
        <v>3939</v>
      </c>
      <c r="F131" s="3477"/>
      <c r="G131" s="3832"/>
      <c r="H131" s="3799"/>
      <c r="I131" s="3802"/>
      <c r="J131" s="3805"/>
      <c r="K131" s="3808"/>
      <c r="L131" s="3651"/>
      <c r="M131" s="3813"/>
      <c r="N131" s="3816"/>
      <c r="O131" s="3819"/>
      <c r="P131" s="3822"/>
      <c r="Q131" s="3825"/>
      <c r="R131" s="3786"/>
      <c r="S131" s="3478"/>
      <c r="T131" s="3477"/>
      <c r="U131" s="3478"/>
      <c r="V131" s="3477"/>
      <c r="W131" s="3478"/>
      <c r="X131" s="3857"/>
      <c r="Y131" s="3839"/>
      <c r="Z131" s="3637"/>
      <c r="AA131" s="3835"/>
      <c r="AB131" s="3905"/>
      <c r="AC131" s="3189">
        <f t="shared" si="48"/>
        <v>3.0380000000000003</v>
      </c>
      <c r="AD131" s="3182" t="e">
        <f t="shared" si="49"/>
        <v>#N/A</v>
      </c>
      <c r="AE131" s="2919"/>
      <c r="AG131">
        <v>0</v>
      </c>
      <c r="AH131" s="1363">
        <f t="shared" si="47"/>
        <v>0</v>
      </c>
      <c r="AJ131" s="2351" t="e">
        <f t="shared" si="28"/>
        <v>#N/A</v>
      </c>
      <c r="AK131" s="2351" t="e">
        <f t="shared" si="29"/>
        <v>#N/A</v>
      </c>
      <c r="AL131" s="123" t="e">
        <f t="shared" si="27"/>
        <v>#N/A</v>
      </c>
      <c r="AR131" s="123"/>
      <c r="AS131" s="123"/>
      <c r="AU131" s="2982"/>
      <c r="AV131" s="123"/>
      <c r="AW131" s="123"/>
      <c r="AX131" s="2983"/>
      <c r="AY131" s="2984"/>
      <c r="AZ131" s="2985"/>
      <c r="BA131" s="2986"/>
      <c r="BB131" s="2987"/>
      <c r="BC131" s="2988"/>
    </row>
    <row r="132" spans="1:55" x14ac:dyDescent="0.25">
      <c r="A132" s="3851"/>
      <c r="B132" s="2622" t="s">
        <v>1569</v>
      </c>
      <c r="C132" s="1139"/>
      <c r="D132" s="3780"/>
      <c r="E132" s="250" t="s">
        <v>3940</v>
      </c>
      <c r="F132" s="3477"/>
      <c r="G132" s="3832"/>
      <c r="H132" s="3799"/>
      <c r="I132" s="3802"/>
      <c r="J132" s="3805"/>
      <c r="K132" s="3808"/>
      <c r="L132" s="3651"/>
      <c r="M132" s="3813"/>
      <c r="N132" s="3816"/>
      <c r="O132" s="3819"/>
      <c r="P132" s="3822"/>
      <c r="Q132" s="3825"/>
      <c r="R132" s="3786"/>
      <c r="S132" s="3478"/>
      <c r="T132" s="3477"/>
      <c r="U132" s="3478"/>
      <c r="V132" s="3477"/>
      <c r="W132" s="3478"/>
      <c r="X132" s="3857"/>
      <c r="Y132" s="3839"/>
      <c r="Z132" s="3637"/>
      <c r="AA132" s="3835"/>
      <c r="AB132" s="3905"/>
      <c r="AC132" s="3189">
        <f t="shared" si="48"/>
        <v>3.0380000000000003</v>
      </c>
      <c r="AD132" s="3182" t="e">
        <f t="shared" si="49"/>
        <v>#N/A</v>
      </c>
      <c r="AE132" s="2919" t="s">
        <v>3931</v>
      </c>
      <c r="AG132">
        <v>0</v>
      </c>
      <c r="AH132" s="1363">
        <f t="shared" si="47"/>
        <v>0</v>
      </c>
      <c r="AJ132" s="2351" t="e">
        <f t="shared" si="28"/>
        <v>#N/A</v>
      </c>
      <c r="AK132" s="2351" t="e">
        <f t="shared" si="29"/>
        <v>#N/A</v>
      </c>
      <c r="AL132" s="123" t="e">
        <f t="shared" si="27"/>
        <v>#N/A</v>
      </c>
      <c r="AR132" s="123"/>
      <c r="AS132" s="123"/>
      <c r="AU132" s="2982"/>
      <c r="AV132" s="123"/>
      <c r="AW132" s="123"/>
      <c r="AX132" s="2983"/>
      <c r="AY132" s="2984"/>
      <c r="AZ132" s="2985"/>
      <c r="BA132" s="2986"/>
      <c r="BB132" s="2987"/>
      <c r="BC132" s="2988"/>
    </row>
    <row r="133" spans="1:55" ht="15" thickBot="1" x14ac:dyDescent="0.3">
      <c r="A133" s="3852"/>
      <c r="B133" s="1129" t="s">
        <v>3941</v>
      </c>
      <c r="C133" s="1140"/>
      <c r="D133" s="3781"/>
      <c r="E133" s="2629" t="s">
        <v>3942</v>
      </c>
      <c r="F133" s="3474"/>
      <c r="G133" s="3833"/>
      <c r="H133" s="3800"/>
      <c r="I133" s="3803"/>
      <c r="J133" s="3806"/>
      <c r="K133" s="3809"/>
      <c r="L133" s="3811"/>
      <c r="M133" s="3814"/>
      <c r="N133" s="3817"/>
      <c r="O133" s="3820"/>
      <c r="P133" s="3823"/>
      <c r="Q133" s="3826"/>
      <c r="R133" s="3787"/>
      <c r="S133" s="3476"/>
      <c r="T133" s="3474"/>
      <c r="U133" s="3476"/>
      <c r="V133" s="3474"/>
      <c r="W133" s="3476"/>
      <c r="X133" s="3858"/>
      <c r="Y133" s="3840"/>
      <c r="Z133" s="3644"/>
      <c r="AA133" s="3836"/>
      <c r="AB133" s="3906"/>
      <c r="AC133" s="3189">
        <f t="shared" si="48"/>
        <v>3.0380000000000003</v>
      </c>
      <c r="AD133" s="3182" t="e">
        <f t="shared" si="49"/>
        <v>#N/A</v>
      </c>
      <c r="AE133" s="2480" t="s">
        <v>3931</v>
      </c>
      <c r="AG133">
        <v>0</v>
      </c>
      <c r="AH133" s="1363">
        <f t="shared" si="47"/>
        <v>0</v>
      </c>
      <c r="AJ133" s="2351" t="e">
        <f t="shared" si="28"/>
        <v>#N/A</v>
      </c>
      <c r="AK133" s="2351" t="e">
        <f t="shared" si="29"/>
        <v>#N/A</v>
      </c>
      <c r="AL133" s="123" t="e">
        <f t="shared" ref="AL133:AL196" si="50">IF(SIGN(AK133)&gt;=0,IF(AD133=0,"무부하 랙","적정함"),"사용초과")</f>
        <v>#N/A</v>
      </c>
      <c r="AR133" s="123"/>
      <c r="AS133" s="123"/>
      <c r="AU133" s="2982"/>
      <c r="AV133" s="123"/>
      <c r="AW133" s="123"/>
      <c r="AX133" s="2983"/>
      <c r="AY133" s="2984"/>
      <c r="AZ133" s="2985"/>
      <c r="BA133" s="2986"/>
      <c r="BB133" s="2987"/>
      <c r="BC133" s="2988"/>
    </row>
    <row r="134" spans="1:55" ht="22.2" thickTop="1" x14ac:dyDescent="0.25">
      <c r="A134" s="3850" t="s">
        <v>3899</v>
      </c>
      <c r="B134" s="1128" t="s">
        <v>513</v>
      </c>
      <c r="C134" s="1138" t="s">
        <v>9186</v>
      </c>
      <c r="D134" s="3853">
        <f>2.2*2+1.1</f>
        <v>5.5</v>
      </c>
      <c r="E134" s="993" t="s">
        <v>3913</v>
      </c>
      <c r="F134" s="3491" t="s">
        <v>3914</v>
      </c>
      <c r="G134" s="3831" t="s">
        <v>3915</v>
      </c>
      <c r="H134" s="3798" t="str">
        <f>"4-DaHall 1-PDU-"&amp;L134&amp;"-"&amp;K134&amp;"-"&amp;M134</f>
        <v>4-DaHall 1-PDU-06-100-3</v>
      </c>
      <c r="I134" s="3801" t="str">
        <f>"4-DaHall 1-PDU-"&amp;P134&amp;"-"&amp;O134&amp;"-"&amp;Q134</f>
        <v>4-DaHall 1-PDU-05-100-3</v>
      </c>
      <c r="J134" s="3804">
        <v>220</v>
      </c>
      <c r="K134" s="3807">
        <v>100</v>
      </c>
      <c r="L134" s="3810" t="s">
        <v>6502</v>
      </c>
      <c r="M134" s="3812">
        <v>3</v>
      </c>
      <c r="N134" s="3815">
        <v>220</v>
      </c>
      <c r="O134" s="3818">
        <v>100</v>
      </c>
      <c r="P134" s="3821" t="s">
        <v>6491</v>
      </c>
      <c r="Q134" s="3824">
        <v>3</v>
      </c>
      <c r="R134" s="3785" t="s">
        <v>3886</v>
      </c>
      <c r="S134" s="3489" t="s">
        <v>3887</v>
      </c>
      <c r="T134" s="3491" t="s">
        <v>3888</v>
      </c>
      <c r="U134" s="3489" t="s">
        <v>3889</v>
      </c>
      <c r="V134" s="3491" t="s">
        <v>3744</v>
      </c>
      <c r="W134" s="3489" t="s">
        <v>3749</v>
      </c>
      <c r="X134" s="3856">
        <f>SUM('4층_부하량(월간_AVG)'!D21:F21)</f>
        <v>0</v>
      </c>
      <c r="Y134" s="3838">
        <f>SUM('4층_부하량(월간_AVG)'!N50:P50)</f>
        <v>0</v>
      </c>
      <c r="Z134" s="3859">
        <f t="shared" ref="Z134" si="51">SUM(X134:Y134)</f>
        <v>0</v>
      </c>
      <c r="AA134" s="3834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904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188">
        <f>VLOOKUP(H134&amp;I134,'7층~4층_매핑테이블'!$A$6:$H$2020,8,0)</f>
        <v>3.484</v>
      </c>
      <c r="AD134" s="3181" t="e">
        <f>SUM(AA134:AB144)</f>
        <v>#N/A</v>
      </c>
      <c r="AE134" s="2474"/>
      <c r="AG134">
        <v>17.399999999999999</v>
      </c>
      <c r="AH134" s="1363">
        <f t="shared" si="47"/>
        <v>-17.399999999999999</v>
      </c>
      <c r="AJ134" s="2351" t="e">
        <f t="shared" ref="AJ134:AJ197" si="52">AD134/(24*31)</f>
        <v>#N/A</v>
      </c>
      <c r="AK134" s="2351" t="e">
        <f t="shared" ref="AK134:AK197" si="53">D134-AJ134</f>
        <v>#N/A</v>
      </c>
      <c r="AL134" s="123" t="e">
        <f t="shared" si="50"/>
        <v>#N/A</v>
      </c>
      <c r="AR134" s="123"/>
      <c r="AS134" s="123"/>
      <c r="AU134" s="2982"/>
      <c r="AV134" s="123"/>
      <c r="AW134" s="123"/>
      <c r="AX134" s="2983"/>
      <c r="AY134" s="2984"/>
      <c r="AZ134" s="2985"/>
      <c r="BA134" s="2986"/>
      <c r="BB134" s="2987"/>
      <c r="BC134" s="2988"/>
    </row>
    <row r="135" spans="1:55" x14ac:dyDescent="0.25">
      <c r="A135" s="3851"/>
      <c r="B135" s="2622" t="s">
        <v>1456</v>
      </c>
      <c r="C135" s="1139"/>
      <c r="D135" s="3854"/>
      <c r="E135" s="250" t="s">
        <v>3916</v>
      </c>
      <c r="F135" s="3477"/>
      <c r="G135" s="3832"/>
      <c r="H135" s="3799"/>
      <c r="I135" s="3802"/>
      <c r="J135" s="3805"/>
      <c r="K135" s="3808"/>
      <c r="L135" s="3651"/>
      <c r="M135" s="3813"/>
      <c r="N135" s="3816"/>
      <c r="O135" s="3819"/>
      <c r="P135" s="3822"/>
      <c r="Q135" s="3825"/>
      <c r="R135" s="3786"/>
      <c r="S135" s="3478"/>
      <c r="T135" s="3477"/>
      <c r="U135" s="3478"/>
      <c r="V135" s="3477"/>
      <c r="W135" s="3478"/>
      <c r="X135" s="3857"/>
      <c r="Y135" s="3839"/>
      <c r="Z135" s="3860"/>
      <c r="AA135" s="3835"/>
      <c r="AB135" s="3905"/>
      <c r="AC135" s="3189">
        <f>$AC$134</f>
        <v>3.484</v>
      </c>
      <c r="AD135" s="3182" t="e">
        <f>$AD$134</f>
        <v>#N/A</v>
      </c>
      <c r="AE135" s="2475"/>
      <c r="AG135">
        <v>0</v>
      </c>
      <c r="AH135" s="1363">
        <f t="shared" si="47"/>
        <v>0</v>
      </c>
      <c r="AJ135" s="2351" t="e">
        <f t="shared" si="52"/>
        <v>#N/A</v>
      </c>
      <c r="AK135" s="2351" t="e">
        <f t="shared" si="53"/>
        <v>#N/A</v>
      </c>
      <c r="AL135" s="123" t="e">
        <f t="shared" si="50"/>
        <v>#N/A</v>
      </c>
      <c r="AR135" s="123"/>
      <c r="AS135" s="123"/>
      <c r="AU135" s="2982"/>
      <c r="AV135" s="123"/>
      <c r="AW135" s="123"/>
      <c r="AX135" s="2983"/>
      <c r="AY135" s="2984"/>
      <c r="AZ135" s="2985"/>
      <c r="BA135" s="2986"/>
      <c r="BB135" s="2987"/>
      <c r="BC135" s="2988"/>
    </row>
    <row r="136" spans="1:55" ht="32.4" x14ac:dyDescent="0.25">
      <c r="A136" s="3851"/>
      <c r="B136" s="2622" t="s">
        <v>1467</v>
      </c>
      <c r="C136" s="1139" t="s">
        <v>9202</v>
      </c>
      <c r="D136" s="3854"/>
      <c r="E136" s="2621" t="s">
        <v>3918</v>
      </c>
      <c r="F136" s="3477"/>
      <c r="G136" s="3832"/>
      <c r="H136" s="3799"/>
      <c r="I136" s="3802"/>
      <c r="J136" s="3805"/>
      <c r="K136" s="3808"/>
      <c r="L136" s="3651"/>
      <c r="M136" s="3813"/>
      <c r="N136" s="3816"/>
      <c r="O136" s="3819"/>
      <c r="P136" s="3822"/>
      <c r="Q136" s="3825"/>
      <c r="R136" s="3786"/>
      <c r="S136" s="3478"/>
      <c r="T136" s="3477"/>
      <c r="U136" s="3478"/>
      <c r="V136" s="3477"/>
      <c r="W136" s="3478"/>
      <c r="X136" s="3857"/>
      <c r="Y136" s="3839"/>
      <c r="Z136" s="3860"/>
      <c r="AA136" s="3835"/>
      <c r="AB136" s="3905"/>
      <c r="AC136" s="3189">
        <f t="shared" ref="AC136:AC144" si="54">$AC$134</f>
        <v>3.484</v>
      </c>
      <c r="AD136" s="3182" t="e">
        <f t="shared" ref="AD136:AD144" si="55">$AD$134</f>
        <v>#N/A</v>
      </c>
      <c r="AE136" s="2475"/>
      <c r="AG136">
        <v>0</v>
      </c>
      <c r="AH136" s="1363">
        <f t="shared" si="47"/>
        <v>0</v>
      </c>
      <c r="AJ136" s="2351" t="e">
        <f t="shared" si="52"/>
        <v>#N/A</v>
      </c>
      <c r="AK136" s="2351" t="e">
        <f t="shared" si="53"/>
        <v>#N/A</v>
      </c>
      <c r="AL136" s="123" t="e">
        <f t="shared" si="50"/>
        <v>#N/A</v>
      </c>
      <c r="AR136" s="123"/>
      <c r="AS136" s="123"/>
      <c r="AU136" s="2982"/>
      <c r="AV136" s="123"/>
      <c r="AW136" s="123"/>
      <c r="AX136" s="2983"/>
      <c r="AY136" s="2984"/>
      <c r="AZ136" s="2985"/>
      <c r="BA136" s="2986"/>
      <c r="BB136" s="2987"/>
      <c r="BC136" s="2988"/>
    </row>
    <row r="137" spans="1:55" ht="32.4" x14ac:dyDescent="0.25">
      <c r="A137" s="3851"/>
      <c r="B137" s="2622" t="s">
        <v>1474</v>
      </c>
      <c r="C137" s="1139" t="s">
        <v>9202</v>
      </c>
      <c r="D137" s="3854"/>
      <c r="E137" s="2621" t="s">
        <v>3919</v>
      </c>
      <c r="F137" s="3477"/>
      <c r="G137" s="3832"/>
      <c r="H137" s="3799"/>
      <c r="I137" s="3802"/>
      <c r="J137" s="3805"/>
      <c r="K137" s="3808"/>
      <c r="L137" s="3651"/>
      <c r="M137" s="3813"/>
      <c r="N137" s="3816"/>
      <c r="O137" s="3819"/>
      <c r="P137" s="3822"/>
      <c r="Q137" s="3825"/>
      <c r="R137" s="3786"/>
      <c r="S137" s="3478"/>
      <c r="T137" s="3477"/>
      <c r="U137" s="3478"/>
      <c r="V137" s="3477"/>
      <c r="W137" s="3478"/>
      <c r="X137" s="3857"/>
      <c r="Y137" s="3839"/>
      <c r="Z137" s="3860"/>
      <c r="AA137" s="3835"/>
      <c r="AB137" s="3905"/>
      <c r="AC137" s="3189">
        <f t="shared" si="54"/>
        <v>3.484</v>
      </c>
      <c r="AD137" s="3182" t="e">
        <f t="shared" si="55"/>
        <v>#N/A</v>
      </c>
      <c r="AE137" s="2475"/>
      <c r="AG137">
        <v>0</v>
      </c>
      <c r="AH137" s="1363">
        <f t="shared" si="47"/>
        <v>0</v>
      </c>
      <c r="AJ137" s="2351" t="e">
        <f t="shared" si="52"/>
        <v>#N/A</v>
      </c>
      <c r="AK137" s="2351" t="e">
        <f t="shared" si="53"/>
        <v>#N/A</v>
      </c>
      <c r="AL137" s="123" t="e">
        <f t="shared" si="50"/>
        <v>#N/A</v>
      </c>
      <c r="AR137" s="123"/>
      <c r="AS137" s="123"/>
      <c r="AU137" s="2982"/>
      <c r="AV137" s="123"/>
      <c r="AW137" s="123"/>
      <c r="AX137" s="2983"/>
      <c r="AY137" s="2984"/>
      <c r="AZ137" s="2985"/>
      <c r="BA137" s="2986"/>
      <c r="BB137" s="2987"/>
      <c r="BC137" s="2988"/>
    </row>
    <row r="138" spans="1:55" x14ac:dyDescent="0.25">
      <c r="A138" s="3851"/>
      <c r="B138" s="2622" t="s">
        <v>1480</v>
      </c>
      <c r="C138" s="1139"/>
      <c r="D138" s="3854"/>
      <c r="E138" s="250" t="s">
        <v>3920</v>
      </c>
      <c r="F138" s="3477"/>
      <c r="G138" s="3832"/>
      <c r="H138" s="3799"/>
      <c r="I138" s="3802"/>
      <c r="J138" s="3805"/>
      <c r="K138" s="3808"/>
      <c r="L138" s="3651"/>
      <c r="M138" s="3813"/>
      <c r="N138" s="3816"/>
      <c r="O138" s="3819"/>
      <c r="P138" s="3822"/>
      <c r="Q138" s="3825"/>
      <c r="R138" s="3786"/>
      <c r="S138" s="3478"/>
      <c r="T138" s="3477"/>
      <c r="U138" s="3478"/>
      <c r="V138" s="3477"/>
      <c r="W138" s="3478"/>
      <c r="X138" s="3857"/>
      <c r="Y138" s="3839"/>
      <c r="Z138" s="3860"/>
      <c r="AA138" s="3835"/>
      <c r="AB138" s="3905"/>
      <c r="AC138" s="3189">
        <f t="shared" si="54"/>
        <v>3.484</v>
      </c>
      <c r="AD138" s="3182" t="e">
        <f t="shared" si="55"/>
        <v>#N/A</v>
      </c>
      <c r="AE138" s="2475"/>
      <c r="AG138">
        <v>0</v>
      </c>
      <c r="AH138" s="1363">
        <f t="shared" si="47"/>
        <v>0</v>
      </c>
      <c r="AJ138" s="2351" t="e">
        <f t="shared" si="52"/>
        <v>#N/A</v>
      </c>
      <c r="AK138" s="2351" t="e">
        <f t="shared" si="53"/>
        <v>#N/A</v>
      </c>
      <c r="AL138" s="123" t="e">
        <f t="shared" si="50"/>
        <v>#N/A</v>
      </c>
      <c r="AR138" s="123"/>
      <c r="AS138" s="123"/>
      <c r="AU138" s="2982"/>
      <c r="AV138" s="123"/>
      <c r="AW138" s="123"/>
      <c r="AX138" s="2983"/>
      <c r="AY138" s="2984"/>
      <c r="AZ138" s="2985"/>
      <c r="BA138" s="2986"/>
      <c r="BB138" s="2987"/>
      <c r="BC138" s="2988"/>
    </row>
    <row r="139" spans="1:55" ht="32.4" x14ac:dyDescent="0.25">
      <c r="A139" s="3851"/>
      <c r="B139" s="2622" t="s">
        <v>1486</v>
      </c>
      <c r="C139" s="1139" t="s">
        <v>9202</v>
      </c>
      <c r="D139" s="3854"/>
      <c r="E139" s="2621" t="s">
        <v>3921</v>
      </c>
      <c r="F139" s="3477"/>
      <c r="G139" s="3832"/>
      <c r="H139" s="3799"/>
      <c r="I139" s="3802"/>
      <c r="J139" s="3805"/>
      <c r="K139" s="3808"/>
      <c r="L139" s="3651"/>
      <c r="M139" s="3813"/>
      <c r="N139" s="3816"/>
      <c r="O139" s="3819"/>
      <c r="P139" s="3822"/>
      <c r="Q139" s="3825"/>
      <c r="R139" s="3786"/>
      <c r="S139" s="3478"/>
      <c r="T139" s="3477"/>
      <c r="U139" s="3478"/>
      <c r="V139" s="3477"/>
      <c r="W139" s="3478"/>
      <c r="X139" s="3857"/>
      <c r="Y139" s="3839"/>
      <c r="Z139" s="3860"/>
      <c r="AA139" s="3835"/>
      <c r="AB139" s="3905"/>
      <c r="AC139" s="3189">
        <f t="shared" si="54"/>
        <v>3.484</v>
      </c>
      <c r="AD139" s="3182" t="e">
        <f t="shared" si="55"/>
        <v>#N/A</v>
      </c>
      <c r="AE139" s="2475"/>
      <c r="AG139">
        <v>0</v>
      </c>
      <c r="AH139" s="1363">
        <f t="shared" si="47"/>
        <v>0</v>
      </c>
      <c r="AJ139" s="2351" t="e">
        <f t="shared" si="52"/>
        <v>#N/A</v>
      </c>
      <c r="AK139" s="2351" t="e">
        <f t="shared" si="53"/>
        <v>#N/A</v>
      </c>
      <c r="AL139" s="123" t="e">
        <f t="shared" si="50"/>
        <v>#N/A</v>
      </c>
      <c r="AR139" s="123"/>
      <c r="AS139" s="123"/>
      <c r="AU139" s="2982"/>
      <c r="AV139" s="123"/>
      <c r="AW139" s="123"/>
      <c r="AX139" s="2983"/>
      <c r="AY139" s="2984"/>
      <c r="AZ139" s="2985"/>
      <c r="BA139" s="2986"/>
      <c r="BB139" s="2987"/>
      <c r="BC139" s="2988"/>
    </row>
    <row r="140" spans="1:55" x14ac:dyDescent="0.25">
      <c r="A140" s="3851"/>
      <c r="B140" s="2622" t="s">
        <v>1493</v>
      </c>
      <c r="C140" s="1139"/>
      <c r="D140" s="3854"/>
      <c r="E140" s="250" t="s">
        <v>3922</v>
      </c>
      <c r="F140" s="3477"/>
      <c r="G140" s="3832"/>
      <c r="H140" s="3799"/>
      <c r="I140" s="3802"/>
      <c r="J140" s="3805"/>
      <c r="K140" s="3808"/>
      <c r="L140" s="3651"/>
      <c r="M140" s="3813"/>
      <c r="N140" s="3816"/>
      <c r="O140" s="3819"/>
      <c r="P140" s="3822"/>
      <c r="Q140" s="3825"/>
      <c r="R140" s="3786"/>
      <c r="S140" s="3478"/>
      <c r="T140" s="3477"/>
      <c r="U140" s="3478"/>
      <c r="V140" s="3477"/>
      <c r="W140" s="3478"/>
      <c r="X140" s="3857"/>
      <c r="Y140" s="3839"/>
      <c r="Z140" s="3860"/>
      <c r="AA140" s="3835"/>
      <c r="AB140" s="3905"/>
      <c r="AC140" s="3189">
        <f t="shared" si="54"/>
        <v>3.484</v>
      </c>
      <c r="AD140" s="3182" t="e">
        <f t="shared" si="55"/>
        <v>#N/A</v>
      </c>
      <c r="AE140" s="2475"/>
      <c r="AG140">
        <v>0</v>
      </c>
      <c r="AH140" s="1363">
        <f t="shared" si="47"/>
        <v>0</v>
      </c>
      <c r="AJ140" s="2351" t="e">
        <f t="shared" si="52"/>
        <v>#N/A</v>
      </c>
      <c r="AK140" s="2351" t="e">
        <f t="shared" si="53"/>
        <v>#N/A</v>
      </c>
      <c r="AL140" s="123" t="e">
        <f t="shared" si="50"/>
        <v>#N/A</v>
      </c>
      <c r="AR140" s="123"/>
      <c r="AS140" s="123"/>
      <c r="AU140" s="2982"/>
      <c r="AV140" s="123"/>
      <c r="AW140" s="123"/>
      <c r="AX140" s="2983"/>
      <c r="AY140" s="2984"/>
      <c r="AZ140" s="2985"/>
      <c r="BA140" s="2986"/>
      <c r="BB140" s="2987"/>
      <c r="BC140" s="2988"/>
    </row>
    <row r="141" spans="1:55" x14ac:dyDescent="0.25">
      <c r="A141" s="3851"/>
      <c r="B141" s="2622" t="s">
        <v>1499</v>
      </c>
      <c r="C141" s="1139"/>
      <c r="D141" s="3854"/>
      <c r="E141" s="250" t="s">
        <v>3923</v>
      </c>
      <c r="F141" s="3477"/>
      <c r="G141" s="3832"/>
      <c r="H141" s="3799"/>
      <c r="I141" s="3802"/>
      <c r="J141" s="3805"/>
      <c r="K141" s="3808"/>
      <c r="L141" s="3651"/>
      <c r="M141" s="3813"/>
      <c r="N141" s="3816"/>
      <c r="O141" s="3819"/>
      <c r="P141" s="3822"/>
      <c r="Q141" s="3825"/>
      <c r="R141" s="3786"/>
      <c r="S141" s="3478"/>
      <c r="T141" s="3477"/>
      <c r="U141" s="3478"/>
      <c r="V141" s="3477"/>
      <c r="W141" s="3478"/>
      <c r="X141" s="3857"/>
      <c r="Y141" s="3839"/>
      <c r="Z141" s="3860"/>
      <c r="AA141" s="3835"/>
      <c r="AB141" s="3905"/>
      <c r="AC141" s="3189">
        <f t="shared" si="54"/>
        <v>3.484</v>
      </c>
      <c r="AD141" s="3182" t="e">
        <f t="shared" si="55"/>
        <v>#N/A</v>
      </c>
      <c r="AE141" s="2475"/>
      <c r="AG141">
        <v>0</v>
      </c>
      <c r="AH141" s="1363">
        <f t="shared" si="47"/>
        <v>0</v>
      </c>
      <c r="AJ141" s="2351" t="e">
        <f t="shared" si="52"/>
        <v>#N/A</v>
      </c>
      <c r="AK141" s="2351" t="e">
        <f t="shared" si="53"/>
        <v>#N/A</v>
      </c>
      <c r="AL141" s="123" t="e">
        <f t="shared" si="50"/>
        <v>#N/A</v>
      </c>
      <c r="AR141" s="123"/>
      <c r="AS141" s="123"/>
      <c r="AU141" s="2982"/>
      <c r="AV141" s="123"/>
      <c r="AW141" s="123"/>
      <c r="AX141" s="2983"/>
      <c r="AY141" s="2984"/>
      <c r="AZ141" s="2985"/>
      <c r="BA141" s="2986"/>
      <c r="BB141" s="2987"/>
      <c r="BC141" s="2988"/>
    </row>
    <row r="142" spans="1:55" x14ac:dyDescent="0.25">
      <c r="A142" s="3851"/>
      <c r="B142" s="2622" t="s">
        <v>1505</v>
      </c>
      <c r="C142" s="1139"/>
      <c r="D142" s="3854"/>
      <c r="E142" s="250" t="s">
        <v>3924</v>
      </c>
      <c r="F142" s="3477"/>
      <c r="G142" s="3832"/>
      <c r="H142" s="3799"/>
      <c r="I142" s="3802"/>
      <c r="J142" s="3805"/>
      <c r="K142" s="3808"/>
      <c r="L142" s="3651"/>
      <c r="M142" s="3813"/>
      <c r="N142" s="3816"/>
      <c r="O142" s="3819"/>
      <c r="P142" s="3822"/>
      <c r="Q142" s="3825"/>
      <c r="R142" s="3786"/>
      <c r="S142" s="3478"/>
      <c r="T142" s="3477"/>
      <c r="U142" s="3478"/>
      <c r="V142" s="3477"/>
      <c r="W142" s="3478"/>
      <c r="X142" s="3857"/>
      <c r="Y142" s="3839"/>
      <c r="Z142" s="3860"/>
      <c r="AA142" s="3835"/>
      <c r="AB142" s="3905"/>
      <c r="AC142" s="3189">
        <f t="shared" si="54"/>
        <v>3.484</v>
      </c>
      <c r="AD142" s="3182" t="e">
        <f t="shared" si="55"/>
        <v>#N/A</v>
      </c>
      <c r="AE142" s="2475"/>
      <c r="AG142">
        <v>0</v>
      </c>
      <c r="AH142" s="1363">
        <f t="shared" si="47"/>
        <v>0</v>
      </c>
      <c r="AJ142" s="2351" t="e">
        <f t="shared" si="52"/>
        <v>#N/A</v>
      </c>
      <c r="AK142" s="2351" t="e">
        <f t="shared" si="53"/>
        <v>#N/A</v>
      </c>
      <c r="AL142" s="123" t="e">
        <f t="shared" si="50"/>
        <v>#N/A</v>
      </c>
      <c r="AR142" s="123"/>
      <c r="AS142" s="123"/>
      <c r="AU142" s="2982"/>
      <c r="AV142" s="123"/>
      <c r="AW142" s="123"/>
      <c r="AX142" s="2983"/>
      <c r="AY142" s="2984"/>
      <c r="AZ142" s="2985"/>
      <c r="BA142" s="2986"/>
      <c r="BB142" s="2987"/>
      <c r="BC142" s="2988"/>
    </row>
    <row r="143" spans="1:55" x14ac:dyDescent="0.25">
      <c r="A143" s="3851"/>
      <c r="B143" s="2622" t="s">
        <v>1513</v>
      </c>
      <c r="C143" s="1139"/>
      <c r="D143" s="3854"/>
      <c r="E143" s="250" t="s">
        <v>3925</v>
      </c>
      <c r="F143" s="3477"/>
      <c r="G143" s="3832"/>
      <c r="H143" s="3799"/>
      <c r="I143" s="3802"/>
      <c r="J143" s="3805"/>
      <c r="K143" s="3808"/>
      <c r="L143" s="3651"/>
      <c r="M143" s="3813"/>
      <c r="N143" s="3816"/>
      <c r="O143" s="3819"/>
      <c r="P143" s="3822"/>
      <c r="Q143" s="3825"/>
      <c r="R143" s="3786"/>
      <c r="S143" s="3478"/>
      <c r="T143" s="3477"/>
      <c r="U143" s="3478"/>
      <c r="V143" s="3477"/>
      <c r="W143" s="3478"/>
      <c r="X143" s="3857"/>
      <c r="Y143" s="3839"/>
      <c r="Z143" s="3860"/>
      <c r="AA143" s="3835"/>
      <c r="AB143" s="3905"/>
      <c r="AC143" s="3189">
        <f t="shared" si="54"/>
        <v>3.484</v>
      </c>
      <c r="AD143" s="3182" t="e">
        <f t="shared" si="55"/>
        <v>#N/A</v>
      </c>
      <c r="AE143" s="2475"/>
      <c r="AG143">
        <v>0</v>
      </c>
      <c r="AH143" s="1363">
        <f t="shared" si="47"/>
        <v>0</v>
      </c>
      <c r="AJ143" s="2351" t="e">
        <f t="shared" si="52"/>
        <v>#N/A</v>
      </c>
      <c r="AK143" s="2351" t="e">
        <f t="shared" si="53"/>
        <v>#N/A</v>
      </c>
      <c r="AL143" s="123" t="e">
        <f t="shared" si="50"/>
        <v>#N/A</v>
      </c>
      <c r="AR143" s="123"/>
      <c r="AS143" s="123"/>
      <c r="AU143" s="2982"/>
      <c r="AV143" s="123"/>
      <c r="AW143" s="123"/>
      <c r="AX143" s="2983"/>
      <c r="AY143" s="2984"/>
      <c r="AZ143" s="2985"/>
      <c r="BA143" s="2986"/>
      <c r="BB143" s="2987"/>
      <c r="BC143" s="2988"/>
    </row>
    <row r="144" spans="1:55" ht="15" thickBot="1" x14ac:dyDescent="0.3">
      <c r="A144" s="3852"/>
      <c r="B144" s="1129" t="s">
        <v>3926</v>
      </c>
      <c r="C144" s="1140"/>
      <c r="D144" s="3855"/>
      <c r="E144" s="2629" t="s">
        <v>3927</v>
      </c>
      <c r="F144" s="3474"/>
      <c r="G144" s="3833"/>
      <c r="H144" s="3800"/>
      <c r="I144" s="3803"/>
      <c r="J144" s="3806"/>
      <c r="K144" s="3809"/>
      <c r="L144" s="3811"/>
      <c r="M144" s="3814"/>
      <c r="N144" s="3817"/>
      <c r="O144" s="3820"/>
      <c r="P144" s="3823"/>
      <c r="Q144" s="3826"/>
      <c r="R144" s="3787"/>
      <c r="S144" s="3476"/>
      <c r="T144" s="3474"/>
      <c r="U144" s="3476"/>
      <c r="V144" s="3474"/>
      <c r="W144" s="3476"/>
      <c r="X144" s="3858"/>
      <c r="Y144" s="3840"/>
      <c r="Z144" s="3861"/>
      <c r="AA144" s="3836"/>
      <c r="AB144" s="3906"/>
      <c r="AC144" s="3189">
        <f t="shared" si="54"/>
        <v>3.484</v>
      </c>
      <c r="AD144" s="3182" t="e">
        <f t="shared" si="55"/>
        <v>#N/A</v>
      </c>
      <c r="AE144" s="2476"/>
      <c r="AG144">
        <v>0</v>
      </c>
      <c r="AH144" s="1363">
        <f t="shared" si="47"/>
        <v>0</v>
      </c>
      <c r="AJ144" s="2351" t="e">
        <f t="shared" si="52"/>
        <v>#N/A</v>
      </c>
      <c r="AK144" s="2351" t="e">
        <f t="shared" si="53"/>
        <v>#N/A</v>
      </c>
      <c r="AL144" s="123" t="e">
        <f t="shared" si="50"/>
        <v>#N/A</v>
      </c>
      <c r="AR144" s="123"/>
      <c r="AS144" s="123"/>
      <c r="AU144" s="2982"/>
      <c r="AV144" s="123"/>
      <c r="AW144" s="123"/>
      <c r="AX144" s="2983"/>
      <c r="AY144" s="2984"/>
      <c r="AZ144" s="2985"/>
      <c r="BA144" s="2986"/>
      <c r="BB144" s="2987"/>
      <c r="BC144" s="2988"/>
    </row>
    <row r="145" spans="1:55" ht="15" thickTop="1" x14ac:dyDescent="0.25">
      <c r="A145" s="3850" t="s">
        <v>3882</v>
      </c>
      <c r="B145" s="1128" t="s">
        <v>1382</v>
      </c>
      <c r="C145" s="1138"/>
      <c r="D145" s="3779"/>
      <c r="E145" s="327" t="s">
        <v>3900</v>
      </c>
      <c r="F145" s="3491" t="s">
        <v>3901</v>
      </c>
      <c r="G145" s="3831" t="s">
        <v>3902</v>
      </c>
      <c r="H145" s="3798" t="str">
        <f>"4-DaHall 1-PDU-"&amp;L145&amp;"-"&amp;K145&amp;"-"&amp;M145</f>
        <v>4-DaHall 1-PDU-06-100-2</v>
      </c>
      <c r="I145" s="3801" t="str">
        <f>"4-DaHall 1-PDU-"&amp;P145&amp;"-"&amp;O145&amp;"-"&amp;Q145</f>
        <v>4-DaHall 1-PDU-05-100-2</v>
      </c>
      <c r="J145" s="3804">
        <v>220</v>
      </c>
      <c r="K145" s="3807">
        <v>100</v>
      </c>
      <c r="L145" s="3810" t="s">
        <v>6502</v>
      </c>
      <c r="M145" s="3812">
        <v>2</v>
      </c>
      <c r="N145" s="3815">
        <v>220</v>
      </c>
      <c r="O145" s="3818">
        <v>100</v>
      </c>
      <c r="P145" s="3821" t="s">
        <v>6491</v>
      </c>
      <c r="Q145" s="3824">
        <v>2</v>
      </c>
      <c r="R145" s="3785" t="s">
        <v>3886</v>
      </c>
      <c r="S145" s="3489" t="s">
        <v>3887</v>
      </c>
      <c r="T145" s="3491" t="s">
        <v>3888</v>
      </c>
      <c r="U145" s="3489" t="s">
        <v>3889</v>
      </c>
      <c r="V145" s="3491" t="s">
        <v>3744</v>
      </c>
      <c r="W145" s="3489" t="s">
        <v>3749</v>
      </c>
      <c r="X145" s="3856">
        <f>SUM('4층_부하량(월간_AVG)'!D20:F20)</f>
        <v>0</v>
      </c>
      <c r="Y145" s="3838">
        <f>SUM('4층_부하량(월간_AVG)'!N49:P49)</f>
        <v>0</v>
      </c>
      <c r="Z145" s="3837">
        <f t="shared" ref="Z145" si="56">SUM(X145:Y145)</f>
        <v>0</v>
      </c>
      <c r="AA145" s="3834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904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188">
        <f>VLOOKUP(H145&amp;I145,'7층~4층_매핑테이블'!$A$6:$H$2020,8,0)</f>
        <v>0</v>
      </c>
      <c r="AD145" s="3181" t="e">
        <f>SUM(AA145:AB154)</f>
        <v>#N/A</v>
      </c>
      <c r="AE145" s="2474"/>
      <c r="AG145">
        <v>0</v>
      </c>
      <c r="AH145" s="1363">
        <f t="shared" si="47"/>
        <v>0</v>
      </c>
      <c r="AJ145" s="2351" t="e">
        <f t="shared" si="52"/>
        <v>#N/A</v>
      </c>
      <c r="AK145" s="2351" t="e">
        <f t="shared" si="53"/>
        <v>#N/A</v>
      </c>
      <c r="AL145" s="123" t="e">
        <f t="shared" si="50"/>
        <v>#N/A</v>
      </c>
      <c r="AR145" s="123"/>
      <c r="AS145" s="123"/>
      <c r="AU145" s="2982"/>
      <c r="AV145" s="123"/>
      <c r="AW145" s="123"/>
      <c r="AX145" s="2983"/>
      <c r="AY145" s="2984"/>
      <c r="AZ145" s="2985"/>
      <c r="BA145" s="2986"/>
      <c r="BB145" s="2987"/>
      <c r="BC145" s="2988"/>
    </row>
    <row r="146" spans="1:55" x14ac:dyDescent="0.25">
      <c r="A146" s="3851"/>
      <c r="B146" s="2622" t="s">
        <v>1383</v>
      </c>
      <c r="C146" s="1139"/>
      <c r="D146" s="3780"/>
      <c r="E146" s="250" t="s">
        <v>3903</v>
      </c>
      <c r="F146" s="3477"/>
      <c r="G146" s="3832"/>
      <c r="H146" s="3799"/>
      <c r="I146" s="3802"/>
      <c r="J146" s="3805"/>
      <c r="K146" s="3808"/>
      <c r="L146" s="3651"/>
      <c r="M146" s="3813"/>
      <c r="N146" s="3816"/>
      <c r="O146" s="3819"/>
      <c r="P146" s="3822"/>
      <c r="Q146" s="3825"/>
      <c r="R146" s="3786"/>
      <c r="S146" s="3478"/>
      <c r="T146" s="3477"/>
      <c r="U146" s="3478"/>
      <c r="V146" s="3477"/>
      <c r="W146" s="3478"/>
      <c r="X146" s="3857"/>
      <c r="Y146" s="3839"/>
      <c r="Z146" s="3637"/>
      <c r="AA146" s="3835"/>
      <c r="AB146" s="3905"/>
      <c r="AC146" s="3189">
        <f>$AC$145</f>
        <v>0</v>
      </c>
      <c r="AD146" s="3182" t="e">
        <f>$AD$145</f>
        <v>#N/A</v>
      </c>
      <c r="AE146" s="2475"/>
      <c r="AG146">
        <v>0</v>
      </c>
      <c r="AH146" s="1363">
        <f t="shared" si="47"/>
        <v>0</v>
      </c>
      <c r="AJ146" s="2351" t="e">
        <f t="shared" si="52"/>
        <v>#N/A</v>
      </c>
      <c r="AK146" s="2351" t="e">
        <f t="shared" si="53"/>
        <v>#N/A</v>
      </c>
      <c r="AL146" s="123" t="e">
        <f t="shared" si="50"/>
        <v>#N/A</v>
      </c>
      <c r="AR146" s="123"/>
      <c r="AS146" s="123"/>
      <c r="AU146" s="2982"/>
      <c r="AV146" s="123"/>
      <c r="AW146" s="123"/>
      <c r="AX146" s="2983"/>
      <c r="AY146" s="2984"/>
      <c r="AZ146" s="2985"/>
      <c r="BA146" s="2986"/>
      <c r="BB146" s="2987"/>
      <c r="BC146" s="2988"/>
    </row>
    <row r="147" spans="1:55" x14ac:dyDescent="0.25">
      <c r="A147" s="3851"/>
      <c r="B147" s="2622" t="s">
        <v>1389</v>
      </c>
      <c r="C147" s="1139"/>
      <c r="D147" s="3780"/>
      <c r="E147" s="250" t="s">
        <v>3904</v>
      </c>
      <c r="F147" s="3477"/>
      <c r="G147" s="3832"/>
      <c r="H147" s="3799"/>
      <c r="I147" s="3802"/>
      <c r="J147" s="3805"/>
      <c r="K147" s="3808"/>
      <c r="L147" s="3651"/>
      <c r="M147" s="3813"/>
      <c r="N147" s="3816"/>
      <c r="O147" s="3819"/>
      <c r="P147" s="3822"/>
      <c r="Q147" s="3825"/>
      <c r="R147" s="3786"/>
      <c r="S147" s="3478"/>
      <c r="T147" s="3477"/>
      <c r="U147" s="3478"/>
      <c r="V147" s="3477"/>
      <c r="W147" s="3478"/>
      <c r="X147" s="3857"/>
      <c r="Y147" s="3839"/>
      <c r="Z147" s="3637"/>
      <c r="AA147" s="3835"/>
      <c r="AB147" s="3905"/>
      <c r="AC147" s="3189">
        <f t="shared" ref="AC147:AC154" si="57">$AC$145</f>
        <v>0</v>
      </c>
      <c r="AD147" s="3182" t="e">
        <f t="shared" ref="AD147:AD154" si="58">$AD$145</f>
        <v>#N/A</v>
      </c>
      <c r="AE147" s="2475"/>
      <c r="AG147">
        <v>0</v>
      </c>
      <c r="AH147" s="1363">
        <f t="shared" si="47"/>
        <v>0</v>
      </c>
      <c r="AJ147" s="2351" t="e">
        <f t="shared" si="52"/>
        <v>#N/A</v>
      </c>
      <c r="AK147" s="2351" t="e">
        <f t="shared" si="53"/>
        <v>#N/A</v>
      </c>
      <c r="AL147" s="123" t="e">
        <f t="shared" si="50"/>
        <v>#N/A</v>
      </c>
      <c r="AR147" s="123"/>
      <c r="AS147" s="123"/>
      <c r="AU147" s="2982"/>
      <c r="AV147" s="123"/>
      <c r="AW147" s="123"/>
      <c r="AX147" s="2983"/>
      <c r="AY147" s="2984"/>
      <c r="AZ147" s="2985"/>
      <c r="BA147" s="2986"/>
      <c r="BB147" s="2987"/>
      <c r="BC147" s="2988"/>
    </row>
    <row r="148" spans="1:55" x14ac:dyDescent="0.25">
      <c r="A148" s="3851"/>
      <c r="B148" s="2622" t="s">
        <v>1395</v>
      </c>
      <c r="C148" s="1139"/>
      <c r="D148" s="3780"/>
      <c r="E148" s="250" t="s">
        <v>3905</v>
      </c>
      <c r="F148" s="3477"/>
      <c r="G148" s="3832"/>
      <c r="H148" s="3799"/>
      <c r="I148" s="3802"/>
      <c r="J148" s="3805"/>
      <c r="K148" s="3808"/>
      <c r="L148" s="3651"/>
      <c r="M148" s="3813"/>
      <c r="N148" s="3816"/>
      <c r="O148" s="3819"/>
      <c r="P148" s="3822"/>
      <c r="Q148" s="3825"/>
      <c r="R148" s="3786"/>
      <c r="S148" s="3478"/>
      <c r="T148" s="3477"/>
      <c r="U148" s="3478"/>
      <c r="V148" s="3477"/>
      <c r="W148" s="3478"/>
      <c r="X148" s="3857"/>
      <c r="Y148" s="3839"/>
      <c r="Z148" s="3637"/>
      <c r="AA148" s="3835"/>
      <c r="AB148" s="3905"/>
      <c r="AC148" s="3189">
        <f t="shared" si="57"/>
        <v>0</v>
      </c>
      <c r="AD148" s="3182" t="e">
        <f t="shared" si="58"/>
        <v>#N/A</v>
      </c>
      <c r="AE148" s="2475"/>
      <c r="AG148">
        <v>0</v>
      </c>
      <c r="AH148" s="1363">
        <f t="shared" si="47"/>
        <v>0</v>
      </c>
      <c r="AJ148" s="2351" t="e">
        <f t="shared" si="52"/>
        <v>#N/A</v>
      </c>
      <c r="AK148" s="2351" t="e">
        <f t="shared" si="53"/>
        <v>#N/A</v>
      </c>
      <c r="AL148" s="123" t="e">
        <f t="shared" si="50"/>
        <v>#N/A</v>
      </c>
      <c r="AR148" s="123"/>
      <c r="AS148" s="123"/>
      <c r="AU148" s="2982"/>
      <c r="AV148" s="123"/>
      <c r="AW148" s="123"/>
      <c r="AX148" s="2983"/>
      <c r="AY148" s="2984"/>
      <c r="AZ148" s="2985"/>
      <c r="BA148" s="2986"/>
      <c r="BB148" s="2987"/>
      <c r="BC148" s="2988"/>
    </row>
    <row r="149" spans="1:55" x14ac:dyDescent="0.25">
      <c r="A149" s="3851"/>
      <c r="B149" s="2622" t="s">
        <v>2887</v>
      </c>
      <c r="C149" s="1139"/>
      <c r="D149" s="3780"/>
      <c r="E149" s="250" t="s">
        <v>3906</v>
      </c>
      <c r="F149" s="3477"/>
      <c r="G149" s="3832"/>
      <c r="H149" s="3799"/>
      <c r="I149" s="3802"/>
      <c r="J149" s="3805"/>
      <c r="K149" s="3808"/>
      <c r="L149" s="3651"/>
      <c r="M149" s="3813"/>
      <c r="N149" s="3816"/>
      <c r="O149" s="3819"/>
      <c r="P149" s="3822"/>
      <c r="Q149" s="3825"/>
      <c r="R149" s="3786"/>
      <c r="S149" s="3478"/>
      <c r="T149" s="3477"/>
      <c r="U149" s="3478"/>
      <c r="V149" s="3477"/>
      <c r="W149" s="3478"/>
      <c r="X149" s="3857"/>
      <c r="Y149" s="3839"/>
      <c r="Z149" s="3637"/>
      <c r="AA149" s="3835"/>
      <c r="AB149" s="3905"/>
      <c r="AC149" s="3189">
        <f t="shared" si="57"/>
        <v>0</v>
      </c>
      <c r="AD149" s="3182" t="e">
        <f t="shared" si="58"/>
        <v>#N/A</v>
      </c>
      <c r="AE149" s="2475"/>
      <c r="AG149">
        <v>0</v>
      </c>
      <c r="AH149" s="1363">
        <f t="shared" si="47"/>
        <v>0</v>
      </c>
      <c r="AJ149" s="2351" t="e">
        <f t="shared" si="52"/>
        <v>#N/A</v>
      </c>
      <c r="AK149" s="2351" t="e">
        <f t="shared" si="53"/>
        <v>#N/A</v>
      </c>
      <c r="AL149" s="123" t="e">
        <f t="shared" si="50"/>
        <v>#N/A</v>
      </c>
      <c r="AR149" s="123"/>
      <c r="AS149" s="123"/>
      <c r="AU149" s="2982"/>
      <c r="AV149" s="123"/>
      <c r="AW149" s="123"/>
      <c r="AX149" s="2983"/>
      <c r="AY149" s="2984"/>
      <c r="AZ149" s="2985"/>
      <c r="BA149" s="2986"/>
      <c r="BB149" s="2987"/>
      <c r="BC149" s="2988"/>
    </row>
    <row r="150" spans="1:55" x14ac:dyDescent="0.25">
      <c r="A150" s="3851"/>
      <c r="B150" s="2622" t="s">
        <v>2893</v>
      </c>
      <c r="C150" s="1139"/>
      <c r="D150" s="3780"/>
      <c r="E150" s="250" t="s">
        <v>3907</v>
      </c>
      <c r="F150" s="3477"/>
      <c r="G150" s="3832"/>
      <c r="H150" s="3799"/>
      <c r="I150" s="3802"/>
      <c r="J150" s="3805"/>
      <c r="K150" s="3808"/>
      <c r="L150" s="3651"/>
      <c r="M150" s="3813"/>
      <c r="N150" s="3816"/>
      <c r="O150" s="3819"/>
      <c r="P150" s="3822"/>
      <c r="Q150" s="3825"/>
      <c r="R150" s="3786"/>
      <c r="S150" s="3478"/>
      <c r="T150" s="3477"/>
      <c r="U150" s="3478"/>
      <c r="V150" s="3477"/>
      <c r="W150" s="3478"/>
      <c r="X150" s="3857"/>
      <c r="Y150" s="3839"/>
      <c r="Z150" s="3637"/>
      <c r="AA150" s="3835"/>
      <c r="AB150" s="3905"/>
      <c r="AC150" s="3189">
        <f t="shared" si="57"/>
        <v>0</v>
      </c>
      <c r="AD150" s="3182" t="e">
        <f t="shared" si="58"/>
        <v>#N/A</v>
      </c>
      <c r="AE150" s="2475"/>
      <c r="AG150">
        <v>0</v>
      </c>
      <c r="AH150" s="1363">
        <f t="shared" si="47"/>
        <v>0</v>
      </c>
      <c r="AJ150" s="2351" t="e">
        <f t="shared" si="52"/>
        <v>#N/A</v>
      </c>
      <c r="AK150" s="2351" t="e">
        <f t="shared" si="53"/>
        <v>#N/A</v>
      </c>
      <c r="AL150" s="123" t="e">
        <f t="shared" si="50"/>
        <v>#N/A</v>
      </c>
      <c r="AR150" s="123"/>
      <c r="AS150" s="123"/>
      <c r="AU150" s="2982"/>
      <c r="AV150" s="123"/>
      <c r="AW150" s="123"/>
      <c r="AX150" s="2983"/>
      <c r="AY150" s="2984"/>
      <c r="AZ150" s="2985"/>
      <c r="BA150" s="2986"/>
      <c r="BB150" s="2987"/>
      <c r="BC150" s="2988"/>
    </row>
    <row r="151" spans="1:55" x14ac:dyDescent="0.25">
      <c r="A151" s="3851"/>
      <c r="B151" s="2622" t="s">
        <v>1432</v>
      </c>
      <c r="C151" s="1139"/>
      <c r="D151" s="3780"/>
      <c r="E151" s="250" t="s">
        <v>3908</v>
      </c>
      <c r="F151" s="3477"/>
      <c r="G151" s="3832"/>
      <c r="H151" s="3799"/>
      <c r="I151" s="3802"/>
      <c r="J151" s="3805"/>
      <c r="K151" s="3808"/>
      <c r="L151" s="3651"/>
      <c r="M151" s="3813"/>
      <c r="N151" s="3816"/>
      <c r="O151" s="3819"/>
      <c r="P151" s="3822"/>
      <c r="Q151" s="3825"/>
      <c r="R151" s="3786"/>
      <c r="S151" s="3478"/>
      <c r="T151" s="3477"/>
      <c r="U151" s="3478"/>
      <c r="V151" s="3477"/>
      <c r="W151" s="3478"/>
      <c r="X151" s="3857"/>
      <c r="Y151" s="3839"/>
      <c r="Z151" s="3637"/>
      <c r="AA151" s="3835"/>
      <c r="AB151" s="3905"/>
      <c r="AC151" s="3189">
        <f t="shared" si="57"/>
        <v>0</v>
      </c>
      <c r="AD151" s="3182" t="e">
        <f t="shared" si="58"/>
        <v>#N/A</v>
      </c>
      <c r="AE151" s="2475"/>
      <c r="AG151">
        <v>0</v>
      </c>
      <c r="AH151" s="1363">
        <f t="shared" si="47"/>
        <v>0</v>
      </c>
      <c r="AJ151" s="2351" t="e">
        <f t="shared" si="52"/>
        <v>#N/A</v>
      </c>
      <c r="AK151" s="2351" t="e">
        <f t="shared" si="53"/>
        <v>#N/A</v>
      </c>
      <c r="AL151" s="123" t="e">
        <f t="shared" si="50"/>
        <v>#N/A</v>
      </c>
      <c r="AR151" s="123"/>
      <c r="AS151" s="123"/>
      <c r="AU151" s="2982"/>
      <c r="AV151" s="123"/>
      <c r="AW151" s="123"/>
      <c r="AX151" s="2983"/>
      <c r="AY151" s="2984"/>
      <c r="AZ151" s="2985"/>
      <c r="BA151" s="2986"/>
      <c r="BB151" s="2987"/>
      <c r="BC151" s="2988"/>
    </row>
    <row r="152" spans="1:55" x14ac:dyDescent="0.25">
      <c r="A152" s="3851"/>
      <c r="B152" s="2622" t="s">
        <v>1438</v>
      </c>
      <c r="C152" s="1139"/>
      <c r="D152" s="3780"/>
      <c r="E152" s="250" t="s">
        <v>3909</v>
      </c>
      <c r="F152" s="3477"/>
      <c r="G152" s="3832"/>
      <c r="H152" s="3799"/>
      <c r="I152" s="3802"/>
      <c r="J152" s="3805"/>
      <c r="K152" s="3808"/>
      <c r="L152" s="3651"/>
      <c r="M152" s="3813"/>
      <c r="N152" s="3816"/>
      <c r="O152" s="3819"/>
      <c r="P152" s="3822"/>
      <c r="Q152" s="3825"/>
      <c r="R152" s="3786"/>
      <c r="S152" s="3478"/>
      <c r="T152" s="3477"/>
      <c r="U152" s="3478"/>
      <c r="V152" s="3477"/>
      <c r="W152" s="3478"/>
      <c r="X152" s="3857"/>
      <c r="Y152" s="3839"/>
      <c r="Z152" s="3637"/>
      <c r="AA152" s="3835"/>
      <c r="AB152" s="3905"/>
      <c r="AC152" s="3189">
        <f t="shared" si="57"/>
        <v>0</v>
      </c>
      <c r="AD152" s="3182" t="e">
        <f t="shared" si="58"/>
        <v>#N/A</v>
      </c>
      <c r="AE152" s="2475"/>
      <c r="AG152">
        <v>0</v>
      </c>
      <c r="AH152" s="1363">
        <f t="shared" si="47"/>
        <v>0</v>
      </c>
      <c r="AJ152" s="2351" t="e">
        <f t="shared" si="52"/>
        <v>#N/A</v>
      </c>
      <c r="AK152" s="2351" t="e">
        <f t="shared" si="53"/>
        <v>#N/A</v>
      </c>
      <c r="AL152" s="123" t="e">
        <f t="shared" si="50"/>
        <v>#N/A</v>
      </c>
      <c r="AR152" s="123"/>
      <c r="AS152" s="123"/>
      <c r="AU152" s="2982"/>
      <c r="AV152" s="123"/>
      <c r="AW152" s="123"/>
      <c r="AX152" s="2983"/>
      <c r="AY152" s="2984"/>
      <c r="AZ152" s="2985"/>
      <c r="BA152" s="2986"/>
      <c r="BB152" s="2987"/>
      <c r="BC152" s="2988"/>
    </row>
    <row r="153" spans="1:55" x14ac:dyDescent="0.25">
      <c r="A153" s="3851"/>
      <c r="B153" s="2622" t="s">
        <v>1444</v>
      </c>
      <c r="C153" s="1139"/>
      <c r="D153" s="3780"/>
      <c r="E153" s="250" t="s">
        <v>3910</v>
      </c>
      <c r="F153" s="3477"/>
      <c r="G153" s="3832"/>
      <c r="H153" s="3799"/>
      <c r="I153" s="3802"/>
      <c r="J153" s="3805"/>
      <c r="K153" s="3808"/>
      <c r="L153" s="3651"/>
      <c r="M153" s="3813"/>
      <c r="N153" s="3816"/>
      <c r="O153" s="3819"/>
      <c r="P153" s="3822"/>
      <c r="Q153" s="3825"/>
      <c r="R153" s="3786"/>
      <c r="S153" s="3478"/>
      <c r="T153" s="3477"/>
      <c r="U153" s="3478"/>
      <c r="V153" s="3477"/>
      <c r="W153" s="3478"/>
      <c r="X153" s="3857"/>
      <c r="Y153" s="3839"/>
      <c r="Z153" s="3637"/>
      <c r="AA153" s="3835"/>
      <c r="AB153" s="3905"/>
      <c r="AC153" s="3189">
        <f t="shared" si="57"/>
        <v>0</v>
      </c>
      <c r="AD153" s="3182" t="e">
        <f t="shared" si="58"/>
        <v>#N/A</v>
      </c>
      <c r="AE153" s="2475"/>
      <c r="AG153">
        <v>0</v>
      </c>
      <c r="AH153" s="1363">
        <f t="shared" si="47"/>
        <v>0</v>
      </c>
      <c r="AJ153" s="2351" t="e">
        <f t="shared" si="52"/>
        <v>#N/A</v>
      </c>
      <c r="AK153" s="2351" t="e">
        <f t="shared" si="53"/>
        <v>#N/A</v>
      </c>
      <c r="AL153" s="123" t="e">
        <f t="shared" si="50"/>
        <v>#N/A</v>
      </c>
      <c r="AR153" s="123"/>
      <c r="AS153" s="123"/>
      <c r="AU153" s="2982"/>
      <c r="AV153" s="123"/>
      <c r="AW153" s="123"/>
      <c r="AX153" s="2983"/>
      <c r="AY153" s="2984"/>
      <c r="AZ153" s="2985"/>
      <c r="BA153" s="2986"/>
      <c r="BB153" s="2987"/>
      <c r="BC153" s="2988"/>
    </row>
    <row r="154" spans="1:55" ht="15" thickBot="1" x14ac:dyDescent="0.3">
      <c r="A154" s="3852"/>
      <c r="B154" s="1129" t="s">
        <v>1450</v>
      </c>
      <c r="C154" s="1140"/>
      <c r="D154" s="3781"/>
      <c r="E154" s="2629" t="s">
        <v>3911</v>
      </c>
      <c r="F154" s="3474"/>
      <c r="G154" s="3833"/>
      <c r="H154" s="3800"/>
      <c r="I154" s="3803"/>
      <c r="J154" s="3806"/>
      <c r="K154" s="3809"/>
      <c r="L154" s="3811"/>
      <c r="M154" s="3814"/>
      <c r="N154" s="3817"/>
      <c r="O154" s="3820"/>
      <c r="P154" s="3823"/>
      <c r="Q154" s="3826"/>
      <c r="R154" s="3787"/>
      <c r="S154" s="3476"/>
      <c r="T154" s="3474"/>
      <c r="U154" s="3476"/>
      <c r="V154" s="3474"/>
      <c r="W154" s="3476"/>
      <c r="X154" s="3858"/>
      <c r="Y154" s="3840"/>
      <c r="Z154" s="3644"/>
      <c r="AA154" s="3836"/>
      <c r="AB154" s="3906"/>
      <c r="AC154" s="3189">
        <f t="shared" si="57"/>
        <v>0</v>
      </c>
      <c r="AD154" s="3182" t="e">
        <f t="shared" si="58"/>
        <v>#N/A</v>
      </c>
      <c r="AE154" s="2476"/>
      <c r="AG154">
        <v>0</v>
      </c>
      <c r="AH154" s="1363">
        <f t="shared" si="47"/>
        <v>0</v>
      </c>
      <c r="AJ154" s="2351" t="e">
        <f t="shared" si="52"/>
        <v>#N/A</v>
      </c>
      <c r="AK154" s="2351" t="e">
        <f t="shared" si="53"/>
        <v>#N/A</v>
      </c>
      <c r="AL154" s="123" t="e">
        <f t="shared" si="50"/>
        <v>#N/A</v>
      </c>
      <c r="AR154" s="123"/>
      <c r="AS154" s="123"/>
      <c r="AU154" s="2982"/>
      <c r="AV154" s="123"/>
      <c r="AW154" s="123"/>
      <c r="AX154" s="2983"/>
      <c r="AY154" s="2984"/>
      <c r="AZ154" s="2985"/>
      <c r="BA154" s="2986"/>
      <c r="BB154" s="2987"/>
      <c r="BC154" s="2988"/>
    </row>
    <row r="155" spans="1:55" ht="22.2" thickTop="1" x14ac:dyDescent="0.25">
      <c r="A155" s="3850" t="s">
        <v>3869</v>
      </c>
      <c r="B155" s="1128" t="s">
        <v>145</v>
      </c>
      <c r="C155" s="3023" t="s">
        <v>9300</v>
      </c>
      <c r="D155" s="3779">
        <f>2.2*2+0.55</f>
        <v>4.95</v>
      </c>
      <c r="E155" s="993" t="s">
        <v>3883</v>
      </c>
      <c r="F155" s="3491" t="s">
        <v>3884</v>
      </c>
      <c r="G155" s="3831" t="s">
        <v>3885</v>
      </c>
      <c r="H155" s="3798" t="str">
        <f>"4-DaHall 1-PDU-"&amp;L155&amp;"-"&amp;K155&amp;"-"&amp;M155</f>
        <v>4-DaHall 1-PDU-06-100-1</v>
      </c>
      <c r="I155" s="3801" t="str">
        <f>"4-DaHall 1-PDU-"&amp;P155&amp;"-"&amp;O155&amp;"-"&amp;Q155</f>
        <v>4-DaHall 1-PDU-05-100-1</v>
      </c>
      <c r="J155" s="3804">
        <v>220</v>
      </c>
      <c r="K155" s="3807">
        <v>100</v>
      </c>
      <c r="L155" s="3810" t="s">
        <v>6502</v>
      </c>
      <c r="M155" s="3812">
        <v>1</v>
      </c>
      <c r="N155" s="3815">
        <v>220</v>
      </c>
      <c r="O155" s="3818">
        <v>100</v>
      </c>
      <c r="P155" s="3821" t="s">
        <v>6503</v>
      </c>
      <c r="Q155" s="3824">
        <v>1</v>
      </c>
      <c r="R155" s="3785" t="s">
        <v>3886</v>
      </c>
      <c r="S155" s="3489" t="s">
        <v>3887</v>
      </c>
      <c r="T155" s="3491" t="s">
        <v>3888</v>
      </c>
      <c r="U155" s="3489" t="s">
        <v>3889</v>
      </c>
      <c r="V155" s="3491" t="s">
        <v>3744</v>
      </c>
      <c r="W155" s="3489" t="s">
        <v>3749</v>
      </c>
      <c r="X155" s="3856">
        <f>SUM('4층_부하량(월간_AVG)'!D19:F19)</f>
        <v>0</v>
      </c>
      <c r="Y155" s="3838">
        <f>SUM('4층_부하량(월간_AVG)'!N48:P48)</f>
        <v>0</v>
      </c>
      <c r="Z155" s="3837">
        <f t="shared" ref="Z155" si="59">SUM(X155:Y155)</f>
        <v>0</v>
      </c>
      <c r="AA155" s="3834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904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188">
        <f>VLOOKUP(H155&amp;I155,'7층~4층_매핑테이블'!$A$6:$H$2020,8,0)</f>
        <v>4.5369999999999999</v>
      </c>
      <c r="AD155" s="3181" t="e">
        <f>SUM(AA155:AB164)</f>
        <v>#N/A</v>
      </c>
      <c r="AE155" s="2474"/>
      <c r="AG155">
        <v>20</v>
      </c>
      <c r="AH155" s="1363">
        <f t="shared" ref="AH155:AH180" si="60">Z155-AG155</f>
        <v>-20</v>
      </c>
      <c r="AJ155" s="2351" t="e">
        <f t="shared" si="52"/>
        <v>#N/A</v>
      </c>
      <c r="AK155" s="2351" t="e">
        <f t="shared" si="53"/>
        <v>#N/A</v>
      </c>
      <c r="AL155" s="123" t="e">
        <f t="shared" si="50"/>
        <v>#N/A</v>
      </c>
      <c r="AR155" s="123"/>
      <c r="AS155" s="123"/>
      <c r="AU155" s="2982"/>
      <c r="AV155" s="123"/>
      <c r="AW155" s="123"/>
      <c r="AX155" s="2983"/>
      <c r="AY155" s="2984"/>
      <c r="AZ155" s="2985"/>
      <c r="BA155" s="2986"/>
      <c r="BB155" s="2987"/>
      <c r="BC155" s="2988"/>
    </row>
    <row r="156" spans="1:55" x14ac:dyDescent="0.25">
      <c r="A156" s="3851"/>
      <c r="B156" s="2622" t="s">
        <v>1326</v>
      </c>
      <c r="C156" s="1139"/>
      <c r="D156" s="3780"/>
      <c r="E156" s="2621" t="s">
        <v>3890</v>
      </c>
      <c r="F156" s="3477"/>
      <c r="G156" s="3832"/>
      <c r="H156" s="3799"/>
      <c r="I156" s="3802"/>
      <c r="J156" s="3805"/>
      <c r="K156" s="3808"/>
      <c r="L156" s="3651"/>
      <c r="M156" s="3813"/>
      <c r="N156" s="3816"/>
      <c r="O156" s="3819"/>
      <c r="P156" s="3822"/>
      <c r="Q156" s="3825"/>
      <c r="R156" s="3786"/>
      <c r="S156" s="3478"/>
      <c r="T156" s="3477"/>
      <c r="U156" s="3478"/>
      <c r="V156" s="3477"/>
      <c r="W156" s="3478"/>
      <c r="X156" s="3857"/>
      <c r="Y156" s="3839"/>
      <c r="Z156" s="3637"/>
      <c r="AA156" s="3835"/>
      <c r="AB156" s="3905"/>
      <c r="AC156" s="3189">
        <f>$AC$155</f>
        <v>4.5369999999999999</v>
      </c>
      <c r="AD156" s="3182" t="e">
        <f>$AD$155</f>
        <v>#N/A</v>
      </c>
      <c r="AE156" s="2475"/>
      <c r="AG156">
        <v>0</v>
      </c>
      <c r="AH156" s="1363">
        <f t="shared" si="60"/>
        <v>0</v>
      </c>
      <c r="AJ156" s="2351" t="e">
        <f t="shared" si="52"/>
        <v>#N/A</v>
      </c>
      <c r="AK156" s="2351" t="e">
        <f t="shared" si="53"/>
        <v>#N/A</v>
      </c>
      <c r="AL156" s="123" t="e">
        <f t="shared" si="50"/>
        <v>#N/A</v>
      </c>
      <c r="AR156" s="123"/>
      <c r="AS156" s="123"/>
      <c r="AU156" s="2982"/>
      <c r="AV156" s="123"/>
      <c r="AW156" s="123"/>
      <c r="AX156" s="2983"/>
      <c r="AY156" s="2984"/>
      <c r="AZ156" s="2985"/>
      <c r="BA156" s="2986"/>
      <c r="BB156" s="2987"/>
      <c r="BC156" s="2988"/>
    </row>
    <row r="157" spans="1:55" x14ac:dyDescent="0.25">
      <c r="A157" s="3851"/>
      <c r="B157" s="2622" t="s">
        <v>1332</v>
      </c>
      <c r="C157" s="1139"/>
      <c r="D157" s="3780"/>
      <c r="E157" s="2621" t="s">
        <v>3891</v>
      </c>
      <c r="F157" s="3477"/>
      <c r="G157" s="3832"/>
      <c r="H157" s="3799"/>
      <c r="I157" s="3802"/>
      <c r="J157" s="3805"/>
      <c r="K157" s="3808"/>
      <c r="L157" s="3651"/>
      <c r="M157" s="3813"/>
      <c r="N157" s="3816"/>
      <c r="O157" s="3819"/>
      <c r="P157" s="3822"/>
      <c r="Q157" s="3825"/>
      <c r="R157" s="3786"/>
      <c r="S157" s="3478"/>
      <c r="T157" s="3477"/>
      <c r="U157" s="3478"/>
      <c r="V157" s="3477"/>
      <c r="W157" s="3478"/>
      <c r="X157" s="3857"/>
      <c r="Y157" s="3839"/>
      <c r="Z157" s="3637"/>
      <c r="AA157" s="3835"/>
      <c r="AB157" s="3905"/>
      <c r="AC157" s="3189">
        <f t="shared" ref="AC157:AC164" si="61">$AC$155</f>
        <v>4.5369999999999999</v>
      </c>
      <c r="AD157" s="3182" t="e">
        <f t="shared" ref="AD157:AD164" si="62">$AD$155</f>
        <v>#N/A</v>
      </c>
      <c r="AE157" s="2475"/>
      <c r="AG157">
        <v>0</v>
      </c>
      <c r="AH157" s="1363">
        <f t="shared" si="60"/>
        <v>0</v>
      </c>
      <c r="AJ157" s="2351" t="e">
        <f t="shared" si="52"/>
        <v>#N/A</v>
      </c>
      <c r="AK157" s="2351" t="e">
        <f t="shared" si="53"/>
        <v>#N/A</v>
      </c>
      <c r="AL157" s="123" t="e">
        <f t="shared" si="50"/>
        <v>#N/A</v>
      </c>
      <c r="AR157" s="123"/>
      <c r="AS157" s="123"/>
      <c r="AU157" s="2982"/>
      <c r="AV157" s="123"/>
      <c r="AW157" s="123"/>
      <c r="AX157" s="2983"/>
      <c r="AY157" s="2984"/>
      <c r="AZ157" s="2985"/>
      <c r="BA157" s="2986"/>
      <c r="BB157" s="2987"/>
      <c r="BC157" s="2988"/>
    </row>
    <row r="158" spans="1:55" ht="21.6" x14ac:dyDescent="0.25">
      <c r="A158" s="3851"/>
      <c r="B158" s="2622" t="s">
        <v>1338</v>
      </c>
      <c r="C158" s="1139" t="s">
        <v>9203</v>
      </c>
      <c r="D158" s="3780"/>
      <c r="E158" s="2621" t="s">
        <v>3892</v>
      </c>
      <c r="F158" s="3477"/>
      <c r="G158" s="3832"/>
      <c r="H158" s="3799"/>
      <c r="I158" s="3802"/>
      <c r="J158" s="3805"/>
      <c r="K158" s="3808"/>
      <c r="L158" s="3651"/>
      <c r="M158" s="3813"/>
      <c r="N158" s="3816"/>
      <c r="O158" s="3819"/>
      <c r="P158" s="3822"/>
      <c r="Q158" s="3825"/>
      <c r="R158" s="3786"/>
      <c r="S158" s="3478"/>
      <c r="T158" s="3477"/>
      <c r="U158" s="3478"/>
      <c r="V158" s="3477"/>
      <c r="W158" s="3478"/>
      <c r="X158" s="3857"/>
      <c r="Y158" s="3839"/>
      <c r="Z158" s="3637"/>
      <c r="AA158" s="3835"/>
      <c r="AB158" s="3905"/>
      <c r="AC158" s="3189">
        <f t="shared" si="61"/>
        <v>4.5369999999999999</v>
      </c>
      <c r="AD158" s="3182" t="e">
        <f t="shared" si="62"/>
        <v>#N/A</v>
      </c>
      <c r="AE158" s="2475"/>
      <c r="AG158">
        <v>0</v>
      </c>
      <c r="AH158" s="1363">
        <f t="shared" si="60"/>
        <v>0</v>
      </c>
      <c r="AJ158" s="2351" t="e">
        <f t="shared" si="52"/>
        <v>#N/A</v>
      </c>
      <c r="AK158" s="2351" t="e">
        <f t="shared" si="53"/>
        <v>#N/A</v>
      </c>
      <c r="AL158" s="123" t="e">
        <f t="shared" si="50"/>
        <v>#N/A</v>
      </c>
      <c r="AR158" s="123"/>
      <c r="AS158" s="123"/>
      <c r="AU158" s="2982"/>
      <c r="AV158" s="123"/>
      <c r="AW158" s="123"/>
      <c r="AX158" s="2983"/>
      <c r="AY158" s="2984"/>
      <c r="AZ158" s="2985"/>
      <c r="BA158" s="2986"/>
      <c r="BB158" s="2987"/>
      <c r="BC158" s="2988"/>
    </row>
    <row r="159" spans="1:55" ht="21.6" x14ac:dyDescent="0.25">
      <c r="A159" s="3851"/>
      <c r="B159" s="2622" t="s">
        <v>1344</v>
      </c>
      <c r="C159" s="1139" t="s">
        <v>9185</v>
      </c>
      <c r="D159" s="3780"/>
      <c r="E159" s="2621" t="s">
        <v>3893</v>
      </c>
      <c r="F159" s="3477"/>
      <c r="G159" s="3832"/>
      <c r="H159" s="3799"/>
      <c r="I159" s="3802"/>
      <c r="J159" s="3805"/>
      <c r="K159" s="3808"/>
      <c r="L159" s="3651"/>
      <c r="M159" s="3813"/>
      <c r="N159" s="3816"/>
      <c r="O159" s="3819"/>
      <c r="P159" s="3822"/>
      <c r="Q159" s="3825"/>
      <c r="R159" s="3786"/>
      <c r="S159" s="3478"/>
      <c r="T159" s="3477"/>
      <c r="U159" s="3478"/>
      <c r="V159" s="3477"/>
      <c r="W159" s="3478"/>
      <c r="X159" s="3857"/>
      <c r="Y159" s="3839"/>
      <c r="Z159" s="3637"/>
      <c r="AA159" s="3835"/>
      <c r="AB159" s="3905"/>
      <c r="AC159" s="3189">
        <f t="shared" si="61"/>
        <v>4.5369999999999999</v>
      </c>
      <c r="AD159" s="3182" t="e">
        <f t="shared" si="62"/>
        <v>#N/A</v>
      </c>
      <c r="AE159" s="2475"/>
      <c r="AG159">
        <v>0</v>
      </c>
      <c r="AH159" s="1363">
        <f t="shared" si="60"/>
        <v>0</v>
      </c>
      <c r="AJ159" s="2351" t="e">
        <f t="shared" si="52"/>
        <v>#N/A</v>
      </c>
      <c r="AK159" s="2351" t="e">
        <f t="shared" si="53"/>
        <v>#N/A</v>
      </c>
      <c r="AL159" s="123" t="e">
        <f t="shared" si="50"/>
        <v>#N/A</v>
      </c>
      <c r="AR159" s="123"/>
      <c r="AS159" s="123"/>
      <c r="AU159" s="2982"/>
      <c r="AV159" s="123"/>
      <c r="AW159" s="123"/>
      <c r="AX159" s="2983"/>
      <c r="AY159" s="2984"/>
      <c r="AZ159" s="2985"/>
      <c r="BA159" s="2986"/>
      <c r="BB159" s="2987"/>
      <c r="BC159" s="2988"/>
    </row>
    <row r="160" spans="1:55" x14ac:dyDescent="0.25">
      <c r="A160" s="3851"/>
      <c r="B160" s="2622" t="s">
        <v>1351</v>
      </c>
      <c r="C160" s="1139"/>
      <c r="D160" s="3780"/>
      <c r="E160" s="250" t="s">
        <v>3894</v>
      </c>
      <c r="F160" s="3477"/>
      <c r="G160" s="3832"/>
      <c r="H160" s="3799"/>
      <c r="I160" s="3802"/>
      <c r="J160" s="3805"/>
      <c r="K160" s="3808"/>
      <c r="L160" s="3651"/>
      <c r="M160" s="3813"/>
      <c r="N160" s="3816"/>
      <c r="O160" s="3819"/>
      <c r="P160" s="3822"/>
      <c r="Q160" s="3825"/>
      <c r="R160" s="3786"/>
      <c r="S160" s="3478"/>
      <c r="T160" s="3477"/>
      <c r="U160" s="3478"/>
      <c r="V160" s="3477"/>
      <c r="W160" s="3478"/>
      <c r="X160" s="3857"/>
      <c r="Y160" s="3839"/>
      <c r="Z160" s="3637"/>
      <c r="AA160" s="3835"/>
      <c r="AB160" s="3905"/>
      <c r="AC160" s="3189">
        <f t="shared" si="61"/>
        <v>4.5369999999999999</v>
      </c>
      <c r="AD160" s="3182" t="e">
        <f t="shared" si="62"/>
        <v>#N/A</v>
      </c>
      <c r="AE160" s="2475"/>
      <c r="AG160">
        <v>0</v>
      </c>
      <c r="AH160" s="1363">
        <f t="shared" si="60"/>
        <v>0</v>
      </c>
      <c r="AJ160" s="2351" t="e">
        <f t="shared" si="52"/>
        <v>#N/A</v>
      </c>
      <c r="AK160" s="2351" t="e">
        <f t="shared" si="53"/>
        <v>#N/A</v>
      </c>
      <c r="AL160" s="123" t="e">
        <f t="shared" si="50"/>
        <v>#N/A</v>
      </c>
      <c r="AR160" s="123"/>
      <c r="AS160" s="123"/>
      <c r="AU160" s="2982"/>
      <c r="AV160" s="123"/>
      <c r="AW160" s="123"/>
      <c r="AX160" s="2983"/>
      <c r="AY160" s="2984"/>
      <c r="AZ160" s="2985"/>
      <c r="BA160" s="2986"/>
      <c r="BB160" s="2987"/>
      <c r="BC160" s="2988"/>
    </row>
    <row r="161" spans="1:55" ht="21.6" x14ac:dyDescent="0.25">
      <c r="A161" s="3851"/>
      <c r="B161" s="2622" t="s">
        <v>1357</v>
      </c>
      <c r="C161" s="1139" t="s">
        <v>9204</v>
      </c>
      <c r="D161" s="3780"/>
      <c r="E161" s="2621" t="s">
        <v>3895</v>
      </c>
      <c r="F161" s="3477"/>
      <c r="G161" s="3832"/>
      <c r="H161" s="3799"/>
      <c r="I161" s="3802"/>
      <c r="J161" s="3805"/>
      <c r="K161" s="3808"/>
      <c r="L161" s="3651"/>
      <c r="M161" s="3813"/>
      <c r="N161" s="3816"/>
      <c r="O161" s="3819"/>
      <c r="P161" s="3822"/>
      <c r="Q161" s="3825"/>
      <c r="R161" s="3786"/>
      <c r="S161" s="3478"/>
      <c r="T161" s="3477"/>
      <c r="U161" s="3478"/>
      <c r="V161" s="3477"/>
      <c r="W161" s="3478"/>
      <c r="X161" s="3857"/>
      <c r="Y161" s="3839"/>
      <c r="Z161" s="3637"/>
      <c r="AA161" s="3835"/>
      <c r="AB161" s="3905"/>
      <c r="AC161" s="3189">
        <f t="shared" si="61"/>
        <v>4.5369999999999999</v>
      </c>
      <c r="AD161" s="3182" t="e">
        <f t="shared" si="62"/>
        <v>#N/A</v>
      </c>
      <c r="AE161" s="2475"/>
      <c r="AG161">
        <v>0</v>
      </c>
      <c r="AH161" s="1363">
        <f t="shared" si="60"/>
        <v>0</v>
      </c>
      <c r="AJ161" s="2351" t="e">
        <f t="shared" si="52"/>
        <v>#N/A</v>
      </c>
      <c r="AK161" s="2351" t="e">
        <f t="shared" si="53"/>
        <v>#N/A</v>
      </c>
      <c r="AL161" s="123" t="e">
        <f t="shared" si="50"/>
        <v>#N/A</v>
      </c>
      <c r="AR161" s="123"/>
      <c r="AS161" s="123"/>
      <c r="AU161" s="2982"/>
      <c r="AV161" s="123"/>
      <c r="AW161" s="123"/>
      <c r="AX161" s="2983"/>
      <c r="AY161" s="2984"/>
      <c r="AZ161" s="2985"/>
      <c r="BA161" s="2986"/>
      <c r="BB161" s="2987"/>
      <c r="BC161" s="2988"/>
    </row>
    <row r="162" spans="1:55" x14ac:dyDescent="0.25">
      <c r="A162" s="3851"/>
      <c r="B162" s="2622" t="s">
        <v>1363</v>
      </c>
      <c r="C162" s="1139"/>
      <c r="D162" s="3780"/>
      <c r="E162" s="250" t="s">
        <v>3896</v>
      </c>
      <c r="F162" s="3477"/>
      <c r="G162" s="3832"/>
      <c r="H162" s="3799"/>
      <c r="I162" s="3802"/>
      <c r="J162" s="3805"/>
      <c r="K162" s="3808"/>
      <c r="L162" s="3651"/>
      <c r="M162" s="3813"/>
      <c r="N162" s="3816"/>
      <c r="O162" s="3819"/>
      <c r="P162" s="3822"/>
      <c r="Q162" s="3825"/>
      <c r="R162" s="3786"/>
      <c r="S162" s="3478"/>
      <c r="T162" s="3477"/>
      <c r="U162" s="3478"/>
      <c r="V162" s="3477"/>
      <c r="W162" s="3478"/>
      <c r="X162" s="3857"/>
      <c r="Y162" s="3839"/>
      <c r="Z162" s="3637"/>
      <c r="AA162" s="3835"/>
      <c r="AB162" s="3905"/>
      <c r="AC162" s="3189">
        <f t="shared" si="61"/>
        <v>4.5369999999999999</v>
      </c>
      <c r="AD162" s="3182" t="e">
        <f t="shared" si="62"/>
        <v>#N/A</v>
      </c>
      <c r="AE162" s="2475"/>
      <c r="AG162">
        <v>0</v>
      </c>
      <c r="AH162" s="1363">
        <f t="shared" si="60"/>
        <v>0</v>
      </c>
      <c r="AJ162" s="2351" t="e">
        <f t="shared" si="52"/>
        <v>#N/A</v>
      </c>
      <c r="AK162" s="2351" t="e">
        <f t="shared" si="53"/>
        <v>#N/A</v>
      </c>
      <c r="AL162" s="123" t="e">
        <f t="shared" si="50"/>
        <v>#N/A</v>
      </c>
      <c r="AR162" s="123"/>
      <c r="AS162" s="123"/>
      <c r="AU162" s="2982"/>
      <c r="AV162" s="123"/>
      <c r="AW162" s="123"/>
      <c r="AX162" s="2983"/>
      <c r="AY162" s="2984"/>
      <c r="AZ162" s="2985"/>
      <c r="BA162" s="2986"/>
      <c r="BB162" s="2987"/>
      <c r="BC162" s="2988"/>
    </row>
    <row r="163" spans="1:55" x14ac:dyDescent="0.25">
      <c r="A163" s="3851"/>
      <c r="B163" s="2622" t="s">
        <v>1369</v>
      </c>
      <c r="C163" s="1139"/>
      <c r="D163" s="3780"/>
      <c r="E163" s="250" t="s">
        <v>3897</v>
      </c>
      <c r="F163" s="3477"/>
      <c r="G163" s="3832"/>
      <c r="H163" s="3799"/>
      <c r="I163" s="3802"/>
      <c r="J163" s="3805"/>
      <c r="K163" s="3808"/>
      <c r="L163" s="3651"/>
      <c r="M163" s="3813"/>
      <c r="N163" s="3816"/>
      <c r="O163" s="3819"/>
      <c r="P163" s="3822"/>
      <c r="Q163" s="3825"/>
      <c r="R163" s="3786"/>
      <c r="S163" s="3478"/>
      <c r="T163" s="3477"/>
      <c r="U163" s="3478"/>
      <c r="V163" s="3477"/>
      <c r="W163" s="3478"/>
      <c r="X163" s="3857"/>
      <c r="Y163" s="3839"/>
      <c r="Z163" s="3637"/>
      <c r="AA163" s="3835"/>
      <c r="AB163" s="3905"/>
      <c r="AC163" s="3189">
        <f t="shared" si="61"/>
        <v>4.5369999999999999</v>
      </c>
      <c r="AD163" s="3182" t="e">
        <f t="shared" si="62"/>
        <v>#N/A</v>
      </c>
      <c r="AE163" s="2475"/>
      <c r="AG163">
        <v>0</v>
      </c>
      <c r="AH163" s="1363">
        <f t="shared" si="60"/>
        <v>0</v>
      </c>
      <c r="AJ163" s="2351" t="e">
        <f t="shared" si="52"/>
        <v>#N/A</v>
      </c>
      <c r="AK163" s="2351" t="e">
        <f t="shared" si="53"/>
        <v>#N/A</v>
      </c>
      <c r="AL163" s="123" t="e">
        <f t="shared" si="50"/>
        <v>#N/A</v>
      </c>
      <c r="AR163" s="123"/>
      <c r="AS163" s="123"/>
      <c r="AU163" s="2982"/>
      <c r="AV163" s="123"/>
      <c r="AW163" s="123"/>
      <c r="AX163" s="2983"/>
      <c r="AY163" s="2984"/>
      <c r="AZ163" s="2985"/>
      <c r="BA163" s="2986"/>
      <c r="BB163" s="2987"/>
      <c r="BC163" s="2988"/>
    </row>
    <row r="164" spans="1:55" ht="15" thickBot="1" x14ac:dyDescent="0.3">
      <c r="A164" s="3852"/>
      <c r="B164" s="1129" t="s">
        <v>1376</v>
      </c>
      <c r="C164" s="1140"/>
      <c r="D164" s="3781"/>
      <c r="E164" s="2629" t="s">
        <v>3898</v>
      </c>
      <c r="F164" s="3474"/>
      <c r="G164" s="3833"/>
      <c r="H164" s="3800"/>
      <c r="I164" s="3803"/>
      <c r="J164" s="3806"/>
      <c r="K164" s="3809"/>
      <c r="L164" s="3811"/>
      <c r="M164" s="3814"/>
      <c r="N164" s="3817"/>
      <c r="O164" s="3820"/>
      <c r="P164" s="3823"/>
      <c r="Q164" s="3826"/>
      <c r="R164" s="3787"/>
      <c r="S164" s="3476"/>
      <c r="T164" s="3474"/>
      <c r="U164" s="3476"/>
      <c r="V164" s="3474"/>
      <c r="W164" s="3476"/>
      <c r="X164" s="3858"/>
      <c r="Y164" s="3840"/>
      <c r="Z164" s="3644"/>
      <c r="AA164" s="3836"/>
      <c r="AB164" s="3906"/>
      <c r="AC164" s="3189">
        <f t="shared" si="61"/>
        <v>4.5369999999999999</v>
      </c>
      <c r="AD164" s="3182" t="e">
        <f t="shared" si="62"/>
        <v>#N/A</v>
      </c>
      <c r="AE164" s="2476"/>
      <c r="AG164">
        <v>0</v>
      </c>
      <c r="AH164" s="1363">
        <f t="shared" si="60"/>
        <v>0</v>
      </c>
      <c r="AJ164" s="2351" t="e">
        <f t="shared" si="52"/>
        <v>#N/A</v>
      </c>
      <c r="AK164" s="2351" t="e">
        <f t="shared" si="53"/>
        <v>#N/A</v>
      </c>
      <c r="AL164" s="123" t="e">
        <f t="shared" si="50"/>
        <v>#N/A</v>
      </c>
      <c r="AR164" s="123"/>
      <c r="AS164" s="123"/>
      <c r="AU164" s="2982"/>
      <c r="AV164" s="123"/>
      <c r="AW164" s="123"/>
      <c r="AX164" s="2983"/>
      <c r="AY164" s="2984"/>
      <c r="AZ164" s="2985"/>
      <c r="BA164" s="2986"/>
      <c r="BB164" s="2987"/>
      <c r="BC164" s="2988"/>
    </row>
    <row r="165" spans="1:55" ht="22.2" thickTop="1" x14ac:dyDescent="0.25">
      <c r="A165" s="3850" t="s">
        <v>9212</v>
      </c>
      <c r="B165" s="1128" t="s">
        <v>771</v>
      </c>
      <c r="C165" s="1138" t="s">
        <v>9186</v>
      </c>
      <c r="D165" s="3853">
        <f>0.55+2.2*2+1.1</f>
        <v>6.0500000000000007</v>
      </c>
      <c r="E165" s="993" t="s">
        <v>3870</v>
      </c>
      <c r="F165" s="3491" t="s">
        <v>3871</v>
      </c>
      <c r="G165" s="3831" t="s">
        <v>3872</v>
      </c>
      <c r="H165" s="3798" t="str">
        <f>"4-DaHall 1-PDU-"&amp;L165&amp;"-"&amp;K165&amp;"-"&amp;M165</f>
        <v>4-DaHall 1-PDU-02-100-6</v>
      </c>
      <c r="I165" s="3801" t="str">
        <f>"4-DaHall 1-PDU-"&amp;P165&amp;"-"&amp;O165&amp;"-"&amp;Q165</f>
        <v>4-DaHall 1-PDU-01-100-6</v>
      </c>
      <c r="J165" s="3804">
        <v>220</v>
      </c>
      <c r="K165" s="3807">
        <v>100</v>
      </c>
      <c r="L165" s="3810" t="s">
        <v>6494</v>
      </c>
      <c r="M165" s="3812">
        <v>6</v>
      </c>
      <c r="N165" s="3815">
        <v>220</v>
      </c>
      <c r="O165" s="3818">
        <v>100</v>
      </c>
      <c r="P165" s="3821" t="s">
        <v>6498</v>
      </c>
      <c r="Q165" s="3824">
        <v>6</v>
      </c>
      <c r="R165" s="3785" t="s">
        <v>3742</v>
      </c>
      <c r="S165" s="3489" t="s">
        <v>3747</v>
      </c>
      <c r="T165" s="3491" t="s">
        <v>3743</v>
      </c>
      <c r="U165" s="3489" t="s">
        <v>3748</v>
      </c>
      <c r="V165" s="3491" t="s">
        <v>3744</v>
      </c>
      <c r="W165" s="3489" t="s">
        <v>3749</v>
      </c>
      <c r="X165" s="3856">
        <f>SUM('4층_부하량(월간_AVG)'!D11:F11)</f>
        <v>0</v>
      </c>
      <c r="Y165" s="3838">
        <f>SUM('4층_부하량(월간_AVG)'!N40:P40)</f>
        <v>0</v>
      </c>
      <c r="Z165" s="3859">
        <f t="shared" ref="Z165" si="63">SUM(X165:Y165)</f>
        <v>0</v>
      </c>
      <c r="AA165" s="3862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901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188">
        <f>VLOOKUP(H165&amp;I165,'7층~4층_매핑테이블'!$A$6:$H$2020,8,0)</f>
        <v>7.6850000000000005</v>
      </c>
      <c r="AD165" s="3181" t="e">
        <f>SUM(AA165:AB174)</f>
        <v>#N/A</v>
      </c>
      <c r="AE165" s="2474"/>
      <c r="AG165">
        <v>37.099999999999994</v>
      </c>
      <c r="AH165" s="1363">
        <f t="shared" si="60"/>
        <v>-37.099999999999994</v>
      </c>
      <c r="AJ165" s="2351" t="e">
        <f t="shared" si="52"/>
        <v>#N/A</v>
      </c>
      <c r="AK165" s="2351" t="e">
        <f t="shared" si="53"/>
        <v>#N/A</v>
      </c>
      <c r="AL165" s="123" t="e">
        <f t="shared" si="50"/>
        <v>#N/A</v>
      </c>
      <c r="AR165" s="123"/>
      <c r="AS165" s="123"/>
      <c r="AU165" s="2982"/>
      <c r="AV165" s="123"/>
      <c r="AW165" s="123"/>
      <c r="AX165" s="2983"/>
      <c r="AY165" s="2984"/>
      <c r="AZ165" s="2985"/>
      <c r="BA165" s="2986"/>
      <c r="BB165" s="2987"/>
      <c r="BC165" s="2988"/>
    </row>
    <row r="166" spans="1:55" x14ac:dyDescent="0.25">
      <c r="A166" s="3851"/>
      <c r="B166" s="2622" t="s">
        <v>1266</v>
      </c>
      <c r="C166" s="1139"/>
      <c r="D166" s="3854"/>
      <c r="E166" s="250" t="s">
        <v>3873</v>
      </c>
      <c r="F166" s="3477"/>
      <c r="G166" s="3832"/>
      <c r="H166" s="3799"/>
      <c r="I166" s="3802"/>
      <c r="J166" s="3805"/>
      <c r="K166" s="3808"/>
      <c r="L166" s="3651"/>
      <c r="M166" s="3813"/>
      <c r="N166" s="3816"/>
      <c r="O166" s="3819"/>
      <c r="P166" s="3822"/>
      <c r="Q166" s="3825"/>
      <c r="R166" s="3786"/>
      <c r="S166" s="3478"/>
      <c r="T166" s="3477"/>
      <c r="U166" s="3478"/>
      <c r="V166" s="3477"/>
      <c r="W166" s="3478"/>
      <c r="X166" s="3857"/>
      <c r="Y166" s="3839"/>
      <c r="Z166" s="3860"/>
      <c r="AA166" s="3863"/>
      <c r="AB166" s="3902"/>
      <c r="AC166" s="3189">
        <f>$AC$165</f>
        <v>7.6850000000000005</v>
      </c>
      <c r="AD166" s="3182" t="e">
        <f>$AD$165</f>
        <v>#N/A</v>
      </c>
      <c r="AE166" s="2475"/>
      <c r="AG166">
        <v>0</v>
      </c>
      <c r="AH166" s="1363">
        <f t="shared" si="60"/>
        <v>0</v>
      </c>
      <c r="AJ166" s="2351" t="e">
        <f t="shared" si="52"/>
        <v>#N/A</v>
      </c>
      <c r="AK166" s="2351" t="e">
        <f t="shared" si="53"/>
        <v>#N/A</v>
      </c>
      <c r="AL166" s="123" t="e">
        <f t="shared" si="50"/>
        <v>#N/A</v>
      </c>
      <c r="AR166" s="123"/>
      <c r="AS166" s="123"/>
      <c r="AU166" s="2982"/>
      <c r="AV166" s="123"/>
      <c r="AW166" s="123"/>
      <c r="AX166" s="2983"/>
      <c r="AY166" s="2984"/>
      <c r="AZ166" s="2985"/>
      <c r="BA166" s="2986"/>
      <c r="BB166" s="2987"/>
      <c r="BC166" s="2988"/>
    </row>
    <row r="167" spans="1:55" ht="21.6" x14ac:dyDescent="0.25">
      <c r="A167" s="3851"/>
      <c r="B167" s="2622" t="s">
        <v>1278</v>
      </c>
      <c r="C167" s="1139" t="s">
        <v>9205</v>
      </c>
      <c r="D167" s="3854"/>
      <c r="E167" s="2621" t="s">
        <v>3874</v>
      </c>
      <c r="F167" s="3477"/>
      <c r="G167" s="3832"/>
      <c r="H167" s="3799"/>
      <c r="I167" s="3802"/>
      <c r="J167" s="3805"/>
      <c r="K167" s="3808"/>
      <c r="L167" s="3651"/>
      <c r="M167" s="3813"/>
      <c r="N167" s="3816"/>
      <c r="O167" s="3819"/>
      <c r="P167" s="3822"/>
      <c r="Q167" s="3825"/>
      <c r="R167" s="3786"/>
      <c r="S167" s="3478"/>
      <c r="T167" s="3477"/>
      <c r="U167" s="3478"/>
      <c r="V167" s="3477"/>
      <c r="W167" s="3478"/>
      <c r="X167" s="3857"/>
      <c r="Y167" s="3839"/>
      <c r="Z167" s="3860"/>
      <c r="AA167" s="3863"/>
      <c r="AB167" s="3902"/>
      <c r="AC167" s="3189">
        <f t="shared" ref="AC167:AC174" si="64">$AC$165</f>
        <v>7.6850000000000005</v>
      </c>
      <c r="AD167" s="3182" t="e">
        <f t="shared" ref="AD167:AD174" si="65">$AD$165</f>
        <v>#N/A</v>
      </c>
      <c r="AE167" s="2475"/>
      <c r="AG167">
        <v>0</v>
      </c>
      <c r="AH167" s="1363">
        <f t="shared" si="60"/>
        <v>0</v>
      </c>
      <c r="AJ167" s="2351" t="e">
        <f t="shared" si="52"/>
        <v>#N/A</v>
      </c>
      <c r="AK167" s="2351" t="e">
        <f t="shared" si="53"/>
        <v>#N/A</v>
      </c>
      <c r="AL167" s="123" t="e">
        <f t="shared" si="50"/>
        <v>#N/A</v>
      </c>
      <c r="AR167" s="123"/>
      <c r="AS167" s="123"/>
      <c r="AU167" s="2982"/>
      <c r="AV167" s="123"/>
      <c r="AW167" s="123"/>
      <c r="AX167" s="2983"/>
      <c r="AY167" s="2984"/>
      <c r="AZ167" s="2985"/>
      <c r="BA167" s="2986"/>
      <c r="BB167" s="2987"/>
      <c r="BC167" s="2988"/>
    </row>
    <row r="168" spans="1:55" x14ac:dyDescent="0.25">
      <c r="A168" s="3851"/>
      <c r="B168" s="2622" t="s">
        <v>1284</v>
      </c>
      <c r="C168" s="1139"/>
      <c r="D168" s="3854"/>
      <c r="E168" s="250" t="s">
        <v>3875</v>
      </c>
      <c r="F168" s="3477"/>
      <c r="G168" s="3832"/>
      <c r="H168" s="3799"/>
      <c r="I168" s="3802"/>
      <c r="J168" s="3805"/>
      <c r="K168" s="3808"/>
      <c r="L168" s="3651"/>
      <c r="M168" s="3813"/>
      <c r="N168" s="3816"/>
      <c r="O168" s="3819"/>
      <c r="P168" s="3822"/>
      <c r="Q168" s="3825"/>
      <c r="R168" s="3786"/>
      <c r="S168" s="3478"/>
      <c r="T168" s="3477"/>
      <c r="U168" s="3478"/>
      <c r="V168" s="3477"/>
      <c r="W168" s="3478"/>
      <c r="X168" s="3857"/>
      <c r="Y168" s="3839"/>
      <c r="Z168" s="3860"/>
      <c r="AA168" s="3863"/>
      <c r="AB168" s="3902"/>
      <c r="AC168" s="3189">
        <f t="shared" si="64"/>
        <v>7.6850000000000005</v>
      </c>
      <c r="AD168" s="3182" t="e">
        <f t="shared" si="65"/>
        <v>#N/A</v>
      </c>
      <c r="AE168" s="2475"/>
      <c r="AG168">
        <v>0</v>
      </c>
      <c r="AH168" s="1363">
        <f t="shared" si="60"/>
        <v>0</v>
      </c>
      <c r="AJ168" s="2351" t="e">
        <f t="shared" si="52"/>
        <v>#N/A</v>
      </c>
      <c r="AK168" s="2351" t="e">
        <f t="shared" si="53"/>
        <v>#N/A</v>
      </c>
      <c r="AL168" s="123" t="e">
        <f t="shared" si="50"/>
        <v>#N/A</v>
      </c>
      <c r="AR168" s="123"/>
      <c r="AS168" s="123"/>
      <c r="AU168" s="2982"/>
      <c r="AV168" s="123"/>
      <c r="AW168" s="123"/>
      <c r="AX168" s="2983"/>
      <c r="AY168" s="2984"/>
      <c r="AZ168" s="2985"/>
      <c r="BA168" s="2986"/>
      <c r="BB168" s="2987"/>
      <c r="BC168" s="2988"/>
    </row>
    <row r="169" spans="1:55" x14ac:dyDescent="0.25">
      <c r="A169" s="3851"/>
      <c r="B169" s="2622" t="s">
        <v>1290</v>
      </c>
      <c r="C169" s="1139"/>
      <c r="D169" s="3854"/>
      <c r="E169" s="250" t="s">
        <v>3876</v>
      </c>
      <c r="F169" s="3477"/>
      <c r="G169" s="3832"/>
      <c r="H169" s="3799"/>
      <c r="I169" s="3802"/>
      <c r="J169" s="3805"/>
      <c r="K169" s="3808"/>
      <c r="L169" s="3651"/>
      <c r="M169" s="3813"/>
      <c r="N169" s="3816"/>
      <c r="O169" s="3819"/>
      <c r="P169" s="3822"/>
      <c r="Q169" s="3825"/>
      <c r="R169" s="3786"/>
      <c r="S169" s="3478"/>
      <c r="T169" s="3477"/>
      <c r="U169" s="3478"/>
      <c r="V169" s="3477"/>
      <c r="W169" s="3478"/>
      <c r="X169" s="3857"/>
      <c r="Y169" s="3839"/>
      <c r="Z169" s="3860"/>
      <c r="AA169" s="3863"/>
      <c r="AB169" s="3902"/>
      <c r="AC169" s="3189">
        <f t="shared" si="64"/>
        <v>7.6850000000000005</v>
      </c>
      <c r="AD169" s="3182" t="e">
        <f t="shared" si="65"/>
        <v>#N/A</v>
      </c>
      <c r="AE169" s="2475"/>
      <c r="AG169">
        <v>0</v>
      </c>
      <c r="AH169" s="1363">
        <f t="shared" si="60"/>
        <v>0</v>
      </c>
      <c r="AJ169" s="2351" t="e">
        <f t="shared" si="52"/>
        <v>#N/A</v>
      </c>
      <c r="AK169" s="2351" t="e">
        <f t="shared" si="53"/>
        <v>#N/A</v>
      </c>
      <c r="AL169" s="123" t="e">
        <f t="shared" si="50"/>
        <v>#N/A</v>
      </c>
      <c r="AR169" s="123"/>
      <c r="AS169" s="123"/>
      <c r="AU169" s="2982"/>
      <c r="AV169" s="123"/>
      <c r="AW169" s="123"/>
      <c r="AX169" s="2983"/>
      <c r="AY169" s="2984"/>
      <c r="AZ169" s="2985"/>
      <c r="BA169" s="2986"/>
      <c r="BB169" s="2987"/>
      <c r="BC169" s="2988"/>
    </row>
    <row r="170" spans="1:55" ht="21.6" x14ac:dyDescent="0.25">
      <c r="A170" s="3851"/>
      <c r="B170" s="2622" t="s">
        <v>1296</v>
      </c>
      <c r="C170" s="1139" t="s">
        <v>9206</v>
      </c>
      <c r="D170" s="3854"/>
      <c r="E170" s="2621" t="s">
        <v>3877</v>
      </c>
      <c r="F170" s="3477"/>
      <c r="G170" s="3832"/>
      <c r="H170" s="3799"/>
      <c r="I170" s="3802"/>
      <c r="J170" s="3805"/>
      <c r="K170" s="3808"/>
      <c r="L170" s="3651"/>
      <c r="M170" s="3813"/>
      <c r="N170" s="3816"/>
      <c r="O170" s="3819"/>
      <c r="P170" s="3822"/>
      <c r="Q170" s="3825"/>
      <c r="R170" s="3786"/>
      <c r="S170" s="3478"/>
      <c r="T170" s="3477"/>
      <c r="U170" s="3478"/>
      <c r="V170" s="3477"/>
      <c r="W170" s="3478"/>
      <c r="X170" s="3857"/>
      <c r="Y170" s="3839"/>
      <c r="Z170" s="3860"/>
      <c r="AA170" s="3863"/>
      <c r="AB170" s="3902"/>
      <c r="AC170" s="3189">
        <f t="shared" si="64"/>
        <v>7.6850000000000005</v>
      </c>
      <c r="AD170" s="3182" t="e">
        <f t="shared" si="65"/>
        <v>#N/A</v>
      </c>
      <c r="AE170" s="2475"/>
      <c r="AG170">
        <v>0</v>
      </c>
      <c r="AH170" s="1363">
        <f t="shared" si="60"/>
        <v>0</v>
      </c>
      <c r="AJ170" s="2351" t="e">
        <f t="shared" si="52"/>
        <v>#N/A</v>
      </c>
      <c r="AK170" s="2351" t="e">
        <f t="shared" si="53"/>
        <v>#N/A</v>
      </c>
      <c r="AL170" s="123" t="e">
        <f t="shared" si="50"/>
        <v>#N/A</v>
      </c>
      <c r="AR170" s="123"/>
      <c r="AS170" s="123"/>
      <c r="AU170" s="2982"/>
      <c r="AV170" s="123"/>
      <c r="AW170" s="123"/>
      <c r="AX170" s="2983"/>
      <c r="AY170" s="2984"/>
      <c r="AZ170" s="2985"/>
      <c r="BA170" s="2986"/>
      <c r="BB170" s="2987"/>
      <c r="BC170" s="2988"/>
    </row>
    <row r="171" spans="1:55" ht="21.6" x14ac:dyDescent="0.25">
      <c r="A171" s="3851"/>
      <c r="B171" s="2622" t="s">
        <v>1302</v>
      </c>
      <c r="C171" s="1139" t="s">
        <v>9206</v>
      </c>
      <c r="D171" s="3854"/>
      <c r="E171" s="2621" t="s">
        <v>3878</v>
      </c>
      <c r="F171" s="3477"/>
      <c r="G171" s="3832"/>
      <c r="H171" s="3799"/>
      <c r="I171" s="3802"/>
      <c r="J171" s="3805"/>
      <c r="K171" s="3808"/>
      <c r="L171" s="3651"/>
      <c r="M171" s="3813"/>
      <c r="N171" s="3816"/>
      <c r="O171" s="3819"/>
      <c r="P171" s="3822"/>
      <c r="Q171" s="3825"/>
      <c r="R171" s="3786"/>
      <c r="S171" s="3478"/>
      <c r="T171" s="3477"/>
      <c r="U171" s="3478"/>
      <c r="V171" s="3477"/>
      <c r="W171" s="3478"/>
      <c r="X171" s="3857"/>
      <c r="Y171" s="3839"/>
      <c r="Z171" s="3860"/>
      <c r="AA171" s="3863"/>
      <c r="AB171" s="3902"/>
      <c r="AC171" s="3189">
        <f t="shared" si="64"/>
        <v>7.6850000000000005</v>
      </c>
      <c r="AD171" s="3182" t="e">
        <f t="shared" si="65"/>
        <v>#N/A</v>
      </c>
      <c r="AE171" s="2475"/>
      <c r="AG171">
        <v>0</v>
      </c>
      <c r="AH171" s="1363">
        <f t="shared" si="60"/>
        <v>0</v>
      </c>
      <c r="AJ171" s="2351" t="e">
        <f t="shared" si="52"/>
        <v>#N/A</v>
      </c>
      <c r="AK171" s="2351" t="e">
        <f t="shared" si="53"/>
        <v>#N/A</v>
      </c>
      <c r="AL171" s="123" t="e">
        <f t="shared" si="50"/>
        <v>#N/A</v>
      </c>
      <c r="AR171" s="123"/>
      <c r="AS171" s="123"/>
      <c r="AU171" s="2982"/>
      <c r="AV171" s="123"/>
      <c r="AW171" s="123"/>
      <c r="AX171" s="2983"/>
      <c r="AY171" s="2984"/>
      <c r="AZ171" s="2985"/>
      <c r="BA171" s="2986"/>
      <c r="BB171" s="2987"/>
      <c r="BC171" s="2988"/>
    </row>
    <row r="172" spans="1:55" x14ac:dyDescent="0.25">
      <c r="A172" s="3851"/>
      <c r="B172" s="2622" t="s">
        <v>1308</v>
      </c>
      <c r="C172" s="1139"/>
      <c r="D172" s="3854"/>
      <c r="E172" s="250" t="s">
        <v>3879</v>
      </c>
      <c r="F172" s="3477"/>
      <c r="G172" s="3832"/>
      <c r="H172" s="3799"/>
      <c r="I172" s="3802"/>
      <c r="J172" s="3805"/>
      <c r="K172" s="3808"/>
      <c r="L172" s="3651"/>
      <c r="M172" s="3813"/>
      <c r="N172" s="3816"/>
      <c r="O172" s="3819"/>
      <c r="P172" s="3822"/>
      <c r="Q172" s="3825"/>
      <c r="R172" s="3786"/>
      <c r="S172" s="3478"/>
      <c r="T172" s="3477"/>
      <c r="U172" s="3478"/>
      <c r="V172" s="3477"/>
      <c r="W172" s="3478"/>
      <c r="X172" s="3857"/>
      <c r="Y172" s="3839"/>
      <c r="Z172" s="3860"/>
      <c r="AA172" s="3863"/>
      <c r="AB172" s="3902"/>
      <c r="AC172" s="3189">
        <f t="shared" si="64"/>
        <v>7.6850000000000005</v>
      </c>
      <c r="AD172" s="3182" t="e">
        <f t="shared" si="65"/>
        <v>#N/A</v>
      </c>
      <c r="AE172" s="2475"/>
      <c r="AG172">
        <v>0</v>
      </c>
      <c r="AH172" s="1363">
        <f t="shared" si="60"/>
        <v>0</v>
      </c>
      <c r="AJ172" s="2351" t="e">
        <f t="shared" si="52"/>
        <v>#N/A</v>
      </c>
      <c r="AK172" s="2351" t="e">
        <f t="shared" si="53"/>
        <v>#N/A</v>
      </c>
      <c r="AL172" s="123" t="e">
        <f t="shared" si="50"/>
        <v>#N/A</v>
      </c>
      <c r="AR172" s="123"/>
      <c r="AS172" s="123"/>
      <c r="AU172" s="2982"/>
      <c r="AV172" s="123"/>
      <c r="AW172" s="123"/>
      <c r="AX172" s="2983"/>
      <c r="AY172" s="2984"/>
      <c r="AZ172" s="2985"/>
      <c r="BA172" s="2986"/>
      <c r="BB172" s="2987"/>
      <c r="BC172" s="2988"/>
    </row>
    <row r="173" spans="1:55" x14ac:dyDescent="0.25">
      <c r="A173" s="3851"/>
      <c r="B173" s="2622" t="s">
        <v>1314</v>
      </c>
      <c r="C173" s="1139" t="s">
        <v>9207</v>
      </c>
      <c r="D173" s="3854"/>
      <c r="E173" s="2621" t="s">
        <v>3880</v>
      </c>
      <c r="F173" s="3477"/>
      <c r="G173" s="3832"/>
      <c r="H173" s="3799"/>
      <c r="I173" s="3802"/>
      <c r="J173" s="3805"/>
      <c r="K173" s="3808"/>
      <c r="L173" s="3651"/>
      <c r="M173" s="3813"/>
      <c r="N173" s="3816"/>
      <c r="O173" s="3819"/>
      <c r="P173" s="3822"/>
      <c r="Q173" s="3825"/>
      <c r="R173" s="3786"/>
      <c r="S173" s="3478"/>
      <c r="T173" s="3477"/>
      <c r="U173" s="3478"/>
      <c r="V173" s="3477"/>
      <c r="W173" s="3478"/>
      <c r="X173" s="3857"/>
      <c r="Y173" s="3839"/>
      <c r="Z173" s="3860"/>
      <c r="AA173" s="3863"/>
      <c r="AB173" s="3902"/>
      <c r="AC173" s="3189">
        <f t="shared" si="64"/>
        <v>7.6850000000000005</v>
      </c>
      <c r="AD173" s="3182" t="e">
        <f t="shared" si="65"/>
        <v>#N/A</v>
      </c>
      <c r="AE173" s="2475"/>
      <c r="AG173">
        <v>0</v>
      </c>
      <c r="AH173" s="1363">
        <f t="shared" si="60"/>
        <v>0</v>
      </c>
      <c r="AJ173" s="2351" t="e">
        <f t="shared" si="52"/>
        <v>#N/A</v>
      </c>
      <c r="AK173" s="2351" t="e">
        <f t="shared" si="53"/>
        <v>#N/A</v>
      </c>
      <c r="AL173" s="123" t="e">
        <f t="shared" si="50"/>
        <v>#N/A</v>
      </c>
      <c r="AR173" s="123"/>
      <c r="AS173" s="123"/>
      <c r="AU173" s="2982"/>
      <c r="AV173" s="123"/>
      <c r="AW173" s="123"/>
      <c r="AX173" s="2983"/>
      <c r="AY173" s="2984"/>
      <c r="AZ173" s="2985"/>
      <c r="BA173" s="2986"/>
      <c r="BB173" s="2987"/>
      <c r="BC173" s="2988"/>
    </row>
    <row r="174" spans="1:55" ht="15" thickBot="1" x14ac:dyDescent="0.3">
      <c r="A174" s="3852"/>
      <c r="B174" s="1129" t="s">
        <v>1320</v>
      </c>
      <c r="C174" s="1140"/>
      <c r="D174" s="3855"/>
      <c r="E174" s="2629" t="s">
        <v>3881</v>
      </c>
      <c r="F174" s="3474"/>
      <c r="G174" s="3833"/>
      <c r="H174" s="3800"/>
      <c r="I174" s="3803"/>
      <c r="J174" s="3806"/>
      <c r="K174" s="3809"/>
      <c r="L174" s="3811"/>
      <c r="M174" s="3814"/>
      <c r="N174" s="3817"/>
      <c r="O174" s="3820"/>
      <c r="P174" s="3823"/>
      <c r="Q174" s="3826"/>
      <c r="R174" s="3787"/>
      <c r="S174" s="3476"/>
      <c r="T174" s="3474"/>
      <c r="U174" s="3476"/>
      <c r="V174" s="3474"/>
      <c r="W174" s="3476"/>
      <c r="X174" s="3858"/>
      <c r="Y174" s="3840"/>
      <c r="Z174" s="3861"/>
      <c r="AA174" s="3864"/>
      <c r="AB174" s="3903"/>
      <c r="AC174" s="3189">
        <f t="shared" si="64"/>
        <v>7.6850000000000005</v>
      </c>
      <c r="AD174" s="3182" t="e">
        <f t="shared" si="65"/>
        <v>#N/A</v>
      </c>
      <c r="AE174" s="2476"/>
      <c r="AG174">
        <v>0</v>
      </c>
      <c r="AH174" s="1363">
        <f t="shared" si="60"/>
        <v>0</v>
      </c>
      <c r="AJ174" s="2351" t="e">
        <f t="shared" si="52"/>
        <v>#N/A</v>
      </c>
      <c r="AK174" s="2351" t="e">
        <f t="shared" si="53"/>
        <v>#N/A</v>
      </c>
      <c r="AL174" s="123" t="e">
        <f t="shared" si="50"/>
        <v>#N/A</v>
      </c>
      <c r="AR174" s="123"/>
      <c r="AS174" s="123"/>
      <c r="AU174" s="2982"/>
      <c r="AV174" s="123"/>
      <c r="AW174" s="123"/>
      <c r="AX174" s="2983"/>
      <c r="AY174" s="2984"/>
      <c r="AZ174" s="2985"/>
      <c r="BA174" s="2986"/>
      <c r="BB174" s="2987"/>
      <c r="BC174" s="2988"/>
    </row>
    <row r="175" spans="1:55" ht="22.2" thickTop="1" x14ac:dyDescent="0.25">
      <c r="A175" s="3828" t="s">
        <v>3853</v>
      </c>
      <c r="B175" s="1128" t="s">
        <v>839</v>
      </c>
      <c r="C175" s="1138" t="s">
        <v>9208</v>
      </c>
      <c r="D175" s="3779">
        <f>2.2*8+1.1</f>
        <v>18.700000000000003</v>
      </c>
      <c r="E175" s="993" t="s">
        <v>3854</v>
      </c>
      <c r="F175" s="3491" t="s">
        <v>3855</v>
      </c>
      <c r="G175" s="3831" t="s">
        <v>3856</v>
      </c>
      <c r="H175" s="3798" t="str">
        <f>"4-DaHall 1-PDU-"&amp;L175&amp;"-"&amp;K175&amp;"-"&amp;M175</f>
        <v>4-DaHall 1-PDU-02-100-7</v>
      </c>
      <c r="I175" s="3801" t="str">
        <f>"4-DaHall 1-PDU-"&amp;P175&amp;"-"&amp;O175&amp;"-"&amp;Q175</f>
        <v>4-DaHall 1-PDU-01-100-7</v>
      </c>
      <c r="J175" s="3804">
        <v>220</v>
      </c>
      <c r="K175" s="3807">
        <v>100</v>
      </c>
      <c r="L175" s="3810" t="s">
        <v>6494</v>
      </c>
      <c r="M175" s="3812">
        <v>7</v>
      </c>
      <c r="N175" s="3815">
        <v>220</v>
      </c>
      <c r="O175" s="3818">
        <v>100</v>
      </c>
      <c r="P175" s="3821" t="s">
        <v>6498</v>
      </c>
      <c r="Q175" s="3824">
        <v>7</v>
      </c>
      <c r="R175" s="3785" t="s">
        <v>3742</v>
      </c>
      <c r="S175" s="3489" t="s">
        <v>3747</v>
      </c>
      <c r="T175" s="3491" t="s">
        <v>3743</v>
      </c>
      <c r="U175" s="3489" t="s">
        <v>3748</v>
      </c>
      <c r="V175" s="3491" t="s">
        <v>3744</v>
      </c>
      <c r="W175" s="3489" t="s">
        <v>3749</v>
      </c>
      <c r="X175" s="3856">
        <f>SUM('4층_부하량(월간_AVG)'!D12:F12)</f>
        <v>0</v>
      </c>
      <c r="Y175" s="3838">
        <f>SUM('4층_부하량(월간_AVG)'!N41:P41)</f>
        <v>0</v>
      </c>
      <c r="Z175" s="3837">
        <f t="shared" ref="Z175" si="66">SUM(X175:Y175)</f>
        <v>0</v>
      </c>
      <c r="AA175" s="3834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904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188">
        <f>VLOOKUP(H175&amp;I175,'7층~4층_매핑테이블'!$A$6:$H$2020,8,0)</f>
        <v>8.8550000000000004</v>
      </c>
      <c r="AD175" s="3181" t="e">
        <f>SUM(AA175:AB185)</f>
        <v>#N/A</v>
      </c>
      <c r="AE175" s="2474"/>
      <c r="AG175">
        <v>40.700000000000003</v>
      </c>
      <c r="AH175" s="1363">
        <f t="shared" si="60"/>
        <v>-40.700000000000003</v>
      </c>
      <c r="AJ175" s="2351" t="e">
        <f t="shared" si="52"/>
        <v>#N/A</v>
      </c>
      <c r="AK175" s="2351" t="e">
        <f t="shared" si="53"/>
        <v>#N/A</v>
      </c>
      <c r="AL175" s="123" t="e">
        <f t="shared" si="50"/>
        <v>#N/A</v>
      </c>
      <c r="AR175" s="123"/>
      <c r="AS175" s="123"/>
      <c r="AU175" s="2982"/>
      <c r="AV175" s="123"/>
      <c r="AW175" s="123"/>
      <c r="AX175" s="2983"/>
      <c r="AY175" s="2984"/>
      <c r="AZ175" s="2985"/>
      <c r="BA175" s="2986"/>
      <c r="BB175" s="2987"/>
      <c r="BC175" s="2988"/>
    </row>
    <row r="176" spans="1:55" ht="28.8" x14ac:dyDescent="0.25">
      <c r="A176" s="3829"/>
      <c r="B176" s="2622" t="s">
        <v>2930</v>
      </c>
      <c r="C176" s="1139"/>
      <c r="D176" s="3780"/>
      <c r="E176" s="2621" t="s">
        <v>3857</v>
      </c>
      <c r="F176" s="3477"/>
      <c r="G176" s="3832"/>
      <c r="H176" s="3799"/>
      <c r="I176" s="3802"/>
      <c r="J176" s="3805"/>
      <c r="K176" s="3808"/>
      <c r="L176" s="3651"/>
      <c r="M176" s="3813"/>
      <c r="N176" s="3816"/>
      <c r="O176" s="3819"/>
      <c r="P176" s="3822"/>
      <c r="Q176" s="3825"/>
      <c r="R176" s="3786"/>
      <c r="S176" s="3478"/>
      <c r="T176" s="3477"/>
      <c r="U176" s="3478"/>
      <c r="V176" s="3477"/>
      <c r="W176" s="3478"/>
      <c r="X176" s="3857"/>
      <c r="Y176" s="3839"/>
      <c r="Z176" s="3637"/>
      <c r="AA176" s="3835"/>
      <c r="AB176" s="3905"/>
      <c r="AC176" s="3189">
        <f>$AC$175</f>
        <v>8.8550000000000004</v>
      </c>
      <c r="AD176" s="3182" t="e">
        <f>$AD$175</f>
        <v>#N/A</v>
      </c>
      <c r="AE176" s="2475" t="s">
        <v>3858</v>
      </c>
      <c r="AG176">
        <v>0</v>
      </c>
      <c r="AH176" s="1363">
        <f t="shared" si="60"/>
        <v>0</v>
      </c>
      <c r="AJ176" s="2351" t="e">
        <f t="shared" si="52"/>
        <v>#N/A</v>
      </c>
      <c r="AK176" s="2351" t="e">
        <f t="shared" si="53"/>
        <v>#N/A</v>
      </c>
      <c r="AL176" s="123" t="e">
        <f t="shared" si="50"/>
        <v>#N/A</v>
      </c>
      <c r="AR176" s="123"/>
      <c r="AS176" s="123"/>
      <c r="AU176" s="2982"/>
      <c r="AV176" s="123"/>
      <c r="AW176" s="123"/>
      <c r="AX176" s="2983"/>
      <c r="AY176" s="2984"/>
      <c r="AZ176" s="2985"/>
      <c r="BA176" s="2986"/>
      <c r="BB176" s="2987"/>
      <c r="BC176" s="2988"/>
    </row>
    <row r="177" spans="1:55" ht="21.6" x14ac:dyDescent="0.25">
      <c r="A177" s="3829"/>
      <c r="B177" s="2622" t="s">
        <v>2936</v>
      </c>
      <c r="C177" s="1139" t="s">
        <v>9208</v>
      </c>
      <c r="D177" s="3780"/>
      <c r="E177" s="2621" t="s">
        <v>3859</v>
      </c>
      <c r="F177" s="3477"/>
      <c r="G177" s="3832"/>
      <c r="H177" s="3799"/>
      <c r="I177" s="3802"/>
      <c r="J177" s="3805"/>
      <c r="K177" s="3808"/>
      <c r="L177" s="3651"/>
      <c r="M177" s="3813"/>
      <c r="N177" s="3816"/>
      <c r="O177" s="3819"/>
      <c r="P177" s="3822"/>
      <c r="Q177" s="3825"/>
      <c r="R177" s="3786"/>
      <c r="S177" s="3478"/>
      <c r="T177" s="3477"/>
      <c r="U177" s="3478"/>
      <c r="V177" s="3477"/>
      <c r="W177" s="3478"/>
      <c r="X177" s="3857"/>
      <c r="Y177" s="3839"/>
      <c r="Z177" s="3637"/>
      <c r="AA177" s="3835"/>
      <c r="AB177" s="3905"/>
      <c r="AC177" s="3189">
        <f t="shared" ref="AC177:AC185" si="67">$AC$175</f>
        <v>8.8550000000000004</v>
      </c>
      <c r="AD177" s="3182" t="e">
        <f t="shared" ref="AD177:AD185" si="68">$AD$175</f>
        <v>#N/A</v>
      </c>
      <c r="AE177" s="2475"/>
      <c r="AG177">
        <v>0</v>
      </c>
      <c r="AH177" s="1363">
        <f t="shared" si="60"/>
        <v>0</v>
      </c>
      <c r="AJ177" s="2351" t="e">
        <f t="shared" si="52"/>
        <v>#N/A</v>
      </c>
      <c r="AK177" s="2351" t="e">
        <f t="shared" si="53"/>
        <v>#N/A</v>
      </c>
      <c r="AL177" s="123" t="e">
        <f t="shared" si="50"/>
        <v>#N/A</v>
      </c>
      <c r="AR177" s="123"/>
      <c r="AS177" s="123"/>
      <c r="AU177" s="2982"/>
      <c r="AV177" s="123"/>
      <c r="AW177" s="123"/>
      <c r="AX177" s="2983"/>
      <c r="AY177" s="2984"/>
      <c r="AZ177" s="2985"/>
      <c r="BA177" s="2986"/>
      <c r="BB177" s="2987"/>
      <c r="BC177" s="2988"/>
    </row>
    <row r="178" spans="1:55" ht="21.6" x14ac:dyDescent="0.25">
      <c r="A178" s="3829"/>
      <c r="B178" s="2622" t="s">
        <v>2942</v>
      </c>
      <c r="C178" s="1139" t="s">
        <v>9209</v>
      </c>
      <c r="D178" s="3780"/>
      <c r="E178" s="2621" t="s">
        <v>3860</v>
      </c>
      <c r="F178" s="3477"/>
      <c r="G178" s="3832"/>
      <c r="H178" s="3799"/>
      <c r="I178" s="3802"/>
      <c r="J178" s="3805"/>
      <c r="K178" s="3808"/>
      <c r="L178" s="3651"/>
      <c r="M178" s="3813"/>
      <c r="N178" s="3816"/>
      <c r="O178" s="3819"/>
      <c r="P178" s="3822"/>
      <c r="Q178" s="3825"/>
      <c r="R178" s="3786"/>
      <c r="S178" s="3478"/>
      <c r="T178" s="3477"/>
      <c r="U178" s="3478"/>
      <c r="V178" s="3477"/>
      <c r="W178" s="3478"/>
      <c r="X178" s="3857"/>
      <c r="Y178" s="3839"/>
      <c r="Z178" s="3637"/>
      <c r="AA178" s="3835"/>
      <c r="AB178" s="3905"/>
      <c r="AC178" s="3189">
        <f t="shared" si="67"/>
        <v>8.8550000000000004</v>
      </c>
      <c r="AD178" s="3182" t="e">
        <f t="shared" si="68"/>
        <v>#N/A</v>
      </c>
      <c r="AE178" s="2475"/>
      <c r="AG178">
        <v>0</v>
      </c>
      <c r="AH178" s="1363">
        <f t="shared" si="60"/>
        <v>0</v>
      </c>
      <c r="AJ178" s="2351" t="e">
        <f t="shared" si="52"/>
        <v>#N/A</v>
      </c>
      <c r="AK178" s="2351" t="e">
        <f t="shared" si="53"/>
        <v>#N/A</v>
      </c>
      <c r="AL178" s="123" t="e">
        <f t="shared" si="50"/>
        <v>#N/A</v>
      </c>
      <c r="AR178" s="123"/>
      <c r="AS178" s="123"/>
      <c r="AU178" s="2982"/>
      <c r="AV178" s="123"/>
      <c r="AW178" s="123"/>
      <c r="AX178" s="2983"/>
      <c r="AY178" s="2984"/>
      <c r="AZ178" s="2985"/>
      <c r="BA178" s="2986"/>
      <c r="BB178" s="2987"/>
      <c r="BC178" s="2988"/>
    </row>
    <row r="179" spans="1:55" ht="21.6" x14ac:dyDescent="0.25">
      <c r="A179" s="3829"/>
      <c r="B179" s="2622" t="s">
        <v>2948</v>
      </c>
      <c r="C179" s="1139" t="s">
        <v>9182</v>
      </c>
      <c r="D179" s="3780"/>
      <c r="E179" s="2621" t="s">
        <v>3861</v>
      </c>
      <c r="F179" s="3477"/>
      <c r="G179" s="3832"/>
      <c r="H179" s="3799"/>
      <c r="I179" s="3802"/>
      <c r="J179" s="3805"/>
      <c r="K179" s="3808"/>
      <c r="L179" s="3651"/>
      <c r="M179" s="3813"/>
      <c r="N179" s="3816"/>
      <c r="O179" s="3819"/>
      <c r="P179" s="3822"/>
      <c r="Q179" s="3825"/>
      <c r="R179" s="3786"/>
      <c r="S179" s="3478"/>
      <c r="T179" s="3477"/>
      <c r="U179" s="3478"/>
      <c r="V179" s="3477"/>
      <c r="W179" s="3478"/>
      <c r="X179" s="3857"/>
      <c r="Y179" s="3839"/>
      <c r="Z179" s="3637"/>
      <c r="AA179" s="3835"/>
      <c r="AB179" s="3905"/>
      <c r="AC179" s="3189">
        <f t="shared" si="67"/>
        <v>8.8550000000000004</v>
      </c>
      <c r="AD179" s="3182" t="e">
        <f t="shared" si="68"/>
        <v>#N/A</v>
      </c>
      <c r="AE179" s="2475"/>
      <c r="AG179">
        <v>0</v>
      </c>
      <c r="AH179" s="1363">
        <f t="shared" si="60"/>
        <v>0</v>
      </c>
      <c r="AJ179" s="2351" t="e">
        <f t="shared" si="52"/>
        <v>#N/A</v>
      </c>
      <c r="AK179" s="2351" t="e">
        <f t="shared" si="53"/>
        <v>#N/A</v>
      </c>
      <c r="AL179" s="123" t="e">
        <f t="shared" si="50"/>
        <v>#N/A</v>
      </c>
      <c r="AR179" s="123"/>
      <c r="AS179" s="123"/>
      <c r="AU179" s="2982"/>
      <c r="AV179" s="123"/>
      <c r="AW179" s="123"/>
      <c r="AX179" s="2983"/>
      <c r="AY179" s="2984"/>
      <c r="AZ179" s="2985"/>
      <c r="BA179" s="2986"/>
      <c r="BB179" s="2987"/>
      <c r="BC179" s="2988"/>
    </row>
    <row r="180" spans="1:55" ht="21.6" x14ac:dyDescent="0.25">
      <c r="A180" s="3829"/>
      <c r="B180" s="2622" t="s">
        <v>2954</v>
      </c>
      <c r="C180" s="1139" t="s">
        <v>9182</v>
      </c>
      <c r="D180" s="3780"/>
      <c r="E180" s="2621" t="s">
        <v>3862</v>
      </c>
      <c r="F180" s="3477"/>
      <c r="G180" s="3832"/>
      <c r="H180" s="3799"/>
      <c r="I180" s="3802"/>
      <c r="J180" s="3805"/>
      <c r="K180" s="3808"/>
      <c r="L180" s="3651"/>
      <c r="M180" s="3813"/>
      <c r="N180" s="3816"/>
      <c r="O180" s="3819"/>
      <c r="P180" s="3822"/>
      <c r="Q180" s="3825"/>
      <c r="R180" s="3786"/>
      <c r="S180" s="3478"/>
      <c r="T180" s="3477"/>
      <c r="U180" s="3478"/>
      <c r="V180" s="3477"/>
      <c r="W180" s="3478"/>
      <c r="X180" s="3857"/>
      <c r="Y180" s="3839"/>
      <c r="Z180" s="3637"/>
      <c r="AA180" s="3835"/>
      <c r="AB180" s="3905"/>
      <c r="AC180" s="3189">
        <f t="shared" si="67"/>
        <v>8.8550000000000004</v>
      </c>
      <c r="AD180" s="3182" t="e">
        <f t="shared" si="68"/>
        <v>#N/A</v>
      </c>
      <c r="AE180" s="2475"/>
      <c r="AG180">
        <v>0</v>
      </c>
      <c r="AH180" s="1363">
        <f t="shared" si="60"/>
        <v>0</v>
      </c>
      <c r="AJ180" s="2351" t="e">
        <f t="shared" si="52"/>
        <v>#N/A</v>
      </c>
      <c r="AK180" s="2351" t="e">
        <f t="shared" si="53"/>
        <v>#N/A</v>
      </c>
      <c r="AL180" s="123" t="e">
        <f t="shared" si="50"/>
        <v>#N/A</v>
      </c>
      <c r="AR180" s="123"/>
      <c r="AS180" s="123"/>
      <c r="AU180" s="2982"/>
      <c r="AV180" s="123"/>
      <c r="AW180" s="123"/>
      <c r="AX180" s="2983"/>
      <c r="AY180" s="2984"/>
      <c r="AZ180" s="2985"/>
      <c r="BA180" s="2986"/>
      <c r="BB180" s="2987"/>
      <c r="BC180" s="2988"/>
    </row>
    <row r="181" spans="1:55" ht="21.6" x14ac:dyDescent="0.25">
      <c r="A181" s="3829"/>
      <c r="B181" s="2622" t="s">
        <v>2960</v>
      </c>
      <c r="C181" s="1139" t="s">
        <v>9209</v>
      </c>
      <c r="D181" s="3780"/>
      <c r="E181" s="2621" t="s">
        <v>3863</v>
      </c>
      <c r="F181" s="3477"/>
      <c r="G181" s="3832"/>
      <c r="H181" s="3799"/>
      <c r="I181" s="3802"/>
      <c r="J181" s="3805"/>
      <c r="K181" s="3808"/>
      <c r="L181" s="3651"/>
      <c r="M181" s="3813"/>
      <c r="N181" s="3816"/>
      <c r="O181" s="3819"/>
      <c r="P181" s="3822"/>
      <c r="Q181" s="3825"/>
      <c r="R181" s="3786"/>
      <c r="S181" s="3478"/>
      <c r="T181" s="3477"/>
      <c r="U181" s="3478"/>
      <c r="V181" s="3477"/>
      <c r="W181" s="3478"/>
      <c r="X181" s="3857"/>
      <c r="Y181" s="3839"/>
      <c r="Z181" s="3637"/>
      <c r="AA181" s="3835"/>
      <c r="AB181" s="3905"/>
      <c r="AC181" s="3189">
        <f t="shared" si="67"/>
        <v>8.8550000000000004</v>
      </c>
      <c r="AD181" s="3182" t="e">
        <f t="shared" si="68"/>
        <v>#N/A</v>
      </c>
      <c r="AE181" s="2475"/>
      <c r="AG181">
        <v>0</v>
      </c>
      <c r="AH181" s="1363">
        <f t="shared" ref="AH181:AH185" si="69">Z181-AG181</f>
        <v>0</v>
      </c>
      <c r="AJ181" s="2351" t="e">
        <f t="shared" si="52"/>
        <v>#N/A</v>
      </c>
      <c r="AK181" s="2351" t="e">
        <f t="shared" si="53"/>
        <v>#N/A</v>
      </c>
      <c r="AL181" s="123" t="e">
        <f t="shared" si="50"/>
        <v>#N/A</v>
      </c>
      <c r="AR181" s="123"/>
      <c r="AS181" s="123"/>
      <c r="AU181" s="2982"/>
      <c r="AV181" s="123"/>
      <c r="AW181" s="123"/>
      <c r="AX181" s="2983"/>
      <c r="AY181" s="2984"/>
      <c r="AZ181" s="2985"/>
      <c r="BA181" s="2986"/>
      <c r="BB181" s="2987"/>
      <c r="BC181" s="2988"/>
    </row>
    <row r="182" spans="1:55" ht="21.6" x14ac:dyDescent="0.25">
      <c r="A182" s="3829"/>
      <c r="B182" s="2622" t="s">
        <v>2966</v>
      </c>
      <c r="C182" s="1139" t="s">
        <v>9182</v>
      </c>
      <c r="D182" s="3780"/>
      <c r="E182" s="2621" t="s">
        <v>3864</v>
      </c>
      <c r="F182" s="3477"/>
      <c r="G182" s="3832"/>
      <c r="H182" s="3799"/>
      <c r="I182" s="3802"/>
      <c r="J182" s="3805"/>
      <c r="K182" s="3808"/>
      <c r="L182" s="3651"/>
      <c r="M182" s="3813"/>
      <c r="N182" s="3816"/>
      <c r="O182" s="3819"/>
      <c r="P182" s="3822"/>
      <c r="Q182" s="3825"/>
      <c r="R182" s="3786"/>
      <c r="S182" s="3478"/>
      <c r="T182" s="3477"/>
      <c r="U182" s="3478"/>
      <c r="V182" s="3477"/>
      <c r="W182" s="3478"/>
      <c r="X182" s="3857"/>
      <c r="Y182" s="3839"/>
      <c r="Z182" s="3637"/>
      <c r="AA182" s="3835"/>
      <c r="AB182" s="3905"/>
      <c r="AC182" s="3189">
        <f t="shared" si="67"/>
        <v>8.8550000000000004</v>
      </c>
      <c r="AD182" s="3182" t="e">
        <f t="shared" si="68"/>
        <v>#N/A</v>
      </c>
      <c r="AE182" s="2475"/>
      <c r="AG182">
        <v>0</v>
      </c>
      <c r="AH182" s="1363">
        <f t="shared" si="69"/>
        <v>0</v>
      </c>
      <c r="AJ182" s="2351" t="e">
        <f t="shared" si="52"/>
        <v>#N/A</v>
      </c>
      <c r="AK182" s="2351" t="e">
        <f t="shared" si="53"/>
        <v>#N/A</v>
      </c>
      <c r="AL182" s="123" t="e">
        <f t="shared" si="50"/>
        <v>#N/A</v>
      </c>
      <c r="AR182" s="123"/>
      <c r="AS182" s="123"/>
      <c r="AU182" s="2982"/>
      <c r="AV182" s="123"/>
      <c r="AW182" s="123"/>
      <c r="AX182" s="2983"/>
      <c r="AY182" s="2984"/>
      <c r="AZ182" s="2985"/>
      <c r="BA182" s="2986"/>
      <c r="BB182" s="2987"/>
      <c r="BC182" s="2988"/>
    </row>
    <row r="183" spans="1:55" ht="21.6" x14ac:dyDescent="0.25">
      <c r="A183" s="3829"/>
      <c r="B183" s="2622" t="s">
        <v>2972</v>
      </c>
      <c r="C183" s="1139" t="s">
        <v>9182</v>
      </c>
      <c r="D183" s="3780"/>
      <c r="E183" s="2621" t="s">
        <v>3865</v>
      </c>
      <c r="F183" s="3477"/>
      <c r="G183" s="3832"/>
      <c r="H183" s="3799"/>
      <c r="I183" s="3802"/>
      <c r="J183" s="3805"/>
      <c r="K183" s="3808"/>
      <c r="L183" s="3651"/>
      <c r="M183" s="3813"/>
      <c r="N183" s="3816"/>
      <c r="O183" s="3819"/>
      <c r="P183" s="3822"/>
      <c r="Q183" s="3825"/>
      <c r="R183" s="3786"/>
      <c r="S183" s="3478"/>
      <c r="T183" s="3477"/>
      <c r="U183" s="3478"/>
      <c r="V183" s="3477"/>
      <c r="W183" s="3478"/>
      <c r="X183" s="3857"/>
      <c r="Y183" s="3839"/>
      <c r="Z183" s="3637"/>
      <c r="AA183" s="3835"/>
      <c r="AB183" s="3905"/>
      <c r="AC183" s="3189">
        <f t="shared" si="67"/>
        <v>8.8550000000000004</v>
      </c>
      <c r="AD183" s="3182" t="e">
        <f t="shared" si="68"/>
        <v>#N/A</v>
      </c>
      <c r="AE183" s="2475"/>
      <c r="AG183">
        <v>0</v>
      </c>
      <c r="AH183" s="1363">
        <f t="shared" si="69"/>
        <v>0</v>
      </c>
      <c r="AJ183" s="2351" t="e">
        <f t="shared" si="52"/>
        <v>#N/A</v>
      </c>
      <c r="AK183" s="2351" t="e">
        <f t="shared" si="53"/>
        <v>#N/A</v>
      </c>
      <c r="AL183" s="123" t="e">
        <f t="shared" si="50"/>
        <v>#N/A</v>
      </c>
      <c r="AR183" s="123"/>
      <c r="AS183" s="123"/>
      <c r="AU183" s="2982"/>
      <c r="AV183" s="123"/>
      <c r="AW183" s="123"/>
      <c r="AX183" s="2983"/>
      <c r="AY183" s="2984"/>
      <c r="AZ183" s="2985"/>
      <c r="BA183" s="2986"/>
      <c r="BB183" s="2987"/>
      <c r="BC183" s="2988"/>
    </row>
    <row r="184" spans="1:55" x14ac:dyDescent="0.25">
      <c r="A184" s="3829"/>
      <c r="B184" s="2622" t="s">
        <v>2973</v>
      </c>
      <c r="C184" s="1139"/>
      <c r="D184" s="3780"/>
      <c r="E184" s="250" t="s">
        <v>3866</v>
      </c>
      <c r="F184" s="3477"/>
      <c r="G184" s="3832"/>
      <c r="H184" s="3799"/>
      <c r="I184" s="3802"/>
      <c r="J184" s="3805"/>
      <c r="K184" s="3808"/>
      <c r="L184" s="3651"/>
      <c r="M184" s="3813"/>
      <c r="N184" s="3816"/>
      <c r="O184" s="3819"/>
      <c r="P184" s="3822"/>
      <c r="Q184" s="3825"/>
      <c r="R184" s="3786"/>
      <c r="S184" s="3478"/>
      <c r="T184" s="3477"/>
      <c r="U184" s="3478"/>
      <c r="V184" s="3477"/>
      <c r="W184" s="3478"/>
      <c r="X184" s="3857"/>
      <c r="Y184" s="3839"/>
      <c r="Z184" s="3637"/>
      <c r="AA184" s="3835"/>
      <c r="AB184" s="3905"/>
      <c r="AC184" s="3189">
        <f t="shared" si="67"/>
        <v>8.8550000000000004</v>
      </c>
      <c r="AD184" s="3182" t="e">
        <f t="shared" si="68"/>
        <v>#N/A</v>
      </c>
      <c r="AE184" s="2475"/>
      <c r="AG184">
        <v>0</v>
      </c>
      <c r="AH184" s="1363">
        <f t="shared" si="69"/>
        <v>0</v>
      </c>
      <c r="AJ184" s="2351" t="e">
        <f t="shared" si="52"/>
        <v>#N/A</v>
      </c>
      <c r="AK184" s="2351" t="e">
        <f t="shared" si="53"/>
        <v>#N/A</v>
      </c>
      <c r="AL184" s="123" t="e">
        <f t="shared" si="50"/>
        <v>#N/A</v>
      </c>
      <c r="AR184" s="123"/>
      <c r="AS184" s="123"/>
      <c r="AU184" s="2982"/>
      <c r="AV184" s="123"/>
      <c r="AW184" s="123"/>
      <c r="AX184" s="2983"/>
      <c r="AY184" s="2984"/>
      <c r="AZ184" s="2985"/>
      <c r="BA184" s="2986"/>
      <c r="BB184" s="2987"/>
      <c r="BC184" s="2988"/>
    </row>
    <row r="185" spans="1:55" ht="15" thickBot="1" x14ac:dyDescent="0.3">
      <c r="A185" s="3830"/>
      <c r="B185" s="1129" t="s">
        <v>3867</v>
      </c>
      <c r="C185" s="1140" t="s">
        <v>9210</v>
      </c>
      <c r="D185" s="3781"/>
      <c r="E185" s="2640" t="s">
        <v>3868</v>
      </c>
      <c r="F185" s="3474"/>
      <c r="G185" s="3833"/>
      <c r="H185" s="3800"/>
      <c r="I185" s="3803"/>
      <c r="J185" s="3806"/>
      <c r="K185" s="3809"/>
      <c r="L185" s="3811"/>
      <c r="M185" s="3814"/>
      <c r="N185" s="3817"/>
      <c r="O185" s="3820"/>
      <c r="P185" s="3823"/>
      <c r="Q185" s="3826"/>
      <c r="R185" s="3787"/>
      <c r="S185" s="3476"/>
      <c r="T185" s="3474"/>
      <c r="U185" s="3476"/>
      <c r="V185" s="3474"/>
      <c r="W185" s="3476"/>
      <c r="X185" s="3858"/>
      <c r="Y185" s="3840"/>
      <c r="Z185" s="3644"/>
      <c r="AA185" s="3836"/>
      <c r="AB185" s="3906"/>
      <c r="AC185" s="3189">
        <f t="shared" si="67"/>
        <v>8.8550000000000004</v>
      </c>
      <c r="AD185" s="3182" t="e">
        <f t="shared" si="68"/>
        <v>#N/A</v>
      </c>
      <c r="AE185" s="2476"/>
      <c r="AG185">
        <v>0</v>
      </c>
      <c r="AH185" s="1363">
        <f t="shared" si="69"/>
        <v>0</v>
      </c>
      <c r="AJ185" s="2351" t="e">
        <f t="shared" si="52"/>
        <v>#N/A</v>
      </c>
      <c r="AK185" s="2351" t="e">
        <f t="shared" si="53"/>
        <v>#N/A</v>
      </c>
      <c r="AL185" s="123" t="e">
        <f t="shared" si="50"/>
        <v>#N/A</v>
      </c>
      <c r="AR185" s="123"/>
      <c r="AS185" s="123"/>
      <c r="AU185" s="2982"/>
      <c r="AV185" s="123"/>
      <c r="AW185" s="123"/>
      <c r="AX185" s="2983"/>
      <c r="AY185" s="2984"/>
      <c r="AZ185" s="2985"/>
      <c r="BA185" s="2986"/>
      <c r="BB185" s="2987"/>
      <c r="BC185" s="2988"/>
    </row>
    <row r="186" spans="1:55" ht="22.2" thickTop="1" x14ac:dyDescent="0.25">
      <c r="A186" s="3828" t="s">
        <v>3836</v>
      </c>
      <c r="B186" s="1128" t="s">
        <v>892</v>
      </c>
      <c r="C186" s="1138" t="s">
        <v>9211</v>
      </c>
      <c r="D186" s="3779">
        <f>0.55+2.2*6</f>
        <v>13.750000000000002</v>
      </c>
      <c r="E186" s="993" t="s">
        <v>3837</v>
      </c>
      <c r="F186" s="3491" t="s">
        <v>3838</v>
      </c>
      <c r="G186" s="3831" t="s">
        <v>3839</v>
      </c>
      <c r="H186" s="3798" t="str">
        <f>"4-DaHall 1-PDU-"&amp;L186&amp;"-"&amp;K186&amp;"-"&amp;M186</f>
        <v>4-DaHall 1-PDU-04-100-8</v>
      </c>
      <c r="I186" s="3801" t="str">
        <f>"4-DaHall 1-PDU-"&amp;P186&amp;"-"&amp;O186&amp;"-"&amp;Q186</f>
        <v>4-DaHall 1-PDU-03-100-8</v>
      </c>
      <c r="J186" s="3804">
        <v>220</v>
      </c>
      <c r="K186" s="3807">
        <v>100</v>
      </c>
      <c r="L186" s="3810" t="s">
        <v>6496</v>
      </c>
      <c r="M186" s="3812">
        <v>8</v>
      </c>
      <c r="N186" s="3815">
        <v>220</v>
      </c>
      <c r="O186" s="3818">
        <v>100</v>
      </c>
      <c r="P186" s="3821" t="s">
        <v>6500</v>
      </c>
      <c r="Q186" s="3824">
        <v>8</v>
      </c>
      <c r="R186" s="3785" t="s">
        <v>3774</v>
      </c>
      <c r="S186" s="3489" t="s">
        <v>3775</v>
      </c>
      <c r="T186" s="3491" t="s">
        <v>3776</v>
      </c>
      <c r="U186" s="3489" t="s">
        <v>3777</v>
      </c>
      <c r="V186" s="3491" t="s">
        <v>3744</v>
      </c>
      <c r="W186" s="3489" t="s">
        <v>3749</v>
      </c>
      <c r="X186" s="3856">
        <f>SUM('4층_부하량(월간_AVG)'!N13:P13)</f>
        <v>0</v>
      </c>
      <c r="Y186" s="3838">
        <f>SUM('4층_부하량(월간_AVG)'!D55:F55)</f>
        <v>0</v>
      </c>
      <c r="Z186" s="3837">
        <f t="shared" ref="Z186" si="70">SUM(X186:Y186)</f>
        <v>0</v>
      </c>
      <c r="AA186" s="3834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904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188">
        <f>VLOOKUP(H186&amp;I186,'7층~4층_매핑테이블'!$A$6:$H$2020,8,0)</f>
        <v>8.69</v>
      </c>
      <c r="AD186" s="3181" t="e">
        <f>SUM(AA186:AB197)</f>
        <v>#N/A</v>
      </c>
      <c r="AE186" s="2474"/>
      <c r="AG186">
        <v>39</v>
      </c>
      <c r="AH186" s="1363">
        <f t="shared" ref="AH186:AH221" si="71">Z186-AG186</f>
        <v>-39</v>
      </c>
      <c r="AJ186" s="2351" t="e">
        <f t="shared" si="52"/>
        <v>#N/A</v>
      </c>
      <c r="AK186" s="2351" t="e">
        <f t="shared" si="53"/>
        <v>#N/A</v>
      </c>
      <c r="AL186" s="123" t="e">
        <f t="shared" si="50"/>
        <v>#N/A</v>
      </c>
      <c r="AR186" s="123"/>
      <c r="AS186" s="123"/>
      <c r="AU186" s="2982"/>
      <c r="AV186" s="123"/>
      <c r="AW186" s="123"/>
      <c r="AX186" s="2983"/>
      <c r="AY186" s="2984"/>
      <c r="AZ186" s="2985"/>
      <c r="BA186" s="2986"/>
      <c r="BB186" s="2987"/>
      <c r="BC186" s="2988"/>
    </row>
    <row r="187" spans="1:55" x14ac:dyDescent="0.25">
      <c r="A187" s="3829"/>
      <c r="B187" s="2622" t="s">
        <v>2979</v>
      </c>
      <c r="C187" s="1139"/>
      <c r="D187" s="3780"/>
      <c r="E187" s="250" t="s">
        <v>3840</v>
      </c>
      <c r="F187" s="3477"/>
      <c r="G187" s="3832"/>
      <c r="H187" s="3799"/>
      <c r="I187" s="3802"/>
      <c r="J187" s="3805"/>
      <c r="K187" s="3808"/>
      <c r="L187" s="3651"/>
      <c r="M187" s="3813"/>
      <c r="N187" s="3816"/>
      <c r="O187" s="3819"/>
      <c r="P187" s="3822"/>
      <c r="Q187" s="3825"/>
      <c r="R187" s="3786"/>
      <c r="S187" s="3478"/>
      <c r="T187" s="3477"/>
      <c r="U187" s="3478"/>
      <c r="V187" s="3477"/>
      <c r="W187" s="3478"/>
      <c r="X187" s="3857"/>
      <c r="Y187" s="3839"/>
      <c r="Z187" s="3637"/>
      <c r="AA187" s="3835"/>
      <c r="AB187" s="3905"/>
      <c r="AC187" s="3189">
        <f>$AC186</f>
        <v>8.69</v>
      </c>
      <c r="AD187" s="3182" t="e">
        <f>$AD$186</f>
        <v>#N/A</v>
      </c>
      <c r="AE187" s="2475"/>
      <c r="AG187">
        <v>0</v>
      </c>
      <c r="AH187" s="1363">
        <f t="shared" si="71"/>
        <v>0</v>
      </c>
      <c r="AJ187" s="2351" t="e">
        <f t="shared" si="52"/>
        <v>#N/A</v>
      </c>
      <c r="AK187" s="2351" t="e">
        <f t="shared" si="53"/>
        <v>#N/A</v>
      </c>
      <c r="AL187" s="123" t="e">
        <f t="shared" si="50"/>
        <v>#N/A</v>
      </c>
      <c r="AR187" s="123"/>
      <c r="AS187" s="123"/>
      <c r="AU187" s="2982"/>
      <c r="AV187" s="123"/>
      <c r="AW187" s="123"/>
      <c r="AX187" s="2983"/>
      <c r="AY187" s="2984"/>
      <c r="AZ187" s="2985"/>
      <c r="BA187" s="2986"/>
      <c r="BB187" s="2987"/>
      <c r="BC187" s="2988"/>
    </row>
    <row r="188" spans="1:55" x14ac:dyDescent="0.25">
      <c r="A188" s="3829"/>
      <c r="B188" s="2622" t="s">
        <v>2985</v>
      </c>
      <c r="C188" s="1139"/>
      <c r="D188" s="3780"/>
      <c r="E188" s="250" t="s">
        <v>3841</v>
      </c>
      <c r="F188" s="3477"/>
      <c r="G188" s="3832"/>
      <c r="H188" s="3799"/>
      <c r="I188" s="3802"/>
      <c r="J188" s="3805"/>
      <c r="K188" s="3808"/>
      <c r="L188" s="3651"/>
      <c r="M188" s="3813"/>
      <c r="N188" s="3816"/>
      <c r="O188" s="3819"/>
      <c r="P188" s="3822"/>
      <c r="Q188" s="3825"/>
      <c r="R188" s="3786"/>
      <c r="S188" s="3478"/>
      <c r="T188" s="3477"/>
      <c r="U188" s="3478"/>
      <c r="V188" s="3477"/>
      <c r="W188" s="3478"/>
      <c r="X188" s="3857"/>
      <c r="Y188" s="3839"/>
      <c r="Z188" s="3637"/>
      <c r="AA188" s="3835"/>
      <c r="AB188" s="3905"/>
      <c r="AC188" s="3189">
        <f t="shared" ref="AC188:AC197" si="72">$AC187</f>
        <v>8.69</v>
      </c>
      <c r="AD188" s="3182" t="e">
        <f t="shared" ref="AD188:AD197" si="73">$AD$186</f>
        <v>#N/A</v>
      </c>
      <c r="AE188" s="2475"/>
      <c r="AG188">
        <v>0</v>
      </c>
      <c r="AH188" s="1363">
        <f t="shared" si="71"/>
        <v>0</v>
      </c>
      <c r="AJ188" s="2351" t="e">
        <f t="shared" si="52"/>
        <v>#N/A</v>
      </c>
      <c r="AK188" s="2351" t="e">
        <f t="shared" si="53"/>
        <v>#N/A</v>
      </c>
      <c r="AL188" s="123" t="e">
        <f t="shared" si="50"/>
        <v>#N/A</v>
      </c>
      <c r="AR188" s="123"/>
      <c r="AS188" s="123"/>
      <c r="AU188" s="2982"/>
      <c r="AV188" s="123"/>
      <c r="AW188" s="123"/>
      <c r="AX188" s="2983"/>
      <c r="AY188" s="2984"/>
      <c r="AZ188" s="2985"/>
      <c r="BA188" s="2986"/>
      <c r="BB188" s="2987"/>
      <c r="BC188" s="2988"/>
    </row>
    <row r="189" spans="1:55" ht="21.6" x14ac:dyDescent="0.25">
      <c r="A189" s="3829"/>
      <c r="B189" s="2622" t="s">
        <v>2991</v>
      </c>
      <c r="C189" s="1139" t="s">
        <v>9185</v>
      </c>
      <c r="D189" s="3780"/>
      <c r="E189" s="2621" t="s">
        <v>3842</v>
      </c>
      <c r="F189" s="3477"/>
      <c r="G189" s="3832"/>
      <c r="H189" s="3799"/>
      <c r="I189" s="3802"/>
      <c r="J189" s="3805"/>
      <c r="K189" s="3808"/>
      <c r="L189" s="3651"/>
      <c r="M189" s="3813"/>
      <c r="N189" s="3816"/>
      <c r="O189" s="3819"/>
      <c r="P189" s="3822"/>
      <c r="Q189" s="3825"/>
      <c r="R189" s="3786"/>
      <c r="S189" s="3478"/>
      <c r="T189" s="3477"/>
      <c r="U189" s="3478"/>
      <c r="V189" s="3477"/>
      <c r="W189" s="3478"/>
      <c r="X189" s="3857"/>
      <c r="Y189" s="3839"/>
      <c r="Z189" s="3637"/>
      <c r="AA189" s="3835"/>
      <c r="AB189" s="3905"/>
      <c r="AC189" s="3189">
        <f t="shared" si="72"/>
        <v>8.69</v>
      </c>
      <c r="AD189" s="3182" t="e">
        <f t="shared" si="73"/>
        <v>#N/A</v>
      </c>
      <c r="AE189" s="2475"/>
      <c r="AG189">
        <v>0</v>
      </c>
      <c r="AH189" s="1363">
        <f t="shared" si="71"/>
        <v>0</v>
      </c>
      <c r="AJ189" s="2351" t="e">
        <f t="shared" si="52"/>
        <v>#N/A</v>
      </c>
      <c r="AK189" s="2351" t="e">
        <f t="shared" si="53"/>
        <v>#N/A</v>
      </c>
      <c r="AL189" s="123" t="e">
        <f t="shared" si="50"/>
        <v>#N/A</v>
      </c>
      <c r="AR189" s="123"/>
      <c r="AS189" s="123"/>
      <c r="AU189" s="2982"/>
      <c r="AV189" s="123"/>
      <c r="AW189" s="123"/>
      <c r="AX189" s="2983"/>
      <c r="AY189" s="2984"/>
      <c r="AZ189" s="2985"/>
      <c r="BA189" s="2986"/>
      <c r="BB189" s="2987"/>
      <c r="BC189" s="2988"/>
    </row>
    <row r="190" spans="1:55" ht="21.6" x14ac:dyDescent="0.25">
      <c r="A190" s="3829"/>
      <c r="B190" s="2622" t="s">
        <v>2997</v>
      </c>
      <c r="C190" s="1139" t="s">
        <v>9209</v>
      </c>
      <c r="D190" s="3780"/>
      <c r="E190" s="2621" t="s">
        <v>3843</v>
      </c>
      <c r="F190" s="3477"/>
      <c r="G190" s="3832"/>
      <c r="H190" s="3799"/>
      <c r="I190" s="3802"/>
      <c r="J190" s="3805"/>
      <c r="K190" s="3808"/>
      <c r="L190" s="3651"/>
      <c r="M190" s="3813"/>
      <c r="N190" s="3816"/>
      <c r="O190" s="3819"/>
      <c r="P190" s="3822"/>
      <c r="Q190" s="3825"/>
      <c r="R190" s="3786"/>
      <c r="S190" s="3478"/>
      <c r="T190" s="3477"/>
      <c r="U190" s="3478"/>
      <c r="V190" s="3477"/>
      <c r="W190" s="3478"/>
      <c r="X190" s="3857"/>
      <c r="Y190" s="3839"/>
      <c r="Z190" s="3637"/>
      <c r="AA190" s="3835"/>
      <c r="AB190" s="3905"/>
      <c r="AC190" s="3189">
        <f t="shared" si="72"/>
        <v>8.69</v>
      </c>
      <c r="AD190" s="3182" t="e">
        <f t="shared" si="73"/>
        <v>#N/A</v>
      </c>
      <c r="AE190" s="2475"/>
      <c r="AG190">
        <v>0</v>
      </c>
      <c r="AH190" s="1363">
        <f t="shared" si="71"/>
        <v>0</v>
      </c>
      <c r="AJ190" s="2351" t="e">
        <f t="shared" si="52"/>
        <v>#N/A</v>
      </c>
      <c r="AK190" s="2351" t="e">
        <f t="shared" si="53"/>
        <v>#N/A</v>
      </c>
      <c r="AL190" s="123" t="e">
        <f t="shared" si="50"/>
        <v>#N/A</v>
      </c>
      <c r="AR190" s="123"/>
      <c r="AS190" s="123"/>
      <c r="AU190" s="2982"/>
      <c r="AV190" s="123"/>
      <c r="AW190" s="123"/>
      <c r="AX190" s="2983"/>
      <c r="AY190" s="2984"/>
      <c r="AZ190" s="2985"/>
      <c r="BA190" s="2986"/>
      <c r="BB190" s="2987"/>
      <c r="BC190" s="2988"/>
    </row>
    <row r="191" spans="1:55" ht="21.6" x14ac:dyDescent="0.25">
      <c r="A191" s="3829"/>
      <c r="B191" s="2622" t="s">
        <v>3003</v>
      </c>
      <c r="C191" s="1139" t="s">
        <v>9186</v>
      </c>
      <c r="D191" s="3780"/>
      <c r="E191" s="2621" t="s">
        <v>3844</v>
      </c>
      <c r="F191" s="3477"/>
      <c r="G191" s="3832"/>
      <c r="H191" s="3799"/>
      <c r="I191" s="3802"/>
      <c r="J191" s="3805"/>
      <c r="K191" s="3808"/>
      <c r="L191" s="3651"/>
      <c r="M191" s="3813"/>
      <c r="N191" s="3816"/>
      <c r="O191" s="3819"/>
      <c r="P191" s="3822"/>
      <c r="Q191" s="3825"/>
      <c r="R191" s="3786"/>
      <c r="S191" s="3478"/>
      <c r="T191" s="3477"/>
      <c r="U191" s="3478"/>
      <c r="V191" s="3477"/>
      <c r="W191" s="3478"/>
      <c r="X191" s="3857"/>
      <c r="Y191" s="3839"/>
      <c r="Z191" s="3637"/>
      <c r="AA191" s="3835"/>
      <c r="AB191" s="3905"/>
      <c r="AC191" s="3189">
        <f t="shared" si="72"/>
        <v>8.69</v>
      </c>
      <c r="AD191" s="3182" t="e">
        <f t="shared" si="73"/>
        <v>#N/A</v>
      </c>
      <c r="AE191" s="2475"/>
      <c r="AG191">
        <v>0</v>
      </c>
      <c r="AH191" s="1363">
        <f t="shared" si="71"/>
        <v>0</v>
      </c>
      <c r="AJ191" s="2351" t="e">
        <f t="shared" si="52"/>
        <v>#N/A</v>
      </c>
      <c r="AK191" s="2351" t="e">
        <f t="shared" si="53"/>
        <v>#N/A</v>
      </c>
      <c r="AL191" s="123" t="e">
        <f t="shared" si="50"/>
        <v>#N/A</v>
      </c>
      <c r="AR191" s="123"/>
      <c r="AS191" s="123"/>
      <c r="AU191" s="2982"/>
      <c r="AV191" s="123"/>
      <c r="AW191" s="123"/>
      <c r="AX191" s="2983"/>
      <c r="AY191" s="2984"/>
      <c r="AZ191" s="2985"/>
      <c r="BA191" s="2986"/>
      <c r="BB191" s="2987"/>
      <c r="BC191" s="2988"/>
    </row>
    <row r="192" spans="1:55" x14ac:dyDescent="0.25">
      <c r="A192" s="3829"/>
      <c r="B192" s="2622" t="s">
        <v>3009</v>
      </c>
      <c r="C192" s="1139"/>
      <c r="D192" s="3780"/>
      <c r="E192" s="250" t="s">
        <v>3845</v>
      </c>
      <c r="F192" s="3477"/>
      <c r="G192" s="3832"/>
      <c r="H192" s="3799"/>
      <c r="I192" s="3802"/>
      <c r="J192" s="3805"/>
      <c r="K192" s="3808"/>
      <c r="L192" s="3651"/>
      <c r="M192" s="3813"/>
      <c r="N192" s="3816"/>
      <c r="O192" s="3819"/>
      <c r="P192" s="3822"/>
      <c r="Q192" s="3825"/>
      <c r="R192" s="3786"/>
      <c r="S192" s="3478"/>
      <c r="T192" s="3477"/>
      <c r="U192" s="3478"/>
      <c r="V192" s="3477"/>
      <c r="W192" s="3478"/>
      <c r="X192" s="3857"/>
      <c r="Y192" s="3839"/>
      <c r="Z192" s="3637"/>
      <c r="AA192" s="3835"/>
      <c r="AB192" s="3905"/>
      <c r="AC192" s="3189">
        <f t="shared" si="72"/>
        <v>8.69</v>
      </c>
      <c r="AD192" s="3182" t="e">
        <f t="shared" si="73"/>
        <v>#N/A</v>
      </c>
      <c r="AE192" s="2475"/>
      <c r="AG192">
        <v>0</v>
      </c>
      <c r="AH192" s="1363">
        <f t="shared" si="71"/>
        <v>0</v>
      </c>
      <c r="AJ192" s="2351" t="e">
        <f t="shared" si="52"/>
        <v>#N/A</v>
      </c>
      <c r="AK192" s="2351" t="e">
        <f t="shared" si="53"/>
        <v>#N/A</v>
      </c>
      <c r="AL192" s="123" t="e">
        <f t="shared" si="50"/>
        <v>#N/A</v>
      </c>
      <c r="AR192" s="123"/>
      <c r="AS192" s="123"/>
      <c r="AU192" s="2982"/>
      <c r="AV192" s="123"/>
      <c r="AW192" s="123"/>
      <c r="AX192" s="2983"/>
      <c r="AY192" s="2984"/>
      <c r="AZ192" s="2985"/>
      <c r="BA192" s="2986"/>
      <c r="BB192" s="2987"/>
      <c r="BC192" s="2988"/>
    </row>
    <row r="193" spans="1:55" ht="21.6" x14ac:dyDescent="0.25">
      <c r="A193" s="3829"/>
      <c r="B193" s="2622" t="s">
        <v>3015</v>
      </c>
      <c r="C193" s="1139" t="s">
        <v>9185</v>
      </c>
      <c r="D193" s="3780"/>
      <c r="E193" s="2621" t="s">
        <v>3846</v>
      </c>
      <c r="F193" s="3477"/>
      <c r="G193" s="3832"/>
      <c r="H193" s="3799"/>
      <c r="I193" s="3802"/>
      <c r="J193" s="3805"/>
      <c r="K193" s="3808"/>
      <c r="L193" s="3651"/>
      <c r="M193" s="3813"/>
      <c r="N193" s="3816"/>
      <c r="O193" s="3819"/>
      <c r="P193" s="3822"/>
      <c r="Q193" s="3825"/>
      <c r="R193" s="3786"/>
      <c r="S193" s="3478"/>
      <c r="T193" s="3477"/>
      <c r="U193" s="3478"/>
      <c r="V193" s="3477"/>
      <c r="W193" s="3478"/>
      <c r="X193" s="3857"/>
      <c r="Y193" s="3839"/>
      <c r="Z193" s="3637"/>
      <c r="AA193" s="3835"/>
      <c r="AB193" s="3905"/>
      <c r="AC193" s="3189">
        <f t="shared" si="72"/>
        <v>8.69</v>
      </c>
      <c r="AD193" s="3182" t="e">
        <f t="shared" si="73"/>
        <v>#N/A</v>
      </c>
      <c r="AE193" s="2475"/>
      <c r="AG193">
        <v>0</v>
      </c>
      <c r="AH193" s="1363">
        <f t="shared" si="71"/>
        <v>0</v>
      </c>
      <c r="AJ193" s="2351" t="e">
        <f t="shared" si="52"/>
        <v>#N/A</v>
      </c>
      <c r="AK193" s="2351" t="e">
        <f t="shared" si="53"/>
        <v>#N/A</v>
      </c>
      <c r="AL193" s="123" t="e">
        <f t="shared" si="50"/>
        <v>#N/A</v>
      </c>
      <c r="AR193" s="123"/>
      <c r="AS193" s="123"/>
      <c r="AU193" s="2982"/>
      <c r="AV193" s="123"/>
      <c r="AW193" s="123"/>
      <c r="AX193" s="2983"/>
      <c r="AY193" s="2984"/>
      <c r="AZ193" s="2985"/>
      <c r="BA193" s="2986"/>
      <c r="BB193" s="2987"/>
      <c r="BC193" s="2988"/>
    </row>
    <row r="194" spans="1:55" ht="21.6" x14ac:dyDescent="0.25">
      <c r="A194" s="3829"/>
      <c r="B194" s="2622" t="s">
        <v>3021</v>
      </c>
      <c r="C194" s="1139" t="s">
        <v>9182</v>
      </c>
      <c r="D194" s="3780"/>
      <c r="E194" s="2621" t="s">
        <v>3847</v>
      </c>
      <c r="F194" s="3477"/>
      <c r="G194" s="3832"/>
      <c r="H194" s="3799"/>
      <c r="I194" s="3802"/>
      <c r="J194" s="3805"/>
      <c r="K194" s="3808"/>
      <c r="L194" s="3651"/>
      <c r="M194" s="3813"/>
      <c r="N194" s="3816"/>
      <c r="O194" s="3819"/>
      <c r="P194" s="3822"/>
      <c r="Q194" s="3825"/>
      <c r="R194" s="3786"/>
      <c r="S194" s="3478"/>
      <c r="T194" s="3477"/>
      <c r="U194" s="3478"/>
      <c r="V194" s="3477"/>
      <c r="W194" s="3478"/>
      <c r="X194" s="3857"/>
      <c r="Y194" s="3839"/>
      <c r="Z194" s="3637"/>
      <c r="AA194" s="3835"/>
      <c r="AB194" s="3905"/>
      <c r="AC194" s="3189">
        <f t="shared" si="72"/>
        <v>8.69</v>
      </c>
      <c r="AD194" s="3182" t="e">
        <f t="shared" si="73"/>
        <v>#N/A</v>
      </c>
      <c r="AE194" s="2475"/>
      <c r="AG194">
        <v>0</v>
      </c>
      <c r="AH194" s="1363">
        <f t="shared" si="71"/>
        <v>0</v>
      </c>
      <c r="AJ194" s="2351" t="e">
        <f t="shared" si="52"/>
        <v>#N/A</v>
      </c>
      <c r="AK194" s="2351" t="e">
        <f t="shared" si="53"/>
        <v>#N/A</v>
      </c>
      <c r="AL194" s="123" t="e">
        <f t="shared" si="50"/>
        <v>#N/A</v>
      </c>
      <c r="AR194" s="123"/>
      <c r="AS194" s="123"/>
      <c r="AU194" s="2982"/>
      <c r="AV194" s="123"/>
      <c r="AW194" s="123"/>
      <c r="AX194" s="2983"/>
      <c r="AY194" s="2984"/>
      <c r="AZ194" s="2985"/>
      <c r="BA194" s="2986"/>
      <c r="BB194" s="2987"/>
      <c r="BC194" s="2988"/>
    </row>
    <row r="195" spans="1:55" ht="21.6" x14ac:dyDescent="0.25">
      <c r="A195" s="3829"/>
      <c r="B195" s="2622" t="s">
        <v>3022</v>
      </c>
      <c r="C195" s="1139" t="s">
        <v>9182</v>
      </c>
      <c r="D195" s="3780"/>
      <c r="E195" s="2621" t="s">
        <v>3848</v>
      </c>
      <c r="F195" s="3477"/>
      <c r="G195" s="3832"/>
      <c r="H195" s="3799"/>
      <c r="I195" s="3802"/>
      <c r="J195" s="3805"/>
      <c r="K195" s="3808"/>
      <c r="L195" s="3651"/>
      <c r="M195" s="3813"/>
      <c r="N195" s="3816"/>
      <c r="O195" s="3819"/>
      <c r="P195" s="3822"/>
      <c r="Q195" s="3825"/>
      <c r="R195" s="3786"/>
      <c r="S195" s="3478"/>
      <c r="T195" s="3477"/>
      <c r="U195" s="3478"/>
      <c r="V195" s="3477"/>
      <c r="W195" s="3478"/>
      <c r="X195" s="3857"/>
      <c r="Y195" s="3839"/>
      <c r="Z195" s="3637"/>
      <c r="AA195" s="3835"/>
      <c r="AB195" s="3905"/>
      <c r="AC195" s="3189">
        <f t="shared" si="72"/>
        <v>8.69</v>
      </c>
      <c r="AD195" s="3182" t="e">
        <f t="shared" si="73"/>
        <v>#N/A</v>
      </c>
      <c r="AE195" s="2475"/>
      <c r="AG195">
        <v>0</v>
      </c>
      <c r="AH195" s="1363">
        <f t="shared" si="71"/>
        <v>0</v>
      </c>
      <c r="AJ195" s="2351" t="e">
        <f t="shared" si="52"/>
        <v>#N/A</v>
      </c>
      <c r="AK195" s="2351" t="e">
        <f t="shared" si="53"/>
        <v>#N/A</v>
      </c>
      <c r="AL195" s="123" t="e">
        <f t="shared" si="50"/>
        <v>#N/A</v>
      </c>
      <c r="AR195" s="123"/>
      <c r="AS195" s="123"/>
      <c r="AU195" s="2982"/>
      <c r="AV195" s="123"/>
      <c r="AW195" s="123"/>
      <c r="AX195" s="2983"/>
      <c r="AY195" s="2984"/>
      <c r="AZ195" s="2985"/>
      <c r="BA195" s="2986"/>
      <c r="BB195" s="2987"/>
      <c r="BC195" s="2988"/>
    </row>
    <row r="196" spans="1:55" ht="21.6" x14ac:dyDescent="0.25">
      <c r="A196" s="3829"/>
      <c r="B196" s="2622" t="s">
        <v>3849</v>
      </c>
      <c r="C196" s="1139" t="s">
        <v>9182</v>
      </c>
      <c r="D196" s="3780"/>
      <c r="E196" s="2621" t="s">
        <v>3850</v>
      </c>
      <c r="F196" s="3477"/>
      <c r="G196" s="3832"/>
      <c r="H196" s="3799"/>
      <c r="I196" s="3802"/>
      <c r="J196" s="3805"/>
      <c r="K196" s="3808"/>
      <c r="L196" s="3651"/>
      <c r="M196" s="3813"/>
      <c r="N196" s="3816"/>
      <c r="O196" s="3819"/>
      <c r="P196" s="3822"/>
      <c r="Q196" s="3825"/>
      <c r="R196" s="3786"/>
      <c r="S196" s="3478"/>
      <c r="T196" s="3477"/>
      <c r="U196" s="3478"/>
      <c r="V196" s="3477"/>
      <c r="W196" s="3478"/>
      <c r="X196" s="3857"/>
      <c r="Y196" s="3839"/>
      <c r="Z196" s="3637"/>
      <c r="AA196" s="3835"/>
      <c r="AB196" s="3905"/>
      <c r="AC196" s="3189">
        <f t="shared" si="72"/>
        <v>8.69</v>
      </c>
      <c r="AD196" s="3182" t="e">
        <f t="shared" si="73"/>
        <v>#N/A</v>
      </c>
      <c r="AE196" s="2475"/>
      <c r="AG196">
        <v>0</v>
      </c>
      <c r="AH196" s="1363">
        <f t="shared" si="71"/>
        <v>0</v>
      </c>
      <c r="AJ196" s="2351" t="e">
        <f t="shared" si="52"/>
        <v>#N/A</v>
      </c>
      <c r="AK196" s="2351" t="e">
        <f t="shared" si="53"/>
        <v>#N/A</v>
      </c>
      <c r="AL196" s="123" t="e">
        <f t="shared" si="50"/>
        <v>#N/A</v>
      </c>
      <c r="AR196" s="123"/>
      <c r="AS196" s="123"/>
      <c r="AU196" s="2982"/>
      <c r="AV196" s="123"/>
      <c r="AW196" s="123"/>
      <c r="AX196" s="2983"/>
      <c r="AY196" s="2984"/>
      <c r="AZ196" s="2985"/>
      <c r="BA196" s="2986"/>
      <c r="BB196" s="2987"/>
      <c r="BC196" s="2988"/>
    </row>
    <row r="197" spans="1:55" ht="15" thickBot="1" x14ac:dyDescent="0.3">
      <c r="A197" s="3830"/>
      <c r="B197" s="1129" t="s">
        <v>3851</v>
      </c>
      <c r="C197" s="1140"/>
      <c r="D197" s="3781"/>
      <c r="E197" s="2640" t="s">
        <v>3852</v>
      </c>
      <c r="F197" s="3474"/>
      <c r="G197" s="3833"/>
      <c r="H197" s="3800"/>
      <c r="I197" s="3803"/>
      <c r="J197" s="3806"/>
      <c r="K197" s="3809"/>
      <c r="L197" s="3811"/>
      <c r="M197" s="3814"/>
      <c r="N197" s="3817"/>
      <c r="O197" s="3820"/>
      <c r="P197" s="3823"/>
      <c r="Q197" s="3826"/>
      <c r="R197" s="3787"/>
      <c r="S197" s="3476"/>
      <c r="T197" s="3474"/>
      <c r="U197" s="3476"/>
      <c r="V197" s="3474"/>
      <c r="W197" s="3476"/>
      <c r="X197" s="3858"/>
      <c r="Y197" s="3840"/>
      <c r="Z197" s="3644"/>
      <c r="AA197" s="3836"/>
      <c r="AB197" s="3906"/>
      <c r="AC197" s="3189">
        <f t="shared" si="72"/>
        <v>8.69</v>
      </c>
      <c r="AD197" s="3182" t="e">
        <f t="shared" si="73"/>
        <v>#N/A</v>
      </c>
      <c r="AE197" s="2476"/>
      <c r="AG197">
        <v>0</v>
      </c>
      <c r="AH197" s="1363">
        <f t="shared" si="71"/>
        <v>0</v>
      </c>
      <c r="AJ197" s="2351" t="e">
        <f t="shared" si="52"/>
        <v>#N/A</v>
      </c>
      <c r="AK197" s="2351" t="e">
        <f t="shared" si="53"/>
        <v>#N/A</v>
      </c>
      <c r="AL197" s="123" t="e">
        <f t="shared" ref="AL197:AL233" si="74">IF(SIGN(AK197)&gt;=0,IF(AD197=0,"무부하 랙","적정함"),"사용초과")</f>
        <v>#N/A</v>
      </c>
      <c r="AR197" s="123"/>
      <c r="AS197" s="123"/>
      <c r="AU197" s="2982"/>
      <c r="AV197" s="123"/>
      <c r="AW197" s="123"/>
      <c r="AX197" s="2983"/>
      <c r="AY197" s="2984"/>
      <c r="AZ197" s="2985"/>
      <c r="BA197" s="2986"/>
      <c r="BB197" s="2987"/>
      <c r="BC197" s="2988"/>
    </row>
    <row r="198" spans="1:55" ht="22.2" thickTop="1" x14ac:dyDescent="0.25">
      <c r="A198" s="3828" t="s">
        <v>3817</v>
      </c>
      <c r="B198" s="2623" t="s">
        <v>938</v>
      </c>
      <c r="C198" s="1141" t="s">
        <v>9186</v>
      </c>
      <c r="D198" s="3779">
        <f>2.2*8</f>
        <v>17.600000000000001</v>
      </c>
      <c r="E198" s="1097" t="s">
        <v>3818</v>
      </c>
      <c r="F198" s="3491" t="s">
        <v>3819</v>
      </c>
      <c r="G198" s="3831" t="s">
        <v>3820</v>
      </c>
      <c r="H198" s="3798" t="str">
        <f>"4-DaHall 1-PDU-"&amp;L198&amp;"-"&amp;K198&amp;"-"&amp;M198</f>
        <v>4-DaHall 1-PDU-04-100-7</v>
      </c>
      <c r="I198" s="3801" t="str">
        <f>"4-DaHall 1-PDU-"&amp;P198&amp;"-"&amp;O198&amp;"-"&amp;Q198</f>
        <v>4-DaHall 1-PDU-03-100-7</v>
      </c>
      <c r="J198" s="3804">
        <v>220</v>
      </c>
      <c r="K198" s="3807">
        <v>100</v>
      </c>
      <c r="L198" s="3810" t="s">
        <v>6496</v>
      </c>
      <c r="M198" s="3812">
        <v>7</v>
      </c>
      <c r="N198" s="3815">
        <v>220</v>
      </c>
      <c r="O198" s="3818">
        <v>100</v>
      </c>
      <c r="P198" s="3821" t="s">
        <v>6500</v>
      </c>
      <c r="Q198" s="3824">
        <v>7</v>
      </c>
      <c r="R198" s="3785" t="s">
        <v>3774</v>
      </c>
      <c r="S198" s="3489" t="s">
        <v>3775</v>
      </c>
      <c r="T198" s="3491" t="s">
        <v>3776</v>
      </c>
      <c r="U198" s="3489" t="s">
        <v>3777</v>
      </c>
      <c r="V198" s="3491" t="s">
        <v>3744</v>
      </c>
      <c r="W198" s="3489" t="s">
        <v>3749</v>
      </c>
      <c r="X198" s="3856">
        <f>SUM('4층_부하량(월간_AVG)'!N12:P12)</f>
        <v>0</v>
      </c>
      <c r="Y198" s="3838">
        <f>SUM('4층_부하량(월간_AVG)'!D54:F54)</f>
        <v>0</v>
      </c>
      <c r="Z198" s="3837">
        <f t="shared" ref="Z198" si="75">SUM(X198:Y198)</f>
        <v>0</v>
      </c>
      <c r="AA198" s="3834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904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188">
        <f>VLOOKUP(H198&amp;I198,'7층~4층_매핑테이블'!$A$6:$H$2020,8,0)</f>
        <v>10.939</v>
      </c>
      <c r="AD198" s="3181" t="e">
        <f>SUM(AA198:AB209)</f>
        <v>#N/A</v>
      </c>
      <c r="AE198" s="2478"/>
      <c r="AG198">
        <v>49.6</v>
      </c>
      <c r="AH198" s="1363">
        <f t="shared" si="71"/>
        <v>-49.6</v>
      </c>
      <c r="AJ198" s="2351" t="e">
        <f t="shared" ref="AJ198:AJ233" si="76">AD198/(24*31)</f>
        <v>#N/A</v>
      </c>
      <c r="AK198" s="2351" t="e">
        <f t="shared" ref="AK198:AK233" si="77">D198-AJ198</f>
        <v>#N/A</v>
      </c>
      <c r="AL198" s="123" t="e">
        <f t="shared" si="74"/>
        <v>#N/A</v>
      </c>
      <c r="AR198" s="123"/>
      <c r="AS198" s="123"/>
      <c r="AU198" s="2982"/>
      <c r="AV198" s="123"/>
      <c r="AW198" s="123"/>
      <c r="AX198" s="2983"/>
      <c r="AY198" s="2984"/>
      <c r="AZ198" s="2985"/>
      <c r="BA198" s="2986"/>
      <c r="BB198" s="2987"/>
      <c r="BC198" s="2988"/>
    </row>
    <row r="199" spans="1:55" x14ac:dyDescent="0.25">
      <c r="A199" s="3829"/>
      <c r="B199" s="2622" t="s">
        <v>3821</v>
      </c>
      <c r="C199" s="1139" t="s">
        <v>9213</v>
      </c>
      <c r="D199" s="3780"/>
      <c r="E199" s="985" t="s">
        <v>3822</v>
      </c>
      <c r="F199" s="3477"/>
      <c r="G199" s="3832"/>
      <c r="H199" s="3799"/>
      <c r="I199" s="3802"/>
      <c r="J199" s="3805"/>
      <c r="K199" s="3808"/>
      <c r="L199" s="3651"/>
      <c r="M199" s="3813"/>
      <c r="N199" s="3816"/>
      <c r="O199" s="3819"/>
      <c r="P199" s="3822"/>
      <c r="Q199" s="3825"/>
      <c r="R199" s="3786"/>
      <c r="S199" s="3478"/>
      <c r="T199" s="3477"/>
      <c r="U199" s="3478"/>
      <c r="V199" s="3477"/>
      <c r="W199" s="3478"/>
      <c r="X199" s="3857"/>
      <c r="Y199" s="3839"/>
      <c r="Z199" s="3637"/>
      <c r="AA199" s="3835"/>
      <c r="AB199" s="3905"/>
      <c r="AC199" s="3189">
        <f>$AC$198</f>
        <v>10.939</v>
      </c>
      <c r="AD199" s="3182" t="e">
        <f>$AD$198</f>
        <v>#N/A</v>
      </c>
      <c r="AE199" s="2475"/>
      <c r="AG199">
        <v>0</v>
      </c>
      <c r="AH199" s="1363">
        <f t="shared" si="71"/>
        <v>0</v>
      </c>
      <c r="AJ199" s="2351" t="e">
        <f t="shared" si="76"/>
        <v>#N/A</v>
      </c>
      <c r="AK199" s="2351" t="e">
        <f t="shared" si="77"/>
        <v>#N/A</v>
      </c>
      <c r="AL199" s="123" t="e">
        <f t="shared" si="74"/>
        <v>#N/A</v>
      </c>
      <c r="AR199" s="123"/>
      <c r="AS199" s="123"/>
      <c r="AU199" s="2982"/>
      <c r="AV199" s="123"/>
      <c r="AW199" s="123"/>
      <c r="AX199" s="2983"/>
      <c r="AY199" s="2984"/>
      <c r="AZ199" s="2985"/>
      <c r="BA199" s="2986"/>
      <c r="BB199" s="2987"/>
      <c r="BC199" s="2988"/>
    </row>
    <row r="200" spans="1:55" x14ac:dyDescent="0.25">
      <c r="A200" s="3829"/>
      <c r="B200" s="2622" t="s">
        <v>3034</v>
      </c>
      <c r="C200" s="1139"/>
      <c r="D200" s="3780"/>
      <c r="E200" s="250" t="s">
        <v>3823</v>
      </c>
      <c r="F200" s="3477"/>
      <c r="G200" s="3832"/>
      <c r="H200" s="3799"/>
      <c r="I200" s="3802"/>
      <c r="J200" s="3805"/>
      <c r="K200" s="3808"/>
      <c r="L200" s="3651"/>
      <c r="M200" s="3813"/>
      <c r="N200" s="3816"/>
      <c r="O200" s="3819"/>
      <c r="P200" s="3822"/>
      <c r="Q200" s="3825"/>
      <c r="R200" s="3786"/>
      <c r="S200" s="3478"/>
      <c r="T200" s="3477"/>
      <c r="U200" s="3478"/>
      <c r="V200" s="3477"/>
      <c r="W200" s="3478"/>
      <c r="X200" s="3857"/>
      <c r="Y200" s="3839"/>
      <c r="Z200" s="3637"/>
      <c r="AA200" s="3835"/>
      <c r="AB200" s="3905"/>
      <c r="AC200" s="3189">
        <f t="shared" ref="AC200:AC209" si="78">$AC$198</f>
        <v>10.939</v>
      </c>
      <c r="AD200" s="3182" t="e">
        <f t="shared" ref="AD200:AD209" si="79">$AD$198</f>
        <v>#N/A</v>
      </c>
      <c r="AE200" s="2475"/>
      <c r="AG200">
        <v>0</v>
      </c>
      <c r="AH200" s="1363">
        <f t="shared" si="71"/>
        <v>0</v>
      </c>
      <c r="AJ200" s="2351" t="e">
        <f t="shared" si="76"/>
        <v>#N/A</v>
      </c>
      <c r="AK200" s="2351" t="e">
        <f t="shared" si="77"/>
        <v>#N/A</v>
      </c>
      <c r="AL200" s="123" t="e">
        <f t="shared" si="74"/>
        <v>#N/A</v>
      </c>
      <c r="AR200" s="123"/>
      <c r="AS200" s="123"/>
      <c r="AU200" s="2982"/>
      <c r="AV200" s="123"/>
      <c r="AW200" s="123"/>
      <c r="AX200" s="2983"/>
      <c r="AY200" s="2984"/>
      <c r="AZ200" s="2985"/>
      <c r="BA200" s="2986"/>
      <c r="BB200" s="2987"/>
      <c r="BC200" s="2988"/>
    </row>
    <row r="201" spans="1:55" x14ac:dyDescent="0.25">
      <c r="A201" s="3829"/>
      <c r="B201" s="2622" t="s">
        <v>3040</v>
      </c>
      <c r="C201" s="1139"/>
      <c r="D201" s="3780"/>
      <c r="E201" s="2621" t="s">
        <v>3824</v>
      </c>
      <c r="F201" s="3477"/>
      <c r="G201" s="3832"/>
      <c r="H201" s="3799"/>
      <c r="I201" s="3802"/>
      <c r="J201" s="3805"/>
      <c r="K201" s="3808"/>
      <c r="L201" s="3651"/>
      <c r="M201" s="3813"/>
      <c r="N201" s="3816"/>
      <c r="O201" s="3819"/>
      <c r="P201" s="3822"/>
      <c r="Q201" s="3825"/>
      <c r="R201" s="3786"/>
      <c r="S201" s="3478"/>
      <c r="T201" s="3477"/>
      <c r="U201" s="3478"/>
      <c r="V201" s="3477"/>
      <c r="W201" s="3478"/>
      <c r="X201" s="3857"/>
      <c r="Y201" s="3839"/>
      <c r="Z201" s="3637"/>
      <c r="AA201" s="3835"/>
      <c r="AB201" s="3905"/>
      <c r="AC201" s="3189">
        <f t="shared" si="78"/>
        <v>10.939</v>
      </c>
      <c r="AD201" s="3182" t="e">
        <f t="shared" si="79"/>
        <v>#N/A</v>
      </c>
      <c r="AE201" s="2475"/>
      <c r="AG201">
        <v>0</v>
      </c>
      <c r="AH201" s="1363">
        <f t="shared" si="71"/>
        <v>0</v>
      </c>
      <c r="AJ201" s="2351" t="e">
        <f t="shared" si="76"/>
        <v>#N/A</v>
      </c>
      <c r="AK201" s="2351" t="e">
        <f t="shared" si="77"/>
        <v>#N/A</v>
      </c>
      <c r="AL201" s="123" t="e">
        <f t="shared" si="74"/>
        <v>#N/A</v>
      </c>
      <c r="AR201" s="123"/>
      <c r="AS201" s="123"/>
      <c r="AU201" s="2982"/>
      <c r="AV201" s="123"/>
      <c r="AW201" s="123"/>
      <c r="AX201" s="2983"/>
      <c r="AY201" s="2984"/>
      <c r="AZ201" s="2985"/>
      <c r="BA201" s="2986"/>
      <c r="BB201" s="2987"/>
      <c r="BC201" s="2988"/>
    </row>
    <row r="202" spans="1:55" x14ac:dyDescent="0.25">
      <c r="A202" s="3829"/>
      <c r="B202" s="2622" t="s">
        <v>3046</v>
      </c>
      <c r="C202" s="1139"/>
      <c r="D202" s="3780"/>
      <c r="E202" s="250" t="s">
        <v>3825</v>
      </c>
      <c r="F202" s="3477"/>
      <c r="G202" s="3832"/>
      <c r="H202" s="3799"/>
      <c r="I202" s="3802"/>
      <c r="J202" s="3805"/>
      <c r="K202" s="3808"/>
      <c r="L202" s="3651"/>
      <c r="M202" s="3813"/>
      <c r="N202" s="3816"/>
      <c r="O202" s="3819"/>
      <c r="P202" s="3822"/>
      <c r="Q202" s="3825"/>
      <c r="R202" s="3786"/>
      <c r="S202" s="3478"/>
      <c r="T202" s="3477"/>
      <c r="U202" s="3478"/>
      <c r="V202" s="3477"/>
      <c r="W202" s="3478"/>
      <c r="X202" s="3857"/>
      <c r="Y202" s="3839"/>
      <c r="Z202" s="3637"/>
      <c r="AA202" s="3835"/>
      <c r="AB202" s="3905"/>
      <c r="AC202" s="3189">
        <f t="shared" si="78"/>
        <v>10.939</v>
      </c>
      <c r="AD202" s="3182" t="e">
        <f t="shared" si="79"/>
        <v>#N/A</v>
      </c>
      <c r="AE202" s="2475"/>
      <c r="AG202">
        <v>0</v>
      </c>
      <c r="AH202" s="1363">
        <f t="shared" si="71"/>
        <v>0</v>
      </c>
      <c r="AJ202" s="2351" t="e">
        <f t="shared" si="76"/>
        <v>#N/A</v>
      </c>
      <c r="AK202" s="2351" t="e">
        <f t="shared" si="77"/>
        <v>#N/A</v>
      </c>
      <c r="AL202" s="123" t="e">
        <f t="shared" si="74"/>
        <v>#N/A</v>
      </c>
    </row>
    <row r="203" spans="1:55" ht="21.6" x14ac:dyDescent="0.25">
      <c r="A203" s="3829"/>
      <c r="B203" s="2622" t="s">
        <v>3052</v>
      </c>
      <c r="C203" s="1139" t="s">
        <v>9182</v>
      </c>
      <c r="D203" s="3780"/>
      <c r="E203" s="2621" t="s">
        <v>3827</v>
      </c>
      <c r="F203" s="3477"/>
      <c r="G203" s="3832"/>
      <c r="H203" s="3799"/>
      <c r="I203" s="3802"/>
      <c r="J203" s="3805"/>
      <c r="K203" s="3808"/>
      <c r="L203" s="3651"/>
      <c r="M203" s="3813"/>
      <c r="N203" s="3816"/>
      <c r="O203" s="3819"/>
      <c r="P203" s="3822"/>
      <c r="Q203" s="3825"/>
      <c r="R203" s="3786"/>
      <c r="S203" s="3478"/>
      <c r="T203" s="3477"/>
      <c r="U203" s="3478"/>
      <c r="V203" s="3477"/>
      <c r="W203" s="3478"/>
      <c r="X203" s="3857"/>
      <c r="Y203" s="3839"/>
      <c r="Z203" s="3637"/>
      <c r="AA203" s="3835"/>
      <c r="AB203" s="3905"/>
      <c r="AC203" s="3189">
        <f t="shared" si="78"/>
        <v>10.939</v>
      </c>
      <c r="AD203" s="3182" t="e">
        <f t="shared" si="79"/>
        <v>#N/A</v>
      </c>
      <c r="AE203" s="2475"/>
      <c r="AG203">
        <v>0</v>
      </c>
      <c r="AH203" s="1363">
        <f t="shared" si="71"/>
        <v>0</v>
      </c>
      <c r="AJ203" s="2351" t="e">
        <f t="shared" si="76"/>
        <v>#N/A</v>
      </c>
      <c r="AK203" s="2351" t="e">
        <f t="shared" si="77"/>
        <v>#N/A</v>
      </c>
      <c r="AL203" s="123" t="e">
        <f t="shared" si="74"/>
        <v>#N/A</v>
      </c>
    </row>
    <row r="204" spans="1:55" ht="21.6" x14ac:dyDescent="0.25">
      <c r="A204" s="3829"/>
      <c r="B204" s="2622" t="s">
        <v>3058</v>
      </c>
      <c r="C204" s="1139" t="s">
        <v>9182</v>
      </c>
      <c r="D204" s="3780"/>
      <c r="E204" s="2621" t="s">
        <v>3828</v>
      </c>
      <c r="F204" s="3477"/>
      <c r="G204" s="3832"/>
      <c r="H204" s="3799"/>
      <c r="I204" s="3802"/>
      <c r="J204" s="3805"/>
      <c r="K204" s="3808"/>
      <c r="L204" s="3651"/>
      <c r="M204" s="3813"/>
      <c r="N204" s="3816"/>
      <c r="O204" s="3819"/>
      <c r="P204" s="3822"/>
      <c r="Q204" s="3825"/>
      <c r="R204" s="3786"/>
      <c r="S204" s="3478"/>
      <c r="T204" s="3477"/>
      <c r="U204" s="3478"/>
      <c r="V204" s="3477"/>
      <c r="W204" s="3478"/>
      <c r="X204" s="3857"/>
      <c r="Y204" s="3839"/>
      <c r="Z204" s="3637"/>
      <c r="AA204" s="3835"/>
      <c r="AB204" s="3905"/>
      <c r="AC204" s="3189">
        <f t="shared" si="78"/>
        <v>10.939</v>
      </c>
      <c r="AD204" s="3182" t="e">
        <f t="shared" si="79"/>
        <v>#N/A</v>
      </c>
      <c r="AE204" s="2475"/>
      <c r="AG204">
        <v>0</v>
      </c>
      <c r="AH204" s="1363">
        <f t="shared" si="71"/>
        <v>0</v>
      </c>
      <c r="AJ204" s="2351" t="e">
        <f t="shared" si="76"/>
        <v>#N/A</v>
      </c>
      <c r="AK204" s="2351" t="e">
        <f t="shared" si="77"/>
        <v>#N/A</v>
      </c>
      <c r="AL204" s="123" t="e">
        <f t="shared" si="74"/>
        <v>#N/A</v>
      </c>
    </row>
    <row r="205" spans="1:55" ht="21.6" x14ac:dyDescent="0.25">
      <c r="A205" s="3829"/>
      <c r="B205" s="2622" t="s">
        <v>3064</v>
      </c>
      <c r="C205" s="1139" t="s">
        <v>9182</v>
      </c>
      <c r="D205" s="3780"/>
      <c r="E205" s="2621" t="s">
        <v>3829</v>
      </c>
      <c r="F205" s="3477"/>
      <c r="G205" s="3832"/>
      <c r="H205" s="3799"/>
      <c r="I205" s="3802"/>
      <c r="J205" s="3805"/>
      <c r="K205" s="3808"/>
      <c r="L205" s="3651"/>
      <c r="M205" s="3813"/>
      <c r="N205" s="3816"/>
      <c r="O205" s="3819"/>
      <c r="P205" s="3822"/>
      <c r="Q205" s="3825"/>
      <c r="R205" s="3786"/>
      <c r="S205" s="3478"/>
      <c r="T205" s="3477"/>
      <c r="U205" s="3478"/>
      <c r="V205" s="3477"/>
      <c r="W205" s="3478"/>
      <c r="X205" s="3857"/>
      <c r="Y205" s="3839"/>
      <c r="Z205" s="3637"/>
      <c r="AA205" s="3835"/>
      <c r="AB205" s="3905"/>
      <c r="AC205" s="3189">
        <f t="shared" si="78"/>
        <v>10.939</v>
      </c>
      <c r="AD205" s="3182" t="e">
        <f t="shared" si="79"/>
        <v>#N/A</v>
      </c>
      <c r="AE205" s="2475"/>
      <c r="AG205">
        <v>0</v>
      </c>
      <c r="AH205" s="1363">
        <f t="shared" si="71"/>
        <v>0</v>
      </c>
      <c r="AJ205" s="2351" t="e">
        <f t="shared" si="76"/>
        <v>#N/A</v>
      </c>
      <c r="AK205" s="2351" t="e">
        <f t="shared" si="77"/>
        <v>#N/A</v>
      </c>
      <c r="AL205" s="123" t="e">
        <f t="shared" si="74"/>
        <v>#N/A</v>
      </c>
    </row>
    <row r="206" spans="1:55" ht="21.6" x14ac:dyDescent="0.25">
      <c r="A206" s="3829"/>
      <c r="B206" s="2622" t="s">
        <v>3070</v>
      </c>
      <c r="C206" s="1139" t="s">
        <v>9182</v>
      </c>
      <c r="D206" s="3780"/>
      <c r="E206" s="2621" t="s">
        <v>3830</v>
      </c>
      <c r="F206" s="3477"/>
      <c r="G206" s="3832"/>
      <c r="H206" s="3799"/>
      <c r="I206" s="3802"/>
      <c r="J206" s="3805"/>
      <c r="K206" s="3808"/>
      <c r="L206" s="3651"/>
      <c r="M206" s="3813"/>
      <c r="N206" s="3816"/>
      <c r="O206" s="3819"/>
      <c r="P206" s="3822"/>
      <c r="Q206" s="3825"/>
      <c r="R206" s="3786"/>
      <c r="S206" s="3478"/>
      <c r="T206" s="3477"/>
      <c r="U206" s="3478"/>
      <c r="V206" s="3477"/>
      <c r="W206" s="3478"/>
      <c r="X206" s="3857"/>
      <c r="Y206" s="3839"/>
      <c r="Z206" s="3637"/>
      <c r="AA206" s="3835"/>
      <c r="AB206" s="3905"/>
      <c r="AC206" s="3189">
        <f t="shared" si="78"/>
        <v>10.939</v>
      </c>
      <c r="AD206" s="3182" t="e">
        <f t="shared" si="79"/>
        <v>#N/A</v>
      </c>
      <c r="AE206" s="2475"/>
      <c r="AG206">
        <v>0</v>
      </c>
      <c r="AH206" s="1363">
        <f t="shared" si="71"/>
        <v>0</v>
      </c>
      <c r="AJ206" s="2351" t="e">
        <f t="shared" si="76"/>
        <v>#N/A</v>
      </c>
      <c r="AK206" s="2351" t="e">
        <f t="shared" si="77"/>
        <v>#N/A</v>
      </c>
      <c r="AL206" s="123" t="e">
        <f t="shared" si="74"/>
        <v>#N/A</v>
      </c>
    </row>
    <row r="207" spans="1:55" ht="21.6" x14ac:dyDescent="0.25">
      <c r="A207" s="3829"/>
      <c r="B207" s="2622" t="s">
        <v>3071</v>
      </c>
      <c r="C207" s="1139" t="s">
        <v>9182</v>
      </c>
      <c r="D207" s="3780"/>
      <c r="E207" s="2621" t="s">
        <v>3831</v>
      </c>
      <c r="F207" s="3477"/>
      <c r="G207" s="3832"/>
      <c r="H207" s="3799"/>
      <c r="I207" s="3802"/>
      <c r="J207" s="3805"/>
      <c r="K207" s="3808"/>
      <c r="L207" s="3651"/>
      <c r="M207" s="3813"/>
      <c r="N207" s="3816"/>
      <c r="O207" s="3819"/>
      <c r="P207" s="3822"/>
      <c r="Q207" s="3825"/>
      <c r="R207" s="3786"/>
      <c r="S207" s="3478"/>
      <c r="T207" s="3477"/>
      <c r="U207" s="3478"/>
      <c r="V207" s="3477"/>
      <c r="W207" s="3478"/>
      <c r="X207" s="3857"/>
      <c r="Y207" s="3839"/>
      <c r="Z207" s="3637"/>
      <c r="AA207" s="3835"/>
      <c r="AB207" s="3905"/>
      <c r="AC207" s="3189">
        <f t="shared" si="78"/>
        <v>10.939</v>
      </c>
      <c r="AD207" s="3182" t="e">
        <f t="shared" si="79"/>
        <v>#N/A</v>
      </c>
      <c r="AE207" s="2475"/>
      <c r="AG207">
        <v>0</v>
      </c>
      <c r="AH207" s="1363">
        <f t="shared" si="71"/>
        <v>0</v>
      </c>
      <c r="AJ207" s="2351" t="e">
        <f t="shared" si="76"/>
        <v>#N/A</v>
      </c>
      <c r="AK207" s="2351" t="e">
        <f t="shared" si="77"/>
        <v>#N/A</v>
      </c>
      <c r="AL207" s="123" t="e">
        <f t="shared" si="74"/>
        <v>#N/A</v>
      </c>
    </row>
    <row r="208" spans="1:55" x14ac:dyDescent="0.25">
      <c r="A208" s="3829"/>
      <c r="B208" s="2622" t="s">
        <v>3832</v>
      </c>
      <c r="C208" s="1139"/>
      <c r="D208" s="3780"/>
      <c r="E208" s="250" t="s">
        <v>3833</v>
      </c>
      <c r="F208" s="3477"/>
      <c r="G208" s="3832"/>
      <c r="H208" s="3799"/>
      <c r="I208" s="3802"/>
      <c r="J208" s="3805"/>
      <c r="K208" s="3808"/>
      <c r="L208" s="3651"/>
      <c r="M208" s="3813"/>
      <c r="N208" s="3816"/>
      <c r="O208" s="3819"/>
      <c r="P208" s="3822"/>
      <c r="Q208" s="3825"/>
      <c r="R208" s="3786"/>
      <c r="S208" s="3478"/>
      <c r="T208" s="3477"/>
      <c r="U208" s="3478"/>
      <c r="V208" s="3477"/>
      <c r="W208" s="3478"/>
      <c r="X208" s="3857"/>
      <c r="Y208" s="3839"/>
      <c r="Z208" s="3637"/>
      <c r="AA208" s="3835"/>
      <c r="AB208" s="3905"/>
      <c r="AC208" s="3189">
        <f t="shared" si="78"/>
        <v>10.939</v>
      </c>
      <c r="AD208" s="3182" t="e">
        <f t="shared" si="79"/>
        <v>#N/A</v>
      </c>
      <c r="AE208" s="2475"/>
      <c r="AG208">
        <v>0</v>
      </c>
      <c r="AH208" s="1363">
        <f t="shared" si="71"/>
        <v>0</v>
      </c>
      <c r="AJ208" s="2351" t="e">
        <f t="shared" si="76"/>
        <v>#N/A</v>
      </c>
      <c r="AK208" s="2351" t="e">
        <f t="shared" si="77"/>
        <v>#N/A</v>
      </c>
      <c r="AL208" s="123" t="e">
        <f t="shared" si="74"/>
        <v>#N/A</v>
      </c>
    </row>
    <row r="209" spans="1:38" ht="15" thickBot="1" x14ac:dyDescent="0.3">
      <c r="A209" s="3830"/>
      <c r="B209" s="1129" t="s">
        <v>3834</v>
      </c>
      <c r="C209" s="1140" t="s">
        <v>9214</v>
      </c>
      <c r="D209" s="3781"/>
      <c r="E209" s="2640" t="s">
        <v>3835</v>
      </c>
      <c r="F209" s="3474"/>
      <c r="G209" s="3833"/>
      <c r="H209" s="3800"/>
      <c r="I209" s="3803"/>
      <c r="J209" s="3806"/>
      <c r="K209" s="3809"/>
      <c r="L209" s="3811"/>
      <c r="M209" s="3814"/>
      <c r="N209" s="3817"/>
      <c r="O209" s="3820"/>
      <c r="P209" s="3823"/>
      <c r="Q209" s="3826"/>
      <c r="R209" s="3787"/>
      <c r="S209" s="3476"/>
      <c r="T209" s="3474"/>
      <c r="U209" s="3476"/>
      <c r="V209" s="3474"/>
      <c r="W209" s="3476"/>
      <c r="X209" s="3858"/>
      <c r="Y209" s="3840"/>
      <c r="Z209" s="3644"/>
      <c r="AA209" s="3836"/>
      <c r="AB209" s="3906"/>
      <c r="AC209" s="3189">
        <f t="shared" si="78"/>
        <v>10.939</v>
      </c>
      <c r="AD209" s="3182" t="e">
        <f t="shared" si="79"/>
        <v>#N/A</v>
      </c>
      <c r="AE209" s="2476"/>
      <c r="AG209">
        <v>0</v>
      </c>
      <c r="AH209" s="1363">
        <f t="shared" si="71"/>
        <v>0</v>
      </c>
      <c r="AJ209" s="2351" t="e">
        <f t="shared" si="76"/>
        <v>#N/A</v>
      </c>
      <c r="AK209" s="2351" t="e">
        <f t="shared" si="77"/>
        <v>#N/A</v>
      </c>
      <c r="AL209" s="123" t="e">
        <f t="shared" si="74"/>
        <v>#N/A</v>
      </c>
    </row>
    <row r="210" spans="1:38" ht="15" thickTop="1" x14ac:dyDescent="0.25">
      <c r="A210" s="3828" t="s">
        <v>3800</v>
      </c>
      <c r="B210" s="1128" t="s">
        <v>986</v>
      </c>
      <c r="C210" s="1138"/>
      <c r="D210" s="3779">
        <f>1.1*4</f>
        <v>4.4000000000000004</v>
      </c>
      <c r="E210" s="327" t="s">
        <v>3801</v>
      </c>
      <c r="F210" s="3491" t="s">
        <v>3802</v>
      </c>
      <c r="G210" s="3831" t="s">
        <v>3803</v>
      </c>
      <c r="H210" s="3798" t="str">
        <f>"4-DaHall 1-PDU-"&amp;L210&amp;"-"&amp;K210&amp;"-"&amp;M210</f>
        <v>4-DaHall 1-PDU-04-100-6</v>
      </c>
      <c r="I210" s="3801" t="str">
        <f>"4-DaHall 1-PDU-"&amp;P210&amp;"-"&amp;O210&amp;"-"&amp;Q210</f>
        <v>4-DaHall 1-PDU-03-100-6</v>
      </c>
      <c r="J210" s="3804">
        <v>220</v>
      </c>
      <c r="K210" s="3807">
        <v>100</v>
      </c>
      <c r="L210" s="3810" t="s">
        <v>6496</v>
      </c>
      <c r="M210" s="3812">
        <v>6</v>
      </c>
      <c r="N210" s="3815">
        <v>220</v>
      </c>
      <c r="O210" s="3818">
        <v>100</v>
      </c>
      <c r="P210" s="3821" t="s">
        <v>6500</v>
      </c>
      <c r="Q210" s="3824">
        <v>6</v>
      </c>
      <c r="R210" s="3785" t="s">
        <v>3774</v>
      </c>
      <c r="S210" s="3489" t="s">
        <v>3775</v>
      </c>
      <c r="T210" s="3491" t="s">
        <v>3776</v>
      </c>
      <c r="U210" s="3489" t="s">
        <v>3777</v>
      </c>
      <c r="V210" s="3491" t="s">
        <v>3744</v>
      </c>
      <c r="W210" s="3489" t="s">
        <v>3749</v>
      </c>
      <c r="X210" s="3856">
        <f>SUM('4층_부하량(월간_AVG)'!N11:P11)</f>
        <v>0</v>
      </c>
      <c r="Y210" s="3838">
        <f>SUM('4층_부하량(월간_AVG)'!D53:F53)</f>
        <v>0</v>
      </c>
      <c r="Z210" s="3837">
        <f t="shared" ref="Z210" si="80">SUM(X210:Y210)</f>
        <v>0</v>
      </c>
      <c r="AA210" s="3834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904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188">
        <f>VLOOKUP(H210&amp;I210,'7층~4층_매핑테이블'!$A$6:$H$2020,8,0)</f>
        <v>5.3680000000000003</v>
      </c>
      <c r="AD210" s="3181" t="e">
        <f>SUM(AA210:AB221)</f>
        <v>#N/A</v>
      </c>
      <c r="AE210" s="2474"/>
      <c r="AG210">
        <v>25</v>
      </c>
      <c r="AH210" s="1363">
        <f t="shared" si="71"/>
        <v>-25</v>
      </c>
      <c r="AJ210" s="2351" t="e">
        <f t="shared" si="76"/>
        <v>#N/A</v>
      </c>
      <c r="AK210" s="2351" t="e">
        <f t="shared" si="77"/>
        <v>#N/A</v>
      </c>
      <c r="AL210" s="123" t="e">
        <f t="shared" si="74"/>
        <v>#N/A</v>
      </c>
    </row>
    <row r="211" spans="1:38" ht="32.4" x14ac:dyDescent="0.25">
      <c r="A211" s="3829"/>
      <c r="B211" s="2622" t="s">
        <v>3077</v>
      </c>
      <c r="C211" s="1139" t="s">
        <v>9215</v>
      </c>
      <c r="D211" s="3780"/>
      <c r="E211" s="2621" t="s">
        <v>3804</v>
      </c>
      <c r="F211" s="3477"/>
      <c r="G211" s="3832"/>
      <c r="H211" s="3799"/>
      <c r="I211" s="3802"/>
      <c r="J211" s="3805"/>
      <c r="K211" s="3808"/>
      <c r="L211" s="3651"/>
      <c r="M211" s="3813"/>
      <c r="N211" s="3816"/>
      <c r="O211" s="3819"/>
      <c r="P211" s="3822"/>
      <c r="Q211" s="3825"/>
      <c r="R211" s="3786"/>
      <c r="S211" s="3478"/>
      <c r="T211" s="3477"/>
      <c r="U211" s="3478"/>
      <c r="V211" s="3477"/>
      <c r="W211" s="3478"/>
      <c r="X211" s="3857"/>
      <c r="Y211" s="3839"/>
      <c r="Z211" s="3637"/>
      <c r="AA211" s="3835"/>
      <c r="AB211" s="3905"/>
      <c r="AC211" s="3189">
        <f>$AC$210</f>
        <v>5.3680000000000003</v>
      </c>
      <c r="AD211" s="3182" t="e">
        <f>$AD$210</f>
        <v>#N/A</v>
      </c>
      <c r="AE211" s="2475"/>
      <c r="AG211">
        <v>0</v>
      </c>
      <c r="AH211" s="1363">
        <f t="shared" si="71"/>
        <v>0</v>
      </c>
      <c r="AJ211" s="2351" t="e">
        <f t="shared" si="76"/>
        <v>#N/A</v>
      </c>
      <c r="AK211" s="2351" t="e">
        <f t="shared" si="77"/>
        <v>#N/A</v>
      </c>
      <c r="AL211" s="123" t="e">
        <f t="shared" si="74"/>
        <v>#N/A</v>
      </c>
    </row>
    <row r="212" spans="1:38" x14ac:dyDescent="0.25">
      <c r="A212" s="3829"/>
      <c r="B212" s="2622" t="s">
        <v>3083</v>
      </c>
      <c r="C212" s="1139"/>
      <c r="D212" s="3780"/>
      <c r="E212" s="250" t="s">
        <v>3805</v>
      </c>
      <c r="F212" s="3477"/>
      <c r="G212" s="3832"/>
      <c r="H212" s="3799"/>
      <c r="I212" s="3802"/>
      <c r="J212" s="3805"/>
      <c r="K212" s="3808"/>
      <c r="L212" s="3651"/>
      <c r="M212" s="3813"/>
      <c r="N212" s="3816"/>
      <c r="O212" s="3819"/>
      <c r="P212" s="3822"/>
      <c r="Q212" s="3825"/>
      <c r="R212" s="3786"/>
      <c r="S212" s="3478"/>
      <c r="T212" s="3477"/>
      <c r="U212" s="3478"/>
      <c r="V212" s="3477"/>
      <c r="W212" s="3478"/>
      <c r="X212" s="3857"/>
      <c r="Y212" s="3839"/>
      <c r="Z212" s="3637"/>
      <c r="AA212" s="3835"/>
      <c r="AB212" s="3905"/>
      <c r="AC212" s="3189">
        <f t="shared" ref="AC212:AC221" si="81">$AC$210</f>
        <v>5.3680000000000003</v>
      </c>
      <c r="AD212" s="3182" t="e">
        <f t="shared" ref="AD212:AD221" si="82">$AD$210</f>
        <v>#N/A</v>
      </c>
      <c r="AE212" s="2475"/>
      <c r="AG212">
        <v>0</v>
      </c>
      <c r="AH212" s="1363">
        <f t="shared" si="71"/>
        <v>0</v>
      </c>
      <c r="AJ212" s="2351" t="e">
        <f t="shared" si="76"/>
        <v>#N/A</v>
      </c>
      <c r="AK212" s="2351" t="e">
        <f t="shared" si="77"/>
        <v>#N/A</v>
      </c>
      <c r="AL212" s="123" t="e">
        <f t="shared" si="74"/>
        <v>#N/A</v>
      </c>
    </row>
    <row r="213" spans="1:38" ht="21.6" x14ac:dyDescent="0.25">
      <c r="A213" s="3829"/>
      <c r="B213" s="2622" t="s">
        <v>3089</v>
      </c>
      <c r="C213" s="1139" t="s">
        <v>9216</v>
      </c>
      <c r="D213" s="3780"/>
      <c r="E213" s="2621" t="s">
        <v>3806</v>
      </c>
      <c r="F213" s="3477"/>
      <c r="G213" s="3832"/>
      <c r="H213" s="3799"/>
      <c r="I213" s="3802"/>
      <c r="J213" s="3805"/>
      <c r="K213" s="3808"/>
      <c r="L213" s="3651"/>
      <c r="M213" s="3813"/>
      <c r="N213" s="3816"/>
      <c r="O213" s="3819"/>
      <c r="P213" s="3822"/>
      <c r="Q213" s="3825"/>
      <c r="R213" s="3786"/>
      <c r="S213" s="3478"/>
      <c r="T213" s="3477"/>
      <c r="U213" s="3478"/>
      <c r="V213" s="3477"/>
      <c r="W213" s="3478"/>
      <c r="X213" s="3857"/>
      <c r="Y213" s="3839"/>
      <c r="Z213" s="3637"/>
      <c r="AA213" s="3835"/>
      <c r="AB213" s="3905"/>
      <c r="AC213" s="3189">
        <f t="shared" si="81"/>
        <v>5.3680000000000003</v>
      </c>
      <c r="AD213" s="3182" t="e">
        <f t="shared" si="82"/>
        <v>#N/A</v>
      </c>
      <c r="AE213" s="2475"/>
      <c r="AG213">
        <v>0</v>
      </c>
      <c r="AH213" s="1363">
        <f t="shared" si="71"/>
        <v>0</v>
      </c>
      <c r="AJ213" s="2351" t="e">
        <f t="shared" si="76"/>
        <v>#N/A</v>
      </c>
      <c r="AK213" s="2351" t="e">
        <f t="shared" si="77"/>
        <v>#N/A</v>
      </c>
      <c r="AL213" s="123" t="e">
        <f t="shared" si="74"/>
        <v>#N/A</v>
      </c>
    </row>
    <row r="214" spans="1:38" ht="21.6" x14ac:dyDescent="0.25">
      <c r="A214" s="3829"/>
      <c r="B214" s="2622" t="s">
        <v>1007</v>
      </c>
      <c r="C214" s="1139" t="s">
        <v>9216</v>
      </c>
      <c r="D214" s="3780"/>
      <c r="E214" s="2621" t="s">
        <v>3807</v>
      </c>
      <c r="F214" s="3477"/>
      <c r="G214" s="3832"/>
      <c r="H214" s="3799"/>
      <c r="I214" s="3802"/>
      <c r="J214" s="3805"/>
      <c r="K214" s="3808"/>
      <c r="L214" s="3651"/>
      <c r="M214" s="3813"/>
      <c r="N214" s="3816"/>
      <c r="O214" s="3819"/>
      <c r="P214" s="3822"/>
      <c r="Q214" s="3825"/>
      <c r="R214" s="3786"/>
      <c r="S214" s="3478"/>
      <c r="T214" s="3477"/>
      <c r="U214" s="3478"/>
      <c r="V214" s="3477"/>
      <c r="W214" s="3478"/>
      <c r="X214" s="3857"/>
      <c r="Y214" s="3839"/>
      <c r="Z214" s="3637"/>
      <c r="AA214" s="3835"/>
      <c r="AB214" s="3905"/>
      <c r="AC214" s="3189">
        <f t="shared" si="81"/>
        <v>5.3680000000000003</v>
      </c>
      <c r="AD214" s="3182" t="e">
        <f t="shared" si="82"/>
        <v>#N/A</v>
      </c>
      <c r="AE214" s="2475"/>
      <c r="AG214">
        <v>0</v>
      </c>
      <c r="AH214" s="1363">
        <f t="shared" si="71"/>
        <v>0</v>
      </c>
      <c r="AJ214" s="2351" t="e">
        <f t="shared" si="76"/>
        <v>#N/A</v>
      </c>
      <c r="AK214" s="2351" t="e">
        <f t="shared" si="77"/>
        <v>#N/A</v>
      </c>
      <c r="AL214" s="123" t="e">
        <f t="shared" si="74"/>
        <v>#N/A</v>
      </c>
    </row>
    <row r="215" spans="1:38" x14ac:dyDescent="0.25">
      <c r="A215" s="3829"/>
      <c r="B215" s="2622" t="s">
        <v>3100</v>
      </c>
      <c r="C215" s="1139"/>
      <c r="D215" s="3780"/>
      <c r="E215" s="250" t="s">
        <v>3808</v>
      </c>
      <c r="F215" s="3477"/>
      <c r="G215" s="3832"/>
      <c r="H215" s="3799"/>
      <c r="I215" s="3802"/>
      <c r="J215" s="3805"/>
      <c r="K215" s="3808"/>
      <c r="L215" s="3651"/>
      <c r="M215" s="3813"/>
      <c r="N215" s="3816"/>
      <c r="O215" s="3819"/>
      <c r="P215" s="3822"/>
      <c r="Q215" s="3825"/>
      <c r="R215" s="3786"/>
      <c r="S215" s="3478"/>
      <c r="T215" s="3477"/>
      <c r="U215" s="3478"/>
      <c r="V215" s="3477"/>
      <c r="W215" s="3478"/>
      <c r="X215" s="3857"/>
      <c r="Y215" s="3839"/>
      <c r="Z215" s="3637"/>
      <c r="AA215" s="3835"/>
      <c r="AB215" s="3905"/>
      <c r="AC215" s="3189">
        <f t="shared" si="81"/>
        <v>5.3680000000000003</v>
      </c>
      <c r="AD215" s="3182" t="e">
        <f t="shared" si="82"/>
        <v>#N/A</v>
      </c>
      <c r="AE215" s="2477"/>
      <c r="AG215">
        <v>0</v>
      </c>
      <c r="AH215" s="1363">
        <f t="shared" si="71"/>
        <v>0</v>
      </c>
      <c r="AJ215" s="2351" t="e">
        <f t="shared" si="76"/>
        <v>#N/A</v>
      </c>
      <c r="AK215" s="2351" t="e">
        <f t="shared" si="77"/>
        <v>#N/A</v>
      </c>
      <c r="AL215" s="123" t="e">
        <f t="shared" si="74"/>
        <v>#N/A</v>
      </c>
    </row>
    <row r="216" spans="1:38" x14ac:dyDescent="0.25">
      <c r="A216" s="3829"/>
      <c r="B216" s="2622" t="s">
        <v>3106</v>
      </c>
      <c r="C216" s="1139"/>
      <c r="D216" s="3780"/>
      <c r="E216" s="250" t="s">
        <v>3809</v>
      </c>
      <c r="F216" s="3477"/>
      <c r="G216" s="3832"/>
      <c r="H216" s="3799"/>
      <c r="I216" s="3802"/>
      <c r="J216" s="3805"/>
      <c r="K216" s="3808"/>
      <c r="L216" s="3651"/>
      <c r="M216" s="3813"/>
      <c r="N216" s="3816"/>
      <c r="O216" s="3819"/>
      <c r="P216" s="3822"/>
      <c r="Q216" s="3825"/>
      <c r="R216" s="3786"/>
      <c r="S216" s="3478"/>
      <c r="T216" s="3477"/>
      <c r="U216" s="3478"/>
      <c r="V216" s="3477"/>
      <c r="W216" s="3478"/>
      <c r="X216" s="3857"/>
      <c r="Y216" s="3839"/>
      <c r="Z216" s="3637"/>
      <c r="AA216" s="3835"/>
      <c r="AB216" s="3905"/>
      <c r="AC216" s="3189">
        <f t="shared" si="81"/>
        <v>5.3680000000000003</v>
      </c>
      <c r="AD216" s="3182" t="e">
        <f t="shared" si="82"/>
        <v>#N/A</v>
      </c>
      <c r="AE216" s="2475"/>
      <c r="AG216">
        <v>0</v>
      </c>
      <c r="AH216" s="1363">
        <f t="shared" si="71"/>
        <v>0</v>
      </c>
      <c r="AJ216" s="2351" t="e">
        <f t="shared" si="76"/>
        <v>#N/A</v>
      </c>
      <c r="AK216" s="2351" t="e">
        <f t="shared" si="77"/>
        <v>#N/A</v>
      </c>
      <c r="AL216" s="123" t="e">
        <f t="shared" si="74"/>
        <v>#N/A</v>
      </c>
    </row>
    <row r="217" spans="1:38" x14ac:dyDescent="0.25">
      <c r="A217" s="3829"/>
      <c r="B217" s="2622" t="s">
        <v>3112</v>
      </c>
      <c r="C217" s="1139"/>
      <c r="D217" s="3780"/>
      <c r="E217" s="250" t="s">
        <v>3810</v>
      </c>
      <c r="F217" s="3477"/>
      <c r="G217" s="3832"/>
      <c r="H217" s="3799"/>
      <c r="I217" s="3802"/>
      <c r="J217" s="3805"/>
      <c r="K217" s="3808"/>
      <c r="L217" s="3651"/>
      <c r="M217" s="3813"/>
      <c r="N217" s="3816"/>
      <c r="O217" s="3819"/>
      <c r="P217" s="3822"/>
      <c r="Q217" s="3825"/>
      <c r="R217" s="3786"/>
      <c r="S217" s="3478"/>
      <c r="T217" s="3477"/>
      <c r="U217" s="3478"/>
      <c r="V217" s="3477"/>
      <c r="W217" s="3478"/>
      <c r="X217" s="3857"/>
      <c r="Y217" s="3839"/>
      <c r="Z217" s="3637"/>
      <c r="AA217" s="3835"/>
      <c r="AB217" s="3905"/>
      <c r="AC217" s="3189">
        <f t="shared" si="81"/>
        <v>5.3680000000000003</v>
      </c>
      <c r="AD217" s="3182" t="e">
        <f t="shared" si="82"/>
        <v>#N/A</v>
      </c>
      <c r="AE217" s="2475"/>
      <c r="AG217">
        <v>0</v>
      </c>
      <c r="AH217" s="1363">
        <f t="shared" si="71"/>
        <v>0</v>
      </c>
      <c r="AJ217" s="2351" t="e">
        <f t="shared" si="76"/>
        <v>#N/A</v>
      </c>
      <c r="AK217" s="2351" t="e">
        <f t="shared" si="77"/>
        <v>#N/A</v>
      </c>
      <c r="AL217" s="123" t="e">
        <f t="shared" si="74"/>
        <v>#N/A</v>
      </c>
    </row>
    <row r="218" spans="1:38" x14ac:dyDescent="0.25">
      <c r="A218" s="3829"/>
      <c r="B218" s="2622" t="s">
        <v>3118</v>
      </c>
      <c r="C218" s="1139"/>
      <c r="D218" s="3780"/>
      <c r="E218" s="250" t="s">
        <v>3811</v>
      </c>
      <c r="F218" s="3477"/>
      <c r="G218" s="3832"/>
      <c r="H218" s="3799"/>
      <c r="I218" s="3802"/>
      <c r="J218" s="3805"/>
      <c r="K218" s="3808"/>
      <c r="L218" s="3651"/>
      <c r="M218" s="3813"/>
      <c r="N218" s="3816"/>
      <c r="O218" s="3819"/>
      <c r="P218" s="3822"/>
      <c r="Q218" s="3825"/>
      <c r="R218" s="3786"/>
      <c r="S218" s="3478"/>
      <c r="T218" s="3477"/>
      <c r="U218" s="3478"/>
      <c r="V218" s="3477"/>
      <c r="W218" s="3478"/>
      <c r="X218" s="3857"/>
      <c r="Y218" s="3839"/>
      <c r="Z218" s="3637"/>
      <c r="AA218" s="3835"/>
      <c r="AB218" s="3905"/>
      <c r="AC218" s="3189">
        <f t="shared" si="81"/>
        <v>5.3680000000000003</v>
      </c>
      <c r="AD218" s="3182" t="e">
        <f t="shared" si="82"/>
        <v>#N/A</v>
      </c>
      <c r="AE218" s="2475"/>
      <c r="AG218">
        <v>0</v>
      </c>
      <c r="AH218" s="1363">
        <f t="shared" si="71"/>
        <v>0</v>
      </c>
      <c r="AJ218" s="2351" t="e">
        <f t="shared" si="76"/>
        <v>#N/A</v>
      </c>
      <c r="AK218" s="2351" t="e">
        <f t="shared" si="77"/>
        <v>#N/A</v>
      </c>
      <c r="AL218" s="123" t="e">
        <f t="shared" si="74"/>
        <v>#N/A</v>
      </c>
    </row>
    <row r="219" spans="1:38" x14ac:dyDescent="0.25">
      <c r="A219" s="3829"/>
      <c r="B219" s="2622" t="s">
        <v>3119</v>
      </c>
      <c r="C219" s="1139"/>
      <c r="D219" s="3780"/>
      <c r="E219" s="250" t="s">
        <v>3812</v>
      </c>
      <c r="F219" s="3477"/>
      <c r="G219" s="3832"/>
      <c r="H219" s="3799"/>
      <c r="I219" s="3802"/>
      <c r="J219" s="3805"/>
      <c r="K219" s="3808"/>
      <c r="L219" s="3651"/>
      <c r="M219" s="3813"/>
      <c r="N219" s="3816"/>
      <c r="O219" s="3819"/>
      <c r="P219" s="3822"/>
      <c r="Q219" s="3825"/>
      <c r="R219" s="3786"/>
      <c r="S219" s="3478"/>
      <c r="T219" s="3477"/>
      <c r="U219" s="3478"/>
      <c r="V219" s="3477"/>
      <c r="W219" s="3478"/>
      <c r="X219" s="3857"/>
      <c r="Y219" s="3839"/>
      <c r="Z219" s="3637"/>
      <c r="AA219" s="3835"/>
      <c r="AB219" s="3905"/>
      <c r="AC219" s="3189">
        <f t="shared" si="81"/>
        <v>5.3680000000000003</v>
      </c>
      <c r="AD219" s="3182" t="e">
        <f t="shared" si="82"/>
        <v>#N/A</v>
      </c>
      <c r="AE219" s="2475"/>
      <c r="AG219">
        <v>0</v>
      </c>
      <c r="AH219" s="1363">
        <f t="shared" si="71"/>
        <v>0</v>
      </c>
      <c r="AJ219" s="2351" t="e">
        <f t="shared" si="76"/>
        <v>#N/A</v>
      </c>
      <c r="AK219" s="2351" t="e">
        <f t="shared" si="77"/>
        <v>#N/A</v>
      </c>
      <c r="AL219" s="123" t="e">
        <f t="shared" si="74"/>
        <v>#N/A</v>
      </c>
    </row>
    <row r="220" spans="1:38" x14ac:dyDescent="0.25">
      <c r="A220" s="3829"/>
      <c r="B220" s="2622" t="s">
        <v>3813</v>
      </c>
      <c r="C220" s="1139"/>
      <c r="D220" s="3780"/>
      <c r="E220" s="250" t="s">
        <v>3814</v>
      </c>
      <c r="F220" s="3477"/>
      <c r="G220" s="3832"/>
      <c r="H220" s="3799"/>
      <c r="I220" s="3802"/>
      <c r="J220" s="3805"/>
      <c r="K220" s="3808"/>
      <c r="L220" s="3651"/>
      <c r="M220" s="3813"/>
      <c r="N220" s="3816"/>
      <c r="O220" s="3819"/>
      <c r="P220" s="3822"/>
      <c r="Q220" s="3825"/>
      <c r="R220" s="3786"/>
      <c r="S220" s="3478"/>
      <c r="T220" s="3477"/>
      <c r="U220" s="3478"/>
      <c r="V220" s="3477"/>
      <c r="W220" s="3478"/>
      <c r="X220" s="3857"/>
      <c r="Y220" s="3839"/>
      <c r="Z220" s="3637"/>
      <c r="AA220" s="3835"/>
      <c r="AB220" s="3905"/>
      <c r="AC220" s="3189">
        <f t="shared" si="81"/>
        <v>5.3680000000000003</v>
      </c>
      <c r="AD220" s="3182" t="e">
        <f t="shared" si="82"/>
        <v>#N/A</v>
      </c>
      <c r="AE220" s="2475"/>
      <c r="AG220">
        <v>0</v>
      </c>
      <c r="AH220" s="1363">
        <f t="shared" si="71"/>
        <v>0</v>
      </c>
      <c r="AJ220" s="2351" t="e">
        <f t="shared" si="76"/>
        <v>#N/A</v>
      </c>
      <c r="AK220" s="2351" t="e">
        <f t="shared" si="77"/>
        <v>#N/A</v>
      </c>
      <c r="AL220" s="123" t="e">
        <f t="shared" si="74"/>
        <v>#N/A</v>
      </c>
    </row>
    <row r="221" spans="1:38" ht="33" thickBot="1" x14ac:dyDescent="0.3">
      <c r="A221" s="3830"/>
      <c r="B221" s="1129" t="s">
        <v>3815</v>
      </c>
      <c r="C221" s="1140" t="s">
        <v>9217</v>
      </c>
      <c r="D221" s="3781"/>
      <c r="E221" s="2640" t="s">
        <v>3816</v>
      </c>
      <c r="F221" s="3474"/>
      <c r="G221" s="3833"/>
      <c r="H221" s="3800"/>
      <c r="I221" s="3803"/>
      <c r="J221" s="3806"/>
      <c r="K221" s="3809"/>
      <c r="L221" s="3811"/>
      <c r="M221" s="3814"/>
      <c r="N221" s="3817"/>
      <c r="O221" s="3820"/>
      <c r="P221" s="3823"/>
      <c r="Q221" s="3826"/>
      <c r="R221" s="3787"/>
      <c r="S221" s="3476"/>
      <c r="T221" s="3474"/>
      <c r="U221" s="3476"/>
      <c r="V221" s="3474"/>
      <c r="W221" s="3476"/>
      <c r="X221" s="3858"/>
      <c r="Y221" s="3840"/>
      <c r="Z221" s="3644"/>
      <c r="AA221" s="3836"/>
      <c r="AB221" s="3906"/>
      <c r="AC221" s="3189">
        <f t="shared" si="81"/>
        <v>5.3680000000000003</v>
      </c>
      <c r="AD221" s="3182" t="e">
        <f t="shared" si="82"/>
        <v>#N/A</v>
      </c>
      <c r="AE221" s="2476"/>
      <c r="AG221">
        <v>0</v>
      </c>
      <c r="AH221" s="1363">
        <f t="shared" si="71"/>
        <v>0</v>
      </c>
      <c r="AJ221" s="2351" t="e">
        <f t="shared" si="76"/>
        <v>#N/A</v>
      </c>
      <c r="AK221" s="2351" t="e">
        <f t="shared" si="77"/>
        <v>#N/A</v>
      </c>
      <c r="AL221" s="123" t="e">
        <f t="shared" si="74"/>
        <v>#N/A</v>
      </c>
    </row>
    <row r="222" spans="1:38" ht="33" thickTop="1" x14ac:dyDescent="0.25">
      <c r="A222" s="3828" t="s">
        <v>3782</v>
      </c>
      <c r="B222" s="1128" t="s">
        <v>1030</v>
      </c>
      <c r="C222" s="1138" t="s">
        <v>9218</v>
      </c>
      <c r="D222" s="3779">
        <f>1.1+2.2</f>
        <v>3.3000000000000003</v>
      </c>
      <c r="E222" s="993" t="s">
        <v>3783</v>
      </c>
      <c r="F222" s="3491" t="s">
        <v>3784</v>
      </c>
      <c r="G222" s="3831" t="s">
        <v>3785</v>
      </c>
      <c r="H222" s="3798" t="str">
        <f>"4-DaHall 1-PDU-"&amp;L222&amp;"-"&amp;K222&amp;"-"&amp;M222</f>
        <v>4-DaHall 1-PDU-04-100-5</v>
      </c>
      <c r="I222" s="3801" t="str">
        <f>"4-DaHall 1-PDU-"&amp;P222&amp;"-"&amp;O222&amp;"-"&amp;Q222</f>
        <v>4-DaHall 1-PDU-03-100-5</v>
      </c>
      <c r="J222" s="3804">
        <v>220</v>
      </c>
      <c r="K222" s="3807">
        <v>100</v>
      </c>
      <c r="L222" s="3810" t="s">
        <v>6496</v>
      </c>
      <c r="M222" s="3812">
        <v>5</v>
      </c>
      <c r="N222" s="3815">
        <v>220</v>
      </c>
      <c r="O222" s="3818">
        <v>100</v>
      </c>
      <c r="P222" s="3821" t="s">
        <v>6500</v>
      </c>
      <c r="Q222" s="3824">
        <v>5</v>
      </c>
      <c r="R222" s="3785" t="s">
        <v>3774</v>
      </c>
      <c r="S222" s="3489" t="s">
        <v>3775</v>
      </c>
      <c r="T222" s="3491" t="s">
        <v>3776</v>
      </c>
      <c r="U222" s="3489" t="s">
        <v>3777</v>
      </c>
      <c r="V222" s="3491" t="s">
        <v>3744</v>
      </c>
      <c r="W222" s="3489" t="s">
        <v>3749</v>
      </c>
      <c r="X222" s="3856">
        <f>SUM('4층_부하량(월간_AVG)'!N10:P10)</f>
        <v>0</v>
      </c>
      <c r="Y222" s="3838">
        <f>SUM('4층_부하량(월간_AVG)'!D52:F52)</f>
        <v>0</v>
      </c>
      <c r="Z222" s="3837">
        <f t="shared" ref="Z222" si="83">SUM(X222:Y222)</f>
        <v>0</v>
      </c>
      <c r="AA222" s="3834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904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188">
        <f>VLOOKUP(H222&amp;I222,'7층~4층_매핑테이블'!$A$6:$H$2020,8,0)</f>
        <v>3.5090000000000003</v>
      </c>
      <c r="AD222" s="3181" t="e">
        <f>SUM(AA222:AB233)</f>
        <v>#N/A</v>
      </c>
      <c r="AE222" s="2474"/>
      <c r="AG222">
        <v>16.200000000000003</v>
      </c>
      <c r="AH222" s="1363">
        <f t="shared" si="2"/>
        <v>-16.200000000000003</v>
      </c>
      <c r="AJ222" s="2351" t="e">
        <f t="shared" si="76"/>
        <v>#N/A</v>
      </c>
      <c r="AK222" s="2351" t="e">
        <f t="shared" si="77"/>
        <v>#N/A</v>
      </c>
      <c r="AL222" s="123" t="e">
        <f t="shared" si="74"/>
        <v>#N/A</v>
      </c>
    </row>
    <row r="223" spans="1:38" x14ac:dyDescent="0.25">
      <c r="A223" s="3829"/>
      <c r="B223" s="2622" t="s">
        <v>3786</v>
      </c>
      <c r="C223" s="1139"/>
      <c r="D223" s="3780"/>
      <c r="E223" s="250" t="s">
        <v>3787</v>
      </c>
      <c r="F223" s="3477"/>
      <c r="G223" s="3832"/>
      <c r="H223" s="3799"/>
      <c r="I223" s="3802"/>
      <c r="J223" s="3805"/>
      <c r="K223" s="3808"/>
      <c r="L223" s="3651"/>
      <c r="M223" s="3813"/>
      <c r="N223" s="3816"/>
      <c r="O223" s="3819"/>
      <c r="P223" s="3822"/>
      <c r="Q223" s="3825"/>
      <c r="R223" s="3786"/>
      <c r="S223" s="3478"/>
      <c r="T223" s="3477"/>
      <c r="U223" s="3478"/>
      <c r="V223" s="3477"/>
      <c r="W223" s="3478"/>
      <c r="X223" s="3857"/>
      <c r="Y223" s="3839"/>
      <c r="Z223" s="3637"/>
      <c r="AA223" s="3835"/>
      <c r="AB223" s="3905"/>
      <c r="AC223" s="3189">
        <f>$AC$222</f>
        <v>3.5090000000000003</v>
      </c>
      <c r="AD223" s="3182" t="e">
        <f>$AD$222</f>
        <v>#N/A</v>
      </c>
      <c r="AE223" s="2475"/>
      <c r="AG223">
        <v>0</v>
      </c>
      <c r="AH223" s="1363">
        <f t="shared" si="2"/>
        <v>0</v>
      </c>
      <c r="AJ223" s="2351" t="e">
        <f t="shared" si="76"/>
        <v>#N/A</v>
      </c>
      <c r="AK223" s="2351" t="e">
        <f t="shared" si="77"/>
        <v>#N/A</v>
      </c>
      <c r="AL223" s="123" t="e">
        <f t="shared" si="74"/>
        <v>#N/A</v>
      </c>
    </row>
    <row r="224" spans="1:38" x14ac:dyDescent="0.25">
      <c r="A224" s="3829"/>
      <c r="B224" s="2622" t="s">
        <v>3130</v>
      </c>
      <c r="C224" s="1139"/>
      <c r="D224" s="3780"/>
      <c r="E224" s="250" t="s">
        <v>3788</v>
      </c>
      <c r="F224" s="3477"/>
      <c r="G224" s="3832"/>
      <c r="H224" s="3799"/>
      <c r="I224" s="3802"/>
      <c r="J224" s="3805"/>
      <c r="K224" s="3808"/>
      <c r="L224" s="3651"/>
      <c r="M224" s="3813"/>
      <c r="N224" s="3816"/>
      <c r="O224" s="3819"/>
      <c r="P224" s="3822"/>
      <c r="Q224" s="3825"/>
      <c r="R224" s="3786"/>
      <c r="S224" s="3478"/>
      <c r="T224" s="3477"/>
      <c r="U224" s="3478"/>
      <c r="V224" s="3477"/>
      <c r="W224" s="3478"/>
      <c r="X224" s="3857"/>
      <c r="Y224" s="3839"/>
      <c r="Z224" s="3637"/>
      <c r="AA224" s="3835"/>
      <c r="AB224" s="3905"/>
      <c r="AC224" s="3189">
        <f t="shared" ref="AC224:AC233" si="84">$AC$222</f>
        <v>3.5090000000000003</v>
      </c>
      <c r="AD224" s="3182" t="e">
        <f t="shared" ref="AD224:AD233" si="85">$AD$222</f>
        <v>#N/A</v>
      </c>
      <c r="AE224" s="2475"/>
      <c r="AG224">
        <v>0</v>
      </c>
      <c r="AH224" s="1363">
        <f t="shared" si="2"/>
        <v>0</v>
      </c>
      <c r="AJ224" s="2351" t="e">
        <f t="shared" si="76"/>
        <v>#N/A</v>
      </c>
      <c r="AK224" s="2351" t="e">
        <f t="shared" si="77"/>
        <v>#N/A</v>
      </c>
      <c r="AL224" s="123" t="e">
        <f t="shared" si="74"/>
        <v>#N/A</v>
      </c>
    </row>
    <row r="225" spans="1:56" x14ac:dyDescent="0.25">
      <c r="A225" s="3829"/>
      <c r="B225" s="2622" t="s">
        <v>3136</v>
      </c>
      <c r="C225" s="1139"/>
      <c r="D225" s="3780"/>
      <c r="E225" s="250" t="s">
        <v>3789</v>
      </c>
      <c r="F225" s="3477"/>
      <c r="G225" s="3832"/>
      <c r="H225" s="3799"/>
      <c r="I225" s="3802"/>
      <c r="J225" s="3805"/>
      <c r="K225" s="3808"/>
      <c r="L225" s="3651"/>
      <c r="M225" s="3813"/>
      <c r="N225" s="3816"/>
      <c r="O225" s="3819"/>
      <c r="P225" s="3822"/>
      <c r="Q225" s="3825"/>
      <c r="R225" s="3786"/>
      <c r="S225" s="3478"/>
      <c r="T225" s="3477"/>
      <c r="U225" s="3478"/>
      <c r="V225" s="3477"/>
      <c r="W225" s="3478"/>
      <c r="X225" s="3857"/>
      <c r="Y225" s="3839"/>
      <c r="Z225" s="3637"/>
      <c r="AA225" s="3835"/>
      <c r="AB225" s="3905"/>
      <c r="AC225" s="3189">
        <f t="shared" si="84"/>
        <v>3.5090000000000003</v>
      </c>
      <c r="AD225" s="3182" t="e">
        <f t="shared" si="85"/>
        <v>#N/A</v>
      </c>
      <c r="AE225" s="2475"/>
      <c r="AG225">
        <v>0</v>
      </c>
      <c r="AH225" s="1363">
        <f t="shared" si="2"/>
        <v>0</v>
      </c>
      <c r="AJ225" s="2351" t="e">
        <f t="shared" si="76"/>
        <v>#N/A</v>
      </c>
      <c r="AK225" s="2351" t="e">
        <f t="shared" si="77"/>
        <v>#N/A</v>
      </c>
      <c r="AL225" s="123" t="e">
        <f t="shared" si="74"/>
        <v>#N/A</v>
      </c>
    </row>
    <row r="226" spans="1:56" x14ac:dyDescent="0.25">
      <c r="A226" s="3829"/>
      <c r="B226" s="2622" t="s">
        <v>3142</v>
      </c>
      <c r="C226" s="1139"/>
      <c r="D226" s="3780"/>
      <c r="E226" s="250" t="s">
        <v>3790</v>
      </c>
      <c r="F226" s="3477"/>
      <c r="G226" s="3832"/>
      <c r="H226" s="3799"/>
      <c r="I226" s="3802"/>
      <c r="J226" s="3805"/>
      <c r="K226" s="3808"/>
      <c r="L226" s="3651"/>
      <c r="M226" s="3813"/>
      <c r="N226" s="3816"/>
      <c r="O226" s="3819"/>
      <c r="P226" s="3822"/>
      <c r="Q226" s="3825"/>
      <c r="R226" s="3786"/>
      <c r="S226" s="3478"/>
      <c r="T226" s="3477"/>
      <c r="U226" s="3478"/>
      <c r="V226" s="3477"/>
      <c r="W226" s="3478"/>
      <c r="X226" s="3857"/>
      <c r="Y226" s="3839"/>
      <c r="Z226" s="3637"/>
      <c r="AA226" s="3835"/>
      <c r="AB226" s="3905"/>
      <c r="AC226" s="3189">
        <f t="shared" si="84"/>
        <v>3.5090000000000003</v>
      </c>
      <c r="AD226" s="3182" t="e">
        <f t="shared" si="85"/>
        <v>#N/A</v>
      </c>
      <c r="AE226" s="2475"/>
      <c r="AG226">
        <v>0</v>
      </c>
      <c r="AH226" s="1363">
        <f t="shared" si="2"/>
        <v>0</v>
      </c>
      <c r="AJ226" s="2351" t="e">
        <f t="shared" si="76"/>
        <v>#N/A</v>
      </c>
      <c r="AK226" s="2351" t="e">
        <f t="shared" si="77"/>
        <v>#N/A</v>
      </c>
      <c r="AL226" s="123" t="e">
        <f t="shared" si="74"/>
        <v>#N/A</v>
      </c>
    </row>
    <row r="227" spans="1:56" x14ac:dyDescent="0.25">
      <c r="A227" s="3829"/>
      <c r="B227" s="2622" t="s">
        <v>3148</v>
      </c>
      <c r="C227" s="1139"/>
      <c r="D227" s="3780"/>
      <c r="E227" s="250" t="s">
        <v>3791</v>
      </c>
      <c r="F227" s="3477"/>
      <c r="G227" s="3832"/>
      <c r="H227" s="3799"/>
      <c r="I227" s="3802"/>
      <c r="J227" s="3805"/>
      <c r="K227" s="3808"/>
      <c r="L227" s="3651"/>
      <c r="M227" s="3813"/>
      <c r="N227" s="3816"/>
      <c r="O227" s="3819"/>
      <c r="P227" s="3822"/>
      <c r="Q227" s="3825"/>
      <c r="R227" s="3786"/>
      <c r="S227" s="3478"/>
      <c r="T227" s="3477"/>
      <c r="U227" s="3478"/>
      <c r="V227" s="3477"/>
      <c r="W227" s="3478"/>
      <c r="X227" s="3857"/>
      <c r="Y227" s="3839"/>
      <c r="Z227" s="3637"/>
      <c r="AA227" s="3835"/>
      <c r="AB227" s="3905"/>
      <c r="AC227" s="3189">
        <f t="shared" si="84"/>
        <v>3.5090000000000003</v>
      </c>
      <c r="AD227" s="3182" t="e">
        <f t="shared" si="85"/>
        <v>#N/A</v>
      </c>
      <c r="AE227" s="2475"/>
      <c r="AG227">
        <v>0</v>
      </c>
      <c r="AH227" s="1363">
        <f t="shared" si="2"/>
        <v>0</v>
      </c>
      <c r="AJ227" s="2351" t="e">
        <f t="shared" si="76"/>
        <v>#N/A</v>
      </c>
      <c r="AK227" s="2351" t="e">
        <f t="shared" si="77"/>
        <v>#N/A</v>
      </c>
      <c r="AL227" s="123" t="e">
        <f t="shared" si="74"/>
        <v>#N/A</v>
      </c>
    </row>
    <row r="228" spans="1:56" x14ac:dyDescent="0.25">
      <c r="A228" s="3829"/>
      <c r="B228" s="2622" t="s">
        <v>3154</v>
      </c>
      <c r="C228" s="1139"/>
      <c r="D228" s="3780"/>
      <c r="E228" s="250" t="s">
        <v>3792</v>
      </c>
      <c r="F228" s="3477"/>
      <c r="G228" s="3832"/>
      <c r="H228" s="3799"/>
      <c r="I228" s="3802"/>
      <c r="J228" s="3805"/>
      <c r="K228" s="3808"/>
      <c r="L228" s="3651"/>
      <c r="M228" s="3813"/>
      <c r="N228" s="3816"/>
      <c r="O228" s="3819"/>
      <c r="P228" s="3822"/>
      <c r="Q228" s="3825"/>
      <c r="R228" s="3786"/>
      <c r="S228" s="3478"/>
      <c r="T228" s="3477"/>
      <c r="U228" s="3478"/>
      <c r="V228" s="3477"/>
      <c r="W228" s="3478"/>
      <c r="X228" s="3857"/>
      <c r="Y228" s="3839"/>
      <c r="Z228" s="3637"/>
      <c r="AA228" s="3835"/>
      <c r="AB228" s="3905"/>
      <c r="AC228" s="3189">
        <f t="shared" si="84"/>
        <v>3.5090000000000003</v>
      </c>
      <c r="AD228" s="3182" t="e">
        <f t="shared" si="85"/>
        <v>#N/A</v>
      </c>
      <c r="AE228" s="2475"/>
      <c r="AG228">
        <v>0</v>
      </c>
      <c r="AH228" s="1363">
        <f t="shared" si="2"/>
        <v>0</v>
      </c>
      <c r="AJ228" s="2351" t="e">
        <f t="shared" si="76"/>
        <v>#N/A</v>
      </c>
      <c r="AK228" s="2351" t="e">
        <f t="shared" si="77"/>
        <v>#N/A</v>
      </c>
      <c r="AL228" s="123" t="e">
        <f t="shared" si="74"/>
        <v>#N/A</v>
      </c>
    </row>
    <row r="229" spans="1:56" ht="21.6" x14ac:dyDescent="0.25">
      <c r="A229" s="3829"/>
      <c r="B229" s="2622" t="s">
        <v>3160</v>
      </c>
      <c r="C229" s="1139" t="s">
        <v>9174</v>
      </c>
      <c r="D229" s="3780"/>
      <c r="E229" s="2621" t="s">
        <v>3793</v>
      </c>
      <c r="F229" s="3477"/>
      <c r="G229" s="3832"/>
      <c r="H229" s="3799"/>
      <c r="I229" s="3802"/>
      <c r="J229" s="3805"/>
      <c r="K229" s="3808"/>
      <c r="L229" s="3651"/>
      <c r="M229" s="3813"/>
      <c r="N229" s="3816"/>
      <c r="O229" s="3819"/>
      <c r="P229" s="3822"/>
      <c r="Q229" s="3825"/>
      <c r="R229" s="3786"/>
      <c r="S229" s="3478"/>
      <c r="T229" s="3477"/>
      <c r="U229" s="3478"/>
      <c r="V229" s="3477"/>
      <c r="W229" s="3478"/>
      <c r="X229" s="3857"/>
      <c r="Y229" s="3839"/>
      <c r="Z229" s="3637"/>
      <c r="AA229" s="3835"/>
      <c r="AB229" s="3905"/>
      <c r="AC229" s="3189">
        <f t="shared" si="84"/>
        <v>3.5090000000000003</v>
      </c>
      <c r="AD229" s="3182" t="e">
        <f t="shared" si="85"/>
        <v>#N/A</v>
      </c>
      <c r="AE229" s="2475"/>
      <c r="AG229">
        <v>0</v>
      </c>
      <c r="AH229" s="1363">
        <f t="shared" si="2"/>
        <v>0</v>
      </c>
      <c r="AJ229" s="2351" t="e">
        <f t="shared" si="76"/>
        <v>#N/A</v>
      </c>
      <c r="AK229" s="2351" t="e">
        <f t="shared" si="77"/>
        <v>#N/A</v>
      </c>
      <c r="AL229" s="123" t="e">
        <f t="shared" si="74"/>
        <v>#N/A</v>
      </c>
    </row>
    <row r="230" spans="1:56" x14ac:dyDescent="0.25">
      <c r="A230" s="3829"/>
      <c r="B230" s="2622" t="s">
        <v>3166</v>
      </c>
      <c r="C230" s="1139"/>
      <c r="D230" s="3780"/>
      <c r="E230" s="250" t="s">
        <v>3794</v>
      </c>
      <c r="F230" s="3477"/>
      <c r="G230" s="3832"/>
      <c r="H230" s="3799"/>
      <c r="I230" s="3802"/>
      <c r="J230" s="3805"/>
      <c r="K230" s="3808"/>
      <c r="L230" s="3651"/>
      <c r="M230" s="3813"/>
      <c r="N230" s="3816"/>
      <c r="O230" s="3819"/>
      <c r="P230" s="3822"/>
      <c r="Q230" s="3825"/>
      <c r="R230" s="3786"/>
      <c r="S230" s="3478"/>
      <c r="T230" s="3477"/>
      <c r="U230" s="3478"/>
      <c r="V230" s="3477"/>
      <c r="W230" s="3478"/>
      <c r="X230" s="3857"/>
      <c r="Y230" s="3839"/>
      <c r="Z230" s="3637"/>
      <c r="AA230" s="3835"/>
      <c r="AB230" s="3905"/>
      <c r="AC230" s="3189">
        <f t="shared" si="84"/>
        <v>3.5090000000000003</v>
      </c>
      <c r="AD230" s="3182" t="e">
        <f t="shared" si="85"/>
        <v>#N/A</v>
      </c>
      <c r="AE230" s="2475"/>
      <c r="AG230">
        <v>0</v>
      </c>
      <c r="AH230" s="1363">
        <f t="shared" si="2"/>
        <v>0</v>
      </c>
      <c r="AJ230" s="2351" t="e">
        <f t="shared" si="76"/>
        <v>#N/A</v>
      </c>
      <c r="AK230" s="2351" t="e">
        <f t="shared" si="77"/>
        <v>#N/A</v>
      </c>
      <c r="AL230" s="123" t="e">
        <f t="shared" si="74"/>
        <v>#N/A</v>
      </c>
    </row>
    <row r="231" spans="1:56" x14ac:dyDescent="0.25">
      <c r="A231" s="3829"/>
      <c r="B231" s="2622" t="s">
        <v>3167</v>
      </c>
      <c r="C231" s="1139"/>
      <c r="D231" s="3780"/>
      <c r="E231" s="250" t="s">
        <v>3795</v>
      </c>
      <c r="F231" s="3477"/>
      <c r="G231" s="3832"/>
      <c r="H231" s="3799"/>
      <c r="I231" s="3802"/>
      <c r="J231" s="3805"/>
      <c r="K231" s="3808"/>
      <c r="L231" s="3651"/>
      <c r="M231" s="3813"/>
      <c r="N231" s="3816"/>
      <c r="O231" s="3819"/>
      <c r="P231" s="3822"/>
      <c r="Q231" s="3825"/>
      <c r="R231" s="3786"/>
      <c r="S231" s="3478"/>
      <c r="T231" s="3477"/>
      <c r="U231" s="3478"/>
      <c r="V231" s="3477"/>
      <c r="W231" s="3478"/>
      <c r="X231" s="3857"/>
      <c r="Y231" s="3839"/>
      <c r="Z231" s="3637"/>
      <c r="AA231" s="3835"/>
      <c r="AB231" s="3905"/>
      <c r="AC231" s="3189">
        <f t="shared" si="84"/>
        <v>3.5090000000000003</v>
      </c>
      <c r="AD231" s="3182" t="e">
        <f t="shared" si="85"/>
        <v>#N/A</v>
      </c>
      <c r="AE231" s="2475"/>
      <c r="AG231">
        <v>0</v>
      </c>
      <c r="AH231" s="1363">
        <f t="shared" si="2"/>
        <v>0</v>
      </c>
      <c r="AJ231" s="2351" t="e">
        <f t="shared" si="76"/>
        <v>#N/A</v>
      </c>
      <c r="AK231" s="2351" t="e">
        <f t="shared" si="77"/>
        <v>#N/A</v>
      </c>
      <c r="AL231" s="123" t="e">
        <f t="shared" si="74"/>
        <v>#N/A</v>
      </c>
    </row>
    <row r="232" spans="1:56" x14ac:dyDescent="0.25">
      <c r="A232" s="3829"/>
      <c r="B232" s="2622" t="s">
        <v>3796</v>
      </c>
      <c r="C232" s="1139"/>
      <c r="D232" s="3780"/>
      <c r="E232" s="250" t="s">
        <v>3797</v>
      </c>
      <c r="F232" s="3477"/>
      <c r="G232" s="3832"/>
      <c r="H232" s="3799"/>
      <c r="I232" s="3802"/>
      <c r="J232" s="3805"/>
      <c r="K232" s="3808"/>
      <c r="L232" s="3651"/>
      <c r="M232" s="3813"/>
      <c r="N232" s="3816"/>
      <c r="O232" s="3819"/>
      <c r="P232" s="3822"/>
      <c r="Q232" s="3825"/>
      <c r="R232" s="3786"/>
      <c r="S232" s="3478"/>
      <c r="T232" s="3477"/>
      <c r="U232" s="3478"/>
      <c r="V232" s="3477"/>
      <c r="W232" s="3478"/>
      <c r="X232" s="3857"/>
      <c r="Y232" s="3839"/>
      <c r="Z232" s="3637"/>
      <c r="AA232" s="3835"/>
      <c r="AB232" s="3905"/>
      <c r="AC232" s="3189">
        <f t="shared" si="84"/>
        <v>3.5090000000000003</v>
      </c>
      <c r="AD232" s="3182" t="e">
        <f t="shared" si="85"/>
        <v>#N/A</v>
      </c>
      <c r="AE232" s="2475"/>
      <c r="AG232">
        <v>0</v>
      </c>
      <c r="AH232" s="1363">
        <f t="shared" si="2"/>
        <v>0</v>
      </c>
      <c r="AJ232" s="2351" t="e">
        <f t="shared" si="76"/>
        <v>#N/A</v>
      </c>
      <c r="AK232" s="2351" t="e">
        <f t="shared" si="77"/>
        <v>#N/A</v>
      </c>
      <c r="AL232" s="123" t="e">
        <f t="shared" si="74"/>
        <v>#N/A</v>
      </c>
    </row>
    <row r="233" spans="1:56" ht="15" thickBot="1" x14ac:dyDescent="0.3">
      <c r="A233" s="3830"/>
      <c r="B233" s="1129" t="s">
        <v>3798</v>
      </c>
      <c r="C233" s="1140"/>
      <c r="D233" s="3781"/>
      <c r="E233" s="2629" t="s">
        <v>3799</v>
      </c>
      <c r="F233" s="3474"/>
      <c r="G233" s="3833"/>
      <c r="H233" s="3800"/>
      <c r="I233" s="3803"/>
      <c r="J233" s="3806"/>
      <c r="K233" s="3809"/>
      <c r="L233" s="3811"/>
      <c r="M233" s="3814"/>
      <c r="N233" s="3817"/>
      <c r="O233" s="3820"/>
      <c r="P233" s="3823"/>
      <c r="Q233" s="3826"/>
      <c r="R233" s="3787"/>
      <c r="S233" s="3476"/>
      <c r="T233" s="3474"/>
      <c r="U233" s="3476"/>
      <c r="V233" s="3474"/>
      <c r="W233" s="3476"/>
      <c r="X233" s="3858"/>
      <c r="Y233" s="3840"/>
      <c r="Z233" s="3644"/>
      <c r="AA233" s="3836"/>
      <c r="AB233" s="3906"/>
      <c r="AC233" s="3189">
        <f t="shared" si="84"/>
        <v>3.5090000000000003</v>
      </c>
      <c r="AD233" s="3184" t="e">
        <f t="shared" si="85"/>
        <v>#N/A</v>
      </c>
      <c r="AE233" s="2476"/>
      <c r="AG233">
        <v>0</v>
      </c>
      <c r="AH233" s="1363">
        <f t="shared" si="2"/>
        <v>0</v>
      </c>
      <c r="AJ233" s="2351" t="e">
        <f t="shared" si="76"/>
        <v>#N/A</v>
      </c>
      <c r="AK233" s="2351" t="e">
        <f t="shared" si="77"/>
        <v>#N/A</v>
      </c>
      <c r="AL233" s="123" t="e">
        <f t="shared" si="74"/>
        <v>#N/A</v>
      </c>
    </row>
    <row r="234" spans="1:56" ht="15" thickTop="1" x14ac:dyDescent="0.25">
      <c r="A234" s="3293"/>
      <c r="B234" s="973" t="s">
        <v>11022</v>
      </c>
      <c r="C234" s="3294" t="s">
        <v>11023</v>
      </c>
      <c r="D234" s="3295">
        <v>2</v>
      </c>
      <c r="E234" s="327"/>
      <c r="F234" s="3263"/>
      <c r="G234" s="3262"/>
      <c r="H234" s="2055" t="str">
        <f t="shared" ref="H234" si="86">"4-DaHall 1-PDU-"&amp;L234&amp;"-"&amp;K234&amp;"-"&amp;M234</f>
        <v>4-DaHall 1-PDU-12-30-7</v>
      </c>
      <c r="I234" s="3296" t="str">
        <f t="shared" ref="I234:I238" si="87">"4-DaHall 1-PDU-"&amp;P234&amp;"-"&amp;O234&amp;"-"&amp;Q234</f>
        <v>4-DaHall 1-PDU-11-30-7</v>
      </c>
      <c r="J234" s="3297">
        <v>220</v>
      </c>
      <c r="K234" s="2034">
        <v>30</v>
      </c>
      <c r="L234" s="2352">
        <v>12</v>
      </c>
      <c r="M234" s="1447">
        <v>7</v>
      </c>
      <c r="N234" s="3298">
        <v>220</v>
      </c>
      <c r="O234" s="3299">
        <v>30</v>
      </c>
      <c r="P234" s="3300">
        <v>11</v>
      </c>
      <c r="Q234" s="3301">
        <v>7</v>
      </c>
      <c r="R234" s="3302"/>
      <c r="S234" s="3303"/>
      <c r="T234" s="3302"/>
      <c r="U234" s="3303"/>
      <c r="V234" s="3302"/>
      <c r="W234" s="3303"/>
      <c r="X234" s="3304">
        <f>SUM('4층_부하량(월간_AVG)'!D112:F112)</f>
        <v>0</v>
      </c>
      <c r="Y234" s="3305">
        <f>SUM('4층_부하량(월간_AVG)'!D83:F83)</f>
        <v>0</v>
      </c>
      <c r="Z234" s="2465">
        <f t="shared" ref="Z234" si="88">SUM(X234:Y234)</f>
        <v>0</v>
      </c>
      <c r="AA234" s="3306" t="e" cm="1">
        <f t="array" ref="AA234">INDEX('각층분기별_유효전력량(전월)'!$C$2:$C$2020,MATCH(1,("4-DaHall 1-PDU-12"='각층분기별_유효전력량(전월)'!$A$2:$A$2020)*("[branch#007] [A] kWh last month"='각층분기별_유효전력량(전월)'!$B$2:$B$2020),0))</f>
        <v>#N/A</v>
      </c>
      <c r="AB234" s="3332" t="e" cm="1">
        <f t="array" ref="AB234">INDEX('각층분기별_유효전력량(전월)'!$C$2:$C$2020,MATCH(1,("4-DaHall 1-PDU-11"='각층분기별_유효전력량(전월)'!$A$2:$A$2020)*("[branch#007] [A] kWh last month"='각층분기별_유효전력량(전월)'!$B$2:$B$2020),0))</f>
        <v>#N/A</v>
      </c>
      <c r="AC234" s="4024" t="e">
        <f>VLOOKUP(H234&amp;I234,'7층~4층_매핑테이블'!$A$6:$H$2020,8,0)</f>
        <v>#N/A</v>
      </c>
      <c r="AD234" s="4028" t="e">
        <f>SUM(AA234:AB234)</f>
        <v>#N/A</v>
      </c>
      <c r="AE234" s="3307"/>
      <c r="AG234">
        <v>68.099999999999994</v>
      </c>
      <c r="AH234" s="1363">
        <f t="shared" ref="AH234:AH265" si="89">Z234-AG234</f>
        <v>-68.099999999999994</v>
      </c>
      <c r="AJ234" s="2351" t="e">
        <f t="shared" ref="AJ234:AJ297" si="90">AD234/(24*31)</f>
        <v>#N/A</v>
      </c>
      <c r="AK234" s="2351" t="e">
        <f t="shared" ref="AK234:AK265" si="91">D234-AJ234</f>
        <v>#N/A</v>
      </c>
      <c r="AL234" s="3266" t="e">
        <f t="shared" ref="AL234:AL297" si="92">IF(SIGN(AK234)&gt;=0,IF(AD234=0,"무부하 랙","적정함"),"사용초과")</f>
        <v>#N/A</v>
      </c>
      <c r="AR234" s="3266"/>
      <c r="AS234" s="3266"/>
      <c r="AU234" s="2982"/>
      <c r="AV234" s="3266"/>
      <c r="AW234" s="3266"/>
      <c r="AX234" s="2983"/>
      <c r="AY234" s="2984"/>
      <c r="AZ234" s="2985"/>
      <c r="BA234" s="3018"/>
      <c r="BB234" s="3019"/>
      <c r="BC234" s="2988"/>
      <c r="BD234" s="3266"/>
    </row>
    <row r="235" spans="1:56" x14ac:dyDescent="0.25">
      <c r="A235" s="3308"/>
      <c r="B235" s="3930" t="s">
        <v>468</v>
      </c>
      <c r="C235" s="3931" t="s">
        <v>11023</v>
      </c>
      <c r="D235" s="3933">
        <v>2</v>
      </c>
      <c r="E235" s="3264"/>
      <c r="F235" s="3260"/>
      <c r="G235" s="3309"/>
      <c r="H235" s="2057" t="str">
        <f>"4-DaHall 1-PDU-"&amp;L235&amp;"-"&amp;K235&amp;"-"&amp;M235</f>
        <v>4-DaHall 1-PDU-12-30-8</v>
      </c>
      <c r="I235" s="2043" t="str">
        <f t="shared" si="87"/>
        <v>4-DaHall 1-PDU-11-30-8</v>
      </c>
      <c r="J235" s="2053">
        <v>220</v>
      </c>
      <c r="K235" s="1788">
        <v>30</v>
      </c>
      <c r="L235" s="2353">
        <v>12</v>
      </c>
      <c r="M235" s="1449">
        <v>8</v>
      </c>
      <c r="N235" s="2047">
        <v>220</v>
      </c>
      <c r="O235" s="1789">
        <v>30</v>
      </c>
      <c r="P235" s="2354">
        <v>11</v>
      </c>
      <c r="Q235" s="1448">
        <v>8</v>
      </c>
      <c r="R235" s="3310"/>
      <c r="S235" s="3311"/>
      <c r="T235" s="3310"/>
      <c r="U235" s="3311"/>
      <c r="V235" s="3310"/>
      <c r="W235" s="3311"/>
      <c r="X235" s="824">
        <f>SUM('4층_부하량(월간_AVG)'!N112:P112)</f>
        <v>0</v>
      </c>
      <c r="Y235" s="1400">
        <f>SUM('4층_부하량(월간_AVG)'!N83:P83)</f>
        <v>0</v>
      </c>
      <c r="Z235" s="3934">
        <f>SUM(X235:Y236)</f>
        <v>0</v>
      </c>
      <c r="AA235" s="2685" t="e" cm="1">
        <f t="array" ref="AA235">INDEX('각층분기별_유효전력량(전월)'!$C$2:$C$2020,MATCH(1,("4-DaHall 1-PDU-12"='각층분기별_유효전력량(전월)'!$A$2:$A$2020)*("[branch#008] [A] kWh last month"='각층분기별_유효전력량(전월)'!$B$2:$B$2020),0))</f>
        <v>#N/A</v>
      </c>
      <c r="AB235" s="2702" t="e" cm="1">
        <f t="array" ref="AB235">INDEX('각층분기별_유효전력량(전월)'!$C$2:$C$2020,MATCH(1,("4-DaHall 1-PDU-11"='각층분기별_유효전력량(전월)'!$A$2:$A$2020)*("[branch#008] [A] kWh last month"='각층분기별_유효전력량(전월)'!$B$2:$B$2020),0))</f>
        <v>#N/A</v>
      </c>
      <c r="AC235" s="4024" t="e">
        <f>VLOOKUP(H235&amp;I235,'7층~4층_매핑테이블'!$A$6:$H$2020,8,0)</f>
        <v>#N/A</v>
      </c>
      <c r="AD235" s="4029" t="e">
        <f>SUM(AA235:AB236)</f>
        <v>#N/A</v>
      </c>
      <c r="AE235" s="3312"/>
      <c r="AG235">
        <v>74.099999999999994</v>
      </c>
      <c r="AH235" s="1363">
        <f t="shared" si="89"/>
        <v>-74.099999999999994</v>
      </c>
      <c r="AJ235" s="2351" t="e">
        <f t="shared" si="90"/>
        <v>#N/A</v>
      </c>
      <c r="AK235" s="2351" t="e">
        <f t="shared" si="91"/>
        <v>#N/A</v>
      </c>
      <c r="AL235" s="3266" t="e">
        <f t="shared" si="92"/>
        <v>#N/A</v>
      </c>
      <c r="AR235" s="3266"/>
      <c r="AS235" s="3266"/>
      <c r="AU235" s="2982"/>
      <c r="AV235" s="3266"/>
      <c r="AW235" s="3266"/>
      <c r="AX235" s="2983"/>
      <c r="AY235" s="2984"/>
      <c r="AZ235" s="2985"/>
      <c r="BA235" s="3018"/>
      <c r="BB235" s="3019"/>
      <c r="BC235" s="2988"/>
      <c r="BD235" s="3266"/>
    </row>
    <row r="236" spans="1:56" x14ac:dyDescent="0.25">
      <c r="A236" s="3308"/>
      <c r="B236" s="3930"/>
      <c r="C236" s="3932"/>
      <c r="D236" s="3933"/>
      <c r="E236" s="3264"/>
      <c r="F236" s="3260"/>
      <c r="G236" s="3309"/>
      <c r="H236" s="2057" t="str">
        <f>"4-DaHall 1-PDU-"&amp;L236&amp;"-"&amp;K236&amp;"-"&amp;M236</f>
        <v>4-DaHall 1-PDU-12-30-37</v>
      </c>
      <c r="I236" s="2043" t="str">
        <f t="shared" si="87"/>
        <v>4-DaHall 1-PDU-11-30-37</v>
      </c>
      <c r="J236" s="2053">
        <v>220</v>
      </c>
      <c r="K236" s="1788">
        <v>30</v>
      </c>
      <c r="L236" s="2353">
        <v>12</v>
      </c>
      <c r="M236" s="1449">
        <v>37</v>
      </c>
      <c r="N236" s="2047">
        <v>220</v>
      </c>
      <c r="O236" s="1789">
        <v>30</v>
      </c>
      <c r="P236" s="2354">
        <v>11</v>
      </c>
      <c r="Q236" s="1448">
        <v>37</v>
      </c>
      <c r="R236" s="3310"/>
      <c r="S236" s="3311"/>
      <c r="T236" s="3310"/>
      <c r="U236" s="3311"/>
      <c r="V236" s="3310"/>
      <c r="W236" s="3311"/>
      <c r="X236" s="824">
        <f>SUM('4층_부하량(월간_AVG)'!D127:F127)</f>
        <v>0</v>
      </c>
      <c r="Y236" s="1400">
        <f>SUM('4층_부하량(월간_AVG)'!D98:F98)</f>
        <v>0</v>
      </c>
      <c r="Z236" s="3935"/>
      <c r="AA236" s="2685" t="e" cm="1">
        <f t="array" ref="AA236">INDEX('각층분기별_유효전력량(전월)'!$C$2:$C$2020,MATCH(1,("4-DaHall 1-PDU-12"='각층분기별_유효전력량(전월)'!$A$2:$A$2020)*("[branch#037] [A] kWh last month"='각층분기별_유효전력량(전월)'!$B$2:$B$2020),0))</f>
        <v>#N/A</v>
      </c>
      <c r="AB236" s="2702" t="e" cm="1">
        <f t="array" ref="AB236">INDEX('각층분기별_유효전력량(전월)'!$C$2:$C$2020,MATCH(1,("4-DaHall 1-PDU-11"='각층분기별_유효전력량(전월)'!$A$2:$A$2020)*("[branch#037] [A] kWh last month"='각층분기별_유효전력량(전월)'!$B$2:$B$2020),0))</f>
        <v>#N/A</v>
      </c>
      <c r="AC236" s="4024" t="e">
        <f>VLOOKUP(H236&amp;I236,'7층~4층_매핑테이블'!$A$6:$H$2020,8,0)</f>
        <v>#N/A</v>
      </c>
      <c r="AD236" s="4030"/>
      <c r="AE236" s="3312"/>
      <c r="AG236">
        <v>74.099999999999994</v>
      </c>
      <c r="AH236" s="1363">
        <f t="shared" si="89"/>
        <v>-74.099999999999994</v>
      </c>
      <c r="AJ236" s="2351">
        <f t="shared" si="90"/>
        <v>0</v>
      </c>
      <c r="AK236" s="2351">
        <f t="shared" si="91"/>
        <v>0</v>
      </c>
      <c r="AL236" s="3266" t="str">
        <f t="shared" si="92"/>
        <v>무부하 랙</v>
      </c>
      <c r="AR236" s="3266"/>
      <c r="AS236" s="3266"/>
      <c r="AU236" s="2982"/>
      <c r="AV236" s="3266"/>
      <c r="AW236" s="3266"/>
      <c r="AX236" s="2983"/>
      <c r="AY236" s="2984"/>
      <c r="AZ236" s="2985"/>
      <c r="BA236" s="3018"/>
      <c r="BB236" s="3019"/>
      <c r="BC236" s="2988"/>
      <c r="BD236" s="3266"/>
    </row>
    <row r="237" spans="1:56" x14ac:dyDescent="0.25">
      <c r="A237" s="3308"/>
      <c r="B237" s="3330" t="s">
        <v>11024</v>
      </c>
      <c r="C237" s="3313" t="s">
        <v>11025</v>
      </c>
      <c r="D237" s="4026" t="s">
        <v>11026</v>
      </c>
      <c r="E237" s="3264"/>
      <c r="F237" s="3260"/>
      <c r="G237" s="3309"/>
      <c r="H237" s="2057" t="str">
        <f t="shared" ref="H237:H238" si="93">"4-DaHall 1-PDU-"&amp;L237&amp;"-"&amp;K237&amp;"-"&amp;M237</f>
        <v>4-DaHall 1-PDU-12-30-9</v>
      </c>
      <c r="I237" s="2043" t="str">
        <f t="shared" si="87"/>
        <v>4-DaHall 1-PDU-11-30-9</v>
      </c>
      <c r="J237" s="2053">
        <v>220</v>
      </c>
      <c r="K237" s="1788">
        <v>30</v>
      </c>
      <c r="L237" s="2353">
        <v>12</v>
      </c>
      <c r="M237" s="1449">
        <v>9</v>
      </c>
      <c r="N237" s="2047">
        <v>220</v>
      </c>
      <c r="O237" s="1789">
        <v>30</v>
      </c>
      <c r="P237" s="2354">
        <v>11</v>
      </c>
      <c r="Q237" s="1448">
        <v>9</v>
      </c>
      <c r="R237" s="3310"/>
      <c r="S237" s="3311"/>
      <c r="T237" s="3310"/>
      <c r="U237" s="3311"/>
      <c r="V237" s="3310"/>
      <c r="W237" s="3311"/>
      <c r="X237" s="824">
        <f>SUM('4층_부하량(월간_AVG)'!D113:F113)</f>
        <v>0</v>
      </c>
      <c r="Y237" s="1400">
        <f>SUM('4층_부하량(월간_AVG)'!D84:F84)</f>
        <v>0</v>
      </c>
      <c r="Z237" s="2443">
        <f t="shared" ref="Z237" si="94">SUM(X237:Y237)</f>
        <v>0</v>
      </c>
      <c r="AA237" s="2685" t="e" cm="1">
        <f t="array" ref="AA237">INDEX('각층분기별_유효전력량(전월)'!$C$2:$C$2020,MATCH(1,("4-DaHall 1-PDU-12"='각층분기별_유효전력량(전월)'!$A$2:$A$2020)*("[branch#009] [A] kWh last month"='각층분기별_유효전력량(전월)'!$B$2:$B$2020),0))</f>
        <v>#N/A</v>
      </c>
      <c r="AB237" s="2702" t="e" cm="1">
        <f t="array" ref="AB237">INDEX('각층분기별_유효전력량(전월)'!$C$2:$C$2020,MATCH(1,("4-DaHall 1-PDU-11"='각층분기별_유효전력량(전월)'!$A$2:$A$2020)*("[branch#009] [A] kWh last month"='각층분기별_유효전력량(전월)'!$B$2:$B$2020),0))</f>
        <v>#N/A</v>
      </c>
      <c r="AC237" s="4024" t="e">
        <f>VLOOKUP(H237&amp;I237,'7층~4층_매핑테이블'!$A$6:$H$2020,8,0)</f>
        <v>#N/A</v>
      </c>
      <c r="AD237" s="3179" t="e">
        <f>SUM(AA237:AB237)</f>
        <v>#N/A</v>
      </c>
      <c r="AE237" s="3312"/>
      <c r="AG237">
        <v>74.099999999999994</v>
      </c>
      <c r="AH237" s="1363">
        <f t="shared" si="89"/>
        <v>-74.099999999999994</v>
      </c>
      <c r="AJ237" s="2351" t="e">
        <f t="shared" si="90"/>
        <v>#N/A</v>
      </c>
      <c r="AK237" s="2351" t="e">
        <f t="shared" si="91"/>
        <v>#VALUE!</v>
      </c>
      <c r="AL237" s="3266" t="e">
        <f t="shared" si="92"/>
        <v>#VALUE!</v>
      </c>
      <c r="AR237" s="3266"/>
      <c r="AS237" s="3266"/>
      <c r="AU237" s="2982"/>
      <c r="AV237" s="3266"/>
      <c r="AW237" s="3266"/>
      <c r="AX237" s="2983"/>
      <c r="AY237" s="2984"/>
      <c r="AZ237" s="2985"/>
      <c r="BA237" s="3018"/>
      <c r="BB237" s="3019"/>
      <c r="BC237" s="2988"/>
      <c r="BD237" s="3266"/>
    </row>
    <row r="238" spans="1:56" x14ac:dyDescent="0.25">
      <c r="A238" s="3308"/>
      <c r="B238" s="3930" t="s">
        <v>11027</v>
      </c>
      <c r="C238" s="3931" t="s">
        <v>11023</v>
      </c>
      <c r="D238" s="4027">
        <v>4</v>
      </c>
      <c r="E238" s="3479"/>
      <c r="F238" s="3479"/>
      <c r="G238" s="3936"/>
      <c r="H238" s="2057" t="str">
        <f t="shared" si="93"/>
        <v>4-DaHall 1-PDU-12-30-10</v>
      </c>
      <c r="I238" s="2043" t="str">
        <f t="shared" si="87"/>
        <v>4-DaHall 1-PDU-11-30-10</v>
      </c>
      <c r="J238" s="2053">
        <v>220</v>
      </c>
      <c r="K238" s="1788">
        <v>30</v>
      </c>
      <c r="L238" s="2353">
        <v>12</v>
      </c>
      <c r="M238" s="1449">
        <v>10</v>
      </c>
      <c r="N238" s="2047">
        <v>220</v>
      </c>
      <c r="O238" s="1789">
        <v>30</v>
      </c>
      <c r="P238" s="2354">
        <v>11</v>
      </c>
      <c r="Q238" s="1448">
        <v>10</v>
      </c>
      <c r="X238" s="824">
        <f>SUM('4층_부하량(월간_AVG)'!N113:P113)</f>
        <v>0</v>
      </c>
      <c r="Y238" s="1400">
        <f>SUM('4층_부하량(월간_AVG)'!N84:P84)</f>
        <v>0</v>
      </c>
      <c r="Z238" s="3934">
        <f>SUM(X238:Y239)</f>
        <v>0</v>
      </c>
      <c r="AA238" s="2685" t="e" cm="1">
        <f t="array" ref="AA238">INDEX('각층분기별_유효전력량(전월)'!$C$2:$C$2020,MATCH(1,("4-DaHall 1-PDU-12"='각층분기별_유효전력량(전월)'!$A$2:$A$2020)*("[branch#010] [A] kWh last month"='각층분기별_유효전력량(전월)'!$B$2:$B$2020),0))</f>
        <v>#N/A</v>
      </c>
      <c r="AB238" s="2702" t="e" cm="1">
        <f t="array" ref="AB238">INDEX('각층분기별_유효전력량(전월)'!$C$2:$C$2020,MATCH(1,("4-DaHall 1-PDU-11"='각층분기별_유효전력량(전월)'!$A$2:$A$2020)*("[branch#010] [A] kWh last month"='각층분기별_유효전력량(전월)'!$B$2:$B$2020),0))</f>
        <v>#N/A</v>
      </c>
      <c r="AC238" s="4024" t="e">
        <f>VLOOKUP(H238&amp;I238,'7층~4층_매핑테이블'!$A$6:$H$2020,8,0)</f>
        <v>#N/A</v>
      </c>
      <c r="AD238" s="4029" t="e">
        <f>SUM(AA238:AB239)</f>
        <v>#N/A</v>
      </c>
      <c r="AE238" s="3312"/>
      <c r="AG238">
        <v>74.099999999999994</v>
      </c>
      <c r="AH238" s="1363">
        <f t="shared" si="89"/>
        <v>-74.099999999999994</v>
      </c>
      <c r="AJ238" s="2351" t="e">
        <f t="shared" si="90"/>
        <v>#N/A</v>
      </c>
      <c r="AK238" s="2351" t="e">
        <f t="shared" si="91"/>
        <v>#N/A</v>
      </c>
      <c r="AL238" s="3266" t="e">
        <f t="shared" si="92"/>
        <v>#N/A</v>
      </c>
      <c r="BD238"/>
    </row>
    <row r="239" spans="1:56" x14ac:dyDescent="0.25">
      <c r="A239" s="3308"/>
      <c r="B239" s="3930"/>
      <c r="C239" s="3932"/>
      <c r="D239" s="4027"/>
      <c r="E239" s="3479"/>
      <c r="F239" s="3479"/>
      <c r="G239" s="3936"/>
      <c r="H239" s="2057" t="str">
        <f>"4-DaHall 1-RPP-0"&amp;L239&amp;"-"&amp;K239&amp;"-"&amp;M239</f>
        <v>4-DaHall 1-RPP-02-30-1</v>
      </c>
      <c r="I239" s="2043" t="str">
        <f>"4-DaHall 1-RPP-0"&amp;P239&amp;"-"&amp;O239&amp;"-"&amp;Q239</f>
        <v>4-DaHall 1-RPP-01-30-1</v>
      </c>
      <c r="J239" s="2053">
        <v>208</v>
      </c>
      <c r="K239" s="1788">
        <v>30</v>
      </c>
      <c r="L239" s="2353">
        <v>2</v>
      </c>
      <c r="M239" s="1449">
        <v>1</v>
      </c>
      <c r="N239" s="2047">
        <v>208</v>
      </c>
      <c r="O239" s="1789">
        <v>30</v>
      </c>
      <c r="P239" s="2354">
        <v>1</v>
      </c>
      <c r="Q239" s="1448">
        <v>1</v>
      </c>
      <c r="X239" s="824">
        <f>SUM('4층_부하량(월간_AVG)'!N200:P200)</f>
        <v>0</v>
      </c>
      <c r="Y239" s="1400">
        <f>SUM('4층_부하량(월간_AVG)'!D200:F200)</f>
        <v>0</v>
      </c>
      <c r="Z239" s="3935"/>
      <c r="AA239" s="2685" t="e" cm="1">
        <f t="array" ref="AA239">INDEX('각층분기별_유효전력량(전월)'!$C$2:$C$2020,MATCH(1,("4-DaHall 1-RPP-02"='각층분기별_유효전력량(전월)'!$A$2:$A$2020)*("[branch#001] [A] kWh last month"='각층분기별_유효전력량(전월)'!$B$2:$B$2020),0))</f>
        <v>#N/A</v>
      </c>
      <c r="AB239" s="2702" t="e" cm="1">
        <f t="array" ref="AB239">INDEX('각층분기별_유효전력량(전월)'!$C$2:$C$2020,MATCH(1,("4-DaHall 1-RPP-01"='각층분기별_유효전력량(전월)'!$A$2:$A$2020)*("[branch#001] [A] kWh last month"='각층분기별_유효전력량(전월)'!$B$2:$B$2020),0))</f>
        <v>#N/A</v>
      </c>
      <c r="AC239" s="4024" t="e">
        <f>VLOOKUP(H239&amp;I239,'7층~4층_매핑테이블'!$A$6:$H$2020,8,0)</f>
        <v>#N/A</v>
      </c>
      <c r="AD239" s="4030"/>
      <c r="AE239" s="3312"/>
      <c r="AG239">
        <v>74.099999999999994</v>
      </c>
      <c r="AH239" s="1363">
        <f t="shared" si="89"/>
        <v>-74.099999999999994</v>
      </c>
      <c r="AJ239" s="2351">
        <f t="shared" si="90"/>
        <v>0</v>
      </c>
      <c r="AK239" s="2351">
        <f t="shared" si="91"/>
        <v>0</v>
      </c>
      <c r="AL239" s="3266" t="str">
        <f t="shared" si="92"/>
        <v>무부하 랙</v>
      </c>
      <c r="BD239"/>
    </row>
    <row r="240" spans="1:56" x14ac:dyDescent="0.25">
      <c r="A240" s="3308"/>
      <c r="B240" s="3330" t="s">
        <v>11028</v>
      </c>
      <c r="C240" s="3313" t="s">
        <v>11025</v>
      </c>
      <c r="D240" s="4026" t="s">
        <v>11026</v>
      </c>
      <c r="E240" s="217"/>
      <c r="F240" s="3314"/>
      <c r="G240" s="3315"/>
      <c r="H240" s="2057" t="str">
        <f t="shared" ref="H240:H241" si="95">"4-DaHall 1-PDU-"&amp;L240&amp;"-"&amp;K240&amp;"-"&amp;M240</f>
        <v>4-DaHall 1-PDU-12-30-11</v>
      </c>
      <c r="I240" s="2043" t="str">
        <f t="shared" ref="I240:I241" si="96">"4-DaHall 1-PDU-"&amp;P240&amp;"-"&amp;O240&amp;"-"&amp;Q240</f>
        <v>4-DaHall 1-PDU-11-30-11</v>
      </c>
      <c r="J240" s="2053">
        <v>220</v>
      </c>
      <c r="K240" s="1788">
        <v>30</v>
      </c>
      <c r="L240" s="2353">
        <v>12</v>
      </c>
      <c r="M240" s="1449">
        <v>11</v>
      </c>
      <c r="N240" s="2047">
        <v>220</v>
      </c>
      <c r="O240" s="1789">
        <v>30</v>
      </c>
      <c r="P240" s="2354">
        <v>11</v>
      </c>
      <c r="Q240" s="1448">
        <v>11</v>
      </c>
      <c r="X240" s="824">
        <f>SUM('4층_부하량(월간_AVG)'!D114:F114)</f>
        <v>0</v>
      </c>
      <c r="Y240" s="1400">
        <f>SUM('4층_부하량(월간_AVG)'!D85:F85)</f>
        <v>0</v>
      </c>
      <c r="Z240" s="2443">
        <f t="shared" ref="Z240" si="97">SUM(X240:Y240)</f>
        <v>0</v>
      </c>
      <c r="AA240" s="2685" t="e" cm="1">
        <f t="array" ref="AA240">INDEX('각층분기별_유효전력량(전월)'!$C$2:$C$2020,MATCH(1,("4-DaHall 1-PDU-12"='각층분기별_유효전력량(전월)'!$A$2:$A$2020)*("[branch#011] [A] kWh last month"='각층분기별_유효전력량(전월)'!$B$2:$B$2020),0))</f>
        <v>#N/A</v>
      </c>
      <c r="AB240" s="2702" t="e" cm="1">
        <f t="array" ref="AB240">INDEX('각층분기별_유효전력량(전월)'!$C$2:$C$2020,MATCH(1,("4-DaHall 1-PDU-11"='각층분기별_유효전력량(전월)'!$A$2:$A$2020)*("[branch#011] [A] kWh last month"='각층분기별_유효전력량(전월)'!$B$2:$B$2020),0))</f>
        <v>#N/A</v>
      </c>
      <c r="AC240" s="4024" t="e">
        <f>VLOOKUP(H240&amp;I240,'7층~4층_매핑테이블'!$A$6:$H$2020,8,0)</f>
        <v>#N/A</v>
      </c>
      <c r="AD240" s="3179" t="e">
        <f>SUM(AA240:AB240)</f>
        <v>#N/A</v>
      </c>
      <c r="AE240" s="3312"/>
      <c r="AG240">
        <v>74.099999999999994</v>
      </c>
      <c r="AH240" s="1363">
        <f t="shared" si="89"/>
        <v>-74.099999999999994</v>
      </c>
      <c r="AJ240" s="2351" t="e">
        <f t="shared" si="90"/>
        <v>#N/A</v>
      </c>
      <c r="AK240" s="2351" t="e">
        <f t="shared" si="91"/>
        <v>#VALUE!</v>
      </c>
      <c r="AL240" s="3266" t="e">
        <f t="shared" si="92"/>
        <v>#VALUE!</v>
      </c>
      <c r="BD240"/>
    </row>
    <row r="241" spans="1:56" x14ac:dyDescent="0.25">
      <c r="A241" s="3308"/>
      <c r="B241" s="3930" t="s">
        <v>11029</v>
      </c>
      <c r="C241" s="3931" t="s">
        <v>11023</v>
      </c>
      <c r="D241" s="4027">
        <v>4</v>
      </c>
      <c r="E241" s="3479"/>
      <c r="F241" s="3479"/>
      <c r="G241" s="3936"/>
      <c r="H241" s="2057" t="str">
        <f t="shared" si="95"/>
        <v>4-DaHall 1-PDU-12-30-12</v>
      </c>
      <c r="I241" s="2043" t="str">
        <f t="shared" si="96"/>
        <v>4-DaHall 1-PDU-11-30-12</v>
      </c>
      <c r="J241" s="2053">
        <v>220</v>
      </c>
      <c r="K241" s="1788">
        <v>30</v>
      </c>
      <c r="L241" s="2353">
        <v>12</v>
      </c>
      <c r="M241" s="1449">
        <v>12</v>
      </c>
      <c r="N241" s="2047">
        <v>220</v>
      </c>
      <c r="O241" s="1789">
        <v>30</v>
      </c>
      <c r="P241" s="2354">
        <v>11</v>
      </c>
      <c r="Q241" s="1448">
        <v>12</v>
      </c>
      <c r="X241" s="824">
        <f>SUM('4층_부하량(월간_AVG)'!N114:P114)</f>
        <v>0</v>
      </c>
      <c r="Y241" s="1400">
        <f>SUM('4층_부하량(월간_AVG)'!N85:P85)</f>
        <v>0</v>
      </c>
      <c r="Z241" s="3934">
        <f>SUM(X241:Y242)</f>
        <v>0</v>
      </c>
      <c r="AA241" s="2685" t="e" cm="1">
        <f t="array" ref="AA241">INDEX('각층분기별_유효전력량(전월)'!$C$2:$C$2020,MATCH(1,("4-DaHall 1-PDU-12"='각층분기별_유효전력량(전월)'!$A$2:$A$2020)*("[branch#012] [A] kWh last month"='각층분기별_유효전력량(전월)'!$B$2:$B$2020),0))</f>
        <v>#N/A</v>
      </c>
      <c r="AB241" s="2702" t="e" cm="1">
        <f t="array" ref="AB241">INDEX('각층분기별_유효전력량(전월)'!$C$2:$C$2020,MATCH(1,("4-DaHall 1-PDU-11"='각층분기별_유효전력량(전월)'!$A$2:$A$2020)*("[branch#012] [A] kWh last month"='각층분기별_유효전력량(전월)'!$B$2:$B$2020),0))</f>
        <v>#N/A</v>
      </c>
      <c r="AC241" s="4024" t="e">
        <f>VLOOKUP(H241&amp;I241,'7층~4층_매핑테이블'!$A$6:$H$2020,8,0)</f>
        <v>#N/A</v>
      </c>
      <c r="AD241" s="4029" t="e">
        <f>SUM(AA241:AB242)</f>
        <v>#N/A</v>
      </c>
      <c r="AE241" s="3312"/>
      <c r="AG241">
        <v>74.099999999999994</v>
      </c>
      <c r="AH241" s="1363">
        <f t="shared" si="89"/>
        <v>-74.099999999999994</v>
      </c>
      <c r="AJ241" s="2351" t="e">
        <f t="shared" si="90"/>
        <v>#N/A</v>
      </c>
      <c r="AK241" s="2351" t="e">
        <f t="shared" si="91"/>
        <v>#N/A</v>
      </c>
      <c r="AL241" s="3266" t="e">
        <f t="shared" si="92"/>
        <v>#N/A</v>
      </c>
      <c r="BD241"/>
    </row>
    <row r="242" spans="1:56" x14ac:dyDescent="0.25">
      <c r="A242" s="3308"/>
      <c r="B242" s="3930"/>
      <c r="C242" s="3932"/>
      <c r="D242" s="4027"/>
      <c r="E242" s="3479"/>
      <c r="F242" s="3479"/>
      <c r="G242" s="3936"/>
      <c r="H242" s="2057" t="str">
        <f>"4-DaHall 1-RPP-0"&amp;L242&amp;"-"&amp;K242&amp;"-"&amp;M242</f>
        <v>4-DaHall 1-RPP-02-30-2</v>
      </c>
      <c r="I242" s="2043" t="str">
        <f>"4-DaHall 1-RPP-0"&amp;P242&amp;"-"&amp;O242&amp;"-"&amp;Q242</f>
        <v>4-DaHall 1-RPP-01-30-2</v>
      </c>
      <c r="J242" s="2053">
        <v>208</v>
      </c>
      <c r="K242" s="1788">
        <v>30</v>
      </c>
      <c r="L242" s="2353">
        <v>2</v>
      </c>
      <c r="M242" s="1449">
        <v>2</v>
      </c>
      <c r="N242" s="2047">
        <v>208</v>
      </c>
      <c r="O242" s="1789">
        <v>30</v>
      </c>
      <c r="P242" s="2354">
        <v>1</v>
      </c>
      <c r="Q242" s="1448">
        <v>2</v>
      </c>
      <c r="X242" s="824">
        <f>SUM('4층_부하량(월간_AVG)'!N201:P201)</f>
        <v>0</v>
      </c>
      <c r="Y242" s="1400">
        <f>SUM('4층_부하량(월간_AVG)'!D201:F201)</f>
        <v>0</v>
      </c>
      <c r="Z242" s="3935"/>
      <c r="AA242" s="2685" t="e" cm="1">
        <f t="array" ref="AA242">INDEX('각층분기별_유효전력량(전월)'!$C$2:$C$2020,MATCH(1,("4-DaHall 1-RPP-02"='각층분기별_유효전력량(전월)'!$A$2:$A$2020)*("[branch#002] [A] kWh last month"='각층분기별_유효전력량(전월)'!$B$2:$B$2020),0))</f>
        <v>#N/A</v>
      </c>
      <c r="AB242" s="2702" t="e" cm="1">
        <f t="array" ref="AB242">INDEX('각층분기별_유효전력량(전월)'!$C$2:$C$2020,MATCH(1,("4-DaHall 1-RPP-01"='각층분기별_유효전력량(전월)'!$A$2:$A$2020)*("[branch#002] [A] kWh last month"='각층분기별_유효전력량(전월)'!$B$2:$B$2020),0))</f>
        <v>#N/A</v>
      </c>
      <c r="AC242" s="4024" t="e">
        <f>VLOOKUP(H242&amp;I242,'7층~4층_매핑테이블'!$A$6:$H$2020,8,0)</f>
        <v>#N/A</v>
      </c>
      <c r="AD242" s="4030"/>
      <c r="AE242" s="3312"/>
      <c r="AG242">
        <v>74.099999999999994</v>
      </c>
      <c r="AH242" s="1363">
        <f t="shared" si="89"/>
        <v>-74.099999999999994</v>
      </c>
      <c r="AJ242" s="2351">
        <f t="shared" si="90"/>
        <v>0</v>
      </c>
      <c r="AK242" s="2351">
        <f t="shared" si="91"/>
        <v>0</v>
      </c>
      <c r="AL242" s="3266" t="str">
        <f t="shared" si="92"/>
        <v>무부하 랙</v>
      </c>
      <c r="BD242"/>
    </row>
    <row r="243" spans="1:56" x14ac:dyDescent="0.25">
      <c r="A243" s="3308"/>
      <c r="B243" s="3330" t="s">
        <v>11030</v>
      </c>
      <c r="C243" s="3313" t="s">
        <v>11025</v>
      </c>
      <c r="D243" s="4026" t="s">
        <v>11026</v>
      </c>
      <c r="E243" s="217"/>
      <c r="F243" s="3314"/>
      <c r="G243" s="3315"/>
      <c r="H243" s="2057" t="str">
        <f t="shared" ref="H243:H244" si="98">"4-DaHall 1-PDU-"&amp;L243&amp;"-"&amp;K243&amp;"-"&amp;M243</f>
        <v>4-DaHall 1-PDU-12-30-13</v>
      </c>
      <c r="I243" s="2043" t="str">
        <f t="shared" ref="I243:I244" si="99">"4-DaHall 1-PDU-"&amp;P243&amp;"-"&amp;O243&amp;"-"&amp;Q243</f>
        <v>4-DaHall 1-PDU-11-30-13</v>
      </c>
      <c r="J243" s="2053">
        <v>220</v>
      </c>
      <c r="K243" s="1788">
        <v>30</v>
      </c>
      <c r="L243" s="2353">
        <v>12</v>
      </c>
      <c r="M243" s="1449">
        <v>13</v>
      </c>
      <c r="N243" s="2047">
        <v>220</v>
      </c>
      <c r="O243" s="1789">
        <v>30</v>
      </c>
      <c r="P243" s="2354">
        <v>11</v>
      </c>
      <c r="Q243" s="1448">
        <v>13</v>
      </c>
      <c r="X243" s="824">
        <f>SUM('4층_부하량(월간_AVG)'!D115:F115)</f>
        <v>0</v>
      </c>
      <c r="Y243" s="1400">
        <f>SUM('4층_부하량(월간_AVG)'!D86:F86)</f>
        <v>0</v>
      </c>
      <c r="Z243" s="2443">
        <f t="shared" ref="Z243" si="100">SUM(X243:Y243)</f>
        <v>0</v>
      </c>
      <c r="AA243" s="2685" t="e" cm="1">
        <f t="array" ref="AA243">INDEX('각층분기별_유효전력량(전월)'!$C$2:$C$2020,MATCH(1,("4-DaHall 1-PDU-12"='각층분기별_유효전력량(전월)'!$A$2:$A$2020)*("[branch#013] [A] kWh last month"='각층분기별_유효전력량(전월)'!$B$2:$B$2020),0))</f>
        <v>#N/A</v>
      </c>
      <c r="AB243" s="2702" t="e" cm="1">
        <f t="array" ref="AB243">INDEX('각층분기별_유효전력량(전월)'!$C$2:$C$2020,MATCH(1,("4-DaHall 1-PDU-11"='각층분기별_유효전력량(전월)'!$A$2:$A$2020)*("[branch#013] [A] kWh last month"='각층분기별_유효전력량(전월)'!$B$2:$B$2020),0))</f>
        <v>#N/A</v>
      </c>
      <c r="AC243" s="4024" t="e">
        <f>VLOOKUP(H243&amp;I243,'7층~4층_매핑테이블'!$A$6:$H$2020,8,0)</f>
        <v>#N/A</v>
      </c>
      <c r="AD243" s="3179" t="e">
        <f>SUM(AA243:AB243)</f>
        <v>#N/A</v>
      </c>
      <c r="AE243" s="3312"/>
      <c r="AG243">
        <v>74.099999999999994</v>
      </c>
      <c r="AH243" s="1363">
        <f t="shared" si="89"/>
        <v>-74.099999999999994</v>
      </c>
      <c r="AJ243" s="2351" t="e">
        <f t="shared" si="90"/>
        <v>#N/A</v>
      </c>
      <c r="AK243" s="2351" t="e">
        <f t="shared" si="91"/>
        <v>#VALUE!</v>
      </c>
      <c r="AL243" s="3266" t="e">
        <f t="shared" si="92"/>
        <v>#VALUE!</v>
      </c>
      <c r="BD243"/>
    </row>
    <row r="244" spans="1:56" x14ac:dyDescent="0.25">
      <c r="A244" s="3308"/>
      <c r="B244" s="3930" t="s">
        <v>11031</v>
      </c>
      <c r="C244" s="3931" t="s">
        <v>11023</v>
      </c>
      <c r="D244" s="4027">
        <v>4</v>
      </c>
      <c r="E244" s="3479"/>
      <c r="F244" s="3479"/>
      <c r="G244" s="3936"/>
      <c r="H244" s="2057" t="str">
        <f t="shared" si="98"/>
        <v>4-DaHall 1-PDU-12-30-14</v>
      </c>
      <c r="I244" s="2043" t="str">
        <f t="shared" si="99"/>
        <v>4-DaHall 1-PDU-11-30-14</v>
      </c>
      <c r="J244" s="2053">
        <v>220</v>
      </c>
      <c r="K244" s="1788">
        <v>30</v>
      </c>
      <c r="L244" s="2353">
        <v>12</v>
      </c>
      <c r="M244" s="1449">
        <v>14</v>
      </c>
      <c r="N244" s="2047">
        <v>220</v>
      </c>
      <c r="O244" s="1789">
        <v>30</v>
      </c>
      <c r="P244" s="2354">
        <v>11</v>
      </c>
      <c r="Q244" s="1448">
        <v>14</v>
      </c>
      <c r="X244" s="824">
        <f>SUM('4층_부하량(월간_AVG)'!N115:P115)</f>
        <v>0</v>
      </c>
      <c r="Y244" s="1400">
        <f>SUM('4층_부하량(월간_AVG)'!N86:P86)</f>
        <v>0</v>
      </c>
      <c r="Z244" s="3934">
        <f>SUM(X244:Y245)</f>
        <v>0</v>
      </c>
      <c r="AA244" s="2685" t="e" cm="1">
        <f t="array" ref="AA244">INDEX('각층분기별_유효전력량(전월)'!$C$2:$C$2020,MATCH(1,("4-DaHall 1-PDU-12"='각층분기별_유효전력량(전월)'!$A$2:$A$2020)*("[branch#014] [A] kWh last month"='각층분기별_유효전력량(전월)'!$B$2:$B$2020),0))</f>
        <v>#N/A</v>
      </c>
      <c r="AB244" s="2702" t="e" cm="1">
        <f t="array" ref="AB244">INDEX('각층분기별_유효전력량(전월)'!$C$2:$C$2020,MATCH(1,("4-DaHall 1-PDU-11"='각층분기별_유효전력량(전월)'!$A$2:$A$2020)*("[branch#014] [A] kWh last month"='각층분기별_유효전력량(전월)'!$B$2:$B$2020),0))</f>
        <v>#N/A</v>
      </c>
      <c r="AC244" s="4024" t="e">
        <f>VLOOKUP(H244&amp;I244,'7층~4층_매핑테이블'!$A$6:$H$2020,8,0)</f>
        <v>#N/A</v>
      </c>
      <c r="AD244" s="4029" t="e">
        <f>SUM(AA244:AB245)</f>
        <v>#N/A</v>
      </c>
      <c r="AE244" s="3312"/>
      <c r="AG244">
        <v>74.099999999999994</v>
      </c>
      <c r="AH244" s="1363">
        <f t="shared" si="89"/>
        <v>-74.099999999999994</v>
      </c>
      <c r="AJ244" s="2351" t="e">
        <f t="shared" si="90"/>
        <v>#N/A</v>
      </c>
      <c r="AK244" s="2351" t="e">
        <f t="shared" si="91"/>
        <v>#N/A</v>
      </c>
      <c r="AL244" s="3266" t="e">
        <f t="shared" si="92"/>
        <v>#N/A</v>
      </c>
      <c r="BD244"/>
    </row>
    <row r="245" spans="1:56" x14ac:dyDescent="0.25">
      <c r="A245" s="3308"/>
      <c r="B245" s="3930"/>
      <c r="C245" s="3932"/>
      <c r="D245" s="4027"/>
      <c r="E245" s="3479"/>
      <c r="F245" s="3479"/>
      <c r="G245" s="3936"/>
      <c r="H245" s="2057" t="str">
        <f>"4-DaHall 1-RPP-0"&amp;L245&amp;"-"&amp;K245&amp;"-"&amp;M245</f>
        <v>4-DaHall 1-RPP-02-30-3</v>
      </c>
      <c r="I245" s="2043" t="str">
        <f>"4-DaHall 1-RPP-0"&amp;P245&amp;"-"&amp;O245&amp;"-"&amp;Q245</f>
        <v>4-DaHall 1-RPP-01-30-3</v>
      </c>
      <c r="J245" s="2053">
        <v>208</v>
      </c>
      <c r="K245" s="1788">
        <v>30</v>
      </c>
      <c r="L245" s="2353">
        <v>2</v>
      </c>
      <c r="M245" s="1449">
        <v>3</v>
      </c>
      <c r="N245" s="2047">
        <v>208</v>
      </c>
      <c r="O245" s="1789">
        <v>30</v>
      </c>
      <c r="P245" s="2354">
        <v>1</v>
      </c>
      <c r="Q245" s="1448">
        <v>3</v>
      </c>
      <c r="X245" s="824">
        <f>SUM('4층_부하량(월간_AVG)'!N202:P202)</f>
        <v>0</v>
      </c>
      <c r="Y245" s="1400">
        <f>SUM('4층_부하량(월간_AVG)'!D202:F202)</f>
        <v>0</v>
      </c>
      <c r="Z245" s="3935"/>
      <c r="AA245" s="2685" t="e" cm="1">
        <f t="array" ref="AA245">INDEX('각층분기별_유효전력량(전월)'!$C$2:$C$2020,MATCH(1,("4-DaHall 1-RPP-02"='각층분기별_유효전력량(전월)'!$A$2:$A$2020)*("[branch#003] [A] kWh last month"='각층분기별_유효전력량(전월)'!$B$2:$B$2020),0))</f>
        <v>#N/A</v>
      </c>
      <c r="AB245" s="2702" t="e" cm="1">
        <f t="array" ref="AB245">INDEX('각층분기별_유효전력량(전월)'!$C$2:$C$2020,MATCH(1,("4-DaHall 1-RPP-01"='각층분기별_유효전력량(전월)'!$A$2:$A$2020)*("[branch#003] [A] kWh last month"='각층분기별_유효전력량(전월)'!$B$2:$B$2020),0))</f>
        <v>#N/A</v>
      </c>
      <c r="AC245" s="4024" t="e">
        <f>VLOOKUP(H245&amp;I245,'7층~4층_매핑테이블'!$A$6:$H$2020,8,0)</f>
        <v>#N/A</v>
      </c>
      <c r="AD245" s="4030"/>
      <c r="AE245" s="3312"/>
      <c r="AG245">
        <v>74.099999999999994</v>
      </c>
      <c r="AH245" s="1363">
        <f t="shared" si="89"/>
        <v>-74.099999999999994</v>
      </c>
      <c r="AJ245" s="2351">
        <f t="shared" si="90"/>
        <v>0</v>
      </c>
      <c r="AK245" s="2351">
        <f t="shared" si="91"/>
        <v>0</v>
      </c>
      <c r="AL245" s="3266" t="str">
        <f t="shared" si="92"/>
        <v>무부하 랙</v>
      </c>
      <c r="BD245"/>
    </row>
    <row r="246" spans="1:56" x14ac:dyDescent="0.25">
      <c r="A246" s="3308"/>
      <c r="B246" s="3330" t="s">
        <v>11032</v>
      </c>
      <c r="C246" s="3313" t="s">
        <v>11025</v>
      </c>
      <c r="D246" s="4026" t="s">
        <v>11026</v>
      </c>
      <c r="E246" s="217"/>
      <c r="F246" s="3314"/>
      <c r="G246" s="3315"/>
      <c r="H246" s="2057" t="str">
        <f t="shared" ref="H246:H248" si="101">"4-DaHall 1-PDU-"&amp;L246&amp;"-"&amp;K246&amp;"-"&amp;M246</f>
        <v>4-DaHall 1-PDU-12-30-15</v>
      </c>
      <c r="I246" s="2043" t="str">
        <f t="shared" ref="I246:I285" si="102">"4-DaHall 1-PDU-"&amp;P246&amp;"-"&amp;O246&amp;"-"&amp;Q246</f>
        <v>4-DaHall 1-PDU-11-30-15</v>
      </c>
      <c r="J246" s="2053">
        <v>220</v>
      </c>
      <c r="K246" s="1788">
        <v>30</v>
      </c>
      <c r="L246" s="2353">
        <v>12</v>
      </c>
      <c r="M246" s="1449">
        <v>15</v>
      </c>
      <c r="N246" s="2047">
        <v>220</v>
      </c>
      <c r="O246" s="1789">
        <v>30</v>
      </c>
      <c r="P246" s="2354">
        <v>11</v>
      </c>
      <c r="Q246" s="1448">
        <v>15</v>
      </c>
      <c r="X246" s="824">
        <f>SUM('4층_부하량(월간_AVG)'!D116:F116)</f>
        <v>0</v>
      </c>
      <c r="Y246" s="1400">
        <f>SUM('4층_부하량(월간_AVG)'!D87:F87)</f>
        <v>0</v>
      </c>
      <c r="Z246" s="2443">
        <f t="shared" ref="Z246:Z249" si="103">SUM(X246:Y246)</f>
        <v>0</v>
      </c>
      <c r="AA246" s="2685" t="e" cm="1">
        <f t="array" ref="AA246">INDEX('각층분기별_유효전력량(전월)'!$C$2:$C$2020,MATCH(1,("4-DaHall 1-PDU-12"='각층분기별_유효전력량(전월)'!$A$2:$A$2020)*("[branch#015] [A] kWh last month"='각층분기별_유효전력량(전월)'!$B$2:$B$2020),0))</f>
        <v>#N/A</v>
      </c>
      <c r="AB246" s="2702" t="e" cm="1">
        <f t="array" ref="AB246">INDEX('각층분기별_유효전력량(전월)'!$C$2:$C$2020,MATCH(1,("4-DaHall 1-PDU-11"='각층분기별_유효전력량(전월)'!$A$2:$A$2020)*("[branch#015] [A] kWh last month"='각층분기별_유효전력량(전월)'!$B$2:$B$2020),0))</f>
        <v>#N/A</v>
      </c>
      <c r="AC246" s="4024" t="e">
        <f>VLOOKUP(H246&amp;I246,'7층~4층_매핑테이블'!$A$6:$H$2020,8,0)</f>
        <v>#N/A</v>
      </c>
      <c r="AD246" s="3179" t="e">
        <f>SUM(AA246:AB246)</f>
        <v>#N/A</v>
      </c>
      <c r="AE246" s="3312"/>
      <c r="AG246">
        <v>74.099999999999994</v>
      </c>
      <c r="AH246" s="1363">
        <f t="shared" si="89"/>
        <v>-74.099999999999994</v>
      </c>
      <c r="AJ246" s="2351" t="e">
        <f t="shared" si="90"/>
        <v>#N/A</v>
      </c>
      <c r="AK246" s="2351" t="e">
        <f t="shared" si="91"/>
        <v>#VALUE!</v>
      </c>
      <c r="AL246" s="3266" t="e">
        <f t="shared" si="92"/>
        <v>#VALUE!</v>
      </c>
      <c r="BD246"/>
    </row>
    <row r="247" spans="1:56" x14ac:dyDescent="0.25">
      <c r="A247" s="3308"/>
      <c r="B247" s="3330" t="s">
        <v>11033</v>
      </c>
      <c r="C247" s="3313" t="s">
        <v>11025</v>
      </c>
      <c r="D247" s="4026" t="s">
        <v>11026</v>
      </c>
      <c r="E247" s="217"/>
      <c r="F247" s="3314"/>
      <c r="G247" s="3315"/>
      <c r="H247" s="2057" t="str">
        <f t="shared" si="101"/>
        <v>4-DaHall 1-PDU-12-30-16</v>
      </c>
      <c r="I247" s="2043" t="str">
        <f t="shared" si="102"/>
        <v>4-DaHall 1-PDU-11-30-16</v>
      </c>
      <c r="J247" s="2053">
        <v>220</v>
      </c>
      <c r="K247" s="1788">
        <v>30</v>
      </c>
      <c r="L247" s="2353">
        <v>12</v>
      </c>
      <c r="M247" s="1449">
        <v>16</v>
      </c>
      <c r="N247" s="2047">
        <v>220</v>
      </c>
      <c r="O247" s="1789">
        <v>30</v>
      </c>
      <c r="P247" s="2354">
        <v>11</v>
      </c>
      <c r="Q247" s="1448">
        <v>16</v>
      </c>
      <c r="X247" s="824">
        <f>SUM('4층_부하량(월간_AVG)'!N116:P116)</f>
        <v>0</v>
      </c>
      <c r="Y247" s="1400">
        <f>SUM('4층_부하량(월간_AVG)'!N87:P87)</f>
        <v>0</v>
      </c>
      <c r="Z247" s="2443">
        <f t="shared" si="103"/>
        <v>0</v>
      </c>
      <c r="AA247" s="2685" t="e" cm="1">
        <f t="array" ref="AA247">INDEX('각층분기별_유효전력량(전월)'!$C$2:$C$2020,MATCH(1,("4-DaHall 1-PDU-12"='각층분기별_유효전력량(전월)'!$A$2:$A$2020)*("[branch#016] [A] kWh last month"='각층분기별_유효전력량(전월)'!$B$2:$B$2020),0))</f>
        <v>#N/A</v>
      </c>
      <c r="AB247" s="2702" t="e" cm="1">
        <f t="array" ref="AB247">INDEX('각층분기별_유효전력량(전월)'!$C$2:$C$2020,MATCH(1,("4-DaHall 1-PDU-11"='각층분기별_유효전력량(전월)'!$A$2:$A$2020)*("[branch#016] [A] kWh last month"='각층분기별_유효전력량(전월)'!$B$2:$B$2020),0))</f>
        <v>#N/A</v>
      </c>
      <c r="AC247" s="4024" t="e">
        <f>VLOOKUP(H247&amp;I247,'7층~4층_매핑테이블'!$A$6:$H$2020,8,0)</f>
        <v>#N/A</v>
      </c>
      <c r="AD247" s="3179" t="e">
        <f>SUM(AA247:AB247)</f>
        <v>#N/A</v>
      </c>
      <c r="AE247" s="3312"/>
      <c r="AG247">
        <v>74.099999999999994</v>
      </c>
      <c r="AH247" s="1363">
        <f t="shared" si="89"/>
        <v>-74.099999999999994</v>
      </c>
      <c r="AJ247" s="2351" t="e">
        <f t="shared" si="90"/>
        <v>#N/A</v>
      </c>
      <c r="AK247" s="2351" t="e">
        <f t="shared" si="91"/>
        <v>#VALUE!</v>
      </c>
      <c r="AL247" s="3266" t="e">
        <f t="shared" si="92"/>
        <v>#VALUE!</v>
      </c>
      <c r="BD247"/>
    </row>
    <row r="248" spans="1:56" x14ac:dyDescent="0.25">
      <c r="A248" s="3308"/>
      <c r="B248" s="3330" t="s">
        <v>2474</v>
      </c>
      <c r="C248" s="3313" t="s">
        <v>11025</v>
      </c>
      <c r="D248" s="3316">
        <v>2</v>
      </c>
      <c r="E248" s="3264"/>
      <c r="F248" s="3260"/>
      <c r="G248" s="3261"/>
      <c r="H248" s="2057" t="str">
        <f t="shared" si="101"/>
        <v>4-DaHall 1-PDU-12-30-17</v>
      </c>
      <c r="I248" s="2043" t="str">
        <f t="shared" si="102"/>
        <v>4-DaHall 1-PDU-11-30-17</v>
      </c>
      <c r="J248" s="2053">
        <v>220</v>
      </c>
      <c r="K248" s="1788">
        <v>30</v>
      </c>
      <c r="L248" s="2353">
        <v>12</v>
      </c>
      <c r="M248" s="1449">
        <v>17</v>
      </c>
      <c r="N248" s="2047">
        <v>220</v>
      </c>
      <c r="O248" s="1789">
        <v>30</v>
      </c>
      <c r="P248" s="2354">
        <v>11</v>
      </c>
      <c r="Q248" s="1448">
        <v>17</v>
      </c>
      <c r="R248" s="3310"/>
      <c r="S248" s="3311"/>
      <c r="T248" s="3310"/>
      <c r="U248" s="3311"/>
      <c r="V248" s="3310"/>
      <c r="W248" s="3311"/>
      <c r="X248" s="824">
        <f>SUM('4층_부하량(월간_AVG)'!D117:F117)</f>
        <v>0</v>
      </c>
      <c r="Y248" s="1400">
        <f>SUM('4층_부하량(월간_AVG)'!D88:F88)</f>
        <v>0</v>
      </c>
      <c r="Z248" s="2443">
        <f t="shared" si="103"/>
        <v>0</v>
      </c>
      <c r="AA248" s="2685" t="e" cm="1">
        <f t="array" ref="AA248">INDEX('각층분기별_유효전력량(전월)'!$C$2:$C$2020,MATCH(1,("4-DaHall 1-PDU-12"='각층분기별_유효전력량(전월)'!$A$2:$A$2020)*("[branch#017] [A] kWh last month"='각층분기별_유효전력량(전월)'!$B$2:$B$2020),0))</f>
        <v>#N/A</v>
      </c>
      <c r="AB248" s="2702" t="e" cm="1">
        <f t="array" ref="AB248">INDEX('각층분기별_유효전력량(전월)'!$C$2:$C$2020,MATCH(1,("4-DaHall 1-PDU-11"='각층분기별_유효전력량(전월)'!$A$2:$A$2020)*("[branch#017] [A] kWh last month"='각층분기별_유효전력량(전월)'!$B$2:$B$2020),0))</f>
        <v>#N/A</v>
      </c>
      <c r="AC248" s="4024" t="e">
        <f>VLOOKUP(H248&amp;I248,'7층~4층_매핑테이블'!$A$6:$H$2020,8,0)</f>
        <v>#N/A</v>
      </c>
      <c r="AD248" s="3179" t="e">
        <f>SUM(AA248:AB248)</f>
        <v>#N/A</v>
      </c>
      <c r="AE248" s="3312"/>
      <c r="AG248">
        <v>74.099999999999994</v>
      </c>
      <c r="AH248" s="1363">
        <f t="shared" si="89"/>
        <v>-74.099999999999994</v>
      </c>
      <c r="AJ248" s="2351" t="e">
        <f t="shared" si="90"/>
        <v>#N/A</v>
      </c>
      <c r="AK248" s="2351" t="e">
        <f t="shared" si="91"/>
        <v>#N/A</v>
      </c>
      <c r="AL248" s="3266" t="e">
        <f t="shared" si="92"/>
        <v>#N/A</v>
      </c>
      <c r="AR248" s="3266"/>
      <c r="AS248" s="3266"/>
      <c r="AU248" s="2982"/>
      <c r="AV248" s="3266"/>
      <c r="AW248" s="3266"/>
      <c r="AX248" s="2983"/>
      <c r="AY248" s="2984"/>
      <c r="AZ248" s="2985"/>
      <c r="BA248" s="3018"/>
      <c r="BB248" s="3019"/>
      <c r="BC248" s="2988"/>
      <c r="BD248" s="3266"/>
    </row>
    <row r="249" spans="1:56" x14ac:dyDescent="0.25">
      <c r="A249" s="3308"/>
      <c r="B249" s="3330" t="s">
        <v>2486</v>
      </c>
      <c r="C249" s="3313" t="s">
        <v>11025</v>
      </c>
      <c r="D249" s="3317">
        <v>2</v>
      </c>
      <c r="E249" s="3264"/>
      <c r="F249" s="3260"/>
      <c r="G249" s="3309"/>
      <c r="H249" s="2057" t="str">
        <f>"4-DaHall 1-PDU-"&amp;L249&amp;"-"&amp;K249&amp;"-"&amp;M249</f>
        <v>4-DaHall 1-PDU-12-30-18</v>
      </c>
      <c r="I249" s="2043" t="str">
        <f t="shared" si="102"/>
        <v>4-DaHall 1-PDU-11-30-18</v>
      </c>
      <c r="J249" s="2053">
        <v>220</v>
      </c>
      <c r="K249" s="1788">
        <v>30</v>
      </c>
      <c r="L249" s="2353">
        <v>12</v>
      </c>
      <c r="M249" s="1449">
        <v>18</v>
      </c>
      <c r="N249" s="2047">
        <v>220</v>
      </c>
      <c r="O249" s="1789">
        <v>30</v>
      </c>
      <c r="P249" s="2354">
        <v>11</v>
      </c>
      <c r="Q249" s="1448">
        <v>18</v>
      </c>
      <c r="R249" s="3310"/>
      <c r="S249" s="3311"/>
      <c r="T249" s="3310"/>
      <c r="U249" s="3311"/>
      <c r="V249" s="3310"/>
      <c r="W249" s="3311"/>
      <c r="X249" s="824">
        <f>SUM('4층_부하량(월간_AVG)'!N117:P117)</f>
        <v>0</v>
      </c>
      <c r="Y249" s="1400">
        <f>SUM('4층_부하량(월간_AVG)'!N88:P88)</f>
        <v>0</v>
      </c>
      <c r="Z249" s="2443">
        <f t="shared" si="103"/>
        <v>0</v>
      </c>
      <c r="AA249" s="2685" t="e" cm="1">
        <f t="array" ref="AA249">INDEX('각층분기별_유효전력량(전월)'!$C$2:$C$2020,MATCH(1,("4-DaHall 1-PDU-12"='각층분기별_유효전력량(전월)'!$A$2:$A$2020)*("[branch#018] [A] kWh last month"='각층분기별_유효전력량(전월)'!$B$2:$B$2020),0))</f>
        <v>#N/A</v>
      </c>
      <c r="AB249" s="2702" t="e" cm="1">
        <f t="array" ref="AB249">INDEX('각층분기별_유효전력량(전월)'!$C$2:$C$2020,MATCH(1,("4-DaHall 1-PDU-11"='각층분기별_유효전력량(전월)'!$A$2:$A$2020)*("[branch#018] [A] kWh last month"='각층분기별_유효전력량(전월)'!$B$2:$B$2020),0))</f>
        <v>#N/A</v>
      </c>
      <c r="AC249" s="4024" t="e">
        <f>VLOOKUP(H249&amp;I249,'7층~4층_매핑테이블'!$A$6:$H$2020,8,0)</f>
        <v>#N/A</v>
      </c>
      <c r="AD249" s="3179" t="e">
        <f>SUM(AA249:AB249)</f>
        <v>#N/A</v>
      </c>
      <c r="AE249" s="3312"/>
      <c r="AG249">
        <v>74.099999999999994</v>
      </c>
      <c r="AH249" s="1363">
        <f t="shared" si="89"/>
        <v>-74.099999999999994</v>
      </c>
      <c r="AJ249" s="2351" t="e">
        <f t="shared" si="90"/>
        <v>#N/A</v>
      </c>
      <c r="AK249" s="2351" t="e">
        <f t="shared" si="91"/>
        <v>#N/A</v>
      </c>
      <c r="AL249" s="3266" t="e">
        <f t="shared" si="92"/>
        <v>#N/A</v>
      </c>
      <c r="AR249" s="3266"/>
      <c r="AS249" s="3266"/>
      <c r="AU249" s="2982"/>
      <c r="AV249" s="3266"/>
      <c r="AW249" s="3266"/>
      <c r="AX249" s="2983"/>
      <c r="AY249" s="2984"/>
      <c r="AZ249" s="2985"/>
      <c r="BA249" s="3018"/>
      <c r="BB249" s="3019"/>
      <c r="BC249" s="2988"/>
      <c r="BD249" s="3266"/>
    </row>
    <row r="250" spans="1:56" x14ac:dyDescent="0.25">
      <c r="A250" s="3308"/>
      <c r="B250" s="3937" t="s">
        <v>2493</v>
      </c>
      <c r="C250" s="3931" t="s">
        <v>11023</v>
      </c>
      <c r="D250" s="3933">
        <v>2</v>
      </c>
      <c r="E250" s="3479"/>
      <c r="F250" s="3479"/>
      <c r="G250" s="3936"/>
      <c r="H250" s="2057" t="str">
        <f t="shared" ref="H250:H260" si="104">"4-DaHall 1-PDU-"&amp;L250&amp;"-"&amp;K250&amp;"-"&amp;M250</f>
        <v>4-DaHall 1-PDU-12-30-19</v>
      </c>
      <c r="I250" s="2043" t="str">
        <f t="shared" si="102"/>
        <v>4-DaHall 1-PDU-11-30-19</v>
      </c>
      <c r="J250" s="2053">
        <v>220</v>
      </c>
      <c r="K250" s="1788">
        <v>30</v>
      </c>
      <c r="L250" s="2353">
        <v>12</v>
      </c>
      <c r="M250" s="1449">
        <v>19</v>
      </c>
      <c r="N250" s="2047">
        <v>220</v>
      </c>
      <c r="O250" s="1789">
        <v>30</v>
      </c>
      <c r="P250" s="2354">
        <v>11</v>
      </c>
      <c r="Q250" s="1448">
        <v>19</v>
      </c>
      <c r="R250" s="3310"/>
      <c r="S250" s="3311"/>
      <c r="T250" s="3310"/>
      <c r="U250" s="3311"/>
      <c r="V250" s="3310"/>
      <c r="W250" s="3311"/>
      <c r="X250" s="824">
        <f>SUM('4층_부하량(월간_AVG)'!D118:F118)</f>
        <v>0</v>
      </c>
      <c r="Y250" s="1400">
        <f>SUM('4층_부하량(월간_AVG)'!D89:F89)</f>
        <v>0</v>
      </c>
      <c r="Z250" s="3934">
        <f>SUM(X250:Y251)</f>
        <v>0</v>
      </c>
      <c r="AA250" s="2685" t="e" cm="1">
        <f t="array" ref="AA250">INDEX('각층분기별_유효전력량(전월)'!$C$2:$C$2020,MATCH(1,("4-DaHall 1-PDU-12"='각층분기별_유효전력량(전월)'!$A$2:$A$2020)*("[branch#019] [A] kWh last month"='각층분기별_유효전력량(전월)'!$B$2:$B$2020),0))</f>
        <v>#N/A</v>
      </c>
      <c r="AB250" s="2702" t="e" cm="1">
        <f t="array" ref="AB250">INDEX('각층분기별_유효전력량(전월)'!$C$2:$C$2020,MATCH(1,("4-DaHall 1-PDU-11"='각층분기별_유효전력량(전월)'!$A$2:$A$2020)*("[branch#019] [A] kWh last month"='각층분기별_유효전력량(전월)'!$B$2:$B$2020),0))</f>
        <v>#N/A</v>
      </c>
      <c r="AC250" s="4024" t="e">
        <f>VLOOKUP(H250&amp;I250,'7층~4층_매핑테이블'!$A$6:$H$2020,8,0)</f>
        <v>#N/A</v>
      </c>
      <c r="AD250" s="4029" t="e">
        <f>SUM(AA250:AB251)</f>
        <v>#N/A</v>
      </c>
      <c r="AE250" s="3312"/>
      <c r="AG250">
        <v>74.099999999999994</v>
      </c>
      <c r="AH250" s="1363">
        <f t="shared" si="89"/>
        <v>-74.099999999999994</v>
      </c>
      <c r="AJ250" s="2351" t="e">
        <f t="shared" si="90"/>
        <v>#N/A</v>
      </c>
      <c r="AK250" s="2351" t="e">
        <f t="shared" si="91"/>
        <v>#N/A</v>
      </c>
      <c r="AL250" s="3266" t="e">
        <f t="shared" si="92"/>
        <v>#N/A</v>
      </c>
      <c r="AR250" s="3266"/>
      <c r="AS250" s="3266"/>
      <c r="AU250" s="2982"/>
      <c r="AV250" s="3266"/>
      <c r="AW250" s="3266"/>
      <c r="AX250" s="2983"/>
      <c r="AY250" s="2984"/>
      <c r="AZ250" s="2985"/>
      <c r="BA250" s="3018"/>
      <c r="BB250" s="3019"/>
      <c r="BC250" s="2988"/>
      <c r="BD250" s="3266"/>
    </row>
    <row r="251" spans="1:56" x14ac:dyDescent="0.25">
      <c r="A251" s="3308"/>
      <c r="B251" s="3938"/>
      <c r="C251" s="3932"/>
      <c r="D251" s="3933"/>
      <c r="E251" s="3479"/>
      <c r="F251" s="3479"/>
      <c r="G251" s="3936"/>
      <c r="H251" s="2057" t="str">
        <f t="shared" si="104"/>
        <v>4-DaHall 1-PDU-12-30-38</v>
      </c>
      <c r="I251" s="2043" t="str">
        <f t="shared" si="102"/>
        <v>4-DaHall 1-PDU-11-30-38</v>
      </c>
      <c r="J251" s="2053">
        <v>220</v>
      </c>
      <c r="K251" s="1788">
        <v>30</v>
      </c>
      <c r="L251" s="2353">
        <v>12</v>
      </c>
      <c r="M251" s="1449">
        <v>38</v>
      </c>
      <c r="N251" s="2047">
        <v>220</v>
      </c>
      <c r="O251" s="1789">
        <v>30</v>
      </c>
      <c r="P251" s="2354">
        <v>11</v>
      </c>
      <c r="Q251" s="1448">
        <v>38</v>
      </c>
      <c r="R251" s="3310"/>
      <c r="S251" s="3311"/>
      <c r="T251" s="3310"/>
      <c r="U251" s="3311"/>
      <c r="V251" s="3310"/>
      <c r="W251" s="3311"/>
      <c r="X251" s="824">
        <f>SUM('4층_부하량(월간_AVG)'!N127:P127)</f>
        <v>0</v>
      </c>
      <c r="Y251" s="1400">
        <f>SUM('4층_부하량(월간_AVG)'!N98:P98)</f>
        <v>0</v>
      </c>
      <c r="Z251" s="3935"/>
      <c r="AA251" s="2685" t="e" cm="1">
        <f t="array" ref="AA251">INDEX('각층분기별_유효전력량(전월)'!$C$2:$C$2020,MATCH(1,("4-DaHall 1-PDU-12"='각층분기별_유효전력량(전월)'!$A$2:$A$2020)*("[branch#038] [A] kWh last month"='각층분기별_유효전력량(전월)'!$B$2:$B$2020),0))</f>
        <v>#N/A</v>
      </c>
      <c r="AB251" s="2702" t="e" cm="1">
        <f t="array" ref="AB251">INDEX('각층분기별_유효전력량(전월)'!$C$2:$C$2020,MATCH(1,("4-DaHall 1-PDU-11"='각층분기별_유효전력량(전월)'!$A$2:$A$2020)*("[branch#038] [A] kWh last month"='각층분기별_유효전력량(전월)'!$B$2:$B$2020),0))</f>
        <v>#N/A</v>
      </c>
      <c r="AC251" s="4024" t="e">
        <f>VLOOKUP(H251&amp;I251,'7층~4층_매핑테이블'!$A$6:$H$2020,8,0)</f>
        <v>#N/A</v>
      </c>
      <c r="AD251" s="4030"/>
      <c r="AE251" s="3312"/>
      <c r="AG251">
        <v>74.099999999999994</v>
      </c>
      <c r="AH251" s="1363">
        <f t="shared" si="89"/>
        <v>-74.099999999999994</v>
      </c>
      <c r="AJ251" s="2351">
        <f t="shared" si="90"/>
        <v>0</v>
      </c>
      <c r="AK251" s="2351">
        <f t="shared" si="91"/>
        <v>0</v>
      </c>
      <c r="AL251" s="3266" t="str">
        <f t="shared" si="92"/>
        <v>무부하 랙</v>
      </c>
      <c r="AR251" s="3266"/>
      <c r="AS251" s="3266"/>
      <c r="AU251" s="2982"/>
      <c r="AV251" s="3266"/>
      <c r="AW251" s="3266"/>
      <c r="AX251" s="2983"/>
      <c r="AY251" s="2984"/>
      <c r="AZ251" s="2985"/>
      <c r="BA251" s="3018"/>
      <c r="BB251" s="3019"/>
      <c r="BC251" s="2988"/>
      <c r="BD251" s="3266"/>
    </row>
    <row r="252" spans="1:56" x14ac:dyDescent="0.25">
      <c r="A252" s="3308"/>
      <c r="B252" s="3330" t="s">
        <v>270</v>
      </c>
      <c r="C252" s="3313" t="s">
        <v>11025</v>
      </c>
      <c r="D252" s="3318">
        <v>2</v>
      </c>
      <c r="E252" s="3265"/>
      <c r="F252" s="3265"/>
      <c r="G252" s="3319"/>
      <c r="H252" s="2057" t="str">
        <f t="shared" si="104"/>
        <v>4-DaHall 1-PDU-12-30-20</v>
      </c>
      <c r="I252" s="2043" t="str">
        <f t="shared" si="102"/>
        <v>4-DaHall 1-PDU-11-30-20</v>
      </c>
      <c r="J252" s="2053">
        <v>220</v>
      </c>
      <c r="K252" s="1788">
        <v>30</v>
      </c>
      <c r="L252" s="2353">
        <v>12</v>
      </c>
      <c r="M252" s="1449">
        <v>20</v>
      </c>
      <c r="N252" s="2047">
        <v>220</v>
      </c>
      <c r="O252" s="1789">
        <v>30</v>
      </c>
      <c r="P252" s="2354">
        <v>11</v>
      </c>
      <c r="Q252" s="1448">
        <v>20</v>
      </c>
      <c r="X252" s="824">
        <f>SUM('4층_부하량(월간_AVG)'!N118:P118)</f>
        <v>0</v>
      </c>
      <c r="Y252" s="1400">
        <f>SUM('4층_부하량(월간_AVG)'!N89:P89)</f>
        <v>0</v>
      </c>
      <c r="Z252" s="2443">
        <f t="shared" ref="Z252:Z253" si="105">SUM(X252:Y252)</f>
        <v>0</v>
      </c>
      <c r="AA252" s="2685" t="e" cm="1">
        <f t="array" ref="AA252">INDEX('각층분기별_유효전력량(전월)'!$C$2:$C$2020,MATCH(1,("4-DaHall 1-PDU-12"='각층분기별_유효전력량(전월)'!$A$2:$A$2020)*("[branch#020] [A] kWh last month"='각층분기별_유효전력량(전월)'!$B$2:$B$2020),0))</f>
        <v>#N/A</v>
      </c>
      <c r="AB252" s="2702" t="e" cm="1">
        <f t="array" ref="AB252">INDEX('각층분기별_유효전력량(전월)'!$C$2:$C$2020,MATCH(1,("4-DaHall 1-PDU-11"='각층분기별_유효전력량(전월)'!$A$2:$A$2020)*("[branch#020] [A] kWh last month"='각층분기별_유효전력량(전월)'!$B$2:$B$2020),0))</f>
        <v>#N/A</v>
      </c>
      <c r="AC252" s="4024" t="e">
        <f>VLOOKUP(H252&amp;I252,'7층~4층_매핑테이블'!$A$6:$H$2020,8,0)</f>
        <v>#N/A</v>
      </c>
      <c r="AD252" s="3179" t="e">
        <f>SUM(AA252:AB252)</f>
        <v>#N/A</v>
      </c>
      <c r="AE252" s="3312"/>
      <c r="AG252">
        <v>74.099999999999994</v>
      </c>
      <c r="AH252" s="1363">
        <f t="shared" si="89"/>
        <v>-74.099999999999994</v>
      </c>
      <c r="AJ252" s="2351" t="e">
        <f t="shared" si="90"/>
        <v>#N/A</v>
      </c>
      <c r="AK252" s="2351" t="e">
        <f t="shared" si="91"/>
        <v>#N/A</v>
      </c>
      <c r="AL252" s="3266" t="e">
        <f t="shared" si="92"/>
        <v>#N/A</v>
      </c>
      <c r="BD252"/>
    </row>
    <row r="253" spans="1:56" x14ac:dyDescent="0.25">
      <c r="A253" s="3308"/>
      <c r="B253" s="3330" t="s">
        <v>11034</v>
      </c>
      <c r="C253" s="3313" t="s">
        <v>11025</v>
      </c>
      <c r="D253" s="3317">
        <v>4</v>
      </c>
      <c r="E253" s="217"/>
      <c r="F253" s="3314"/>
      <c r="G253" s="3315"/>
      <c r="H253" s="2057" t="str">
        <f t="shared" si="104"/>
        <v>4-DaHall 1-PDU-12-30-21</v>
      </c>
      <c r="I253" s="2043" t="str">
        <f t="shared" si="102"/>
        <v>4-DaHall 1-PDU-11-30-21</v>
      </c>
      <c r="J253" s="2053">
        <v>220</v>
      </c>
      <c r="K253" s="1788">
        <v>30</v>
      </c>
      <c r="L253" s="2353">
        <v>12</v>
      </c>
      <c r="M253" s="1449">
        <v>21</v>
      </c>
      <c r="N253" s="2047">
        <v>220</v>
      </c>
      <c r="O253" s="1789">
        <v>30</v>
      </c>
      <c r="P253" s="2354">
        <v>11</v>
      </c>
      <c r="Q253" s="1448">
        <v>21</v>
      </c>
      <c r="X253" s="824">
        <f>SUM('4층_부하량(월간_AVG)'!D119:F119)</f>
        <v>0</v>
      </c>
      <c r="Y253" s="1400">
        <f>SUM('4층_부하량(월간_AVG)'!D90:F90)</f>
        <v>0</v>
      </c>
      <c r="Z253" s="2443">
        <f t="shared" si="105"/>
        <v>0</v>
      </c>
      <c r="AA253" s="2685" t="e" cm="1">
        <f t="array" ref="AA253">INDEX('각층분기별_유효전력량(전월)'!$C$2:$C$2020,MATCH(1,("4-DaHall 1-PDU-12"='각층분기별_유효전력량(전월)'!$A$2:$A$2020)*("[branch#021] [A] kWh last month"='각층분기별_유효전력량(전월)'!$B$2:$B$2020),0))</f>
        <v>#N/A</v>
      </c>
      <c r="AB253" s="2702" t="e" cm="1">
        <f t="array" ref="AB253">INDEX('각층분기별_유효전력량(전월)'!$C$2:$C$2020,MATCH(1,("4-DaHall 1-PDU-11"='각층분기별_유효전력량(전월)'!$A$2:$A$2020)*("[branch#021] [A] kWh last month"='각층분기별_유효전력량(전월)'!$B$2:$B$2020),0))</f>
        <v>#N/A</v>
      </c>
      <c r="AC253" s="4024" t="e">
        <f>VLOOKUP(H253&amp;I253,'7층~4층_매핑테이블'!$A$6:$H$2020,8,0)</f>
        <v>#N/A</v>
      </c>
      <c r="AD253" s="3179" t="e">
        <f>SUM(AA253:AB253)</f>
        <v>#N/A</v>
      </c>
      <c r="AE253" s="3312"/>
      <c r="AG253">
        <v>74.099999999999994</v>
      </c>
      <c r="AH253" s="1363">
        <f t="shared" si="89"/>
        <v>-74.099999999999994</v>
      </c>
      <c r="AJ253" s="2351" t="e">
        <f t="shared" si="90"/>
        <v>#N/A</v>
      </c>
      <c r="AK253" s="2351" t="e">
        <f t="shared" si="91"/>
        <v>#N/A</v>
      </c>
      <c r="AL253" s="3266" t="e">
        <f t="shared" si="92"/>
        <v>#N/A</v>
      </c>
      <c r="BD253"/>
    </row>
    <row r="254" spans="1:56" x14ac:dyDescent="0.25">
      <c r="A254" s="3308"/>
      <c r="B254" s="3930" t="s">
        <v>259</v>
      </c>
      <c r="C254" s="3931" t="s">
        <v>11023</v>
      </c>
      <c r="D254" s="3933">
        <v>4</v>
      </c>
      <c r="E254" s="3479"/>
      <c r="F254" s="3479"/>
      <c r="G254" s="3936"/>
      <c r="H254" s="2057" t="str">
        <f t="shared" si="104"/>
        <v>4-DaHall 1-PDU-12-30-22</v>
      </c>
      <c r="I254" s="2043" t="str">
        <f t="shared" si="102"/>
        <v>4-DaHall 1-PDU-11-30-22</v>
      </c>
      <c r="J254" s="2053">
        <v>220</v>
      </c>
      <c r="K254" s="1788">
        <v>30</v>
      </c>
      <c r="L254" s="2353">
        <v>12</v>
      </c>
      <c r="M254" s="1449">
        <v>22</v>
      </c>
      <c r="N254" s="2047">
        <v>220</v>
      </c>
      <c r="O254" s="1789">
        <v>30</v>
      </c>
      <c r="P254" s="2354">
        <v>11</v>
      </c>
      <c r="Q254" s="1448">
        <v>22</v>
      </c>
      <c r="X254" s="824">
        <f>SUM('4층_부하량(월간_AVG)'!N119:P119)</f>
        <v>0</v>
      </c>
      <c r="Y254" s="1400">
        <f>SUM('4층_부하량(월간_AVG)'!N90:P90)</f>
        <v>0</v>
      </c>
      <c r="Z254" s="3934">
        <f>SUM(X254:Y255)</f>
        <v>0</v>
      </c>
      <c r="AA254" s="2685" t="e" cm="1">
        <f t="array" ref="AA254">INDEX('각층분기별_유효전력량(전월)'!$C$2:$C$2020,MATCH(1,("4-DaHall 1-PDU-12"='각층분기별_유효전력량(전월)'!$A$2:$A$2020)*("[branch#022] [A] kWh last month"='각층분기별_유효전력량(전월)'!$B$2:$B$2020),0))</f>
        <v>#N/A</v>
      </c>
      <c r="AB254" s="2702" t="e" cm="1">
        <f t="array" ref="AB254">INDEX('각층분기별_유효전력량(전월)'!$C$2:$C$2020,MATCH(1,("4-DaHall 1-PDU-11"='각층분기별_유효전력량(전월)'!$A$2:$A$2020)*("[branch#022] [A] kWh last month"='각층분기별_유효전력량(전월)'!$B$2:$B$2020),0))</f>
        <v>#N/A</v>
      </c>
      <c r="AC254" s="4024" t="e">
        <f>VLOOKUP(H254&amp;I254,'7층~4층_매핑테이블'!$A$6:$H$2020,8,0)</f>
        <v>#N/A</v>
      </c>
      <c r="AD254" s="4029" t="e">
        <f>SUM(AA254:AB255)</f>
        <v>#N/A</v>
      </c>
      <c r="AE254" s="3312"/>
      <c r="AG254">
        <v>74.099999999999994</v>
      </c>
      <c r="AH254" s="1363">
        <f t="shared" si="89"/>
        <v>-74.099999999999994</v>
      </c>
      <c r="AJ254" s="2351" t="e">
        <f t="shared" si="90"/>
        <v>#N/A</v>
      </c>
      <c r="AK254" s="2351" t="e">
        <f t="shared" si="91"/>
        <v>#N/A</v>
      </c>
      <c r="AL254" s="3266" t="e">
        <f t="shared" si="92"/>
        <v>#N/A</v>
      </c>
      <c r="BD254"/>
    </row>
    <row r="255" spans="1:56" x14ac:dyDescent="0.25">
      <c r="A255" s="3308"/>
      <c r="B255" s="3930"/>
      <c r="C255" s="3932"/>
      <c r="D255" s="3933"/>
      <c r="E255" s="3479"/>
      <c r="F255" s="3479"/>
      <c r="G255" s="3936"/>
      <c r="H255" s="2057" t="str">
        <f t="shared" si="104"/>
        <v>4-DaHall 1-PDU-12-30-39</v>
      </c>
      <c r="I255" s="2043" t="str">
        <f t="shared" si="102"/>
        <v>4-DaHall 1-PDU-11-30-39</v>
      </c>
      <c r="J255" s="2053">
        <v>208</v>
      </c>
      <c r="K255" s="1788">
        <v>30</v>
      </c>
      <c r="L255" s="2353">
        <v>12</v>
      </c>
      <c r="M255" s="1449">
        <v>39</v>
      </c>
      <c r="N255" s="2047">
        <v>208</v>
      </c>
      <c r="O255" s="1789">
        <v>30</v>
      </c>
      <c r="P255" s="2354">
        <v>11</v>
      </c>
      <c r="Q255" s="1448">
        <v>39</v>
      </c>
      <c r="X255" s="824">
        <f>SUM('4층_부하량(월간_AVG)'!D128:F128)</f>
        <v>0</v>
      </c>
      <c r="Y255" s="1400">
        <f>SUM('4층_부하량(월간_AVG)'!D99:F99)</f>
        <v>0</v>
      </c>
      <c r="Z255" s="3935"/>
      <c r="AA255" s="2685" t="e" cm="1">
        <f t="array" ref="AA255">INDEX('각층분기별_유효전력량(전월)'!$C$2:$C$2020,MATCH(1,("4-DaHall 1-PDU-12"='각층분기별_유효전력량(전월)'!$A$2:$A$2020)*("[branch#039] [A] kWh last month"='각층분기별_유효전력량(전월)'!$B$2:$B$2020),0))</f>
        <v>#N/A</v>
      </c>
      <c r="AB255" s="2702" t="e" cm="1">
        <f t="array" ref="AB255">INDEX('각층분기별_유효전력량(전월)'!$C$2:$C$2020,MATCH(1,("4-DaHall 1-PDU-11"='각층분기별_유효전력량(전월)'!$A$2:$A$2020)*("[branch#039] [A] kWh last month"='각층분기별_유효전력량(전월)'!$B$2:$B$2020),0))</f>
        <v>#N/A</v>
      </c>
      <c r="AC255" s="4024" t="e">
        <f>VLOOKUP(H255&amp;I255,'7층~4층_매핑테이블'!$A$6:$H$2020,8,0)</f>
        <v>#N/A</v>
      </c>
      <c r="AD255" s="4030"/>
      <c r="AE255" s="3312"/>
      <c r="AG255">
        <v>74.099999999999994</v>
      </c>
      <c r="AH255" s="1363">
        <f t="shared" si="89"/>
        <v>-74.099999999999994</v>
      </c>
      <c r="AJ255" s="2351">
        <f t="shared" si="90"/>
        <v>0</v>
      </c>
      <c r="AK255" s="2351">
        <f t="shared" si="91"/>
        <v>0</v>
      </c>
      <c r="AL255" s="3266" t="str">
        <f t="shared" si="92"/>
        <v>무부하 랙</v>
      </c>
      <c r="BD255"/>
    </row>
    <row r="256" spans="1:56" x14ac:dyDescent="0.25">
      <c r="A256" s="3308"/>
      <c r="B256" s="3330" t="s">
        <v>249</v>
      </c>
      <c r="C256" s="3313" t="s">
        <v>11025</v>
      </c>
      <c r="D256" s="3317">
        <v>2</v>
      </c>
      <c r="E256" s="217"/>
      <c r="F256" s="3314"/>
      <c r="G256" s="3315"/>
      <c r="H256" s="2057" t="str">
        <f t="shared" si="104"/>
        <v>4-DaHall 1-PDU-12-30-23</v>
      </c>
      <c r="I256" s="2043" t="str">
        <f t="shared" si="102"/>
        <v>4-DaHall 1-PDU-11-30-23</v>
      </c>
      <c r="J256" s="2053">
        <v>220</v>
      </c>
      <c r="K256" s="1788">
        <v>30</v>
      </c>
      <c r="L256" s="2353">
        <v>12</v>
      </c>
      <c r="M256" s="1449">
        <v>23</v>
      </c>
      <c r="N256" s="2047">
        <v>220</v>
      </c>
      <c r="O256" s="1789">
        <v>30</v>
      </c>
      <c r="P256" s="2354">
        <v>11</v>
      </c>
      <c r="Q256" s="1448">
        <v>23</v>
      </c>
      <c r="X256" s="824">
        <f>SUM('4층_부하량(월간_AVG)'!D120:F120)</f>
        <v>0</v>
      </c>
      <c r="Y256" s="1400">
        <f>SUM('4층_부하량(월간_AVG)'!D91:F91)</f>
        <v>0</v>
      </c>
      <c r="Z256" s="2443">
        <f t="shared" ref="Z256:Z269" si="106">SUM(X256:Y256)</f>
        <v>0</v>
      </c>
      <c r="AA256" s="2685" t="e" cm="1">
        <f t="array" ref="AA256">INDEX('각층분기별_유효전력량(전월)'!$C$2:$C$2020,MATCH(1,("4-DaHall 1-PDU-12"='각층분기별_유효전력량(전월)'!$A$2:$A$2020)*("[branch#023] [A] kWh last month"='각층분기별_유효전력량(전월)'!$B$2:$B$2020),0))</f>
        <v>#N/A</v>
      </c>
      <c r="AB256" s="2702" t="e" cm="1">
        <f t="array" ref="AB256">INDEX('각층분기별_유효전력량(전월)'!$C$2:$C$2020,MATCH(1,("4-DaHall 1-PDU-11"='각층분기별_유효전력량(전월)'!$A$2:$A$2020)*("[branch#023] [A] kWh last month"='각층분기별_유효전력량(전월)'!$B$2:$B$2020),0))</f>
        <v>#N/A</v>
      </c>
      <c r="AC256" s="4024" t="e">
        <f>VLOOKUP(H256&amp;I256,'7층~4층_매핑테이블'!$A$6:$H$2020,8,0)</f>
        <v>#N/A</v>
      </c>
      <c r="AD256" s="3179" t="e">
        <f t="shared" ref="AD256:AD269" si="107">SUM(AA256:AB256)</f>
        <v>#N/A</v>
      </c>
      <c r="AE256" s="3312"/>
      <c r="AG256">
        <v>74.099999999999994</v>
      </c>
      <c r="AH256" s="1363">
        <f t="shared" si="89"/>
        <v>-74.099999999999994</v>
      </c>
      <c r="AJ256" s="2351" t="e">
        <f t="shared" si="90"/>
        <v>#N/A</v>
      </c>
      <c r="AK256" s="2351" t="e">
        <f t="shared" si="91"/>
        <v>#N/A</v>
      </c>
      <c r="AL256" s="3266" t="e">
        <f t="shared" si="92"/>
        <v>#N/A</v>
      </c>
      <c r="BD256"/>
    </row>
    <row r="257" spans="1:56" x14ac:dyDescent="0.25">
      <c r="A257" s="3308"/>
      <c r="B257" s="3330" t="s">
        <v>2533</v>
      </c>
      <c r="C257" s="3313" t="s">
        <v>11025</v>
      </c>
      <c r="D257" s="3318">
        <v>2</v>
      </c>
      <c r="E257" s="3265"/>
      <c r="F257" s="3265"/>
      <c r="G257" s="3319"/>
      <c r="H257" s="2057" t="str">
        <f t="shared" si="104"/>
        <v>4-DaHall 1-PDU-12-30-24</v>
      </c>
      <c r="I257" s="2043" t="str">
        <f t="shared" si="102"/>
        <v>4-DaHall 1-PDU-11-30-24</v>
      </c>
      <c r="J257" s="2053">
        <v>220</v>
      </c>
      <c r="K257" s="1788">
        <v>30</v>
      </c>
      <c r="L257" s="2353">
        <v>12</v>
      </c>
      <c r="M257" s="1449">
        <v>24</v>
      </c>
      <c r="N257" s="2047">
        <v>220</v>
      </c>
      <c r="O257" s="1789">
        <v>30</v>
      </c>
      <c r="P257" s="2354">
        <v>11</v>
      </c>
      <c r="Q257" s="1448">
        <v>24</v>
      </c>
      <c r="X257" s="824">
        <f>SUM('4층_부하량(월간_AVG)'!N120:P120)</f>
        <v>0</v>
      </c>
      <c r="Y257" s="1400">
        <f>SUM('4층_부하량(월간_AVG)'!N91:P91)</f>
        <v>0</v>
      </c>
      <c r="Z257" s="2443">
        <f t="shared" si="106"/>
        <v>0</v>
      </c>
      <c r="AA257" s="2685" t="e" cm="1">
        <f t="array" ref="AA257">INDEX('각층분기별_유효전력량(전월)'!$C$2:$C$2020,MATCH(1,("4-DaHall 1-PDU-12"='각층분기별_유효전력량(전월)'!$A$2:$A$2020)*("[branch#024] [A] kWh last month"='각층분기별_유효전력량(전월)'!$B$2:$B$2020),0))</f>
        <v>#N/A</v>
      </c>
      <c r="AB257" s="2702" t="e" cm="1">
        <f t="array" ref="AB257">INDEX('각층분기별_유효전력량(전월)'!$C$2:$C$2020,MATCH(1,("4-DaHall 1-PDU-11"='각층분기별_유효전력량(전월)'!$A$2:$A$2020)*("[branch#024] [A] kWh last month"='각층분기별_유효전력량(전월)'!$B$2:$B$2020),0))</f>
        <v>#N/A</v>
      </c>
      <c r="AC257" s="4024" t="e">
        <f>VLOOKUP(H257&amp;I257,'7층~4층_매핑테이블'!$A$6:$H$2020,8,0)</f>
        <v>#N/A</v>
      </c>
      <c r="AD257" s="3179" t="e">
        <f t="shared" si="107"/>
        <v>#N/A</v>
      </c>
      <c r="AE257" s="3312"/>
      <c r="AG257">
        <v>74.099999999999994</v>
      </c>
      <c r="AH257" s="1363">
        <f t="shared" si="89"/>
        <v>-74.099999999999994</v>
      </c>
      <c r="AJ257" s="2351" t="e">
        <f t="shared" si="90"/>
        <v>#N/A</v>
      </c>
      <c r="AK257" s="2351" t="e">
        <f t="shared" si="91"/>
        <v>#N/A</v>
      </c>
      <c r="AL257" s="3266" t="e">
        <f t="shared" si="92"/>
        <v>#N/A</v>
      </c>
      <c r="BD257"/>
    </row>
    <row r="258" spans="1:56" x14ac:dyDescent="0.25">
      <c r="A258" s="3308"/>
      <c r="B258" s="3330" t="s">
        <v>11035</v>
      </c>
      <c r="C258" s="3313" t="s">
        <v>11025</v>
      </c>
      <c r="D258" s="3317">
        <v>2</v>
      </c>
      <c r="E258" s="217"/>
      <c r="F258" s="3314"/>
      <c r="G258" s="3315"/>
      <c r="H258" s="2057" t="str">
        <f t="shared" si="104"/>
        <v>4-DaHall 1-PDU-12-30-25</v>
      </c>
      <c r="I258" s="2043" t="str">
        <f t="shared" si="102"/>
        <v>4-DaHall 1-PDU-11-30-25</v>
      </c>
      <c r="J258" s="2053">
        <v>220</v>
      </c>
      <c r="K258" s="1788">
        <v>30</v>
      </c>
      <c r="L258" s="2353">
        <v>12</v>
      </c>
      <c r="M258" s="1449">
        <v>25</v>
      </c>
      <c r="N258" s="2047">
        <v>220</v>
      </c>
      <c r="O258" s="1789">
        <v>30</v>
      </c>
      <c r="P258" s="2354">
        <v>11</v>
      </c>
      <c r="Q258" s="1448">
        <v>25</v>
      </c>
      <c r="X258" s="824">
        <f>SUM('4층_부하량(월간_AVG)'!D121:F121)</f>
        <v>0</v>
      </c>
      <c r="Y258" s="1400">
        <f>SUM('4층_부하량(월간_AVG)'!D92:F92)</f>
        <v>0</v>
      </c>
      <c r="Z258" s="2443">
        <f t="shared" si="106"/>
        <v>0</v>
      </c>
      <c r="AA258" s="2685" t="e" cm="1">
        <f t="array" ref="AA258">INDEX('각층분기별_유효전력량(전월)'!$C$2:$C$2020,MATCH(1,("4-DaHall 1-PDU-12"='각층분기별_유효전력량(전월)'!$A$2:$A$2020)*("[branch#025] [A] kWh last month"='각층분기별_유효전력량(전월)'!$B$2:$B$2020),0))</f>
        <v>#N/A</v>
      </c>
      <c r="AB258" s="2702" t="e" cm="1">
        <f t="array" ref="AB258">INDEX('각층분기별_유효전력량(전월)'!$C$2:$C$2020,MATCH(1,("4-DaHall 1-PDU-11"='각층분기별_유효전력량(전월)'!$A$2:$A$2020)*("[branch#025] [A] kWh last month"='각층분기별_유효전력량(전월)'!$B$2:$B$2020),0))</f>
        <v>#N/A</v>
      </c>
      <c r="AC258" s="4024" t="e">
        <f>VLOOKUP(H258&amp;I258,'7층~4층_매핑테이블'!$A$6:$H$2020,8,0)</f>
        <v>#N/A</v>
      </c>
      <c r="AD258" s="3179" t="e">
        <f t="shared" si="107"/>
        <v>#N/A</v>
      </c>
      <c r="AE258" s="3312"/>
      <c r="AG258">
        <v>74.099999999999994</v>
      </c>
      <c r="AH258" s="1363">
        <f t="shared" si="89"/>
        <v>-74.099999999999994</v>
      </c>
      <c r="AJ258" s="2351" t="e">
        <f t="shared" si="90"/>
        <v>#N/A</v>
      </c>
      <c r="AK258" s="2351" t="e">
        <f t="shared" si="91"/>
        <v>#N/A</v>
      </c>
      <c r="AL258" s="3266" t="e">
        <f t="shared" si="92"/>
        <v>#N/A</v>
      </c>
      <c r="BD258"/>
    </row>
    <row r="259" spans="1:56" x14ac:dyDescent="0.25">
      <c r="A259" s="3308"/>
      <c r="B259" s="3330" t="s">
        <v>2548</v>
      </c>
      <c r="C259" s="3313" t="s">
        <v>11025</v>
      </c>
      <c r="D259" s="3317">
        <v>2</v>
      </c>
      <c r="E259" s="217"/>
      <c r="F259" s="3314"/>
      <c r="G259" s="3315"/>
      <c r="H259" s="2057" t="str">
        <f t="shared" si="104"/>
        <v>4-DaHall 1-PDU-12-30-26</v>
      </c>
      <c r="I259" s="2043" t="str">
        <f t="shared" si="102"/>
        <v>4-DaHall 1-PDU-11-30-26</v>
      </c>
      <c r="J259" s="2053">
        <v>220</v>
      </c>
      <c r="K259" s="1788">
        <v>30</v>
      </c>
      <c r="L259" s="2353">
        <v>12</v>
      </c>
      <c r="M259" s="1449">
        <v>26</v>
      </c>
      <c r="N259" s="2047">
        <v>220</v>
      </c>
      <c r="O259" s="1789">
        <v>30</v>
      </c>
      <c r="P259" s="2354">
        <v>11</v>
      </c>
      <c r="Q259" s="1448">
        <v>26</v>
      </c>
      <c r="X259" s="824">
        <f>SUM('4층_부하량(월간_AVG)'!N121:P121)</f>
        <v>0</v>
      </c>
      <c r="Y259" s="1400">
        <f>SUM('4층_부하량(월간_AVG)'!N92:P92)</f>
        <v>0</v>
      </c>
      <c r="Z259" s="2443">
        <f t="shared" si="106"/>
        <v>0</v>
      </c>
      <c r="AA259" s="2685" t="e" cm="1">
        <f t="array" ref="AA259">INDEX('각층분기별_유효전력량(전월)'!$C$2:$C$2020,MATCH(1,("4-DaHall 1-PDU-12"='각층분기별_유효전력량(전월)'!$A$2:$A$2020)*("[branch#026] [A] kWh last month"='각층분기별_유효전력량(전월)'!$B$2:$B$2020),0))</f>
        <v>#N/A</v>
      </c>
      <c r="AB259" s="2702" t="e" cm="1">
        <f t="array" ref="AB259">INDEX('각층분기별_유효전력량(전월)'!$C$2:$C$2020,MATCH(1,("4-DaHall 1-PDU-11"='각층분기별_유효전력량(전월)'!$A$2:$A$2020)*("[branch#026] [A] kWh last month"='각층분기별_유효전력량(전월)'!$B$2:$B$2020),0))</f>
        <v>#N/A</v>
      </c>
      <c r="AC259" s="4024" t="e">
        <f>VLOOKUP(H259&amp;I259,'7층~4층_매핑테이블'!$A$6:$H$2020,8,0)</f>
        <v>#N/A</v>
      </c>
      <c r="AD259" s="3179" t="e">
        <f t="shared" si="107"/>
        <v>#N/A</v>
      </c>
      <c r="AE259" s="3312"/>
      <c r="AG259">
        <v>74.099999999999994</v>
      </c>
      <c r="AH259" s="1363">
        <f t="shared" si="89"/>
        <v>-74.099999999999994</v>
      </c>
      <c r="AJ259" s="2351" t="e">
        <f t="shared" si="90"/>
        <v>#N/A</v>
      </c>
      <c r="AK259" s="2351" t="e">
        <f t="shared" si="91"/>
        <v>#N/A</v>
      </c>
      <c r="AL259" s="3266" t="e">
        <f t="shared" si="92"/>
        <v>#N/A</v>
      </c>
      <c r="BD259"/>
    </row>
    <row r="260" spans="1:56" x14ac:dyDescent="0.25">
      <c r="A260" s="3308"/>
      <c r="B260" s="3330" t="s">
        <v>2554</v>
      </c>
      <c r="C260" s="3313" t="s">
        <v>11025</v>
      </c>
      <c r="D260" s="3316">
        <v>2</v>
      </c>
      <c r="E260" s="3264"/>
      <c r="F260" s="3260"/>
      <c r="G260" s="3261"/>
      <c r="H260" s="2057" t="str">
        <f t="shared" si="104"/>
        <v>4-DaHall 1-PDU-12-30-27</v>
      </c>
      <c r="I260" s="2043" t="str">
        <f t="shared" si="102"/>
        <v>4-DaHall 1-PDU-11-30-27</v>
      </c>
      <c r="J260" s="2053">
        <v>220</v>
      </c>
      <c r="K260" s="1788">
        <v>30</v>
      </c>
      <c r="L260" s="2353">
        <v>12</v>
      </c>
      <c r="M260" s="1449">
        <v>27</v>
      </c>
      <c r="N260" s="2047">
        <v>220</v>
      </c>
      <c r="O260" s="1789">
        <v>30</v>
      </c>
      <c r="P260" s="2354">
        <v>11</v>
      </c>
      <c r="Q260" s="1448">
        <v>27</v>
      </c>
      <c r="R260" s="3310"/>
      <c r="S260" s="3311"/>
      <c r="T260" s="3310"/>
      <c r="U260" s="3311"/>
      <c r="V260" s="3310"/>
      <c r="W260" s="3311"/>
      <c r="X260" s="824">
        <f>SUM('4층_부하량(월간_AVG)'!D122:F122)</f>
        <v>0</v>
      </c>
      <c r="Y260" s="1400">
        <f>SUM('4층_부하량(월간_AVG)'!D93:F93)</f>
        <v>0</v>
      </c>
      <c r="Z260" s="2443">
        <f t="shared" si="106"/>
        <v>0</v>
      </c>
      <c r="AA260" s="2685" t="e" cm="1">
        <f t="array" ref="AA260">INDEX('각층분기별_유효전력량(전월)'!$C$2:$C$2020,MATCH(1,("4-DaHall 1-PDU-12"='각층분기별_유효전력량(전월)'!$A$2:$A$2020)*("[branch#027] [A] kWh last month"='각층분기별_유효전력량(전월)'!$B$2:$B$2020),0))</f>
        <v>#N/A</v>
      </c>
      <c r="AB260" s="2702" t="e" cm="1">
        <f t="array" ref="AB260">INDEX('각층분기별_유효전력량(전월)'!$C$2:$C$2020,MATCH(1,("4-DaHall 1-PDU-11"='각층분기별_유효전력량(전월)'!$A$2:$A$2020)*("[branch#027] [A] kWh last month"='각층분기별_유효전력량(전월)'!$B$2:$B$2020),0))</f>
        <v>#N/A</v>
      </c>
      <c r="AC260" s="4024" t="e">
        <f>VLOOKUP(H260&amp;I260,'7층~4층_매핑테이블'!$A$6:$H$2020,8,0)</f>
        <v>#N/A</v>
      </c>
      <c r="AD260" s="3179" t="e">
        <f t="shared" si="107"/>
        <v>#N/A</v>
      </c>
      <c r="AE260" s="3312"/>
      <c r="AG260">
        <v>74.099999999999994</v>
      </c>
      <c r="AH260" s="1363">
        <f t="shared" si="89"/>
        <v>-74.099999999999994</v>
      </c>
      <c r="AJ260" s="2351" t="e">
        <f t="shared" si="90"/>
        <v>#N/A</v>
      </c>
      <c r="AK260" s="2351" t="e">
        <f t="shared" si="91"/>
        <v>#N/A</v>
      </c>
      <c r="AL260" s="3266" t="e">
        <f t="shared" si="92"/>
        <v>#N/A</v>
      </c>
      <c r="AR260" s="3266"/>
      <c r="AS260" s="3266"/>
      <c r="AU260" s="2982"/>
      <c r="AV260" s="3266"/>
      <c r="AW260" s="3266"/>
      <c r="AX260" s="2983"/>
      <c r="AY260" s="2984"/>
      <c r="AZ260" s="2985"/>
      <c r="BA260" s="3018"/>
      <c r="BB260" s="3019"/>
      <c r="BC260" s="2988"/>
      <c r="BD260" s="3266"/>
    </row>
    <row r="261" spans="1:56" x14ac:dyDescent="0.25">
      <c r="A261" s="3308"/>
      <c r="B261" s="3330" t="s">
        <v>2561</v>
      </c>
      <c r="C261" s="3313" t="s">
        <v>11025</v>
      </c>
      <c r="D261" s="3317">
        <v>2</v>
      </c>
      <c r="E261" s="3264"/>
      <c r="F261" s="3260"/>
      <c r="G261" s="3309"/>
      <c r="H261" s="2057" t="str">
        <f>"4-DaHall 1-PDU-"&amp;L261&amp;"-"&amp;K261&amp;"-"&amp;M261</f>
        <v>4-DaHall 1-PDU-12-30-28</v>
      </c>
      <c r="I261" s="2043" t="str">
        <f t="shared" si="102"/>
        <v>4-DaHall 1-PDU-11-30-28</v>
      </c>
      <c r="J261" s="2053">
        <v>220</v>
      </c>
      <c r="K261" s="1788">
        <v>30</v>
      </c>
      <c r="L261" s="2353">
        <v>12</v>
      </c>
      <c r="M261" s="1449">
        <v>28</v>
      </c>
      <c r="N261" s="2047">
        <v>220</v>
      </c>
      <c r="O261" s="1789">
        <v>30</v>
      </c>
      <c r="P261" s="2354">
        <v>11</v>
      </c>
      <c r="Q261" s="1448">
        <v>28</v>
      </c>
      <c r="R261" s="3310"/>
      <c r="S261" s="3311"/>
      <c r="T261" s="3310"/>
      <c r="U261" s="3311"/>
      <c r="V261" s="3310"/>
      <c r="W261" s="3311"/>
      <c r="X261" s="824">
        <f>SUM('4층_부하량(월간_AVG)'!N122:P122)</f>
        <v>0</v>
      </c>
      <c r="Y261" s="1400">
        <f>SUM('4층_부하량(월간_AVG)'!N93:P93)</f>
        <v>0</v>
      </c>
      <c r="Z261" s="2443">
        <f t="shared" si="106"/>
        <v>0</v>
      </c>
      <c r="AA261" s="2685" t="e" cm="1">
        <f t="array" ref="AA261">INDEX('각층분기별_유효전력량(전월)'!$C$2:$C$2020,MATCH(1,("4-DaHall 1-PDU-12"='각층분기별_유효전력량(전월)'!$A$2:$A$2020)*("[branch#028] [A] kWh last month"='각층분기별_유효전력량(전월)'!$B$2:$B$2020),0))</f>
        <v>#N/A</v>
      </c>
      <c r="AB261" s="2702" t="e" cm="1">
        <f t="array" ref="AB261">INDEX('각층분기별_유효전력량(전월)'!$C$2:$C$2020,MATCH(1,("4-DaHall 1-PDU-11"='각층분기별_유효전력량(전월)'!$A$2:$A$2020)*("[branch#028] [A] kWh last month"='각층분기별_유효전력량(전월)'!$B$2:$B$2020),0))</f>
        <v>#N/A</v>
      </c>
      <c r="AC261" s="4024" t="e">
        <f>VLOOKUP(H261&amp;I261,'7층~4층_매핑테이블'!$A$6:$H$2020,8,0)</f>
        <v>#N/A</v>
      </c>
      <c r="AD261" s="3179" t="e">
        <f t="shared" si="107"/>
        <v>#N/A</v>
      </c>
      <c r="AE261" s="3312"/>
      <c r="AG261">
        <v>74.099999999999994</v>
      </c>
      <c r="AH261" s="1363">
        <f t="shared" si="89"/>
        <v>-74.099999999999994</v>
      </c>
      <c r="AJ261" s="2351" t="e">
        <f t="shared" si="90"/>
        <v>#N/A</v>
      </c>
      <c r="AK261" s="2351" t="e">
        <f t="shared" si="91"/>
        <v>#N/A</v>
      </c>
      <c r="AL261" s="3266" t="e">
        <f t="shared" si="92"/>
        <v>#N/A</v>
      </c>
      <c r="AR261" s="3266"/>
      <c r="AS261" s="3266"/>
      <c r="AU261" s="2982"/>
      <c r="AV261" s="3266"/>
      <c r="AW261" s="3266"/>
      <c r="AX261" s="2983"/>
      <c r="AY261" s="2984"/>
      <c r="AZ261" s="2985"/>
      <c r="BA261" s="3018"/>
      <c r="BB261" s="3019"/>
      <c r="BC261" s="2988"/>
      <c r="BD261" s="3266"/>
    </row>
    <row r="262" spans="1:56" x14ac:dyDescent="0.25">
      <c r="A262" s="3308"/>
      <c r="B262" s="3330" t="s">
        <v>2567</v>
      </c>
      <c r="C262" s="3313" t="s">
        <v>11025</v>
      </c>
      <c r="D262" s="3318">
        <v>2</v>
      </c>
      <c r="E262" s="3265"/>
      <c r="F262" s="3265"/>
      <c r="G262" s="3319"/>
      <c r="H262" s="2057" t="str">
        <f t="shared" ref="H262:H285" si="108">"4-DaHall 1-PDU-"&amp;L262&amp;"-"&amp;K262&amp;"-"&amp;M262</f>
        <v>4-DaHall 1-PDU-12-30-29</v>
      </c>
      <c r="I262" s="2043" t="str">
        <f t="shared" si="102"/>
        <v>4-DaHall 1-PDU-11-30-29</v>
      </c>
      <c r="J262" s="2053">
        <v>220</v>
      </c>
      <c r="K262" s="1788">
        <v>30</v>
      </c>
      <c r="L262" s="2353">
        <v>12</v>
      </c>
      <c r="M262" s="1449">
        <v>29</v>
      </c>
      <c r="N262" s="2047">
        <v>220</v>
      </c>
      <c r="O262" s="1789">
        <v>30</v>
      </c>
      <c r="P262" s="2354">
        <v>11</v>
      </c>
      <c r="Q262" s="1448">
        <v>29</v>
      </c>
      <c r="R262" s="3310"/>
      <c r="S262" s="3311"/>
      <c r="T262" s="3310"/>
      <c r="U262" s="3311"/>
      <c r="V262" s="3310"/>
      <c r="W262" s="3311"/>
      <c r="X262" s="824">
        <f>SUM('4층_부하량(월간_AVG)'!D123:F123)</f>
        <v>0</v>
      </c>
      <c r="Y262" s="1400">
        <f>SUM('4층_부하량(월간_AVG)'!D94:F94)</f>
        <v>0</v>
      </c>
      <c r="Z262" s="2443">
        <f t="shared" si="106"/>
        <v>0</v>
      </c>
      <c r="AA262" s="2685" t="e" cm="1">
        <f t="array" ref="AA262">INDEX('각층분기별_유효전력량(전월)'!$C$2:$C$2020,MATCH(1,("4-DaHall 1-PDU-12"='각층분기별_유효전력량(전월)'!$A$2:$A$2020)*("[branch#029] [A] kWh last month"='각층분기별_유효전력량(전월)'!$B$2:$B$2020),0))</f>
        <v>#N/A</v>
      </c>
      <c r="AB262" s="2702" t="e" cm="1">
        <f t="array" ref="AB262">INDEX('각층분기별_유효전력량(전월)'!$C$2:$C$2020,MATCH(1,("4-DaHall 1-PDU-11"='각층분기별_유효전력량(전월)'!$A$2:$A$2020)*("[branch#029] [A] kWh last month"='각층분기별_유효전력량(전월)'!$B$2:$B$2020),0))</f>
        <v>#N/A</v>
      </c>
      <c r="AC262" s="4024" t="e">
        <f>VLOOKUP(H262&amp;I262,'7층~4층_매핑테이블'!$A$6:$H$2020,8,0)</f>
        <v>#N/A</v>
      </c>
      <c r="AD262" s="3179" t="e">
        <f t="shared" si="107"/>
        <v>#N/A</v>
      </c>
      <c r="AE262" s="3312"/>
      <c r="AG262">
        <v>74.099999999999994</v>
      </c>
      <c r="AH262" s="1363">
        <f t="shared" si="89"/>
        <v>-74.099999999999994</v>
      </c>
      <c r="AJ262" s="2351" t="e">
        <f t="shared" si="90"/>
        <v>#N/A</v>
      </c>
      <c r="AK262" s="2351" t="e">
        <f t="shared" si="91"/>
        <v>#N/A</v>
      </c>
      <c r="AL262" s="3266" t="e">
        <f t="shared" si="92"/>
        <v>#N/A</v>
      </c>
      <c r="AR262" s="3266"/>
      <c r="AS262" s="3266"/>
      <c r="AU262" s="2982"/>
      <c r="AV262" s="3266"/>
      <c r="AW262" s="3266"/>
      <c r="AX262" s="2983"/>
      <c r="AY262" s="2984"/>
      <c r="AZ262" s="2985"/>
      <c r="BA262" s="3018"/>
      <c r="BB262" s="3019"/>
      <c r="BC262" s="2988"/>
      <c r="BD262" s="3266"/>
    </row>
    <row r="263" spans="1:56" x14ac:dyDescent="0.25">
      <c r="A263" s="3308"/>
      <c r="B263" s="3330" t="s">
        <v>2578</v>
      </c>
      <c r="C263" s="3313" t="s">
        <v>11025</v>
      </c>
      <c r="D263" s="3318">
        <v>2</v>
      </c>
      <c r="E263" s="3265"/>
      <c r="F263" s="3265"/>
      <c r="G263" s="3319"/>
      <c r="H263" s="2057" t="str">
        <f t="shared" si="108"/>
        <v>4-DaHall 1-PDU-12-30-30</v>
      </c>
      <c r="I263" s="2043" t="str">
        <f t="shared" si="102"/>
        <v>4-DaHall 1-PDU-11-30-30</v>
      </c>
      <c r="J263" s="2053">
        <v>220</v>
      </c>
      <c r="K263" s="1788">
        <v>30</v>
      </c>
      <c r="L263" s="2353">
        <v>12</v>
      </c>
      <c r="M263" s="1449">
        <v>30</v>
      </c>
      <c r="N263" s="2047">
        <v>220</v>
      </c>
      <c r="O263" s="1789">
        <v>30</v>
      </c>
      <c r="P263" s="2354">
        <v>11</v>
      </c>
      <c r="Q263" s="1448">
        <v>30</v>
      </c>
      <c r="X263" s="824">
        <f>SUM('4층_부하량(월간_AVG)'!N123:P123)</f>
        <v>0</v>
      </c>
      <c r="Y263" s="1400">
        <f>SUM('4층_부하량(월간_AVG)'!N94:P94)</f>
        <v>0</v>
      </c>
      <c r="Z263" s="2443">
        <f t="shared" si="106"/>
        <v>0</v>
      </c>
      <c r="AA263" s="2685" t="e" cm="1">
        <f t="array" ref="AA263">INDEX('각층분기별_유효전력량(전월)'!$C$2:$C$2020,MATCH(1,("4-DaHall 1-PDU-12"='각층분기별_유효전력량(전월)'!$A$2:$A$2020)*("[branch#030] [A] kWh last month"='각층분기별_유효전력량(전월)'!$B$2:$B$2020),0))</f>
        <v>#N/A</v>
      </c>
      <c r="AB263" s="2702" t="e" cm="1">
        <f t="array" ref="AB263">INDEX('각층분기별_유효전력량(전월)'!$C$2:$C$2020,MATCH(1,("4-DaHall 1-PDU-11"='각층분기별_유효전력량(전월)'!$A$2:$A$2020)*("[branch#030] [A] kWh last month"='각층분기별_유효전력량(전월)'!$B$2:$B$2020),0))</f>
        <v>#N/A</v>
      </c>
      <c r="AC263" s="4024" t="e">
        <f>VLOOKUP(H263&amp;I263,'7층~4층_매핑테이블'!$A$6:$H$2020,8,0)</f>
        <v>#N/A</v>
      </c>
      <c r="AD263" s="3179" t="e">
        <f t="shared" si="107"/>
        <v>#N/A</v>
      </c>
      <c r="AE263" s="3312"/>
      <c r="AG263">
        <v>74.099999999999994</v>
      </c>
      <c r="AH263" s="1363">
        <f t="shared" si="89"/>
        <v>-74.099999999999994</v>
      </c>
      <c r="AJ263" s="2351" t="e">
        <f t="shared" si="90"/>
        <v>#N/A</v>
      </c>
      <c r="AK263" s="2351" t="e">
        <f t="shared" si="91"/>
        <v>#N/A</v>
      </c>
      <c r="AL263" s="3266" t="e">
        <f t="shared" si="92"/>
        <v>#N/A</v>
      </c>
      <c r="BD263"/>
    </row>
    <row r="264" spans="1:56" x14ac:dyDescent="0.25">
      <c r="A264" s="3308"/>
      <c r="B264" s="3330" t="s">
        <v>2584</v>
      </c>
      <c r="C264" s="3313" t="s">
        <v>11025</v>
      </c>
      <c r="D264" s="3317">
        <v>2</v>
      </c>
      <c r="E264" s="217"/>
      <c r="F264" s="3314"/>
      <c r="G264" s="3315"/>
      <c r="H264" s="2057" t="str">
        <f t="shared" si="108"/>
        <v>4-DaHall 1-PDU-12-30-31</v>
      </c>
      <c r="I264" s="2043" t="str">
        <f t="shared" si="102"/>
        <v>4-DaHall 1-PDU-11-30-31</v>
      </c>
      <c r="J264" s="2053">
        <v>220</v>
      </c>
      <c r="K264" s="1788">
        <v>30</v>
      </c>
      <c r="L264" s="2353">
        <v>12</v>
      </c>
      <c r="M264" s="1449">
        <v>31</v>
      </c>
      <c r="N264" s="2047">
        <v>220</v>
      </c>
      <c r="O264" s="1789">
        <v>30</v>
      </c>
      <c r="P264" s="2354">
        <v>11</v>
      </c>
      <c r="Q264" s="1448">
        <v>31</v>
      </c>
      <c r="X264" s="824">
        <f>SUM('4층_부하량(월간_AVG)'!D124:F124)</f>
        <v>0</v>
      </c>
      <c r="Y264" s="1400">
        <f>SUM('4층_부하량(월간_AVG)'!D95:F95)</f>
        <v>0</v>
      </c>
      <c r="Z264" s="2443">
        <f t="shared" si="106"/>
        <v>0</v>
      </c>
      <c r="AA264" s="2685" t="e" cm="1">
        <f t="array" ref="AA264">INDEX('각층분기별_유효전력량(전월)'!$C$2:$C$2020,MATCH(1,("4-DaHall 1-PDU-12"='각층분기별_유효전력량(전월)'!$A$2:$A$2020)*("[branch#031] [A] kWh last month"='각층분기별_유효전력량(전월)'!$B$2:$B$2020),0))</f>
        <v>#N/A</v>
      </c>
      <c r="AB264" s="2702" t="e" cm="1">
        <f t="array" ref="AB264">INDEX('각층분기별_유효전력량(전월)'!$C$2:$C$2020,MATCH(1,("4-DaHall 1-PDU-11"='각층분기별_유효전력량(전월)'!$A$2:$A$2020)*("[branch#031] [A] kWh last month"='각층분기별_유효전력량(전월)'!$B$2:$B$2020),0))</f>
        <v>#N/A</v>
      </c>
      <c r="AC264" s="4024" t="e">
        <f>VLOOKUP(H264&amp;I264,'7층~4층_매핑테이블'!$A$6:$H$2020,8,0)</f>
        <v>#N/A</v>
      </c>
      <c r="AD264" s="3179" t="e">
        <f t="shared" si="107"/>
        <v>#N/A</v>
      </c>
      <c r="AE264" s="3312"/>
      <c r="AG264">
        <v>74.099999999999994</v>
      </c>
      <c r="AH264" s="1363">
        <f t="shared" si="89"/>
        <v>-74.099999999999994</v>
      </c>
      <c r="AJ264" s="2351" t="e">
        <f t="shared" si="90"/>
        <v>#N/A</v>
      </c>
      <c r="AK264" s="2351" t="e">
        <f t="shared" si="91"/>
        <v>#N/A</v>
      </c>
      <c r="AL264" s="3266" t="e">
        <f t="shared" si="92"/>
        <v>#N/A</v>
      </c>
      <c r="BD264"/>
    </row>
    <row r="265" spans="1:56" x14ac:dyDescent="0.25">
      <c r="A265" s="3308"/>
      <c r="B265" s="3330" t="s">
        <v>2591</v>
      </c>
      <c r="C265" s="3313" t="s">
        <v>11025</v>
      </c>
      <c r="D265" s="3318">
        <v>2</v>
      </c>
      <c r="E265" s="3265"/>
      <c r="F265" s="3265"/>
      <c r="G265" s="3319"/>
      <c r="H265" s="2057" t="str">
        <f t="shared" si="108"/>
        <v>4-DaHall 1-PDU-12-30-32</v>
      </c>
      <c r="I265" s="2043" t="str">
        <f t="shared" si="102"/>
        <v>4-DaHall 1-PDU-11-30-32</v>
      </c>
      <c r="J265" s="2053">
        <v>220</v>
      </c>
      <c r="K265" s="1788">
        <v>30</v>
      </c>
      <c r="L265" s="2353">
        <v>12</v>
      </c>
      <c r="M265" s="1449">
        <v>32</v>
      </c>
      <c r="N265" s="2047">
        <v>220</v>
      </c>
      <c r="O265" s="1789">
        <v>30</v>
      </c>
      <c r="P265" s="2354">
        <v>11</v>
      </c>
      <c r="Q265" s="1448">
        <v>32</v>
      </c>
      <c r="X265" s="824">
        <f>SUM('4층_부하량(월간_AVG)'!N124:P124)</f>
        <v>0</v>
      </c>
      <c r="Y265" s="1400">
        <f>SUM('4층_부하량(월간_AVG)'!N95:P95)</f>
        <v>0</v>
      </c>
      <c r="Z265" s="2443">
        <f t="shared" si="106"/>
        <v>0</v>
      </c>
      <c r="AA265" s="2685" t="e" cm="1">
        <f t="array" ref="AA265">INDEX('각층분기별_유효전력량(전월)'!$C$2:$C$2020,MATCH(1,("4-DaHall 1-PDU-12"='각층분기별_유효전력량(전월)'!$A$2:$A$2020)*("[branch#032] [A] kWh last month"='각층분기별_유효전력량(전월)'!$B$2:$B$2020),0))</f>
        <v>#N/A</v>
      </c>
      <c r="AB265" s="2702" t="e" cm="1">
        <f t="array" ref="AB265">INDEX('각층분기별_유효전력량(전월)'!$C$2:$C$2020,MATCH(1,("4-DaHall 1-PDU-11"='각층분기별_유효전력량(전월)'!$A$2:$A$2020)*("[branch#032] [A] kWh last month"='각층분기별_유효전력량(전월)'!$B$2:$B$2020),0))</f>
        <v>#N/A</v>
      </c>
      <c r="AC265" s="4024" t="e">
        <f>VLOOKUP(H265&amp;I265,'7층~4층_매핑테이블'!$A$6:$H$2020,8,0)</f>
        <v>#N/A</v>
      </c>
      <c r="AD265" s="3179" t="e">
        <f t="shared" si="107"/>
        <v>#N/A</v>
      </c>
      <c r="AE265" s="3312"/>
      <c r="AG265">
        <v>74.099999999999994</v>
      </c>
      <c r="AH265" s="1363">
        <f t="shared" si="89"/>
        <v>-74.099999999999994</v>
      </c>
      <c r="AJ265" s="2351" t="e">
        <f t="shared" si="90"/>
        <v>#N/A</v>
      </c>
      <c r="AK265" s="2351" t="e">
        <f t="shared" si="91"/>
        <v>#N/A</v>
      </c>
      <c r="AL265" s="3266" t="e">
        <f t="shared" si="92"/>
        <v>#N/A</v>
      </c>
      <c r="BD265"/>
    </row>
    <row r="266" spans="1:56" x14ac:dyDescent="0.25">
      <c r="A266" s="3308"/>
      <c r="B266" s="3330" t="s">
        <v>11036</v>
      </c>
      <c r="C266" s="3313" t="s">
        <v>11025</v>
      </c>
      <c r="D266" s="3317">
        <v>2</v>
      </c>
      <c r="E266" s="217"/>
      <c r="F266" s="3314"/>
      <c r="G266" s="3315"/>
      <c r="H266" s="2057" t="str">
        <f t="shared" si="108"/>
        <v>4-DaHall 1-PDU-12-30-33</v>
      </c>
      <c r="I266" s="2043" t="str">
        <f t="shared" si="102"/>
        <v>4-DaHall 1-PDU-11-30-33</v>
      </c>
      <c r="J266" s="2053">
        <v>220</v>
      </c>
      <c r="K266" s="1788">
        <v>30</v>
      </c>
      <c r="L266" s="2353">
        <v>12</v>
      </c>
      <c r="M266" s="1449">
        <v>33</v>
      </c>
      <c r="N266" s="2047">
        <v>220</v>
      </c>
      <c r="O266" s="1789">
        <v>30</v>
      </c>
      <c r="P266" s="2354">
        <v>11</v>
      </c>
      <c r="Q266" s="1448">
        <v>33</v>
      </c>
      <c r="X266" s="824">
        <f>SUM('4층_부하량(월간_AVG)'!D125:F125)</f>
        <v>0</v>
      </c>
      <c r="Y266" s="1400">
        <f>SUM('4층_부하량(월간_AVG)'!D96:F96)</f>
        <v>0</v>
      </c>
      <c r="Z266" s="2443">
        <f t="shared" si="106"/>
        <v>0</v>
      </c>
      <c r="AA266" s="2685" t="e" cm="1">
        <f t="array" ref="AA266">INDEX('각층분기별_유효전력량(전월)'!$C$2:$C$2020,MATCH(1,("4-DaHall 1-PDU-12"='각층분기별_유효전력량(전월)'!$A$2:$A$2020)*("[branch#033] [A] kWh last month"='각층분기별_유효전력량(전월)'!$B$2:$B$2020),0))</f>
        <v>#N/A</v>
      </c>
      <c r="AB266" s="2702" t="e" cm="1">
        <f t="array" ref="AB266">INDEX('각층분기별_유효전력량(전월)'!$C$2:$C$2020,MATCH(1,("4-DaHall 1-PDU-11"='각층분기별_유효전력량(전월)'!$A$2:$A$2020)*("[branch#033] [A] kWh last month"='각층분기별_유효전력량(전월)'!$B$2:$B$2020),0))</f>
        <v>#N/A</v>
      </c>
      <c r="AC266" s="4024" t="e">
        <f>VLOOKUP(H266&amp;I266,'7층~4층_매핑테이블'!$A$6:$H$2020,8,0)</f>
        <v>#N/A</v>
      </c>
      <c r="AD266" s="3179" t="e">
        <f t="shared" si="107"/>
        <v>#N/A</v>
      </c>
      <c r="AE266" s="3312"/>
      <c r="AG266">
        <v>74.099999999999994</v>
      </c>
      <c r="AH266" s="1363">
        <f t="shared" ref="AH266:AH297" si="109">Z266-AG266</f>
        <v>-74.099999999999994</v>
      </c>
      <c r="AJ266" s="2351" t="e">
        <f t="shared" si="90"/>
        <v>#N/A</v>
      </c>
      <c r="AK266" s="2351" t="e">
        <f t="shared" ref="AK266:AK297" si="110">D266-AJ266</f>
        <v>#N/A</v>
      </c>
      <c r="AL266" s="3266" t="e">
        <f t="shared" si="92"/>
        <v>#N/A</v>
      </c>
      <c r="BD266"/>
    </row>
    <row r="267" spans="1:56" x14ac:dyDescent="0.25">
      <c r="A267" s="3308"/>
      <c r="B267" s="3330" t="s">
        <v>2608</v>
      </c>
      <c r="C267" s="3313" t="s">
        <v>11025</v>
      </c>
      <c r="D267" s="3318">
        <v>2</v>
      </c>
      <c r="E267" s="3265"/>
      <c r="F267" s="3265"/>
      <c r="G267" s="3319"/>
      <c r="H267" s="2057" t="str">
        <f t="shared" si="108"/>
        <v>4-DaHall 1-PDU-12-30-34</v>
      </c>
      <c r="I267" s="2043" t="str">
        <f t="shared" si="102"/>
        <v>4-DaHall 1-PDU-11-30-34</v>
      </c>
      <c r="J267" s="2053">
        <v>220</v>
      </c>
      <c r="K267" s="1788">
        <v>30</v>
      </c>
      <c r="L267" s="2353">
        <v>12</v>
      </c>
      <c r="M267" s="1449">
        <v>34</v>
      </c>
      <c r="N267" s="2047">
        <v>220</v>
      </c>
      <c r="O267" s="1789">
        <v>30</v>
      </c>
      <c r="P267" s="2354">
        <v>11</v>
      </c>
      <c r="Q267" s="1448">
        <v>34</v>
      </c>
      <c r="X267" s="824">
        <f>SUM('4층_부하량(월간_AVG)'!N125:P125)</f>
        <v>0</v>
      </c>
      <c r="Y267" s="1400">
        <f>SUM('4층_부하량(월간_AVG)'!N96:P96)</f>
        <v>0</v>
      </c>
      <c r="Z267" s="2443">
        <f t="shared" si="106"/>
        <v>0</v>
      </c>
      <c r="AA267" s="2685" t="e" cm="1">
        <f t="array" ref="AA267">INDEX('각층분기별_유효전력량(전월)'!$C$2:$C$2020,MATCH(1,("4-DaHall 1-PDU-12"='각층분기별_유효전력량(전월)'!$A$2:$A$2020)*("[branch#034] [A] kWh last month"='각층분기별_유효전력량(전월)'!$B$2:$B$2020),0))</f>
        <v>#N/A</v>
      </c>
      <c r="AB267" s="2702" t="e" cm="1">
        <f t="array" ref="AB267">INDEX('각층분기별_유효전력량(전월)'!$C$2:$C$2020,MATCH(1,("4-DaHall 1-PDU-11"='각층분기별_유효전력량(전월)'!$A$2:$A$2020)*("[branch#034] [A] kWh last month"='각층분기별_유효전력량(전월)'!$B$2:$B$2020),0))</f>
        <v>#N/A</v>
      </c>
      <c r="AC267" s="4024" t="e">
        <f>VLOOKUP(H267&amp;I267,'7층~4층_매핑테이블'!$A$6:$H$2020,8,0)</f>
        <v>#N/A</v>
      </c>
      <c r="AD267" s="3179" t="e">
        <f t="shared" si="107"/>
        <v>#N/A</v>
      </c>
      <c r="AE267" s="3312"/>
      <c r="AG267">
        <v>74.099999999999994</v>
      </c>
      <c r="AH267" s="1363">
        <f t="shared" si="109"/>
        <v>-74.099999999999994</v>
      </c>
      <c r="AJ267" s="2351" t="e">
        <f t="shared" si="90"/>
        <v>#N/A</v>
      </c>
      <c r="AK267" s="2351" t="e">
        <f t="shared" si="110"/>
        <v>#N/A</v>
      </c>
      <c r="AL267" s="3266" t="e">
        <f t="shared" si="92"/>
        <v>#N/A</v>
      </c>
      <c r="BD267"/>
    </row>
    <row r="268" spans="1:56" x14ac:dyDescent="0.25">
      <c r="A268" s="3308"/>
      <c r="B268" s="3330" t="s">
        <v>11037</v>
      </c>
      <c r="C268" s="3313" t="s">
        <v>11025</v>
      </c>
      <c r="D268" s="3317">
        <v>2</v>
      </c>
      <c r="E268" s="217"/>
      <c r="F268" s="3314"/>
      <c r="G268" s="3315"/>
      <c r="H268" s="2057" t="str">
        <f t="shared" si="108"/>
        <v>4-DaHall 1-PDU-12-30-35</v>
      </c>
      <c r="I268" s="2043" t="str">
        <f t="shared" si="102"/>
        <v>4-DaHall 1-PDU-11-30-35</v>
      </c>
      <c r="J268" s="2053">
        <v>220</v>
      </c>
      <c r="K268" s="1788">
        <v>30</v>
      </c>
      <c r="L268" s="2353">
        <v>12</v>
      </c>
      <c r="M268" s="1449">
        <v>35</v>
      </c>
      <c r="N268" s="2047">
        <v>220</v>
      </c>
      <c r="O268" s="1789">
        <v>30</v>
      </c>
      <c r="P268" s="2354">
        <v>11</v>
      </c>
      <c r="Q268" s="1448">
        <v>35</v>
      </c>
      <c r="X268" s="824">
        <f>SUM('4층_부하량(월간_AVG)'!D126:F126)</f>
        <v>0</v>
      </c>
      <c r="Y268" s="1400">
        <f>SUM('4층_부하량(월간_AVG)'!D97:F97)</f>
        <v>0</v>
      </c>
      <c r="Z268" s="2443">
        <f t="shared" si="106"/>
        <v>0</v>
      </c>
      <c r="AA268" s="2685" t="e" cm="1">
        <f t="array" ref="AA268">INDEX('각층분기별_유효전력량(전월)'!$C$2:$C$2020,MATCH(1,("4-DaHall 1-PDU-12"='각층분기별_유효전력량(전월)'!$A$2:$A$2020)*("[branch#035] [A] kWh last month"='각층분기별_유효전력량(전월)'!$B$2:$B$2020),0))</f>
        <v>#N/A</v>
      </c>
      <c r="AB268" s="2702" t="e" cm="1">
        <f t="array" ref="AB268">INDEX('각층분기별_유효전력량(전월)'!$C$2:$C$2020,MATCH(1,("4-DaHall 1-PDU-11"='각층분기별_유효전력량(전월)'!$A$2:$A$2020)*("[branch#035] [A] kWh last month"='각층분기별_유효전력량(전월)'!$B$2:$B$2020),0))</f>
        <v>#N/A</v>
      </c>
      <c r="AC268" s="4024" t="e">
        <f>VLOOKUP(H268&amp;I268,'7층~4층_매핑테이블'!$A$6:$H$2020,8,0)</f>
        <v>#N/A</v>
      </c>
      <c r="AD268" s="3179" t="e">
        <f t="shared" si="107"/>
        <v>#N/A</v>
      </c>
      <c r="AE268" s="3312"/>
      <c r="AG268">
        <v>74.099999999999994</v>
      </c>
      <c r="AH268" s="1363">
        <f t="shared" si="109"/>
        <v>-74.099999999999994</v>
      </c>
      <c r="AJ268" s="2351" t="e">
        <f t="shared" si="90"/>
        <v>#N/A</v>
      </c>
      <c r="AK268" s="2351" t="e">
        <f t="shared" si="110"/>
        <v>#N/A</v>
      </c>
      <c r="AL268" s="3266" t="e">
        <f t="shared" si="92"/>
        <v>#N/A</v>
      </c>
      <c r="BD268"/>
    </row>
    <row r="269" spans="1:56" x14ac:dyDescent="0.25">
      <c r="A269" s="3308"/>
      <c r="B269" s="3330" t="s">
        <v>2633</v>
      </c>
      <c r="C269" s="3313" t="s">
        <v>11025</v>
      </c>
      <c r="D269" s="3317">
        <v>2</v>
      </c>
      <c r="E269" s="217"/>
      <c r="F269" s="3314"/>
      <c r="G269" s="3315"/>
      <c r="H269" s="2057" t="str">
        <f t="shared" si="108"/>
        <v>4-DaHall 1-PDU-12-30-36</v>
      </c>
      <c r="I269" s="2043" t="str">
        <f t="shared" si="102"/>
        <v>4-DaHall 1-PDU-11-30-36</v>
      </c>
      <c r="J269" s="2053">
        <v>220</v>
      </c>
      <c r="K269" s="1788">
        <v>30</v>
      </c>
      <c r="L269" s="2353">
        <v>12</v>
      </c>
      <c r="M269" s="1449">
        <v>36</v>
      </c>
      <c r="N269" s="2047">
        <v>220</v>
      </c>
      <c r="O269" s="1789">
        <v>30</v>
      </c>
      <c r="P269" s="2354">
        <v>11</v>
      </c>
      <c r="Q269" s="1448">
        <v>36</v>
      </c>
      <c r="X269" s="824">
        <f>SUM('4층_부하량(월간_AVG)'!N126:P126)</f>
        <v>0</v>
      </c>
      <c r="Y269" s="1400">
        <f>SUM('4층_부하량(월간_AVG)'!N97:P97)</f>
        <v>0</v>
      </c>
      <c r="Z269" s="2443">
        <f t="shared" si="106"/>
        <v>0</v>
      </c>
      <c r="AA269" s="2685" t="e" cm="1">
        <f t="array" ref="AA269">INDEX('각층분기별_유효전력량(전월)'!$C$2:$C$2020,MATCH(1,("4-DaHall 1-PDU-12"='각층분기별_유효전력량(전월)'!$A$2:$A$2020)*("[branch#036] [A] kWh last month"='각층분기별_유효전력량(전월)'!$B$2:$B$2020),0))</f>
        <v>#N/A</v>
      </c>
      <c r="AB269" s="2702" t="e" cm="1">
        <f t="array" ref="AB269">INDEX('각층분기별_유효전력량(전월)'!$C$2:$C$2020,MATCH(1,("4-DaHall 1-PDU-11"='각층분기별_유효전력량(전월)'!$A$2:$A$2020)*("[branch#036] [A] kWh last month"='각층분기별_유효전력량(전월)'!$B$2:$B$2020),0))</f>
        <v>#N/A</v>
      </c>
      <c r="AC269" s="4024" t="e">
        <f>VLOOKUP(H269&amp;I269,'7층~4층_매핑테이블'!$A$6:$H$2020,8,0)</f>
        <v>#N/A</v>
      </c>
      <c r="AD269" s="3179" t="e">
        <f t="shared" si="107"/>
        <v>#N/A</v>
      </c>
      <c r="AE269" s="3312"/>
      <c r="AG269">
        <v>74.099999999999994</v>
      </c>
      <c r="AH269" s="1363">
        <f t="shared" si="109"/>
        <v>-74.099999999999994</v>
      </c>
      <c r="AJ269" s="2351" t="e">
        <f t="shared" si="90"/>
        <v>#N/A</v>
      </c>
      <c r="AK269" s="2351" t="e">
        <f t="shared" si="110"/>
        <v>#N/A</v>
      </c>
      <c r="AL269" s="3266" t="e">
        <f t="shared" si="92"/>
        <v>#N/A</v>
      </c>
      <c r="BD269"/>
    </row>
    <row r="270" spans="1:56" x14ac:dyDescent="0.25">
      <c r="A270" s="3308"/>
      <c r="B270" s="3937" t="s">
        <v>11038</v>
      </c>
      <c r="C270" s="3931" t="s">
        <v>11023</v>
      </c>
      <c r="D270" s="3939">
        <v>4</v>
      </c>
      <c r="E270" s="3528"/>
      <c r="F270" s="3528"/>
      <c r="G270" s="3528"/>
      <c r="H270" s="2057" t="str">
        <f t="shared" si="108"/>
        <v>4-DaHall 1-PDU-14-30-5</v>
      </c>
      <c r="I270" s="2043" t="str">
        <f t="shared" si="102"/>
        <v>4-DaHall 1-PDU-13-30-5</v>
      </c>
      <c r="J270" s="2053">
        <v>220</v>
      </c>
      <c r="K270" s="1788">
        <v>30</v>
      </c>
      <c r="L270" s="2353">
        <v>14</v>
      </c>
      <c r="M270" s="1449">
        <v>5</v>
      </c>
      <c r="N270" s="2047">
        <v>220</v>
      </c>
      <c r="O270" s="1789">
        <v>30</v>
      </c>
      <c r="P270" s="2354">
        <v>13</v>
      </c>
      <c r="Q270" s="1448">
        <v>5</v>
      </c>
      <c r="R270" s="3310"/>
      <c r="S270" s="3311"/>
      <c r="T270" s="3310"/>
      <c r="U270" s="3311"/>
      <c r="V270" s="3310"/>
      <c r="W270" s="3311"/>
      <c r="X270" s="824">
        <f>SUM('4층_부하량(월간_AVG)'!D171:F171)</f>
        <v>0</v>
      </c>
      <c r="Y270" s="1400">
        <f>SUM('4층_부하량(월간_AVG)'!D140:F140)</f>
        <v>0</v>
      </c>
      <c r="Z270" s="3934">
        <f>SUM(X270:Y271)</f>
        <v>0</v>
      </c>
      <c r="AA270" s="2685" t="e" cm="1">
        <f t="array" ref="AA270">INDEX('각층분기별_유효전력량(전월)'!$C$2:$C$2020,MATCH(1,("4-DaHall 1-PDU-14"='각층분기별_유효전력량(전월)'!$A$2:$A$2020)*("[branch#005] [A] kWh last month"='각층분기별_유효전력량(전월)'!$B$2:$B$2020),0))</f>
        <v>#N/A</v>
      </c>
      <c r="AB270" s="2702" t="e" cm="1">
        <f t="array" ref="AB270">INDEX('각층분기별_유효전력량(전월)'!$C$2:$C$2020,MATCH(1,("4-DaHall 1-PDU-13"='각층분기별_유효전력량(전월)'!$A$2:$A$2020)*("[branch#005] [A] kWh last month"='각층분기별_유효전력량(전월)'!$B$2:$B$2020),0))</f>
        <v>#N/A</v>
      </c>
      <c r="AC270" s="4024" t="e">
        <f>VLOOKUP(H270&amp;I270,'7층~4층_매핑테이블'!$A$6:$H$2020,8,0)</f>
        <v>#N/A</v>
      </c>
      <c r="AD270" s="4029" t="e">
        <f>SUM(AA270:AB271)</f>
        <v>#N/A</v>
      </c>
      <c r="AE270" s="3312"/>
      <c r="AG270">
        <v>74.099999999999994</v>
      </c>
      <c r="AH270" s="1363">
        <f t="shared" si="109"/>
        <v>-74.099999999999994</v>
      </c>
      <c r="AJ270" s="2351" t="e">
        <f t="shared" si="90"/>
        <v>#N/A</v>
      </c>
      <c r="AK270" s="2351" t="e">
        <f t="shared" si="110"/>
        <v>#N/A</v>
      </c>
      <c r="AL270" s="3266" t="e">
        <f t="shared" si="92"/>
        <v>#N/A</v>
      </c>
      <c r="AR270" s="3266"/>
      <c r="AS270" s="3266"/>
      <c r="AU270" s="2982"/>
      <c r="AV270" s="3266"/>
      <c r="AW270" s="3266"/>
      <c r="AX270" s="2983"/>
      <c r="AY270" s="2984"/>
      <c r="AZ270" s="2985"/>
      <c r="BA270" s="3018"/>
      <c r="BB270" s="3019"/>
      <c r="BC270" s="2988"/>
      <c r="BD270" s="3266"/>
    </row>
    <row r="271" spans="1:56" x14ac:dyDescent="0.25">
      <c r="A271" s="3308"/>
      <c r="B271" s="3938"/>
      <c r="C271" s="3932"/>
      <c r="D271" s="3940"/>
      <c r="E271" s="3529"/>
      <c r="F271" s="3529"/>
      <c r="G271" s="3529"/>
      <c r="H271" s="2057" t="str">
        <f t="shared" si="108"/>
        <v>4-DaHall 1-PDU-14-30-6</v>
      </c>
      <c r="I271" s="2043" t="str">
        <f t="shared" si="102"/>
        <v>4-DaHall 1-PDU-13-30-6</v>
      </c>
      <c r="J271" s="2053">
        <v>220</v>
      </c>
      <c r="K271" s="1788">
        <v>30</v>
      </c>
      <c r="L271" s="2353">
        <v>14</v>
      </c>
      <c r="M271" s="1449">
        <v>6</v>
      </c>
      <c r="N271" s="2047">
        <v>220</v>
      </c>
      <c r="O271" s="1789">
        <v>30</v>
      </c>
      <c r="P271" s="2354">
        <v>13</v>
      </c>
      <c r="Q271" s="1448">
        <v>6</v>
      </c>
      <c r="R271" s="3310"/>
      <c r="S271" s="3311"/>
      <c r="T271" s="3310"/>
      <c r="U271" s="3311"/>
      <c r="V271" s="3310"/>
      <c r="W271" s="3311"/>
      <c r="X271" s="824">
        <f>SUM('4층_부하량(월간_AVG)'!N171:P171)</f>
        <v>0</v>
      </c>
      <c r="Y271" s="1400">
        <f>SUM('4층_부하량(월간_AVG)'!N140:P140)</f>
        <v>0</v>
      </c>
      <c r="Z271" s="3935"/>
      <c r="AA271" s="2685" t="e" cm="1">
        <f t="array" ref="AA271">INDEX('각층분기별_유효전력량(전월)'!$C$2:$C$2020,MATCH(1,("4-DaHall 1-PDU-14"='각층분기별_유효전력량(전월)'!$A$2:$A$2020)*("[branch#006] [A] kWh last month"='각층분기별_유효전력량(전월)'!$B$2:$B$2020),0))</f>
        <v>#N/A</v>
      </c>
      <c r="AB271" s="2702" t="e" cm="1">
        <f t="array" ref="AB271">INDEX('각층분기별_유효전력량(전월)'!$C$2:$C$2020,MATCH(1,("4-DaHall 1-PDU-13"='각층분기별_유효전력량(전월)'!$A$2:$A$2020)*("[branch#006] [A] kWh last month"='각층분기별_유효전력량(전월)'!$B$2:$B$2020),0))</f>
        <v>#N/A</v>
      </c>
      <c r="AC271" s="4024" t="e">
        <f>VLOOKUP(H271&amp;I271,'7층~4층_매핑테이블'!$A$6:$H$2020,8,0)</f>
        <v>#N/A</v>
      </c>
      <c r="AD271" s="4030"/>
      <c r="AE271" s="3312"/>
      <c r="AG271">
        <v>74.099999999999994</v>
      </c>
      <c r="AH271" s="1363">
        <f t="shared" si="109"/>
        <v>-74.099999999999994</v>
      </c>
      <c r="AJ271" s="2351">
        <f t="shared" si="90"/>
        <v>0</v>
      </c>
      <c r="AK271" s="2351">
        <f t="shared" si="110"/>
        <v>0</v>
      </c>
      <c r="AL271" s="3266" t="str">
        <f t="shared" si="92"/>
        <v>무부하 랙</v>
      </c>
      <c r="AR271" s="3266"/>
      <c r="AS271" s="3266"/>
      <c r="AU271" s="2982"/>
      <c r="AV271" s="3266"/>
      <c r="AW271" s="3266"/>
      <c r="AX271" s="2983"/>
      <c r="AY271" s="2984"/>
      <c r="AZ271" s="2985"/>
      <c r="BA271" s="3018"/>
      <c r="BB271" s="3019"/>
      <c r="BC271" s="2988"/>
      <c r="BD271" s="3266"/>
    </row>
    <row r="272" spans="1:56" x14ac:dyDescent="0.25">
      <c r="A272" s="3308"/>
      <c r="B272" s="3937" t="s">
        <v>11039</v>
      </c>
      <c r="C272" s="3931" t="s">
        <v>11023</v>
      </c>
      <c r="D272" s="3939">
        <v>4</v>
      </c>
      <c r="E272" s="3528"/>
      <c r="F272" s="3528"/>
      <c r="G272" s="3528"/>
      <c r="H272" s="2057" t="str">
        <f t="shared" si="108"/>
        <v>4-DaHall 1-PDU-14-30-7</v>
      </c>
      <c r="I272" s="2043" t="str">
        <f t="shared" si="102"/>
        <v>4-DaHall 1-PDU-13-30-7</v>
      </c>
      <c r="J272" s="2053">
        <v>220</v>
      </c>
      <c r="K272" s="1788">
        <v>30</v>
      </c>
      <c r="L272" s="2353">
        <v>14</v>
      </c>
      <c r="M272" s="1449">
        <v>7</v>
      </c>
      <c r="N272" s="2047">
        <v>220</v>
      </c>
      <c r="O272" s="1789">
        <v>30</v>
      </c>
      <c r="P272" s="2354">
        <v>13</v>
      </c>
      <c r="Q272" s="1448">
        <v>7</v>
      </c>
      <c r="R272" s="3310"/>
      <c r="S272" s="3311"/>
      <c r="T272" s="3310"/>
      <c r="U272" s="3311"/>
      <c r="V272" s="3310"/>
      <c r="W272" s="3311"/>
      <c r="X272" s="824">
        <f>SUM('4층_부하량(월간_AVG)'!D172:F172)</f>
        <v>0</v>
      </c>
      <c r="Y272" s="1400">
        <f>SUM('4층_부하량(월간_AVG)'!D141:F141)</f>
        <v>0</v>
      </c>
      <c r="Z272" s="3934">
        <f>SUM(X272:Y273)</f>
        <v>0</v>
      </c>
      <c r="AA272" s="2685" t="e" cm="1">
        <f t="array" ref="AA272">INDEX('각층분기별_유효전력량(전월)'!$C$2:$C$2020,MATCH(1,("4-DaHall 1-PDU-14"='각층분기별_유효전력량(전월)'!$A$2:$A$2020)*("[branch#007] [A] kWh last month"='각층분기별_유효전력량(전월)'!$B$2:$B$2020),0))</f>
        <v>#N/A</v>
      </c>
      <c r="AB272" s="2702" t="e" cm="1">
        <f t="array" ref="AB272">INDEX('각층분기별_유효전력량(전월)'!$C$2:$C$2020,MATCH(1,("4-DaHall 1-PDU-13"='각층분기별_유효전력량(전월)'!$A$2:$A$2020)*("[branch#007] [A] kWh last month"='각층분기별_유효전력량(전월)'!$B$2:$B$2020),0))</f>
        <v>#N/A</v>
      </c>
      <c r="AC272" s="4024" t="e">
        <f>VLOOKUP(H272&amp;I272,'7층~4층_매핑테이블'!$A$6:$H$2020,8,0)</f>
        <v>#N/A</v>
      </c>
      <c r="AD272" s="4029" t="e">
        <f>SUM(AA272:AB273)</f>
        <v>#N/A</v>
      </c>
      <c r="AE272" s="3312"/>
      <c r="AG272">
        <v>74.099999999999994</v>
      </c>
      <c r="AH272" s="1363">
        <f t="shared" si="109"/>
        <v>-74.099999999999994</v>
      </c>
      <c r="AJ272" s="2351" t="e">
        <f t="shared" si="90"/>
        <v>#N/A</v>
      </c>
      <c r="AK272" s="2351" t="e">
        <f t="shared" si="110"/>
        <v>#N/A</v>
      </c>
      <c r="AL272" s="3266" t="e">
        <f t="shared" si="92"/>
        <v>#N/A</v>
      </c>
      <c r="AR272" s="3266"/>
      <c r="AS272" s="3266"/>
      <c r="AU272" s="2982"/>
      <c r="AV272" s="3266"/>
      <c r="AW272" s="3266"/>
      <c r="AX272" s="2983"/>
      <c r="AY272" s="2984"/>
      <c r="AZ272" s="2985"/>
      <c r="BA272" s="3018"/>
      <c r="BB272" s="3019"/>
      <c r="BC272" s="2988"/>
      <c r="BD272" s="3266"/>
    </row>
    <row r="273" spans="1:56" x14ac:dyDescent="0.25">
      <c r="A273" s="3308"/>
      <c r="B273" s="3938"/>
      <c r="C273" s="3932"/>
      <c r="D273" s="3940"/>
      <c r="E273" s="3529"/>
      <c r="F273" s="3529"/>
      <c r="G273" s="3529"/>
      <c r="H273" s="2057" t="str">
        <f t="shared" si="108"/>
        <v>4-DaHall 1-PDU-14-30-8</v>
      </c>
      <c r="I273" s="2043" t="str">
        <f t="shared" si="102"/>
        <v>4-DaHall 1-PDU-13-30-8</v>
      </c>
      <c r="J273" s="2053">
        <v>220</v>
      </c>
      <c r="K273" s="1788">
        <v>30</v>
      </c>
      <c r="L273" s="2353">
        <v>14</v>
      </c>
      <c r="M273" s="1449">
        <v>8</v>
      </c>
      <c r="N273" s="2047">
        <v>220</v>
      </c>
      <c r="O273" s="1789">
        <v>30</v>
      </c>
      <c r="P273" s="2354">
        <v>13</v>
      </c>
      <c r="Q273" s="1448">
        <v>8</v>
      </c>
      <c r="R273" s="3310"/>
      <c r="S273" s="3311"/>
      <c r="T273" s="3310"/>
      <c r="U273" s="3311"/>
      <c r="V273" s="3310"/>
      <c r="W273" s="3311"/>
      <c r="X273" s="824">
        <f>SUM('4층_부하량(월간_AVG)'!N172:P172)</f>
        <v>0</v>
      </c>
      <c r="Y273" s="1400">
        <f>SUM('4층_부하량(월간_AVG)'!N141:P141)</f>
        <v>0</v>
      </c>
      <c r="Z273" s="3935"/>
      <c r="AA273" s="2685" t="e" cm="1">
        <f t="array" ref="AA273">INDEX('각층분기별_유효전력량(전월)'!$C$2:$C$2020,MATCH(1,("4-DaHall 1-PDU-14"='각층분기별_유효전력량(전월)'!$A$2:$A$2020)*("[branch#008] [A] kWh last month"='각층분기별_유효전력량(전월)'!$B$2:$B$2020),0))</f>
        <v>#N/A</v>
      </c>
      <c r="AB273" s="2702" t="e" cm="1">
        <f t="array" ref="AB273">INDEX('각층분기별_유효전력량(전월)'!$C$2:$C$2020,MATCH(1,("4-DaHall 1-PDU-13"='각층분기별_유효전력량(전월)'!$A$2:$A$2020)*("[branch#008] [A] kWh last month"='각층분기별_유효전력량(전월)'!$B$2:$B$2020),0))</f>
        <v>#N/A</v>
      </c>
      <c r="AC273" s="4024" t="e">
        <f>VLOOKUP(H273&amp;I273,'7층~4층_매핑테이블'!$A$6:$H$2020,8,0)</f>
        <v>#N/A</v>
      </c>
      <c r="AD273" s="4030"/>
      <c r="AE273" s="3312"/>
      <c r="AG273">
        <v>74.099999999999994</v>
      </c>
      <c r="AH273" s="1363">
        <f t="shared" si="109"/>
        <v>-74.099999999999994</v>
      </c>
      <c r="AJ273" s="2351">
        <f t="shared" si="90"/>
        <v>0</v>
      </c>
      <c r="AK273" s="2351">
        <f t="shared" si="110"/>
        <v>0</v>
      </c>
      <c r="AL273" s="3266" t="str">
        <f t="shared" si="92"/>
        <v>무부하 랙</v>
      </c>
      <c r="AR273" s="3266"/>
      <c r="AS273" s="3266"/>
      <c r="AU273" s="2982"/>
      <c r="AV273" s="3266"/>
      <c r="AW273" s="3266"/>
      <c r="AX273" s="2983"/>
      <c r="AY273" s="2984"/>
      <c r="AZ273" s="2985"/>
      <c r="BA273" s="3018"/>
      <c r="BB273" s="3019"/>
      <c r="BC273" s="2988"/>
      <c r="BD273" s="3266"/>
    </row>
    <row r="274" spans="1:56" x14ac:dyDescent="0.25">
      <c r="A274" s="3308"/>
      <c r="B274" s="3330" t="s">
        <v>11040</v>
      </c>
      <c r="C274" s="3313" t="s">
        <v>11025</v>
      </c>
      <c r="D274" s="3318">
        <v>2</v>
      </c>
      <c r="E274" s="3265"/>
      <c r="F274" s="3265"/>
      <c r="G274" s="3319"/>
      <c r="H274" s="2057" t="str">
        <f t="shared" si="108"/>
        <v>4-DaHall 1-PDU-14-30-9</v>
      </c>
      <c r="I274" s="2043" t="str">
        <f t="shared" si="102"/>
        <v>4-DaHall 1-PDU-13-30-9</v>
      </c>
      <c r="J274" s="2053">
        <v>220</v>
      </c>
      <c r="K274" s="1788">
        <v>30</v>
      </c>
      <c r="L274" s="2353">
        <v>14</v>
      </c>
      <c r="M274" s="1449">
        <v>9</v>
      </c>
      <c r="N274" s="2047">
        <v>220</v>
      </c>
      <c r="O274" s="1789">
        <v>30</v>
      </c>
      <c r="P274" s="2354">
        <v>13</v>
      </c>
      <c r="Q274" s="1448">
        <v>9</v>
      </c>
      <c r="R274" s="3310"/>
      <c r="S274" s="3311"/>
      <c r="T274" s="3310"/>
      <c r="U274" s="3311"/>
      <c r="V274" s="3310"/>
      <c r="W274" s="3311"/>
      <c r="X274" s="824">
        <f>SUM('4층_부하량(월간_AVG)'!D173:F173)</f>
        <v>0</v>
      </c>
      <c r="Y274" s="1400">
        <f>SUM('4층_부하량(월간_AVG)'!D142:F142)</f>
        <v>0</v>
      </c>
      <c r="Z274" s="2443">
        <f t="shared" ref="Z274:Z276" si="111">SUM(X274:Y274)</f>
        <v>0</v>
      </c>
      <c r="AA274" s="2685" t="e" cm="1">
        <f t="array" ref="AA274">INDEX('각층분기별_유효전력량(전월)'!$C$2:$C$2020,MATCH(1,("4-DaHall 1-PDU-14"='각층분기별_유효전력량(전월)'!$A$2:$A$2020)*("[branch#009] [A] kWh last month"='각층분기별_유효전력량(전월)'!$B$2:$B$2020),0))</f>
        <v>#N/A</v>
      </c>
      <c r="AB274" s="2702" t="e" cm="1">
        <f t="array" ref="AB274">INDEX('각층분기별_유효전력량(전월)'!$C$2:$C$2020,MATCH(1,("4-DaHall 1-PDU-13"='각층분기별_유효전력량(전월)'!$A$2:$A$2020)*("[branch#009] [A] kWh last month"='각층분기별_유효전력량(전월)'!$B$2:$B$2020),0))</f>
        <v>#N/A</v>
      </c>
      <c r="AC274" s="4024" t="e">
        <f>VLOOKUP(H274&amp;I274,'7층~4층_매핑테이블'!$A$6:$H$2020,8,0)</f>
        <v>#N/A</v>
      </c>
      <c r="AD274" s="3179" t="e">
        <f>SUM(AA274:AB274)</f>
        <v>#N/A</v>
      </c>
      <c r="AE274" s="3312"/>
      <c r="AG274">
        <v>74.099999999999994</v>
      </c>
      <c r="AH274" s="1363">
        <f t="shared" si="109"/>
        <v>-74.099999999999994</v>
      </c>
      <c r="AJ274" s="2351" t="e">
        <f t="shared" si="90"/>
        <v>#N/A</v>
      </c>
      <c r="AK274" s="2351" t="e">
        <f t="shared" si="110"/>
        <v>#N/A</v>
      </c>
      <c r="AL274" s="3266" t="e">
        <f t="shared" si="92"/>
        <v>#N/A</v>
      </c>
      <c r="AR274" s="3266"/>
      <c r="AS274" s="3266"/>
      <c r="AU274" s="2982"/>
      <c r="AV274" s="3266"/>
      <c r="AW274" s="3266"/>
      <c r="AX274" s="2983"/>
      <c r="AY274" s="2984"/>
      <c r="AZ274" s="2985"/>
      <c r="BA274" s="3018"/>
      <c r="BB274" s="3019"/>
      <c r="BC274" s="2988"/>
      <c r="BD274" s="3266"/>
    </row>
    <row r="275" spans="1:56" x14ac:dyDescent="0.25">
      <c r="A275" s="3308"/>
      <c r="B275" s="3330" t="s">
        <v>11041</v>
      </c>
      <c r="C275" s="3313" t="s">
        <v>11025</v>
      </c>
      <c r="D275" s="3318">
        <v>2</v>
      </c>
      <c r="E275" s="3265"/>
      <c r="F275" s="3265"/>
      <c r="G275" s="3319"/>
      <c r="H275" s="2057" t="str">
        <f t="shared" si="108"/>
        <v>4-DaHall 1-PDU-14-30-10</v>
      </c>
      <c r="I275" s="2043" t="str">
        <f t="shared" si="102"/>
        <v>4-DaHall 1-PDU-13-30-10</v>
      </c>
      <c r="J275" s="2053">
        <v>220</v>
      </c>
      <c r="K275" s="1788">
        <v>30</v>
      </c>
      <c r="L275" s="2353">
        <v>14</v>
      </c>
      <c r="M275" s="1449">
        <v>10</v>
      </c>
      <c r="N275" s="2047">
        <v>220</v>
      </c>
      <c r="O275" s="1789">
        <v>30</v>
      </c>
      <c r="P275" s="2354">
        <v>13</v>
      </c>
      <c r="Q275" s="1448">
        <v>10</v>
      </c>
      <c r="X275" s="824">
        <f>SUM('4층_부하량(월간_AVG)'!N173:P173)</f>
        <v>0</v>
      </c>
      <c r="Y275" s="1400">
        <f>SUM('4층_부하량(월간_AVG)'!N142:P142)</f>
        <v>0</v>
      </c>
      <c r="Z275" s="2443">
        <f t="shared" si="111"/>
        <v>0</v>
      </c>
      <c r="AA275" s="2685" t="e" cm="1">
        <f t="array" ref="AA275">INDEX('각층분기별_유효전력량(전월)'!$C$2:$C$2020,MATCH(1,("4-DaHall 1-PDU-14"='각층분기별_유효전력량(전월)'!$A$2:$A$2020)*("[branch#010] [A] kWh last month"='각층분기별_유효전력량(전월)'!$B$2:$B$2020),0))</f>
        <v>#N/A</v>
      </c>
      <c r="AB275" s="2702" t="e" cm="1">
        <f t="array" ref="AB275">INDEX('각층분기별_유효전력량(전월)'!$C$2:$C$2020,MATCH(1,("4-DaHall 1-PDU-13"='각층분기별_유효전력량(전월)'!$A$2:$A$2020)*("[branch#010] [A] kWh last month"='각층분기별_유효전력량(전월)'!$B$2:$B$2020),0))</f>
        <v>#N/A</v>
      </c>
      <c r="AC275" s="4024" t="e">
        <f>VLOOKUP(H275&amp;I275,'7층~4층_매핑테이블'!$A$6:$H$2020,8,0)</f>
        <v>#N/A</v>
      </c>
      <c r="AD275" s="3179" t="e">
        <f>SUM(AA275:AB275)</f>
        <v>#N/A</v>
      </c>
      <c r="AE275" s="3312"/>
      <c r="AG275">
        <v>74.099999999999994</v>
      </c>
      <c r="AH275" s="1363">
        <f t="shared" si="109"/>
        <v>-74.099999999999994</v>
      </c>
      <c r="AJ275" s="2351" t="e">
        <f t="shared" si="90"/>
        <v>#N/A</v>
      </c>
      <c r="AK275" s="2351" t="e">
        <f t="shared" si="110"/>
        <v>#N/A</v>
      </c>
      <c r="AL275" s="3266" t="e">
        <f t="shared" si="92"/>
        <v>#N/A</v>
      </c>
      <c r="BD275"/>
    </row>
    <row r="276" spans="1:56" x14ac:dyDescent="0.25">
      <c r="A276" s="3308"/>
      <c r="B276" s="3330" t="s">
        <v>11042</v>
      </c>
      <c r="C276" s="3313" t="s">
        <v>11025</v>
      </c>
      <c r="D276" s="3317">
        <v>2</v>
      </c>
      <c r="E276" s="217"/>
      <c r="F276" s="3314"/>
      <c r="G276" s="3315"/>
      <c r="H276" s="2057" t="str">
        <f t="shared" si="108"/>
        <v>4-DaHall 1-PDU-14-30-11</v>
      </c>
      <c r="I276" s="2043" t="str">
        <f t="shared" si="102"/>
        <v>4-DaHall 1-PDU-13-30-11</v>
      </c>
      <c r="J276" s="2053">
        <v>220</v>
      </c>
      <c r="K276" s="1788">
        <v>30</v>
      </c>
      <c r="L276" s="2353">
        <v>14</v>
      </c>
      <c r="M276" s="1449">
        <v>11</v>
      </c>
      <c r="N276" s="2047">
        <v>220</v>
      </c>
      <c r="O276" s="1789">
        <v>30</v>
      </c>
      <c r="P276" s="2354">
        <v>13</v>
      </c>
      <c r="Q276" s="1448">
        <v>11</v>
      </c>
      <c r="X276" s="824">
        <f>SUM('4층_부하량(월간_AVG)'!D174:F174)</f>
        <v>0</v>
      </c>
      <c r="Y276" s="1400">
        <f>SUM('4층_부하량(월간_AVG)'!D143:F143)</f>
        <v>0</v>
      </c>
      <c r="Z276" s="2443">
        <f t="shared" si="111"/>
        <v>0</v>
      </c>
      <c r="AA276" s="2685" t="e" cm="1">
        <f t="array" ref="AA276">INDEX('각층분기별_유효전력량(전월)'!$C$2:$C$2020,MATCH(1,("4-DaHall 1-PDU-14"='각층분기별_유효전력량(전월)'!$A$2:$A$2020)*("[branch#011] [A] kWh last month"='각층분기별_유효전력량(전월)'!$B$2:$B$2020),0))</f>
        <v>#N/A</v>
      </c>
      <c r="AB276" s="2702" t="e" cm="1">
        <f t="array" ref="AB276">INDEX('각층분기별_유효전력량(전월)'!$C$2:$C$2020,MATCH(1,("4-DaHall 1-PDU-13"='각층분기별_유효전력량(전월)'!$A$2:$A$2020)*("[branch#011] [A] kWh last month"='각층분기별_유효전력량(전월)'!$B$2:$B$2020),0))</f>
        <v>#N/A</v>
      </c>
      <c r="AC276" s="4024" t="e">
        <f>VLOOKUP(H276&amp;I276,'7층~4층_매핑테이블'!$A$6:$H$2020,8,0)</f>
        <v>#N/A</v>
      </c>
      <c r="AD276" s="3179" t="e">
        <f>SUM(AA276:AB276)</f>
        <v>#N/A</v>
      </c>
      <c r="AE276" s="3312"/>
      <c r="AG276">
        <v>74.099999999999994</v>
      </c>
      <c r="AH276" s="1363">
        <f t="shared" si="109"/>
        <v>-74.099999999999994</v>
      </c>
      <c r="AJ276" s="2351" t="e">
        <f t="shared" si="90"/>
        <v>#N/A</v>
      </c>
      <c r="AK276" s="2351" t="e">
        <f t="shared" si="110"/>
        <v>#N/A</v>
      </c>
      <c r="AL276" s="3266" t="e">
        <f t="shared" si="92"/>
        <v>#N/A</v>
      </c>
      <c r="BD276"/>
    </row>
    <row r="277" spans="1:56" x14ac:dyDescent="0.25">
      <c r="A277" s="3308"/>
      <c r="B277" s="3937" t="s">
        <v>11043</v>
      </c>
      <c r="C277" s="3931" t="s">
        <v>11023</v>
      </c>
      <c r="D277" s="3939">
        <v>2</v>
      </c>
      <c r="E277" s="3528"/>
      <c r="F277" s="3528"/>
      <c r="G277" s="3528"/>
      <c r="H277" s="2057" t="str">
        <f t="shared" si="108"/>
        <v>4-DaHall 1-PDU-14-30-12</v>
      </c>
      <c r="I277" s="2043" t="str">
        <f t="shared" si="102"/>
        <v>4-DaHall 1-PDU-13-30-12</v>
      </c>
      <c r="J277" s="2053">
        <v>220</v>
      </c>
      <c r="K277" s="1788">
        <v>30</v>
      </c>
      <c r="L277" s="2353">
        <v>14</v>
      </c>
      <c r="M277" s="1449">
        <v>12</v>
      </c>
      <c r="N277" s="2047">
        <v>220</v>
      </c>
      <c r="O277" s="1789">
        <v>30</v>
      </c>
      <c r="P277" s="2354">
        <v>13</v>
      </c>
      <c r="Q277" s="1448">
        <v>12</v>
      </c>
      <c r="X277" s="824">
        <f>SUM('4층_부하량(월간_AVG)'!N174:P174)</f>
        <v>0</v>
      </c>
      <c r="Y277" s="1400">
        <f>SUM('4층_부하량(월간_AVG)'!N143:P143)</f>
        <v>0</v>
      </c>
      <c r="Z277" s="3934">
        <f>SUM(X277:Y278)</f>
        <v>0</v>
      </c>
      <c r="AA277" s="2685" t="e" cm="1">
        <f t="array" ref="AA277">INDEX('각층분기별_유효전력량(전월)'!$C$2:$C$2020,MATCH(1,("4-DaHall 1-PDU-14"='각층분기별_유효전력량(전월)'!$A$2:$A$2020)*("[branch#012] [A] kWh last month"='각층분기별_유효전력량(전월)'!$B$2:$B$2020),0))</f>
        <v>#N/A</v>
      </c>
      <c r="AB277" s="2702" t="e" cm="1">
        <f t="array" ref="AB277">INDEX('각층분기별_유효전력량(전월)'!$C$2:$C$2020,MATCH(1,("4-DaHall 1-PDU-13"='각층분기별_유효전력량(전월)'!$A$2:$A$2020)*("[branch#012] [A] kWh last month"='각층분기별_유효전력량(전월)'!$B$2:$B$2020),0))</f>
        <v>#N/A</v>
      </c>
      <c r="AC277" s="4024" t="e">
        <f>VLOOKUP(H277&amp;I277,'7층~4층_매핑테이블'!$A$6:$H$2020,8,0)</f>
        <v>#N/A</v>
      </c>
      <c r="AD277" s="4029" t="e">
        <f>SUM(AA277:AB278)</f>
        <v>#N/A</v>
      </c>
      <c r="AE277" s="3312"/>
      <c r="AG277">
        <v>74.099999999999994</v>
      </c>
      <c r="AH277" s="1363">
        <f t="shared" si="109"/>
        <v>-74.099999999999994</v>
      </c>
      <c r="AJ277" s="2351" t="e">
        <f t="shared" si="90"/>
        <v>#N/A</v>
      </c>
      <c r="AK277" s="2351" t="e">
        <f t="shared" si="110"/>
        <v>#N/A</v>
      </c>
      <c r="AL277" s="3266" t="e">
        <f t="shared" si="92"/>
        <v>#N/A</v>
      </c>
      <c r="BD277"/>
    </row>
    <row r="278" spans="1:56" x14ac:dyDescent="0.25">
      <c r="A278" s="3308"/>
      <c r="B278" s="3938"/>
      <c r="C278" s="3932"/>
      <c r="D278" s="3940"/>
      <c r="E278" s="3529"/>
      <c r="F278" s="3529"/>
      <c r="G278" s="3529"/>
      <c r="H278" s="2057" t="str">
        <f t="shared" si="108"/>
        <v>4-DaHall 1-PDU-14-30-38</v>
      </c>
      <c r="I278" s="2043" t="str">
        <f t="shared" si="102"/>
        <v>4-DaHall 1-PDU-13-30-38</v>
      </c>
      <c r="J278" s="2053">
        <v>220</v>
      </c>
      <c r="K278" s="1788">
        <v>30</v>
      </c>
      <c r="L278" s="2353">
        <v>14</v>
      </c>
      <c r="M278" s="1449">
        <v>38</v>
      </c>
      <c r="N278" s="2047">
        <v>220</v>
      </c>
      <c r="O278" s="1789">
        <v>30</v>
      </c>
      <c r="P278" s="2354">
        <v>13</v>
      </c>
      <c r="Q278" s="1448">
        <v>38</v>
      </c>
      <c r="X278" s="824">
        <f>SUM('4층_부하량(월간_AVG)'!N187:P187)</f>
        <v>0</v>
      </c>
      <c r="Y278" s="1400">
        <f>SUM('4층_부하량(월간_AVG)'!N156:P156)</f>
        <v>0</v>
      </c>
      <c r="Z278" s="3935"/>
      <c r="AA278" s="2685" t="e" cm="1">
        <f t="array" ref="AA278">INDEX('각층분기별_유효전력량(전월)'!$C$2:$C$2020,MATCH(1,("4-DaHall 1-PDU-14"='각층분기별_유효전력량(전월)'!$A$2:$A$2020)*("[branch#038] [A] kWh last month"='각층분기별_유효전력량(전월)'!$B$2:$B$2020),0))</f>
        <v>#N/A</v>
      </c>
      <c r="AB278" s="2702" t="e" cm="1">
        <f t="array" ref="AB278">INDEX('각층분기별_유효전력량(전월)'!$C$2:$C$2020,MATCH(1,("4-DaHall 1-PDU-13"='각층분기별_유효전력량(전월)'!$A$2:$A$2020)*("[branch#038] [A] kWh last month"='각층분기별_유효전력량(전월)'!$B$2:$B$2020),0))</f>
        <v>#N/A</v>
      </c>
      <c r="AC278" s="4024" t="e">
        <f>VLOOKUP(H278&amp;I278,'7층~4층_매핑테이블'!$A$6:$H$2020,8,0)</f>
        <v>#N/A</v>
      </c>
      <c r="AD278" s="4030"/>
      <c r="AE278" s="3312"/>
      <c r="AG278">
        <v>74.099999999999994</v>
      </c>
      <c r="AH278" s="1363">
        <f t="shared" si="109"/>
        <v>-74.099999999999994</v>
      </c>
      <c r="AJ278" s="2351">
        <f t="shared" si="90"/>
        <v>0</v>
      </c>
      <c r="AK278" s="2351">
        <f t="shared" si="110"/>
        <v>0</v>
      </c>
      <c r="AL278" s="3266" t="str">
        <f t="shared" si="92"/>
        <v>무부하 랙</v>
      </c>
      <c r="BD278"/>
    </row>
    <row r="279" spans="1:56" x14ac:dyDescent="0.25">
      <c r="A279" s="3308"/>
      <c r="B279" s="3330" t="s">
        <v>11044</v>
      </c>
      <c r="C279" s="3313" t="s">
        <v>11025</v>
      </c>
      <c r="D279" s="3317">
        <v>2</v>
      </c>
      <c r="E279" s="217"/>
      <c r="F279" s="3314"/>
      <c r="G279" s="3315"/>
      <c r="H279" s="2057" t="str">
        <f t="shared" si="108"/>
        <v>4-DaHall 1-PDU-14-30-13</v>
      </c>
      <c r="I279" s="2043" t="str">
        <f t="shared" si="102"/>
        <v>4-DaHall 1-PDU-13-30-13</v>
      </c>
      <c r="J279" s="2053">
        <v>220</v>
      </c>
      <c r="K279" s="1788">
        <v>30</v>
      </c>
      <c r="L279" s="2353">
        <v>14</v>
      </c>
      <c r="M279" s="1449">
        <v>13</v>
      </c>
      <c r="N279" s="2047">
        <v>220</v>
      </c>
      <c r="O279" s="1789">
        <v>30</v>
      </c>
      <c r="P279" s="2354">
        <v>13</v>
      </c>
      <c r="Q279" s="1448">
        <v>13</v>
      </c>
      <c r="X279" s="824">
        <f>SUM('4층_부하량(월간_AVG)'!D175:F175)</f>
        <v>0</v>
      </c>
      <c r="Y279" s="1400">
        <f>SUM('4층_부하량(월간_AVG)'!D144:F144)</f>
        <v>0</v>
      </c>
      <c r="Z279" s="2443">
        <f t="shared" ref="Z279:Z286" si="112">SUM(X279:Y279)</f>
        <v>0</v>
      </c>
      <c r="AA279" s="2685" t="e" cm="1">
        <f t="array" ref="AA279">INDEX('각층분기별_유효전력량(전월)'!$C$2:$C$2020,MATCH(1,("4-DaHall 1-PDU-14"='각층분기별_유효전력량(전월)'!$A$2:$A$2020)*("[branch#013] [A] kWh last month"='각층분기별_유효전력량(전월)'!$B$2:$B$2020),0))</f>
        <v>#N/A</v>
      </c>
      <c r="AB279" s="2702" t="e" cm="1">
        <f t="array" ref="AB279">INDEX('각층분기별_유효전력량(전월)'!$C$2:$C$2020,MATCH(1,("4-DaHall 1-PDU-13"='각층분기별_유효전력량(전월)'!$A$2:$A$2020)*("[branch#013] [A] kWh last month"='각층분기별_유효전력량(전월)'!$B$2:$B$2020),0))</f>
        <v>#N/A</v>
      </c>
      <c r="AC279" s="4024" t="e">
        <f>VLOOKUP(H279&amp;I279,'7층~4층_매핑테이블'!$A$6:$H$2020,8,0)</f>
        <v>#N/A</v>
      </c>
      <c r="AD279" s="3179" t="e">
        <f t="shared" ref="AD279:AD286" si="113">SUM(AA279:AB279)</f>
        <v>#N/A</v>
      </c>
      <c r="AE279" s="3312"/>
      <c r="AG279">
        <v>74.099999999999994</v>
      </c>
      <c r="AH279" s="1363">
        <f t="shared" si="109"/>
        <v>-74.099999999999994</v>
      </c>
      <c r="AJ279" s="2351" t="e">
        <f t="shared" si="90"/>
        <v>#N/A</v>
      </c>
      <c r="AK279" s="2351" t="e">
        <f t="shared" si="110"/>
        <v>#N/A</v>
      </c>
      <c r="AL279" s="3266" t="e">
        <f t="shared" si="92"/>
        <v>#N/A</v>
      </c>
      <c r="BD279"/>
    </row>
    <row r="280" spans="1:56" x14ac:dyDescent="0.25">
      <c r="A280" s="3308"/>
      <c r="B280" s="3330" t="s">
        <v>11045</v>
      </c>
      <c r="C280" s="3313" t="s">
        <v>11025</v>
      </c>
      <c r="D280" s="3318">
        <v>2</v>
      </c>
      <c r="E280" s="3265"/>
      <c r="F280" s="3265"/>
      <c r="G280" s="3319"/>
      <c r="H280" s="2057" t="str">
        <f t="shared" si="108"/>
        <v>4-DaHall 1-PDU-14-30-14</v>
      </c>
      <c r="I280" s="2043" t="str">
        <f t="shared" si="102"/>
        <v>4-DaHall 1-PDU-13-30-14</v>
      </c>
      <c r="J280" s="2053">
        <v>220</v>
      </c>
      <c r="K280" s="1788">
        <v>30</v>
      </c>
      <c r="L280" s="2353">
        <v>14</v>
      </c>
      <c r="M280" s="1449">
        <v>14</v>
      </c>
      <c r="N280" s="2047">
        <v>220</v>
      </c>
      <c r="O280" s="1789">
        <v>30</v>
      </c>
      <c r="P280" s="2354">
        <v>13</v>
      </c>
      <c r="Q280" s="1448">
        <v>14</v>
      </c>
      <c r="X280" s="824">
        <f>SUM('4층_부하량(월간_AVG)'!N175:P175)</f>
        <v>0</v>
      </c>
      <c r="Y280" s="1400">
        <f>SUM('4층_부하량(월간_AVG)'!N144:P144)</f>
        <v>0</v>
      </c>
      <c r="Z280" s="2443">
        <f t="shared" si="112"/>
        <v>0</v>
      </c>
      <c r="AA280" s="2685" t="e" cm="1">
        <f t="array" ref="AA280">INDEX('각층분기별_유효전력량(전월)'!$C$2:$C$2020,MATCH(1,("4-DaHall 1-PDU-14"='각층분기별_유효전력량(전월)'!$A$2:$A$2020)*("[branch#014] [A] kWh last month"='각층분기별_유효전력량(전월)'!$B$2:$B$2020),0))</f>
        <v>#N/A</v>
      </c>
      <c r="AB280" s="2702" t="e" cm="1">
        <f t="array" ref="AB280">INDEX('각층분기별_유효전력량(전월)'!$C$2:$C$2020,MATCH(1,("4-DaHall 1-PDU-13"='각층분기별_유효전력량(전월)'!$A$2:$A$2020)*("[branch#014] [A] kWh last month"='각층분기별_유효전력량(전월)'!$B$2:$B$2020),0))</f>
        <v>#N/A</v>
      </c>
      <c r="AC280" s="4024" t="e">
        <f>VLOOKUP(H280&amp;I280,'7층~4층_매핑테이블'!$A$6:$H$2020,8,0)</f>
        <v>#N/A</v>
      </c>
      <c r="AD280" s="3179" t="e">
        <f t="shared" si="113"/>
        <v>#N/A</v>
      </c>
      <c r="AE280" s="3312"/>
      <c r="AG280">
        <v>74.099999999999994</v>
      </c>
      <c r="AH280" s="1363">
        <f t="shared" si="109"/>
        <v>-74.099999999999994</v>
      </c>
      <c r="AJ280" s="2351" t="e">
        <f t="shared" si="90"/>
        <v>#N/A</v>
      </c>
      <c r="AK280" s="2351" t="e">
        <f t="shared" si="110"/>
        <v>#N/A</v>
      </c>
      <c r="AL280" s="3266" t="e">
        <f t="shared" si="92"/>
        <v>#N/A</v>
      </c>
      <c r="BD280"/>
    </row>
    <row r="281" spans="1:56" x14ac:dyDescent="0.25">
      <c r="A281" s="3308"/>
      <c r="B281" s="3330" t="s">
        <v>11046</v>
      </c>
      <c r="C281" s="3313" t="s">
        <v>11025</v>
      </c>
      <c r="D281" s="3317">
        <v>2</v>
      </c>
      <c r="E281" s="217"/>
      <c r="F281" s="3314"/>
      <c r="G281" s="3315"/>
      <c r="H281" s="2057" t="str">
        <f t="shared" si="108"/>
        <v>4-DaHall 1-PDU-14-30-15</v>
      </c>
      <c r="I281" s="2043" t="str">
        <f t="shared" si="102"/>
        <v>4-DaHall 1-PDU-13-30-15</v>
      </c>
      <c r="J281" s="2053">
        <v>220</v>
      </c>
      <c r="K281" s="1788">
        <v>30</v>
      </c>
      <c r="L281" s="2353">
        <v>14</v>
      </c>
      <c r="M281" s="1449">
        <v>15</v>
      </c>
      <c r="N281" s="2047">
        <v>220</v>
      </c>
      <c r="O281" s="1789">
        <v>30</v>
      </c>
      <c r="P281" s="2354">
        <v>13</v>
      </c>
      <c r="Q281" s="1448">
        <v>15</v>
      </c>
      <c r="X281" s="824">
        <f>SUM('4층_부하량(월간_AVG)'!D176:F176)</f>
        <v>0</v>
      </c>
      <c r="Y281" s="1400">
        <f>SUM('4층_부하량(월간_AVG)'!D145:F145)</f>
        <v>0</v>
      </c>
      <c r="Z281" s="2443">
        <f t="shared" si="112"/>
        <v>0</v>
      </c>
      <c r="AA281" s="2685" t="e" cm="1">
        <f t="array" ref="AA281">INDEX('각층분기별_유효전력량(전월)'!$C$2:$C$2020,MATCH(1,("4-DaHall 1-PDU-14"='각층분기별_유효전력량(전월)'!$A$2:$A$2020)*("[branch#015] [A] kWh last month"='각층분기별_유효전력량(전월)'!$B$2:$B$2020),0))</f>
        <v>#N/A</v>
      </c>
      <c r="AB281" s="2702" t="e" cm="1">
        <f t="array" ref="AB281">INDEX('각층분기별_유효전력량(전월)'!$C$2:$C$2020,MATCH(1,("4-DaHall 1-PDU-13"='각층분기별_유효전력량(전월)'!$A$2:$A$2020)*("[branch#015] [A] kWh last month"='각층분기별_유효전력량(전월)'!$B$2:$B$2020),0))</f>
        <v>#N/A</v>
      </c>
      <c r="AC281" s="4024" t="e">
        <f>VLOOKUP(H281&amp;I281,'7층~4층_매핑테이블'!$A$6:$H$2020,8,0)</f>
        <v>#N/A</v>
      </c>
      <c r="AD281" s="3179" t="e">
        <f t="shared" si="113"/>
        <v>#N/A</v>
      </c>
      <c r="AE281" s="3312"/>
      <c r="AG281">
        <v>74.099999999999994</v>
      </c>
      <c r="AH281" s="1363">
        <f t="shared" si="109"/>
        <v>-74.099999999999994</v>
      </c>
      <c r="AJ281" s="2351" t="e">
        <f t="shared" si="90"/>
        <v>#N/A</v>
      </c>
      <c r="AK281" s="2351" t="e">
        <f t="shared" si="110"/>
        <v>#N/A</v>
      </c>
      <c r="AL281" s="3266" t="e">
        <f t="shared" si="92"/>
        <v>#N/A</v>
      </c>
      <c r="BD281"/>
    </row>
    <row r="282" spans="1:56" x14ac:dyDescent="0.25">
      <c r="A282" s="3308"/>
      <c r="B282" s="3330" t="s">
        <v>11047</v>
      </c>
      <c r="C282" s="3313" t="s">
        <v>11025</v>
      </c>
      <c r="D282" s="3317">
        <v>2</v>
      </c>
      <c r="E282" s="217"/>
      <c r="F282" s="3314"/>
      <c r="G282" s="3315"/>
      <c r="H282" s="2057" t="str">
        <f t="shared" si="108"/>
        <v>4-DaHall 1-PDU-14-30-16</v>
      </c>
      <c r="I282" s="2043" t="str">
        <f t="shared" si="102"/>
        <v>4-DaHall 1-PDU-13-30-16</v>
      </c>
      <c r="J282" s="2053">
        <v>220</v>
      </c>
      <c r="K282" s="1788">
        <v>30</v>
      </c>
      <c r="L282" s="2353">
        <v>14</v>
      </c>
      <c r="M282" s="1449">
        <v>16</v>
      </c>
      <c r="N282" s="2047">
        <v>220</v>
      </c>
      <c r="O282" s="1789">
        <v>30</v>
      </c>
      <c r="P282" s="2354">
        <v>13</v>
      </c>
      <c r="Q282" s="1448">
        <v>16</v>
      </c>
      <c r="X282" s="824">
        <f>SUM('4층_부하량(월간_AVG)'!N176:P176)</f>
        <v>0</v>
      </c>
      <c r="Y282" s="1400">
        <f>SUM('4층_부하량(월간_AVG)'!N145:P145)</f>
        <v>0</v>
      </c>
      <c r="Z282" s="2443">
        <f t="shared" si="112"/>
        <v>0</v>
      </c>
      <c r="AA282" s="2685" t="e" cm="1">
        <f t="array" ref="AA282">INDEX('각층분기별_유효전력량(전월)'!$C$2:$C$2020,MATCH(1,("4-DaHall 1-PDU-14"='각층분기별_유효전력량(전월)'!$A$2:$A$2020)*("[branch#016] [A] kWh last month"='각층분기별_유효전력량(전월)'!$B$2:$B$2020),0))</f>
        <v>#N/A</v>
      </c>
      <c r="AB282" s="2702" t="e" cm="1">
        <f t="array" ref="AB282">INDEX('각층분기별_유효전력량(전월)'!$C$2:$C$2020,MATCH(1,("4-DaHall 1-PDU-13"='각층분기별_유효전력량(전월)'!$A$2:$A$2020)*("[branch#016] [A] kWh last month"='각층분기별_유효전력량(전월)'!$B$2:$B$2020),0))</f>
        <v>#N/A</v>
      </c>
      <c r="AC282" s="4024" t="e">
        <f>VLOOKUP(H282&amp;I282,'7층~4층_매핑테이블'!$A$6:$H$2020,8,0)</f>
        <v>#N/A</v>
      </c>
      <c r="AD282" s="3179" t="e">
        <f t="shared" si="113"/>
        <v>#N/A</v>
      </c>
      <c r="AE282" s="3312"/>
      <c r="AG282">
        <v>74.099999999999994</v>
      </c>
      <c r="AH282" s="1363">
        <f t="shared" si="109"/>
        <v>-74.099999999999994</v>
      </c>
      <c r="AJ282" s="2351" t="e">
        <f t="shared" si="90"/>
        <v>#N/A</v>
      </c>
      <c r="AK282" s="2351" t="e">
        <f t="shared" si="110"/>
        <v>#N/A</v>
      </c>
      <c r="AL282" s="3266" t="e">
        <f t="shared" si="92"/>
        <v>#N/A</v>
      </c>
      <c r="BD282"/>
    </row>
    <row r="283" spans="1:56" x14ac:dyDescent="0.25">
      <c r="A283" s="3308"/>
      <c r="B283" s="3330" t="s">
        <v>11048</v>
      </c>
      <c r="C283" s="3313" t="s">
        <v>11025</v>
      </c>
      <c r="D283" s="3316">
        <v>2</v>
      </c>
      <c r="E283" s="3264"/>
      <c r="F283" s="3260"/>
      <c r="G283" s="3261"/>
      <c r="H283" s="2057" t="str">
        <f t="shared" si="108"/>
        <v>4-DaHall 1-PDU-14-30-17</v>
      </c>
      <c r="I283" s="2043" t="str">
        <f t="shared" si="102"/>
        <v>4-DaHall 1-PDU-13-30-17</v>
      </c>
      <c r="J283" s="2053">
        <v>220</v>
      </c>
      <c r="K283" s="1788">
        <v>30</v>
      </c>
      <c r="L283" s="2353">
        <v>14</v>
      </c>
      <c r="M283" s="1449">
        <v>17</v>
      </c>
      <c r="N283" s="2047">
        <v>220</v>
      </c>
      <c r="O283" s="1789">
        <v>30</v>
      </c>
      <c r="P283" s="2354">
        <v>13</v>
      </c>
      <c r="Q283" s="1448">
        <v>17</v>
      </c>
      <c r="R283" s="3310"/>
      <c r="S283" s="3311"/>
      <c r="T283" s="3310"/>
      <c r="U283" s="3311"/>
      <c r="V283" s="3310"/>
      <c r="W283" s="3311"/>
      <c r="X283" s="824">
        <f>SUM('4층_부하량(월간_AVG)'!D177:F177)</f>
        <v>0</v>
      </c>
      <c r="Y283" s="1400">
        <f>SUM('4층_부하량(월간_AVG)'!D146:F146)</f>
        <v>0</v>
      </c>
      <c r="Z283" s="2443">
        <f t="shared" si="112"/>
        <v>0</v>
      </c>
      <c r="AA283" s="2685" t="e" cm="1">
        <f t="array" ref="AA283">INDEX('각층분기별_유효전력량(전월)'!$C$2:$C$2020,MATCH(1,("4-DaHall 1-PDU-14"='각층분기별_유효전력량(전월)'!$A$2:$A$2020)*("[branch#017] [A] kWh last month"='각층분기별_유효전력량(전월)'!$B$2:$B$2020),0))</f>
        <v>#N/A</v>
      </c>
      <c r="AB283" s="2702" t="e" cm="1">
        <f t="array" ref="AB283">INDEX('각층분기별_유효전력량(전월)'!$C$2:$C$2020,MATCH(1,("4-DaHall 1-PDU-13"='각층분기별_유효전력량(전월)'!$A$2:$A$2020)*("[branch#017] [A] kWh last month"='각층분기별_유효전력량(전월)'!$B$2:$B$2020),0))</f>
        <v>#N/A</v>
      </c>
      <c r="AC283" s="4024" t="e">
        <f>VLOOKUP(H283&amp;I283,'7층~4층_매핑테이블'!$A$6:$H$2020,8,0)</f>
        <v>#N/A</v>
      </c>
      <c r="AD283" s="3179" t="e">
        <f t="shared" si="113"/>
        <v>#N/A</v>
      </c>
      <c r="AE283" s="3312"/>
      <c r="AG283">
        <v>74.099999999999994</v>
      </c>
      <c r="AH283" s="1363">
        <f t="shared" si="109"/>
        <v>-74.099999999999994</v>
      </c>
      <c r="AJ283" s="2351" t="e">
        <f t="shared" si="90"/>
        <v>#N/A</v>
      </c>
      <c r="AK283" s="2351" t="e">
        <f t="shared" si="110"/>
        <v>#N/A</v>
      </c>
      <c r="AL283" s="3266" t="e">
        <f t="shared" si="92"/>
        <v>#N/A</v>
      </c>
      <c r="AR283" s="3266"/>
      <c r="AS283" s="3266"/>
      <c r="AU283" s="2982"/>
      <c r="AV283" s="3266"/>
      <c r="AW283" s="3266"/>
      <c r="AX283" s="2983"/>
      <c r="AY283" s="2984"/>
      <c r="AZ283" s="2985"/>
      <c r="BA283" s="3018"/>
      <c r="BB283" s="3019"/>
      <c r="BC283" s="2988"/>
      <c r="BD283" s="3266"/>
    </row>
    <row r="284" spans="1:56" x14ac:dyDescent="0.25">
      <c r="A284" s="3308"/>
      <c r="B284" s="3330" t="s">
        <v>11049</v>
      </c>
      <c r="C284" s="3313" t="s">
        <v>11025</v>
      </c>
      <c r="D284" s="3317">
        <v>2</v>
      </c>
      <c r="E284" s="3264"/>
      <c r="F284" s="3260"/>
      <c r="G284" s="3309"/>
      <c r="H284" s="2057" t="str">
        <f t="shared" si="108"/>
        <v>4-DaHall 1-PDU-14-30-18</v>
      </c>
      <c r="I284" s="2043" t="str">
        <f t="shared" si="102"/>
        <v>4-DaHall 1-PDU-13-30-18</v>
      </c>
      <c r="J284" s="2053">
        <v>220</v>
      </c>
      <c r="K284" s="1788">
        <v>30</v>
      </c>
      <c r="L284" s="2353">
        <v>14</v>
      </c>
      <c r="M284" s="1449">
        <v>18</v>
      </c>
      <c r="N284" s="2047">
        <v>220</v>
      </c>
      <c r="O284" s="1789">
        <v>30</v>
      </c>
      <c r="P284" s="2354">
        <v>13</v>
      </c>
      <c r="Q284" s="1448">
        <v>18</v>
      </c>
      <c r="R284" s="3310"/>
      <c r="S284" s="3311"/>
      <c r="T284" s="3310"/>
      <c r="U284" s="3311"/>
      <c r="V284" s="3310"/>
      <c r="W284" s="3311"/>
      <c r="X284" s="824">
        <f>SUM('4층_부하량(월간_AVG)'!N177:P177)</f>
        <v>0</v>
      </c>
      <c r="Y284" s="1400">
        <f>SUM('4층_부하량(월간_AVG)'!N146:P146)</f>
        <v>0</v>
      </c>
      <c r="Z284" s="2443">
        <f t="shared" si="112"/>
        <v>0</v>
      </c>
      <c r="AA284" s="2685" t="e" cm="1">
        <f t="array" ref="AA284">INDEX('각층분기별_유효전력량(전월)'!$C$2:$C$2020,MATCH(1,("4-DaHall 1-PDU-14"='각층분기별_유효전력량(전월)'!$A$2:$A$2020)*("[branch#018] [A] kWh last month"='각층분기별_유효전력량(전월)'!$B$2:$B$2020),0))</f>
        <v>#N/A</v>
      </c>
      <c r="AB284" s="2702" t="e" cm="1">
        <f t="array" ref="AB284">INDEX('각층분기별_유효전력량(전월)'!$C$2:$C$2020,MATCH(1,("4-DaHall 1-PDU-13"='각층분기별_유효전력량(전월)'!$A$2:$A$2020)*("[branch#018] [A] kWh last month"='각층분기별_유효전력량(전월)'!$B$2:$B$2020),0))</f>
        <v>#N/A</v>
      </c>
      <c r="AC284" s="4024" t="e">
        <f>VLOOKUP(H284&amp;I284,'7층~4층_매핑테이블'!$A$6:$H$2020,8,0)</f>
        <v>#N/A</v>
      </c>
      <c r="AD284" s="3179" t="e">
        <f t="shared" si="113"/>
        <v>#N/A</v>
      </c>
      <c r="AE284" s="3312"/>
      <c r="AG284">
        <v>74.099999999999994</v>
      </c>
      <c r="AH284" s="1363">
        <f t="shared" si="109"/>
        <v>-74.099999999999994</v>
      </c>
      <c r="AJ284" s="2351" t="e">
        <f t="shared" si="90"/>
        <v>#N/A</v>
      </c>
      <c r="AK284" s="2351" t="e">
        <f t="shared" si="110"/>
        <v>#N/A</v>
      </c>
      <c r="AL284" s="3266" t="e">
        <f t="shared" si="92"/>
        <v>#N/A</v>
      </c>
      <c r="AR284" s="3266"/>
      <c r="AS284" s="3266"/>
      <c r="AU284" s="2982"/>
      <c r="AV284" s="3266"/>
      <c r="AW284" s="3266"/>
      <c r="AX284" s="2983"/>
      <c r="AY284" s="2984"/>
      <c r="AZ284" s="2985"/>
      <c r="BA284" s="3018"/>
      <c r="BB284" s="3019"/>
      <c r="BC284" s="2988"/>
      <c r="BD284" s="3266"/>
    </row>
    <row r="285" spans="1:56" x14ac:dyDescent="0.25">
      <c r="A285" s="3308"/>
      <c r="B285" s="3330" t="s">
        <v>11050</v>
      </c>
      <c r="C285" s="3313" t="s">
        <v>11025</v>
      </c>
      <c r="D285" s="3318">
        <v>2</v>
      </c>
      <c r="E285" s="3265"/>
      <c r="F285" s="3265"/>
      <c r="G285" s="3319"/>
      <c r="H285" s="2057" t="str">
        <f t="shared" si="108"/>
        <v>4-DaHall 1-PDU-14-30-19</v>
      </c>
      <c r="I285" s="2043" t="str">
        <f t="shared" si="102"/>
        <v>4-DaHall 1-PDU-13-30-19</v>
      </c>
      <c r="J285" s="2053">
        <v>220</v>
      </c>
      <c r="K285" s="1788">
        <v>30</v>
      </c>
      <c r="L285" s="2353">
        <v>14</v>
      </c>
      <c r="M285" s="1449">
        <v>19</v>
      </c>
      <c r="N285" s="2047">
        <v>220</v>
      </c>
      <c r="O285" s="1789">
        <v>30</v>
      </c>
      <c r="P285" s="2354">
        <v>13</v>
      </c>
      <c r="Q285" s="1448">
        <v>19</v>
      </c>
      <c r="R285" s="3310"/>
      <c r="S285" s="3311"/>
      <c r="T285" s="3310"/>
      <c r="U285" s="3311"/>
      <c r="V285" s="3310"/>
      <c r="W285" s="3311"/>
      <c r="X285" s="824">
        <f>SUM('4층_부하량(월간_AVG)'!D178:F178)</f>
        <v>0</v>
      </c>
      <c r="Y285" s="1400">
        <f>SUM('4층_부하량(월간_AVG)'!D147:F147)</f>
        <v>0</v>
      </c>
      <c r="Z285" s="2443">
        <f t="shared" si="112"/>
        <v>0</v>
      </c>
      <c r="AA285" s="2685" t="e" cm="1">
        <f t="array" ref="AA285">INDEX('각층분기별_유효전력량(전월)'!$C$2:$C$2020,MATCH(1,("4-DaHall 1-PDU-14"='각층분기별_유효전력량(전월)'!$A$2:$A$2020)*("[branch#019] [A] kWh last month"='각층분기별_유효전력량(전월)'!$B$2:$B$2020),0))</f>
        <v>#N/A</v>
      </c>
      <c r="AB285" s="2702" t="e" cm="1">
        <f t="array" ref="AB285">INDEX('각층분기별_유효전력량(전월)'!$C$2:$C$2020,MATCH(1,("4-DaHall 1-PDU-13"='각층분기별_유효전력량(전월)'!$A$2:$A$2020)*("[branch#019] [A] kWh last month"='각층분기별_유효전력량(전월)'!$B$2:$B$2020),0))</f>
        <v>#N/A</v>
      </c>
      <c r="AC285" s="4024" t="e">
        <f>VLOOKUP(H285&amp;I285,'7층~4층_매핑테이블'!$A$6:$H$2020,8,0)</f>
        <v>#N/A</v>
      </c>
      <c r="AD285" s="3179" t="e">
        <f t="shared" si="113"/>
        <v>#N/A</v>
      </c>
      <c r="AE285" s="3312"/>
      <c r="AG285">
        <v>74.099999999999994</v>
      </c>
      <c r="AH285" s="1363">
        <f t="shared" si="109"/>
        <v>-74.099999999999994</v>
      </c>
      <c r="AJ285" s="2351" t="e">
        <f t="shared" si="90"/>
        <v>#N/A</v>
      </c>
      <c r="AK285" s="2351" t="e">
        <f t="shared" si="110"/>
        <v>#N/A</v>
      </c>
      <c r="AL285" s="3266" t="e">
        <f t="shared" si="92"/>
        <v>#N/A</v>
      </c>
      <c r="AR285" s="3266"/>
      <c r="AS285" s="3266"/>
      <c r="AU285" s="2982"/>
      <c r="AV285" s="3266"/>
      <c r="AW285" s="3266"/>
      <c r="AX285" s="2983"/>
      <c r="AY285" s="2984"/>
      <c r="AZ285" s="2985"/>
      <c r="BA285" s="3018"/>
      <c r="BB285" s="3019"/>
      <c r="BC285" s="2988"/>
      <c r="BD285" s="3266"/>
    </row>
    <row r="286" spans="1:56" x14ac:dyDescent="0.25">
      <c r="A286" s="3308"/>
      <c r="B286" s="3330" t="s">
        <v>11051</v>
      </c>
      <c r="C286" s="3313" t="s">
        <v>11025</v>
      </c>
      <c r="D286" s="3318">
        <v>4</v>
      </c>
      <c r="E286" s="3265"/>
      <c r="F286" s="3265"/>
      <c r="G286" s="3319"/>
      <c r="H286" s="2057" t="str">
        <f>"4-DaHall 1-RPP-0"&amp;L286&amp;"-"&amp;K286&amp;"-"&amp;M286</f>
        <v>4-DaHall 1-RPP-02-30-4</v>
      </c>
      <c r="I286" s="2043" t="str">
        <f>"4-DaHall 1-RPP-0"&amp;P286&amp;"-"&amp;O286&amp;"-"&amp;Q286</f>
        <v>4-DaHall 1-RPP-01-30-4</v>
      </c>
      <c r="J286" s="2053">
        <v>208</v>
      </c>
      <c r="K286" s="1788">
        <v>30</v>
      </c>
      <c r="L286" s="2353">
        <v>2</v>
      </c>
      <c r="M286" s="1449">
        <v>4</v>
      </c>
      <c r="N286" s="2047">
        <v>208</v>
      </c>
      <c r="O286" s="1789">
        <v>30</v>
      </c>
      <c r="P286" s="2354">
        <v>1</v>
      </c>
      <c r="Q286" s="1448">
        <v>4</v>
      </c>
      <c r="X286" s="824">
        <f>SUM('4층_부하량(월간_AVG)'!N203:P203)</f>
        <v>0</v>
      </c>
      <c r="Y286" s="1400">
        <f>SUM('4층_부하량(월간_AVG)'!D203:F203)</f>
        <v>0</v>
      </c>
      <c r="Z286" s="2443">
        <f t="shared" si="112"/>
        <v>0</v>
      </c>
      <c r="AA286" s="2685" t="e" cm="1">
        <f t="array" ref="AA286">INDEX('각층분기별_유효전력량(전월)'!$C$2:$C$2020,MATCH(1,("4-DaHall 1-RPP-02"='각층분기별_유효전력량(전월)'!$A$2:$A$2020)*("[branch#004] [A] kWh last month"='각층분기별_유효전력량(전월)'!$B$2:$B$2020),0))</f>
        <v>#N/A</v>
      </c>
      <c r="AB286" s="2703" t="e" cm="1">
        <f t="array" ref="AB286">INDEX('각층분기별_유효전력량(전월)'!C278:C2296,MATCH(1,("4-DaHall 1-PDU-01"='각층분기별_유효전력량(전월)'!A278:A2296)*("[branch#004] [A] kWh last month"='각층분기별_유효전력량(전월)'!B278:B2296),0))</f>
        <v>#N/A</v>
      </c>
      <c r="AC286" s="4024" t="e">
        <f>VLOOKUP(H286&amp;I286,'7층~4층_매핑테이블'!$A$6:$H$2020,8,0)</f>
        <v>#N/A</v>
      </c>
      <c r="AD286" s="3179" t="e">
        <f t="shared" si="113"/>
        <v>#N/A</v>
      </c>
      <c r="AE286" s="3312"/>
      <c r="AG286">
        <v>74.099999999999994</v>
      </c>
      <c r="AH286" s="1363">
        <f t="shared" si="109"/>
        <v>-74.099999999999994</v>
      </c>
      <c r="AJ286" s="2351" t="e">
        <f t="shared" si="90"/>
        <v>#N/A</v>
      </c>
      <c r="AK286" s="2351" t="e">
        <f t="shared" si="110"/>
        <v>#N/A</v>
      </c>
      <c r="AL286" s="3266" t="e">
        <f t="shared" si="92"/>
        <v>#N/A</v>
      </c>
      <c r="BD286"/>
    </row>
    <row r="287" spans="1:56" x14ac:dyDescent="0.25">
      <c r="A287" s="3308"/>
      <c r="B287" s="3937" t="s">
        <v>11052</v>
      </c>
      <c r="C287" s="3931" t="s">
        <v>11023</v>
      </c>
      <c r="D287" s="3939">
        <v>2</v>
      </c>
      <c r="E287" s="3528"/>
      <c r="F287" s="3528"/>
      <c r="G287" s="3528"/>
      <c r="H287" s="2057" t="str">
        <f t="shared" ref="H287:H305" si="114">"4-DaHall 1-PDU-"&amp;L287&amp;"-"&amp;K287&amp;"-"&amp;M287</f>
        <v>4-DaHall 1-PDU-14-30-20</v>
      </c>
      <c r="I287" s="2043" t="str">
        <f t="shared" ref="I287:I305" si="115">"4-DaHall 1-PDU-"&amp;P287&amp;"-"&amp;O287&amp;"-"&amp;Q287</f>
        <v>4-DaHall 1-PDU-13-30-20</v>
      </c>
      <c r="J287" s="2053">
        <v>220</v>
      </c>
      <c r="K287" s="1788">
        <v>30</v>
      </c>
      <c r="L287" s="2353">
        <v>14</v>
      </c>
      <c r="M287" s="1449">
        <v>20</v>
      </c>
      <c r="N287" s="2047">
        <v>220</v>
      </c>
      <c r="O287" s="1789">
        <v>30</v>
      </c>
      <c r="P287" s="2354">
        <v>13</v>
      </c>
      <c r="Q287" s="1448">
        <v>20</v>
      </c>
      <c r="X287" s="824">
        <f>SUM('4층_부하량(월간_AVG)'!N178:P178)</f>
        <v>0</v>
      </c>
      <c r="Y287" s="1400">
        <f>SUM('4층_부하량(월간_AVG)'!N147:P147)</f>
        <v>0</v>
      </c>
      <c r="Z287" s="3934">
        <f>SUM(X287:Y288)</f>
        <v>0</v>
      </c>
      <c r="AA287" s="2685" t="e" cm="1">
        <f t="array" ref="AA287">INDEX('각층분기별_유효전력량(전월)'!$C$2:$C$2020,MATCH(1,("4-DaHall 1-PDU-14"='각층분기별_유효전력량(전월)'!$A$2:$A$2020)*("[branch#020] [A] kWh last month"='각층분기별_유효전력량(전월)'!$B$2:$B$2020),0))</f>
        <v>#N/A</v>
      </c>
      <c r="AB287" s="2702" t="e" cm="1">
        <f t="array" ref="AB287">INDEX('각층분기별_유효전력량(전월)'!$C$2:$C$2020,MATCH(1,("4-DaHall 1-PDU-13"='각층분기별_유효전력량(전월)'!$A$2:$A$2020)*("[branch#020] [A] kWh last month"='각층분기별_유효전력량(전월)'!$B$2:$B$2020),0))</f>
        <v>#N/A</v>
      </c>
      <c r="AC287" s="4024" t="e">
        <f>VLOOKUP(H287&amp;I287,'7층~4층_매핑테이블'!$A$6:$H$2020,8,0)</f>
        <v>#N/A</v>
      </c>
      <c r="AD287" s="4029" t="e">
        <f>SUM(AA287:AB288)</f>
        <v>#N/A</v>
      </c>
      <c r="AE287" s="3312"/>
      <c r="AG287">
        <v>74.099999999999994</v>
      </c>
      <c r="AH287" s="1363">
        <f t="shared" si="109"/>
        <v>-74.099999999999994</v>
      </c>
      <c r="AJ287" s="2351" t="e">
        <f t="shared" si="90"/>
        <v>#N/A</v>
      </c>
      <c r="AK287" s="2351" t="e">
        <f t="shared" si="110"/>
        <v>#N/A</v>
      </c>
      <c r="AL287" s="3266" t="e">
        <f t="shared" si="92"/>
        <v>#N/A</v>
      </c>
      <c r="BD287"/>
    </row>
    <row r="288" spans="1:56" x14ac:dyDescent="0.25">
      <c r="A288" s="3308"/>
      <c r="B288" s="3938"/>
      <c r="C288" s="3932"/>
      <c r="D288" s="3940"/>
      <c r="E288" s="3529"/>
      <c r="F288" s="3529"/>
      <c r="G288" s="3529"/>
      <c r="H288" s="2057" t="str">
        <f t="shared" si="114"/>
        <v>4-DaHall 1-PDU-14-30-21</v>
      </c>
      <c r="I288" s="2043" t="str">
        <f t="shared" si="115"/>
        <v>4-DaHall 1-PDU-13-30-21</v>
      </c>
      <c r="J288" s="2053">
        <v>220</v>
      </c>
      <c r="K288" s="1788">
        <v>30</v>
      </c>
      <c r="L288" s="2353">
        <v>14</v>
      </c>
      <c r="M288" s="1449">
        <v>21</v>
      </c>
      <c r="N288" s="2047">
        <v>220</v>
      </c>
      <c r="O288" s="1789">
        <v>30</v>
      </c>
      <c r="P288" s="2354">
        <v>13</v>
      </c>
      <c r="Q288" s="1448">
        <v>21</v>
      </c>
      <c r="X288" s="824">
        <f>SUM('4층_부하량(월간_AVG)'!D179:F179)</f>
        <v>0</v>
      </c>
      <c r="Y288" s="1400">
        <f>SUM('4층_부하량(월간_AVG)'!D148:F148)</f>
        <v>0</v>
      </c>
      <c r="Z288" s="3935"/>
      <c r="AA288" s="2685" t="e" cm="1">
        <f t="array" ref="AA288">INDEX('각층분기별_유효전력량(전월)'!$C$2:$C$2020,MATCH(1,("4-DaHall 1-PDU-14"='각층분기별_유효전력량(전월)'!$A$2:$A$2020)*("[branch#021] [A] kWh last month"='각층분기별_유효전력량(전월)'!$B$2:$B$2020),0))</f>
        <v>#N/A</v>
      </c>
      <c r="AB288" s="2702" t="e" cm="1">
        <f t="array" ref="AB288">INDEX('각층분기별_유효전력량(전월)'!$C$2:$C$2020,MATCH(1,("4-DaHall 1-PDU-13"='각층분기별_유효전력량(전월)'!$A$2:$A$2020)*("[branch#021] [A] kWh last month"='각층분기별_유효전력량(전월)'!$B$2:$B$2020),0))</f>
        <v>#N/A</v>
      </c>
      <c r="AC288" s="4024" t="e">
        <f>VLOOKUP(H288&amp;I288,'7층~4층_매핑테이블'!$A$6:$H$2020,8,0)</f>
        <v>#N/A</v>
      </c>
      <c r="AD288" s="4030"/>
      <c r="AE288" s="3312"/>
      <c r="AG288">
        <v>74.099999999999994</v>
      </c>
      <c r="AH288" s="1363">
        <f t="shared" si="109"/>
        <v>-74.099999999999994</v>
      </c>
      <c r="AJ288" s="2351">
        <f t="shared" si="90"/>
        <v>0</v>
      </c>
      <c r="AK288" s="2351">
        <f t="shared" si="110"/>
        <v>0</v>
      </c>
      <c r="AL288" s="3266" t="str">
        <f t="shared" si="92"/>
        <v>무부하 랙</v>
      </c>
      <c r="BD288"/>
    </row>
    <row r="289" spans="1:56" x14ac:dyDescent="0.25">
      <c r="A289" s="3308"/>
      <c r="B289" s="3937" t="s">
        <v>11053</v>
      </c>
      <c r="C289" s="3931" t="s">
        <v>11023</v>
      </c>
      <c r="D289" s="3939">
        <v>2</v>
      </c>
      <c r="E289" s="3528"/>
      <c r="F289" s="3528"/>
      <c r="G289" s="3528"/>
      <c r="H289" s="2057" t="str">
        <f t="shared" si="114"/>
        <v>4-DaHall 1-PDU-14-30-22</v>
      </c>
      <c r="I289" s="2043" t="str">
        <f t="shared" si="115"/>
        <v>4-DaHall 1-PDU-13-30-22</v>
      </c>
      <c r="J289" s="2053">
        <v>220</v>
      </c>
      <c r="K289" s="1788">
        <v>30</v>
      </c>
      <c r="L289" s="2353">
        <v>14</v>
      </c>
      <c r="M289" s="1449">
        <v>22</v>
      </c>
      <c r="N289" s="2047">
        <v>220</v>
      </c>
      <c r="O289" s="1789">
        <v>30</v>
      </c>
      <c r="P289" s="2354">
        <v>13</v>
      </c>
      <c r="Q289" s="1448">
        <v>22</v>
      </c>
      <c r="X289" s="824">
        <f>SUM('4층_부하량(월간_AVG)'!N179:P179)</f>
        <v>0</v>
      </c>
      <c r="Y289" s="1400">
        <f>SUM('4층_부하량(월간_AVG)'!N148:P148)</f>
        <v>0</v>
      </c>
      <c r="Z289" s="3934">
        <f>SUM(X289:Y290)</f>
        <v>0</v>
      </c>
      <c r="AA289" s="2685" t="e" cm="1">
        <f t="array" ref="AA289">INDEX('각층분기별_유효전력량(전월)'!$C$2:$C$2020,MATCH(1,("4-DaHall 1-PDU-14"='각층분기별_유효전력량(전월)'!$A$2:$A$2020)*("[branch#022] [A] kWh last month"='각층분기별_유효전력량(전월)'!$B$2:$B$2020),0))</f>
        <v>#N/A</v>
      </c>
      <c r="AB289" s="2702" t="e" cm="1">
        <f t="array" ref="AB289">INDEX('각층분기별_유효전력량(전월)'!$C$2:$C$2020,MATCH(1,("4-DaHall 1-PDU-13"='각층분기별_유효전력량(전월)'!$A$2:$A$2020)*("[branch#022] [A] kWh last month"='각층분기별_유효전력량(전월)'!$B$2:$B$2020),0))</f>
        <v>#N/A</v>
      </c>
      <c r="AC289" s="4024" t="e">
        <f>VLOOKUP(H289&amp;I289,'7층~4층_매핑테이블'!$A$6:$H$2020,8,0)</f>
        <v>#N/A</v>
      </c>
      <c r="AD289" s="4029" t="e">
        <f>SUM(AA289:AB290)</f>
        <v>#N/A</v>
      </c>
      <c r="AE289" s="3312"/>
      <c r="AG289">
        <v>74.099999999999994</v>
      </c>
      <c r="AH289" s="1363">
        <f t="shared" si="109"/>
        <v>-74.099999999999994</v>
      </c>
      <c r="AJ289" s="2351" t="e">
        <f t="shared" si="90"/>
        <v>#N/A</v>
      </c>
      <c r="AK289" s="2351" t="e">
        <f t="shared" si="110"/>
        <v>#N/A</v>
      </c>
      <c r="AL289" s="3266" t="e">
        <f t="shared" si="92"/>
        <v>#N/A</v>
      </c>
      <c r="BD289"/>
    </row>
    <row r="290" spans="1:56" x14ac:dyDescent="0.25">
      <c r="A290" s="3308"/>
      <c r="B290" s="3938"/>
      <c r="C290" s="3932"/>
      <c r="D290" s="3940"/>
      <c r="E290" s="3529"/>
      <c r="F290" s="3529"/>
      <c r="G290" s="3529"/>
      <c r="H290" s="2057" t="str">
        <f t="shared" si="114"/>
        <v>4-DaHall 1-PDU-14-30-39</v>
      </c>
      <c r="I290" s="2043" t="str">
        <f t="shared" si="115"/>
        <v>4-DaHall 1-PDU-13-30-39</v>
      </c>
      <c r="J290" s="2053">
        <v>220</v>
      </c>
      <c r="K290" s="1788">
        <v>30</v>
      </c>
      <c r="L290" s="2353">
        <v>14</v>
      </c>
      <c r="M290" s="1449">
        <v>39</v>
      </c>
      <c r="N290" s="2047">
        <v>220</v>
      </c>
      <c r="O290" s="1789">
        <v>30</v>
      </c>
      <c r="P290" s="2354">
        <v>13</v>
      </c>
      <c r="Q290" s="1448">
        <v>39</v>
      </c>
      <c r="X290" s="824">
        <f>SUM('4층_부하량(월간_AVG)'!D188:F188)</f>
        <v>0</v>
      </c>
      <c r="Y290" s="1400">
        <f>SUM('4층_부하량(월간_AVG)'!D157:F157)</f>
        <v>0</v>
      </c>
      <c r="Z290" s="3935"/>
      <c r="AA290" s="2685" t="e" cm="1">
        <f t="array" ref="AA290">INDEX('각층분기별_유효전력량(전월)'!$C$2:$C$2020,MATCH(1,("4-DaHall 1-PDU-14"='각층분기별_유효전력량(전월)'!$A$2:$A$2020)*("[branch#039] [A] kWh last month"='각층분기별_유효전력량(전월)'!$B$2:$B$2020),0))</f>
        <v>#N/A</v>
      </c>
      <c r="AB290" s="2702" t="e" cm="1">
        <f t="array" ref="AB290">INDEX('각층분기별_유효전력량(전월)'!$C$2:$C$2020,MATCH(1,("4-DaHall 1-PDU-13"='각층분기별_유효전력량(전월)'!$A$2:$A$2020)*("[branch#039] [A] kWh last month"='각층분기별_유효전력량(전월)'!$B$2:$B$2020),0))</f>
        <v>#N/A</v>
      </c>
      <c r="AC290" s="4024" t="e">
        <f>VLOOKUP(H290&amp;I290,'7층~4층_매핑테이블'!$A$6:$H$2020,8,0)</f>
        <v>#N/A</v>
      </c>
      <c r="AD290" s="4030"/>
      <c r="AE290" s="3312"/>
      <c r="AG290">
        <v>74.099999999999994</v>
      </c>
      <c r="AH290" s="1363">
        <f t="shared" si="109"/>
        <v>-74.099999999999994</v>
      </c>
      <c r="AJ290" s="2351">
        <f t="shared" si="90"/>
        <v>0</v>
      </c>
      <c r="AK290" s="2351">
        <f t="shared" si="110"/>
        <v>0</v>
      </c>
      <c r="AL290" s="3266" t="str">
        <f t="shared" si="92"/>
        <v>무부하 랙</v>
      </c>
      <c r="BD290"/>
    </row>
    <row r="291" spans="1:56" x14ac:dyDescent="0.25">
      <c r="A291" s="3308"/>
      <c r="B291" s="3330" t="s">
        <v>11054</v>
      </c>
      <c r="C291" s="3313" t="s">
        <v>11025</v>
      </c>
      <c r="D291" s="3317">
        <v>2</v>
      </c>
      <c r="E291" s="217"/>
      <c r="F291" s="3314"/>
      <c r="G291" s="3315"/>
      <c r="H291" s="2057" t="str">
        <f t="shared" si="114"/>
        <v>4-DaHall 1-PDU-14-30-23</v>
      </c>
      <c r="I291" s="2043" t="str">
        <f t="shared" si="115"/>
        <v>4-DaHall 1-PDU-13-30-23</v>
      </c>
      <c r="J291" s="2053">
        <v>220</v>
      </c>
      <c r="K291" s="1788">
        <v>30</v>
      </c>
      <c r="L291" s="2353">
        <v>14</v>
      </c>
      <c r="M291" s="1449">
        <v>23</v>
      </c>
      <c r="N291" s="2047">
        <v>220</v>
      </c>
      <c r="O291" s="1789">
        <v>30</v>
      </c>
      <c r="P291" s="2354">
        <v>13</v>
      </c>
      <c r="Q291" s="1448">
        <v>23</v>
      </c>
      <c r="X291" s="824">
        <f>SUM('4층_부하량(월간_AVG)'!D180:F180)</f>
        <v>0</v>
      </c>
      <c r="Y291" s="1400">
        <f>SUM('4층_부하량(월간_AVG)'!D149:F149)</f>
        <v>0</v>
      </c>
      <c r="Z291" s="2443">
        <f t="shared" ref="Z291:Z299" si="116">SUM(X291:Y291)</f>
        <v>0</v>
      </c>
      <c r="AA291" s="2685" t="e" cm="1">
        <f t="array" ref="AA291">INDEX('각층분기별_유효전력량(전월)'!$C$2:$C$2020,MATCH(1,("4-DaHall 1-PDU-14"='각층분기별_유효전력량(전월)'!$A$2:$A$2020)*("[branch#023] [A] kWh last month"='각층분기별_유효전력량(전월)'!$B$2:$B$2020),0))</f>
        <v>#N/A</v>
      </c>
      <c r="AB291" s="2702" t="e" cm="1">
        <f t="array" ref="AB291">INDEX('각층분기별_유효전력량(전월)'!$C$2:$C$2020,MATCH(1,("4-DaHall 1-PDU-13"='각층분기별_유효전력량(전월)'!$A$2:$A$2020)*("[branch#023] [A] kWh last month"='각층분기별_유효전력량(전월)'!$B$2:$B$2020),0))</f>
        <v>#N/A</v>
      </c>
      <c r="AC291" s="4024" t="e">
        <f>VLOOKUP(H291&amp;I291,'7층~4층_매핑테이블'!$A$6:$H$2020,8,0)</f>
        <v>#N/A</v>
      </c>
      <c r="AD291" s="3179" t="e">
        <f t="shared" ref="AD291:AD300" si="117">SUM(AA291:AB291)</f>
        <v>#N/A</v>
      </c>
      <c r="AE291" s="3312"/>
      <c r="AG291">
        <v>74.099999999999994</v>
      </c>
      <c r="AH291" s="1363">
        <f t="shared" si="109"/>
        <v>-74.099999999999994</v>
      </c>
      <c r="AJ291" s="2351" t="e">
        <f t="shared" si="90"/>
        <v>#N/A</v>
      </c>
      <c r="AK291" s="2351" t="e">
        <f t="shared" si="110"/>
        <v>#N/A</v>
      </c>
      <c r="AL291" s="3266" t="e">
        <f t="shared" si="92"/>
        <v>#N/A</v>
      </c>
      <c r="BD291"/>
    </row>
    <row r="292" spans="1:56" x14ac:dyDescent="0.25">
      <c r="A292" s="3308"/>
      <c r="B292" s="3330" t="s">
        <v>11055</v>
      </c>
      <c r="C292" s="3313" t="s">
        <v>11025</v>
      </c>
      <c r="D292" s="3318">
        <v>2</v>
      </c>
      <c r="E292" s="3265"/>
      <c r="F292" s="3265"/>
      <c r="G292" s="3319"/>
      <c r="H292" s="2057" t="str">
        <f t="shared" si="114"/>
        <v>4-DaHall 1-PDU-14-30-24</v>
      </c>
      <c r="I292" s="2043" t="str">
        <f t="shared" si="115"/>
        <v>4-DaHall 1-PDU-13-30-24</v>
      </c>
      <c r="J292" s="2053">
        <v>220</v>
      </c>
      <c r="K292" s="1788">
        <v>30</v>
      </c>
      <c r="L292" s="2353">
        <v>14</v>
      </c>
      <c r="M292" s="1449">
        <v>24</v>
      </c>
      <c r="N292" s="2047">
        <v>220</v>
      </c>
      <c r="O292" s="1789">
        <v>30</v>
      </c>
      <c r="P292" s="2354">
        <v>13</v>
      </c>
      <c r="Q292" s="1448">
        <v>24</v>
      </c>
      <c r="X292" s="824">
        <f>SUM('4층_부하량(월간_AVG)'!N180:P180)</f>
        <v>0</v>
      </c>
      <c r="Y292" s="1400">
        <f>SUM('4층_부하량(월간_AVG)'!N149:P149)</f>
        <v>0</v>
      </c>
      <c r="Z292" s="2443">
        <f t="shared" si="116"/>
        <v>0</v>
      </c>
      <c r="AA292" s="2685" t="e" cm="1">
        <f t="array" ref="AA292">INDEX('각층분기별_유효전력량(전월)'!$C$2:$C$2020,MATCH(1,("4-DaHall 1-PDU-14"='각층분기별_유효전력량(전월)'!$A$2:$A$2020)*("[branch#024] [A] kWh last month"='각층분기별_유효전력량(전월)'!$B$2:$B$2020),0))</f>
        <v>#N/A</v>
      </c>
      <c r="AB292" s="2702" t="e" cm="1">
        <f t="array" ref="AB292">INDEX('각층분기별_유효전력량(전월)'!$C$2:$C$2020,MATCH(1,("4-DaHall 1-PDU-13"='각층분기별_유효전력량(전월)'!$A$2:$A$2020)*("[branch#024] [A] kWh last month"='각층분기별_유효전력량(전월)'!$B$2:$B$2020),0))</f>
        <v>#N/A</v>
      </c>
      <c r="AC292" s="4024" t="e">
        <f>VLOOKUP(H292&amp;I292,'7층~4층_매핑테이블'!$A$6:$H$2020,8,0)</f>
        <v>#N/A</v>
      </c>
      <c r="AD292" s="3179" t="e">
        <f t="shared" si="117"/>
        <v>#N/A</v>
      </c>
      <c r="AE292" s="3312"/>
      <c r="AG292">
        <v>74.099999999999994</v>
      </c>
      <c r="AH292" s="1363">
        <f t="shared" si="109"/>
        <v>-74.099999999999994</v>
      </c>
      <c r="AJ292" s="2351" t="e">
        <f t="shared" si="90"/>
        <v>#N/A</v>
      </c>
      <c r="AK292" s="2351" t="e">
        <f t="shared" si="110"/>
        <v>#N/A</v>
      </c>
      <c r="AL292" s="3266" t="e">
        <f t="shared" si="92"/>
        <v>#N/A</v>
      </c>
      <c r="BD292"/>
    </row>
    <row r="293" spans="1:56" x14ac:dyDescent="0.25">
      <c r="A293" s="3308"/>
      <c r="B293" s="3330" t="s">
        <v>11056</v>
      </c>
      <c r="C293" s="3313" t="s">
        <v>11025</v>
      </c>
      <c r="D293" s="3317">
        <v>4</v>
      </c>
      <c r="E293" s="217"/>
      <c r="F293" s="3314"/>
      <c r="G293" s="3315"/>
      <c r="H293" s="2057" t="str">
        <f t="shared" si="114"/>
        <v>4-DaHall 1-PDU-14-30-25</v>
      </c>
      <c r="I293" s="2043" t="str">
        <f t="shared" si="115"/>
        <v>4-DaHall 1-PDU-13-30-25</v>
      </c>
      <c r="J293" s="2053">
        <v>220</v>
      </c>
      <c r="K293" s="1788">
        <v>30</v>
      </c>
      <c r="L293" s="2353">
        <v>14</v>
      </c>
      <c r="M293" s="1449">
        <v>25</v>
      </c>
      <c r="N293" s="2047">
        <v>220</v>
      </c>
      <c r="O293" s="1789">
        <v>30</v>
      </c>
      <c r="P293" s="2354">
        <v>13</v>
      </c>
      <c r="Q293" s="1448">
        <v>25</v>
      </c>
      <c r="X293" s="824">
        <f>SUM('4층_부하량(월간_AVG)'!D181:F181)</f>
        <v>0</v>
      </c>
      <c r="Y293" s="1400">
        <f>SUM('4층_부하량(월간_AVG)'!D150:F150)</f>
        <v>0</v>
      </c>
      <c r="Z293" s="2443">
        <f t="shared" si="116"/>
        <v>0</v>
      </c>
      <c r="AA293" s="2685" t="e" cm="1">
        <f t="array" ref="AA293">INDEX('각층분기별_유효전력량(전월)'!$C$2:$C$2020,MATCH(1,("4-DaHall 1-PDU-14"='각층분기별_유효전력량(전월)'!$A$2:$A$2020)*("[branch#025] [A] kWh last month"='각층분기별_유효전력량(전월)'!$B$2:$B$2020),0))</f>
        <v>#N/A</v>
      </c>
      <c r="AB293" s="2702" t="e" cm="1">
        <f t="array" ref="AB293">INDEX('각층분기별_유효전력량(전월)'!$C$2:$C$2020,MATCH(1,("4-DaHall 1-PDU-13"='각층분기별_유효전력량(전월)'!$A$2:$A$2020)*("[branch#025] [A] kWh last month"='각층분기별_유효전력량(전월)'!$B$2:$B$2020),0))</f>
        <v>#N/A</v>
      </c>
      <c r="AC293" s="4024" t="e">
        <f>VLOOKUP(H293&amp;I293,'7층~4층_매핑테이블'!$A$6:$H$2020,8,0)</f>
        <v>#N/A</v>
      </c>
      <c r="AD293" s="3179" t="e">
        <f t="shared" si="117"/>
        <v>#N/A</v>
      </c>
      <c r="AE293" s="3312"/>
      <c r="AG293">
        <v>74.099999999999994</v>
      </c>
      <c r="AH293" s="1363">
        <f t="shared" si="109"/>
        <v>-74.099999999999994</v>
      </c>
      <c r="AJ293" s="2351" t="e">
        <f t="shared" si="90"/>
        <v>#N/A</v>
      </c>
      <c r="AK293" s="2351" t="e">
        <f t="shared" si="110"/>
        <v>#N/A</v>
      </c>
      <c r="AL293" s="3266" t="e">
        <f t="shared" si="92"/>
        <v>#N/A</v>
      </c>
      <c r="BD293"/>
    </row>
    <row r="294" spans="1:56" x14ac:dyDescent="0.25">
      <c r="A294" s="3308"/>
      <c r="B294" s="3330" t="s">
        <v>11057</v>
      </c>
      <c r="C294" s="3313" t="s">
        <v>11025</v>
      </c>
      <c r="D294" s="3317">
        <v>2</v>
      </c>
      <c r="E294" s="217"/>
      <c r="F294" s="3314"/>
      <c r="G294" s="3315"/>
      <c r="H294" s="2057" t="str">
        <f t="shared" si="114"/>
        <v>4-DaHall 1-PDU-14-30-26</v>
      </c>
      <c r="I294" s="2043" t="str">
        <f t="shared" si="115"/>
        <v>4-DaHall 1-PDU-13-30-26</v>
      </c>
      <c r="J294" s="2053">
        <v>220</v>
      </c>
      <c r="K294" s="1788">
        <v>30</v>
      </c>
      <c r="L294" s="2353">
        <v>14</v>
      </c>
      <c r="M294" s="1449">
        <v>26</v>
      </c>
      <c r="N294" s="2047">
        <v>220</v>
      </c>
      <c r="O294" s="1789">
        <v>30</v>
      </c>
      <c r="P294" s="2354">
        <v>13</v>
      </c>
      <c r="Q294" s="1448">
        <v>26</v>
      </c>
      <c r="X294" s="824">
        <f>SUM('4층_부하량(월간_AVG)'!N181:P181)</f>
        <v>0</v>
      </c>
      <c r="Y294" s="1400">
        <f>SUM('4층_부하량(월간_AVG)'!N150:P150)</f>
        <v>0</v>
      </c>
      <c r="Z294" s="2443">
        <f t="shared" si="116"/>
        <v>0</v>
      </c>
      <c r="AA294" s="2685" t="e" cm="1">
        <f t="array" ref="AA294">INDEX('각층분기별_유효전력량(전월)'!$C$2:$C$2020,MATCH(1,("4-DaHall 1-PDU-14"='각층분기별_유효전력량(전월)'!$A$2:$A$2020)*("[branch#026] [A] kWh last month"='각층분기별_유효전력량(전월)'!$B$2:$B$2020),0))</f>
        <v>#N/A</v>
      </c>
      <c r="AB294" s="2702" t="e" cm="1">
        <f t="array" ref="AB294">INDEX('각층분기별_유효전력량(전월)'!$C$2:$C$2020,MATCH(1,("4-DaHall 1-PDU-13"='각층분기별_유효전력량(전월)'!$A$2:$A$2020)*("[branch#026] [A] kWh last month"='각층분기별_유효전력량(전월)'!$B$2:$B$2020),0))</f>
        <v>#N/A</v>
      </c>
      <c r="AC294" s="4024" t="e">
        <f>VLOOKUP(H294&amp;I294,'7층~4층_매핑테이블'!$A$6:$H$2020,8,0)</f>
        <v>#N/A</v>
      </c>
      <c r="AD294" s="3179" t="e">
        <f t="shared" si="117"/>
        <v>#N/A</v>
      </c>
      <c r="AE294" s="3312"/>
      <c r="AG294">
        <v>74.099999999999994</v>
      </c>
      <c r="AH294" s="1363">
        <f t="shared" si="109"/>
        <v>-74.099999999999994</v>
      </c>
      <c r="AJ294" s="2351" t="e">
        <f t="shared" si="90"/>
        <v>#N/A</v>
      </c>
      <c r="AK294" s="2351" t="e">
        <f t="shared" si="110"/>
        <v>#N/A</v>
      </c>
      <c r="AL294" s="3266" t="e">
        <f t="shared" si="92"/>
        <v>#N/A</v>
      </c>
      <c r="BD294"/>
    </row>
    <row r="295" spans="1:56" x14ac:dyDescent="0.25">
      <c r="A295" s="3308"/>
      <c r="B295" s="3330" t="s">
        <v>11058</v>
      </c>
      <c r="C295" s="3313" t="s">
        <v>11025</v>
      </c>
      <c r="D295" s="3316">
        <v>2</v>
      </c>
      <c r="E295" s="3264"/>
      <c r="F295" s="3260"/>
      <c r="G295" s="3261"/>
      <c r="H295" s="2057" t="str">
        <f t="shared" si="114"/>
        <v>4-DaHall 1-PDU-14-30-27</v>
      </c>
      <c r="I295" s="2043" t="str">
        <f t="shared" si="115"/>
        <v>4-DaHall 1-PDU-13-30-27</v>
      </c>
      <c r="J295" s="2053">
        <v>220</v>
      </c>
      <c r="K295" s="1788">
        <v>30</v>
      </c>
      <c r="L295" s="2353">
        <v>14</v>
      </c>
      <c r="M295" s="1449">
        <v>27</v>
      </c>
      <c r="N295" s="2047">
        <v>220</v>
      </c>
      <c r="O295" s="1789">
        <v>30</v>
      </c>
      <c r="P295" s="2354">
        <v>13</v>
      </c>
      <c r="Q295" s="1448">
        <v>27</v>
      </c>
      <c r="R295" s="3310"/>
      <c r="S295" s="3311"/>
      <c r="T295" s="3310"/>
      <c r="U295" s="3311"/>
      <c r="V295" s="3310"/>
      <c r="W295" s="3311"/>
      <c r="X295" s="824">
        <f>SUM('4층_부하량(월간_AVG)'!D182:F182)</f>
        <v>0</v>
      </c>
      <c r="Y295" s="1400">
        <f>SUM('4층_부하량(월간_AVG)'!D151:F151)</f>
        <v>0</v>
      </c>
      <c r="Z295" s="2443">
        <f t="shared" si="116"/>
        <v>0</v>
      </c>
      <c r="AA295" s="2685" t="e" cm="1">
        <f t="array" ref="AA295">INDEX('각층분기별_유효전력량(전월)'!$C$2:$C$2020,MATCH(1,("4-DaHall 1-PDU-14"='각층분기별_유효전력량(전월)'!$A$2:$A$2020)*("[branch#027] [A] kWh last month"='각층분기별_유효전력량(전월)'!$B$2:$B$2020),0))</f>
        <v>#N/A</v>
      </c>
      <c r="AB295" s="2702" t="e" cm="1">
        <f t="array" ref="AB295">INDEX('각층분기별_유효전력량(전월)'!$C$2:$C$2020,MATCH(1,("4-DaHall 1-PDU-13"='각층분기별_유효전력량(전월)'!$A$2:$A$2020)*("[branch#027] [A] kWh last month"='각층분기별_유효전력량(전월)'!$B$2:$B$2020),0))</f>
        <v>#N/A</v>
      </c>
      <c r="AC295" s="4024" t="e">
        <f>VLOOKUP(H295&amp;I295,'7층~4층_매핑테이블'!$A$6:$H$2020,8,0)</f>
        <v>#N/A</v>
      </c>
      <c r="AD295" s="3179" t="e">
        <f t="shared" si="117"/>
        <v>#N/A</v>
      </c>
      <c r="AE295" s="3312"/>
      <c r="AG295">
        <v>74.099999999999994</v>
      </c>
      <c r="AH295" s="1363">
        <f t="shared" si="109"/>
        <v>-74.099999999999994</v>
      </c>
      <c r="AJ295" s="2351" t="e">
        <f t="shared" si="90"/>
        <v>#N/A</v>
      </c>
      <c r="AK295" s="2351" t="e">
        <f t="shared" si="110"/>
        <v>#N/A</v>
      </c>
      <c r="AL295" s="3266" t="e">
        <f t="shared" si="92"/>
        <v>#N/A</v>
      </c>
      <c r="AR295" s="3266"/>
      <c r="AS295" s="3266"/>
      <c r="AU295" s="2982"/>
      <c r="AV295" s="3266"/>
      <c r="AW295" s="3266"/>
      <c r="AX295" s="2983"/>
      <c r="AY295" s="2984"/>
      <c r="AZ295" s="2985"/>
      <c r="BA295" s="3018"/>
      <c r="BB295" s="3019"/>
      <c r="BC295" s="2988"/>
      <c r="BD295" s="3266"/>
    </row>
    <row r="296" spans="1:56" x14ac:dyDescent="0.25">
      <c r="A296" s="3308"/>
      <c r="B296" s="3330" t="s">
        <v>11059</v>
      </c>
      <c r="C296" s="3313" t="s">
        <v>11025</v>
      </c>
      <c r="D296" s="3317">
        <v>4</v>
      </c>
      <c r="E296" s="3264"/>
      <c r="F296" s="3260"/>
      <c r="G296" s="3309"/>
      <c r="H296" s="2057" t="str">
        <f t="shared" si="114"/>
        <v>4-DaHall 1-PDU-14-30-29</v>
      </c>
      <c r="I296" s="2043" t="str">
        <f t="shared" si="115"/>
        <v>4-DaHall 1-PDU-13-30-29</v>
      </c>
      <c r="J296" s="2053">
        <v>220</v>
      </c>
      <c r="K296" s="1788">
        <v>30</v>
      </c>
      <c r="L296" s="2353">
        <v>14</v>
      </c>
      <c r="M296" s="1449">
        <v>29</v>
      </c>
      <c r="N296" s="2047">
        <v>220</v>
      </c>
      <c r="O296" s="1789">
        <v>30</v>
      </c>
      <c r="P296" s="2354">
        <v>13</v>
      </c>
      <c r="Q296" s="1448">
        <v>29</v>
      </c>
      <c r="R296" s="3310"/>
      <c r="S296" s="3311"/>
      <c r="T296" s="3310"/>
      <c r="U296" s="3311"/>
      <c r="V296" s="3310"/>
      <c r="W296" s="3311"/>
      <c r="X296" s="824">
        <f>SUM('4층_부하량(월간_AVG)'!D183:F183)</f>
        <v>0</v>
      </c>
      <c r="Y296" s="1400">
        <f>SUM('4층_부하량(월간_AVG)'!D152:F152)</f>
        <v>0</v>
      </c>
      <c r="Z296" s="2443">
        <f t="shared" si="116"/>
        <v>0</v>
      </c>
      <c r="AA296" s="2685" t="e" cm="1">
        <f t="array" ref="AA296">INDEX('각층분기별_유효전력량(전월)'!$C$2:$C$2020,MATCH(1,("4-DaHall 1-PDU-14"='각층분기별_유효전력량(전월)'!$A$2:$A$2020)*("[branch#029] [A] kWh last month"='각층분기별_유효전력량(전월)'!$B$2:$B$2020),0))</f>
        <v>#N/A</v>
      </c>
      <c r="AB296" s="2702" t="e" cm="1">
        <f t="array" ref="AB296">INDEX('각층분기별_유효전력량(전월)'!$C$2:$C$2020,MATCH(1,("4-DaHall 1-PDU-13"='각층분기별_유효전력량(전월)'!$A$2:$A$2020)*("[branch#029] [A] kWh last month"='각층분기별_유효전력량(전월)'!$B$2:$B$2020),0))</f>
        <v>#N/A</v>
      </c>
      <c r="AC296" s="4024" t="e">
        <f>VLOOKUP(H296&amp;I296,'7층~4층_매핑테이블'!$A$6:$H$2020,8,0)</f>
        <v>#N/A</v>
      </c>
      <c r="AD296" s="3179" t="e">
        <f t="shared" si="117"/>
        <v>#N/A</v>
      </c>
      <c r="AE296" s="3312"/>
      <c r="AG296">
        <v>74.099999999999994</v>
      </c>
      <c r="AH296" s="1363">
        <f t="shared" si="109"/>
        <v>-74.099999999999994</v>
      </c>
      <c r="AJ296" s="2351" t="e">
        <f t="shared" si="90"/>
        <v>#N/A</v>
      </c>
      <c r="AK296" s="2351" t="e">
        <f t="shared" si="110"/>
        <v>#N/A</v>
      </c>
      <c r="AL296" s="3266" t="e">
        <f t="shared" si="92"/>
        <v>#N/A</v>
      </c>
      <c r="AR296" s="3266"/>
      <c r="AS296" s="3266"/>
      <c r="AU296" s="2982"/>
      <c r="AV296" s="3266"/>
      <c r="AW296" s="3266"/>
      <c r="AX296" s="2983"/>
      <c r="AY296" s="2984"/>
      <c r="AZ296" s="2985"/>
      <c r="BA296" s="3018"/>
      <c r="BB296" s="3019"/>
      <c r="BC296" s="2988"/>
      <c r="BD296" s="3266"/>
    </row>
    <row r="297" spans="1:56" x14ac:dyDescent="0.25">
      <c r="A297" s="3308"/>
      <c r="B297" s="3330" t="s">
        <v>11060</v>
      </c>
      <c r="C297" s="3313" t="s">
        <v>11025</v>
      </c>
      <c r="D297" s="3318">
        <v>2</v>
      </c>
      <c r="E297" s="3265"/>
      <c r="F297" s="3265"/>
      <c r="G297" s="3319"/>
      <c r="H297" s="2057" t="str">
        <f t="shared" si="114"/>
        <v>4-DaHall 1-PDU-14-30-30</v>
      </c>
      <c r="I297" s="2043" t="str">
        <f t="shared" si="115"/>
        <v>4-DaHall 1-PDU-13-30-30</v>
      </c>
      <c r="J297" s="2053">
        <v>220</v>
      </c>
      <c r="K297" s="1788">
        <v>30</v>
      </c>
      <c r="L297" s="2353">
        <v>14</v>
      </c>
      <c r="M297" s="1449">
        <v>30</v>
      </c>
      <c r="N297" s="2047">
        <v>220</v>
      </c>
      <c r="O297" s="1789">
        <v>30</v>
      </c>
      <c r="P297" s="2354">
        <v>13</v>
      </c>
      <c r="Q297" s="1448">
        <v>30</v>
      </c>
      <c r="R297" s="3310"/>
      <c r="S297" s="3311"/>
      <c r="T297" s="3310"/>
      <c r="U297" s="3311"/>
      <c r="V297" s="3310"/>
      <c r="W297" s="3311"/>
      <c r="X297" s="824">
        <f>SUM('4층_부하량(월간_AVG)'!N183:P183)</f>
        <v>0</v>
      </c>
      <c r="Y297" s="1400">
        <f>SUM('4층_부하량(월간_AVG)'!N152:P152)</f>
        <v>0</v>
      </c>
      <c r="Z297" s="2443">
        <f t="shared" si="116"/>
        <v>0</v>
      </c>
      <c r="AA297" s="2685" t="e" cm="1">
        <f t="array" ref="AA297">INDEX('각층분기별_유효전력량(전월)'!$C$2:$C$2020,MATCH(1,("4-DaHall 1-PDU-14"='각층분기별_유효전력량(전월)'!$A$2:$A$2020)*("[branch#030] [A] kWh last month"='각층분기별_유효전력량(전월)'!$B$2:$B$2020),0))</f>
        <v>#N/A</v>
      </c>
      <c r="AB297" s="2702" t="e" cm="1">
        <f t="array" ref="AB297">INDEX('각층분기별_유효전력량(전월)'!$C$2:$C$2020,MATCH(1,("4-DaHall 1-PDU-13"='각층분기별_유효전력량(전월)'!$A$2:$A$2020)*("[branch#030] [A] kWh last month"='각층분기별_유효전력량(전월)'!$B$2:$B$2020),0))</f>
        <v>#N/A</v>
      </c>
      <c r="AC297" s="4024" t="e">
        <f>VLOOKUP(H297&amp;I297,'7층~4층_매핑테이블'!$A$6:$H$2020,8,0)</f>
        <v>#N/A</v>
      </c>
      <c r="AD297" s="3179" t="e">
        <f t="shared" si="117"/>
        <v>#N/A</v>
      </c>
      <c r="AE297" s="3312"/>
      <c r="AG297">
        <v>74.099999999999994</v>
      </c>
      <c r="AH297" s="1363">
        <f t="shared" si="109"/>
        <v>-74.099999999999994</v>
      </c>
      <c r="AJ297" s="2351" t="e">
        <f t="shared" si="90"/>
        <v>#N/A</v>
      </c>
      <c r="AK297" s="2351" t="e">
        <f t="shared" si="110"/>
        <v>#N/A</v>
      </c>
      <c r="AL297" s="3266" t="e">
        <f t="shared" si="92"/>
        <v>#N/A</v>
      </c>
      <c r="AR297" s="3266"/>
      <c r="AS297" s="3266"/>
      <c r="AU297" s="2982"/>
      <c r="AV297" s="3266"/>
      <c r="AW297" s="3266"/>
      <c r="AX297" s="2983"/>
      <c r="AY297" s="2984"/>
      <c r="AZ297" s="2985"/>
      <c r="BA297" s="3018"/>
      <c r="BB297" s="3019"/>
      <c r="BC297" s="2988"/>
      <c r="BD297" s="3266"/>
    </row>
    <row r="298" spans="1:56" x14ac:dyDescent="0.25">
      <c r="A298" s="3308"/>
      <c r="B298" s="3330" t="s">
        <v>11061</v>
      </c>
      <c r="C298" s="3313" t="s">
        <v>11025</v>
      </c>
      <c r="D298" s="3318">
        <v>2</v>
      </c>
      <c r="E298" s="3265"/>
      <c r="F298" s="3265"/>
      <c r="G298" s="3319"/>
      <c r="H298" s="2057" t="str">
        <f t="shared" si="114"/>
        <v>4-DaHall 1-PDU-14-30-31</v>
      </c>
      <c r="I298" s="2043" t="str">
        <f t="shared" si="115"/>
        <v>4-DaHall 1-PDU-13-30-31</v>
      </c>
      <c r="J298" s="2053">
        <v>220</v>
      </c>
      <c r="K298" s="1788">
        <v>30</v>
      </c>
      <c r="L298" s="2353">
        <v>14</v>
      </c>
      <c r="M298" s="1449">
        <v>31</v>
      </c>
      <c r="N298" s="2047">
        <v>220</v>
      </c>
      <c r="O298" s="1789">
        <v>30</v>
      </c>
      <c r="P298" s="2354">
        <v>13</v>
      </c>
      <c r="Q298" s="1448">
        <v>31</v>
      </c>
      <c r="X298" s="824">
        <f>SUM('4층_부하량(월간_AVG)'!D184:F184)</f>
        <v>0</v>
      </c>
      <c r="Y298" s="1400">
        <f>SUM('4층_부하량(월간_AVG)'!D153:F153)</f>
        <v>0</v>
      </c>
      <c r="Z298" s="2443">
        <f t="shared" si="116"/>
        <v>0</v>
      </c>
      <c r="AA298" s="2685" t="e" cm="1">
        <f t="array" ref="AA298">INDEX('각층분기별_유효전력량(전월)'!$C$2:$C$2020,MATCH(1,("4-DaHall 1-PDU-14"='각층분기별_유효전력량(전월)'!$A$2:$A$2020)*("[branch#031] [A] kWh last month"='각층분기별_유효전력량(전월)'!$B$2:$B$2020),0))</f>
        <v>#N/A</v>
      </c>
      <c r="AB298" s="2702" t="e" cm="1">
        <f t="array" ref="AB298">INDEX('각층분기별_유효전력량(전월)'!$C$2:$C$2020,MATCH(1,("4-DaHall 1-PDU-13"='각층분기별_유효전력량(전월)'!$A$2:$A$2020)*("[branch#031] [A] kWh last month"='각층분기별_유효전력량(전월)'!$B$2:$B$2020),0))</f>
        <v>#N/A</v>
      </c>
      <c r="AC298" s="4024" t="e">
        <f>VLOOKUP(H298&amp;I298,'7층~4층_매핑테이블'!$A$6:$H$2020,8,0)</f>
        <v>#N/A</v>
      </c>
      <c r="AD298" s="3179" t="e">
        <f t="shared" si="117"/>
        <v>#N/A</v>
      </c>
      <c r="AE298" s="3312"/>
      <c r="AG298">
        <v>74.099999999999994</v>
      </c>
      <c r="AH298" s="1363">
        <f t="shared" ref="AH298:AH305" si="118">Z298-AG298</f>
        <v>-74.099999999999994</v>
      </c>
      <c r="AJ298" s="2351" t="e">
        <f t="shared" ref="AJ298:AJ305" si="119">AD298/(24*31)</f>
        <v>#N/A</v>
      </c>
      <c r="AK298" s="2351" t="e">
        <f t="shared" ref="AK298:AK305" si="120">D298-AJ298</f>
        <v>#N/A</v>
      </c>
      <c r="AL298" s="3266" t="e">
        <f t="shared" ref="AL298:AL305" si="121">IF(SIGN(AK298)&gt;=0,IF(AD298=0,"무부하 랙","적정함"),"사용초과")</f>
        <v>#N/A</v>
      </c>
      <c r="BD298"/>
    </row>
    <row r="299" spans="1:56" x14ac:dyDescent="0.25">
      <c r="A299" s="3308"/>
      <c r="B299" s="3330" t="s">
        <v>11062</v>
      </c>
      <c r="C299" s="3313" t="s">
        <v>11025</v>
      </c>
      <c r="D299" s="3317">
        <v>2</v>
      </c>
      <c r="E299" s="217"/>
      <c r="F299" s="3314"/>
      <c r="G299" s="3315"/>
      <c r="H299" s="2057" t="str">
        <f t="shared" si="114"/>
        <v>4-DaHall 1-PDU-14-30-32</v>
      </c>
      <c r="I299" s="2043" t="str">
        <f t="shared" si="115"/>
        <v>4-DaHall 1-PDU-13-30-32</v>
      </c>
      <c r="J299" s="2053">
        <v>220</v>
      </c>
      <c r="K299" s="1788">
        <v>30</v>
      </c>
      <c r="L299" s="2353">
        <v>14</v>
      </c>
      <c r="M299" s="1449">
        <v>32</v>
      </c>
      <c r="N299" s="2047">
        <v>220</v>
      </c>
      <c r="O299" s="1789">
        <v>30</v>
      </c>
      <c r="P299" s="2354">
        <v>13</v>
      </c>
      <c r="Q299" s="1448">
        <v>32</v>
      </c>
      <c r="X299" s="824">
        <f>SUM('4층_부하량(월간_AVG)'!N184:P184)</f>
        <v>0</v>
      </c>
      <c r="Y299" s="1400">
        <f>SUM('4층_부하량(월간_AVG)'!N153:P153)</f>
        <v>0</v>
      </c>
      <c r="Z299" s="2443">
        <f t="shared" si="116"/>
        <v>0</v>
      </c>
      <c r="AA299" s="2685" t="e" cm="1">
        <f t="array" ref="AA299">INDEX('각층분기별_유효전력량(전월)'!$C$2:$C$2020,MATCH(1,("4-DaHall 1-PDU-14"='각층분기별_유효전력량(전월)'!$A$2:$A$2020)*("[branch#032] [A] kWh last month"='각층분기별_유효전력량(전월)'!$B$2:$B$2020),0))</f>
        <v>#N/A</v>
      </c>
      <c r="AB299" s="2702" t="e" cm="1">
        <f t="array" ref="AB299">INDEX('각층분기별_유효전력량(전월)'!$C$2:$C$2020,MATCH(1,("4-DaHall 1-PDU-13"='각층분기별_유효전력량(전월)'!$A$2:$A$2020)*("[branch#032] [A] kWh last month"='각층분기별_유효전력량(전월)'!$B$2:$B$2020),0))</f>
        <v>#N/A</v>
      </c>
      <c r="AC299" s="4024" t="e">
        <f>VLOOKUP(H299&amp;I299,'7층~4층_매핑테이블'!$A$6:$H$2020,8,0)</f>
        <v>#N/A</v>
      </c>
      <c r="AD299" s="3179" t="e">
        <f t="shared" si="117"/>
        <v>#N/A</v>
      </c>
      <c r="AE299" s="3312"/>
      <c r="AG299">
        <v>74.099999999999994</v>
      </c>
      <c r="AH299" s="1363">
        <f t="shared" si="118"/>
        <v>-74.099999999999994</v>
      </c>
      <c r="AJ299" s="2351" t="e">
        <f t="shared" si="119"/>
        <v>#N/A</v>
      </c>
      <c r="AK299" s="2351" t="e">
        <f t="shared" si="120"/>
        <v>#N/A</v>
      </c>
      <c r="AL299" s="3266" t="e">
        <f t="shared" si="121"/>
        <v>#N/A</v>
      </c>
      <c r="BD299"/>
    </row>
    <row r="300" spans="1:56" x14ac:dyDescent="0.25">
      <c r="A300" s="3308"/>
      <c r="B300" s="3330" t="s">
        <v>11063</v>
      </c>
      <c r="C300" s="3313" t="s">
        <v>11025</v>
      </c>
      <c r="D300" s="3318">
        <v>2</v>
      </c>
      <c r="E300" s="3265"/>
      <c r="F300" s="3265"/>
      <c r="G300" s="3319"/>
      <c r="H300" s="2057" t="str">
        <f t="shared" si="114"/>
        <v>4-DaHall 1-PDU-14-30-33</v>
      </c>
      <c r="I300" s="2043" t="str">
        <f t="shared" si="115"/>
        <v>4-DaHall 1-PDU-13-30-33</v>
      </c>
      <c r="J300" s="2053">
        <v>220</v>
      </c>
      <c r="K300" s="1788">
        <v>30</v>
      </c>
      <c r="L300" s="2353">
        <v>14</v>
      </c>
      <c r="M300" s="1449">
        <v>33</v>
      </c>
      <c r="N300" s="2047">
        <v>220</v>
      </c>
      <c r="O300" s="1789">
        <v>30</v>
      </c>
      <c r="P300" s="2354">
        <v>13</v>
      </c>
      <c r="Q300" s="1448">
        <v>33</v>
      </c>
      <c r="X300" s="824">
        <f>SUM('4층_부하량(월간_AVG)'!D185:F185)</f>
        <v>0</v>
      </c>
      <c r="Y300" s="1400">
        <f>SUM('4층_부하량(월간_AVG)'!D154:F154)</f>
        <v>0</v>
      </c>
      <c r="Z300" s="2443">
        <f t="shared" ref="Z300" si="122">SUM(X300:Y300)</f>
        <v>0</v>
      </c>
      <c r="AA300" s="2685" t="e" cm="1">
        <f t="array" ref="AA300">INDEX('각층분기별_유효전력량(전월)'!$C$2:$C$2020,MATCH(1,("4-DaHall 1-PDU-14"='각층분기별_유효전력량(전월)'!$A$2:$A$2020)*("[branch#033] [A] kWh last month"='각층분기별_유효전력량(전월)'!$B$2:$B$2020),0))</f>
        <v>#N/A</v>
      </c>
      <c r="AB300" s="2702" t="e" cm="1">
        <f t="array" ref="AB300">INDEX('각층분기별_유효전력량(전월)'!$C$2:$C$2020,MATCH(1,("4-DaHall 1-PDU-13"='각층분기별_유효전력량(전월)'!$A$2:$A$2020)*("[branch#033] [A] kWh last month"='각층분기별_유효전력량(전월)'!$B$2:$B$2020),0))</f>
        <v>#N/A</v>
      </c>
      <c r="AC300" s="4024" t="e">
        <f>VLOOKUP(H300&amp;I300,'7층~4층_매핑테이블'!$A$6:$H$2020,8,0)</f>
        <v>#N/A</v>
      </c>
      <c r="AD300" s="3179" t="e">
        <f t="shared" si="117"/>
        <v>#N/A</v>
      </c>
      <c r="AE300" s="3312"/>
      <c r="AG300">
        <v>74.099999999999994</v>
      </c>
      <c r="AH300" s="1363">
        <f t="shared" si="118"/>
        <v>-74.099999999999994</v>
      </c>
      <c r="AJ300" s="2351" t="e">
        <f t="shared" si="119"/>
        <v>#N/A</v>
      </c>
      <c r="AK300" s="2351" t="e">
        <f t="shared" si="120"/>
        <v>#N/A</v>
      </c>
      <c r="AL300" s="3266" t="e">
        <f t="shared" si="121"/>
        <v>#N/A</v>
      </c>
      <c r="BD300"/>
    </row>
    <row r="301" spans="1:56" x14ac:dyDescent="0.25">
      <c r="A301" s="3308"/>
      <c r="B301" s="3937" t="s">
        <v>11064</v>
      </c>
      <c r="C301" s="3931" t="s">
        <v>11023</v>
      </c>
      <c r="D301" s="3939">
        <v>2</v>
      </c>
      <c r="E301" s="3528"/>
      <c r="F301" s="3528"/>
      <c r="G301" s="3528"/>
      <c r="H301" s="2057" t="str">
        <f t="shared" si="114"/>
        <v>4-DaHall 1-PDU-14-30-34</v>
      </c>
      <c r="I301" s="2043" t="str">
        <f t="shared" si="115"/>
        <v>4-DaHall 1-PDU-13-30-34</v>
      </c>
      <c r="J301" s="2053">
        <v>220</v>
      </c>
      <c r="K301" s="1788">
        <v>30</v>
      </c>
      <c r="L301" s="2353">
        <v>14</v>
      </c>
      <c r="M301" s="1449">
        <v>34</v>
      </c>
      <c r="N301" s="2047">
        <v>220</v>
      </c>
      <c r="O301" s="1789">
        <v>30</v>
      </c>
      <c r="P301" s="2354">
        <v>13</v>
      </c>
      <c r="Q301" s="1448">
        <v>34</v>
      </c>
      <c r="X301" s="824">
        <f>SUM('4층_부하량(월간_AVG)'!N185:P185)</f>
        <v>0</v>
      </c>
      <c r="Y301" s="1400">
        <f>SUM('4층_부하량(월간_AVG)'!N154:P154)</f>
        <v>0</v>
      </c>
      <c r="Z301" s="3934">
        <f>SUM(X301:Y302)</f>
        <v>0</v>
      </c>
      <c r="AA301" s="2685" t="e" cm="1">
        <f t="array" ref="AA301">INDEX('각층분기별_유효전력량(전월)'!$C$2:$C$2020,MATCH(1,("4-DaHall 1-PDU-14"='각층분기별_유효전력량(전월)'!$A$2:$A$2020)*("[branch#034] [A] kWh last month"='각층분기별_유효전력량(전월)'!$B$2:$B$2020),0))</f>
        <v>#N/A</v>
      </c>
      <c r="AB301" s="2702" t="e" cm="1">
        <f t="array" ref="AB301">INDEX('각층분기별_유효전력량(전월)'!$C$2:$C$2020,MATCH(1,("4-DaHall 1-PDU-13"='각층분기별_유효전력량(전월)'!$A$2:$A$2020)*("[branch#034] [A] kWh last month"='각층분기별_유효전력량(전월)'!$B$2:$B$2020),0))</f>
        <v>#N/A</v>
      </c>
      <c r="AC301" s="4024" t="e">
        <f>VLOOKUP(H301&amp;I301,'7층~4층_매핑테이블'!$A$6:$H$2020,8,0)</f>
        <v>#N/A</v>
      </c>
      <c r="AD301" s="4029" t="e">
        <f>SUM(AA301:AB302)</f>
        <v>#N/A</v>
      </c>
      <c r="AE301" s="3312"/>
      <c r="AG301">
        <v>74.099999999999994</v>
      </c>
      <c r="AH301" s="1363">
        <f t="shared" si="118"/>
        <v>-74.099999999999994</v>
      </c>
      <c r="AJ301" s="2351" t="e">
        <f t="shared" si="119"/>
        <v>#N/A</v>
      </c>
      <c r="AK301" s="2351" t="e">
        <f t="shared" si="120"/>
        <v>#N/A</v>
      </c>
      <c r="AL301" s="3266" t="e">
        <f t="shared" si="121"/>
        <v>#N/A</v>
      </c>
      <c r="BD301"/>
    </row>
    <row r="302" spans="1:56" x14ac:dyDescent="0.25">
      <c r="A302" s="3308"/>
      <c r="B302" s="3938"/>
      <c r="C302" s="3932"/>
      <c r="D302" s="3940"/>
      <c r="E302" s="3529"/>
      <c r="F302" s="3529"/>
      <c r="G302" s="3529"/>
      <c r="H302" s="2057" t="str">
        <f t="shared" si="114"/>
        <v>4-DaHall 1-PDU-14-30-28</v>
      </c>
      <c r="I302" s="2043" t="str">
        <f t="shared" si="115"/>
        <v>4-DaHall 1-PDU-13-30-28</v>
      </c>
      <c r="J302" s="2053">
        <v>220</v>
      </c>
      <c r="K302" s="1788">
        <v>30</v>
      </c>
      <c r="L302" s="2353">
        <v>14</v>
      </c>
      <c r="M302" s="1449">
        <v>28</v>
      </c>
      <c r="N302" s="2047">
        <v>220</v>
      </c>
      <c r="O302" s="1789">
        <v>30</v>
      </c>
      <c r="P302" s="2354">
        <v>13</v>
      </c>
      <c r="Q302" s="1448">
        <v>28</v>
      </c>
      <c r="X302" s="824">
        <f>SUM('4층_부하량(월간_AVG)'!N182:P182)</f>
        <v>0</v>
      </c>
      <c r="Y302" s="1400">
        <f>SUM('4층_부하량(월간_AVG)'!N151:P151)</f>
        <v>0</v>
      </c>
      <c r="Z302" s="3935"/>
      <c r="AA302" s="2685" t="e" cm="1">
        <f t="array" ref="AA302">INDEX('각층분기별_유효전력량(전월)'!$C$2:$C$2020,MATCH(1,("4-DaHall 1-PDU-14"='각층분기별_유효전력량(전월)'!$A$2:$A$2020)*("[branch#028] [A] kWh last month"='각층분기별_유효전력량(전월)'!$B$2:$B$2020),0))</f>
        <v>#N/A</v>
      </c>
      <c r="AB302" s="2702" t="e" cm="1">
        <f t="array" ref="AB302">INDEX('각층분기별_유효전력량(전월)'!$C$2:$C$2020,MATCH(1,("4-DaHall 1-PDU-13"='각층분기별_유효전력량(전월)'!$A$2:$A$2020)*("[branch#028] [A] kWh last month"='각층분기별_유효전력량(전월)'!$B$2:$B$2020),0))</f>
        <v>#N/A</v>
      </c>
      <c r="AC302" s="4024" t="e">
        <f>VLOOKUP(H302&amp;I302,'7층~4층_매핑테이블'!$A$6:$H$2020,8,0)</f>
        <v>#N/A</v>
      </c>
      <c r="AD302" s="4030"/>
      <c r="AE302" s="3312"/>
      <c r="AG302">
        <v>74.099999999999994</v>
      </c>
      <c r="AH302" s="1363">
        <f t="shared" si="118"/>
        <v>-74.099999999999994</v>
      </c>
      <c r="AJ302" s="2351">
        <f t="shared" si="119"/>
        <v>0</v>
      </c>
      <c r="AK302" s="2351">
        <f t="shared" si="120"/>
        <v>0</v>
      </c>
      <c r="AL302" s="3266" t="str">
        <f t="shared" si="121"/>
        <v>무부하 랙</v>
      </c>
      <c r="BD302"/>
    </row>
    <row r="303" spans="1:56" x14ac:dyDescent="0.25">
      <c r="A303" s="3308"/>
      <c r="B303" s="3330" t="s">
        <v>11065</v>
      </c>
      <c r="C303" s="3313" t="s">
        <v>11025</v>
      </c>
      <c r="D303" s="3318">
        <v>2</v>
      </c>
      <c r="E303" s="3265"/>
      <c r="F303" s="3265"/>
      <c r="G303" s="3319"/>
      <c r="H303" s="2057" t="str">
        <f t="shared" si="114"/>
        <v>4-DaHall 1-PDU-14-30-35</v>
      </c>
      <c r="I303" s="2043" t="str">
        <f t="shared" si="115"/>
        <v>4-DaHall 1-PDU-13-30-35</v>
      </c>
      <c r="J303" s="2053">
        <v>220</v>
      </c>
      <c r="K303" s="1788">
        <v>30</v>
      </c>
      <c r="L303" s="2353">
        <v>14</v>
      </c>
      <c r="M303" s="1449">
        <v>35</v>
      </c>
      <c r="N303" s="2047">
        <v>220</v>
      </c>
      <c r="O303" s="1789">
        <v>30</v>
      </c>
      <c r="P303" s="2354">
        <v>13</v>
      </c>
      <c r="Q303" s="1448">
        <v>35</v>
      </c>
      <c r="X303" s="824">
        <f>SUM('4층_부하량(월간_AVG)'!D186:F186)</f>
        <v>0</v>
      </c>
      <c r="Y303" s="1400">
        <f>SUM('4층_부하량(월간_AVG)'!D155:F155)</f>
        <v>0</v>
      </c>
      <c r="Z303" s="2443">
        <f t="shared" ref="Z303:Z305" si="123">SUM(X303:Y303)</f>
        <v>0</v>
      </c>
      <c r="AA303" s="2685" t="e" cm="1">
        <f t="array" ref="AA303">INDEX('각층분기별_유효전력량(전월)'!$C$2:$C$2020,MATCH(1,("4-DaHall 1-PDU-14"='각층분기별_유효전력량(전월)'!$A$2:$A$2020)*("[branch#035] [A] kWh last month"='각층분기별_유효전력량(전월)'!$B$2:$B$2020),0))</f>
        <v>#N/A</v>
      </c>
      <c r="AB303" s="2702" t="e" cm="1">
        <f t="array" ref="AB303">INDEX('각층분기별_유효전력량(전월)'!$C$2:$C$2020,MATCH(1,("4-DaHall 1-PDU-13"='각층분기별_유효전력량(전월)'!$A$2:$A$2020)*("[branch#035] [A] kWh last month"='각층분기별_유효전력량(전월)'!$B$2:$B$2020),0))</f>
        <v>#N/A</v>
      </c>
      <c r="AC303" s="4024" t="e">
        <f>VLOOKUP(H303&amp;I303,'7층~4층_매핑테이블'!$A$6:$H$2020,8,0)</f>
        <v>#N/A</v>
      </c>
      <c r="AD303" s="3179" t="e">
        <f t="shared" ref="AD303:AD305" si="124">SUM(AA303:AB303)</f>
        <v>#N/A</v>
      </c>
      <c r="AE303" s="3312"/>
      <c r="AG303">
        <v>74.099999999999994</v>
      </c>
      <c r="AH303" s="1363">
        <f t="shared" si="118"/>
        <v>-74.099999999999994</v>
      </c>
      <c r="AJ303" s="2351" t="e">
        <f t="shared" si="119"/>
        <v>#N/A</v>
      </c>
      <c r="AK303" s="2351" t="e">
        <f t="shared" si="120"/>
        <v>#N/A</v>
      </c>
      <c r="AL303" s="3266" t="e">
        <f t="shared" si="121"/>
        <v>#N/A</v>
      </c>
      <c r="BD303"/>
    </row>
    <row r="304" spans="1:56" x14ac:dyDescent="0.25">
      <c r="A304" s="3308"/>
      <c r="B304" s="3330" t="s">
        <v>11066</v>
      </c>
      <c r="C304" s="3313" t="s">
        <v>11025</v>
      </c>
      <c r="D304" s="3317">
        <v>2</v>
      </c>
      <c r="E304" s="217"/>
      <c r="F304" s="3314"/>
      <c r="G304" s="3315"/>
      <c r="H304" s="2057" t="str">
        <f t="shared" si="114"/>
        <v>4-DaHall 1-PDU-14-30-36</v>
      </c>
      <c r="I304" s="2043" t="str">
        <f t="shared" si="115"/>
        <v>4-DaHall 1-PDU-13-30-36</v>
      </c>
      <c r="J304" s="2053">
        <v>220</v>
      </c>
      <c r="K304" s="1788">
        <v>30</v>
      </c>
      <c r="L304" s="2353">
        <v>14</v>
      </c>
      <c r="M304" s="1449">
        <v>36</v>
      </c>
      <c r="N304" s="2047">
        <v>220</v>
      </c>
      <c r="O304" s="1789">
        <v>30</v>
      </c>
      <c r="P304" s="2354">
        <v>13</v>
      </c>
      <c r="Q304" s="1448">
        <v>36</v>
      </c>
      <c r="X304" s="824">
        <f>SUM('4층_부하량(월간_AVG)'!N186:P186)</f>
        <v>0</v>
      </c>
      <c r="Y304" s="1400">
        <f>SUM('4층_부하량(월간_AVG)'!N155:P155)</f>
        <v>0</v>
      </c>
      <c r="Z304" s="2443">
        <f t="shared" si="123"/>
        <v>0</v>
      </c>
      <c r="AA304" s="2685" t="e" cm="1">
        <f t="array" ref="AA304">INDEX('각층분기별_유효전력량(전월)'!$C$2:$C$2020,MATCH(1,("4-DaHall 1-PDU-14"='각층분기별_유효전력량(전월)'!$A$2:$A$2020)*("[branch#036] [A] kWh last month"='각층분기별_유효전력량(전월)'!$B$2:$B$2020),0))</f>
        <v>#N/A</v>
      </c>
      <c r="AB304" s="2702" t="e" cm="1">
        <f t="array" ref="AB304">INDEX('각층분기별_유효전력량(전월)'!$C$2:$C$2020,MATCH(1,("4-DaHall 1-PDU-13"='각층분기별_유효전력량(전월)'!$A$2:$A$2020)*("[branch#036] [A] kWh last month"='각층분기별_유효전력량(전월)'!$B$2:$B$2020),0))</f>
        <v>#N/A</v>
      </c>
      <c r="AC304" s="4024" t="e">
        <f>VLOOKUP(H304&amp;I304,'7층~4층_매핑테이블'!$A$6:$H$2020,8,0)</f>
        <v>#N/A</v>
      </c>
      <c r="AD304" s="3179" t="e">
        <f t="shared" si="124"/>
        <v>#N/A</v>
      </c>
      <c r="AE304" s="3312"/>
      <c r="AG304">
        <v>74.099999999999994</v>
      </c>
      <c r="AH304" s="1363">
        <f t="shared" si="118"/>
        <v>-74.099999999999994</v>
      </c>
      <c r="AJ304" s="2351" t="e">
        <f t="shared" si="119"/>
        <v>#N/A</v>
      </c>
      <c r="AK304" s="2351" t="e">
        <f t="shared" si="120"/>
        <v>#N/A</v>
      </c>
      <c r="AL304" s="3266" t="e">
        <f t="shared" si="121"/>
        <v>#N/A</v>
      </c>
      <c r="BD304"/>
    </row>
    <row r="305" spans="1:56" ht="15" thickBot="1" x14ac:dyDescent="0.3">
      <c r="A305" s="3320"/>
      <c r="B305" s="3331" t="s">
        <v>11067</v>
      </c>
      <c r="C305" s="1126" t="s">
        <v>11025</v>
      </c>
      <c r="D305" s="3321">
        <v>2</v>
      </c>
      <c r="E305" s="3322"/>
      <c r="F305" s="3323"/>
      <c r="G305" s="3324"/>
      <c r="H305" s="2058" t="str">
        <f t="shared" si="114"/>
        <v>4-DaHall 1-PDU-14-30-37</v>
      </c>
      <c r="I305" s="2048" t="str">
        <f t="shared" si="115"/>
        <v>4-DaHall 1-PDU-13-30-37</v>
      </c>
      <c r="J305" s="2054">
        <v>220</v>
      </c>
      <c r="K305" s="1793">
        <v>30</v>
      </c>
      <c r="L305" s="3325">
        <v>14</v>
      </c>
      <c r="M305" s="1451">
        <v>37</v>
      </c>
      <c r="N305" s="2049">
        <v>220</v>
      </c>
      <c r="O305" s="1792">
        <v>30</v>
      </c>
      <c r="P305" s="3326">
        <v>13</v>
      </c>
      <c r="Q305" s="1450">
        <v>37</v>
      </c>
      <c r="R305" s="3327"/>
      <c r="S305" s="3328"/>
      <c r="T305" s="3327"/>
      <c r="U305" s="3328"/>
      <c r="V305" s="3327"/>
      <c r="W305" s="3328"/>
      <c r="X305" s="1127">
        <f>SUM('4층_부하량(월간_AVG)'!D187:F187)</f>
        <v>0</v>
      </c>
      <c r="Y305" s="2069">
        <f>SUM('4층_부하량(월간_AVG)'!D156:F156)</f>
        <v>0</v>
      </c>
      <c r="Z305" s="2444">
        <f t="shared" si="123"/>
        <v>0</v>
      </c>
      <c r="AA305" s="2686" t="e" cm="1">
        <f t="array" ref="AA305">INDEX('각층분기별_유효전력량(전월)'!$C$2:$C$2020,MATCH(1,("4-DaHall 1-PDU-14"='각층분기별_유효전력량(전월)'!$A$2:$A$2020)*("[branch#037] [A] kWh last month"='각층분기별_유효전력량(전월)'!$B$2:$B$2020),0))</f>
        <v>#N/A</v>
      </c>
      <c r="AB305" s="2745" t="e" cm="1">
        <f t="array" ref="AB305">INDEX('각층분기별_유효전력량(전월)'!$C$2:$C$2020,MATCH(1,("4-DaHall 1-PDU-13"='각층분기별_유효전력량(전월)'!$A$2:$A$2020)*("[branch#037] [A] kWh last month"='각층분기별_유효전력량(전월)'!$B$2:$B$2020),0))</f>
        <v>#N/A</v>
      </c>
      <c r="AC305" s="4025" t="e">
        <f>VLOOKUP(H305&amp;I305,'7층~4층_매핑테이블'!$A$6:$H$2020,8,0)</f>
        <v>#N/A</v>
      </c>
      <c r="AD305" s="3180" t="e">
        <f t="shared" si="124"/>
        <v>#N/A</v>
      </c>
      <c r="AE305" s="3329"/>
      <c r="AG305">
        <v>74.099999999999994</v>
      </c>
      <c r="AH305" s="1363">
        <f t="shared" si="118"/>
        <v>-74.099999999999994</v>
      </c>
      <c r="AJ305" s="2351" t="e">
        <f t="shared" si="119"/>
        <v>#N/A</v>
      </c>
      <c r="AK305" s="2351" t="e">
        <f t="shared" si="120"/>
        <v>#N/A</v>
      </c>
      <c r="AL305" s="3266" t="e">
        <f t="shared" si="121"/>
        <v>#N/A</v>
      </c>
      <c r="BD305"/>
    </row>
    <row r="306" spans="1:56" ht="15" thickTop="1" x14ac:dyDescent="0.25">
      <c r="AH306" s="1363">
        <f>SUM(AH5:AH233)</f>
        <v>-1277.6999999999998</v>
      </c>
    </row>
    <row r="307" spans="1:56" x14ac:dyDescent="0.25">
      <c r="Z307" s="864">
        <f>SUM(Z5:Z233)-SUM(Z7:Z8)</f>
        <v>0</v>
      </c>
      <c r="AA307" s="1359" t="e">
        <f>SUM(AA5:AA233)/1000</f>
        <v>#N/A</v>
      </c>
      <c r="AB307" s="1359"/>
      <c r="AC307" s="1359"/>
      <c r="AD307" s="3176"/>
    </row>
    <row r="308" spans="1:56" x14ac:dyDescent="0.25">
      <c r="Y308" s="2065" t="s">
        <v>2472</v>
      </c>
      <c r="Z308" s="1363"/>
    </row>
  </sheetData>
  <mergeCells count="807">
    <mergeCell ref="B289:B290"/>
    <mergeCell ref="C289:C290"/>
    <mergeCell ref="D289:D290"/>
    <mergeCell ref="E289:E290"/>
    <mergeCell ref="F289:F290"/>
    <mergeCell ref="G289:G290"/>
    <mergeCell ref="Z289:Z290"/>
    <mergeCell ref="AD289:AD290"/>
    <mergeCell ref="B301:B302"/>
    <mergeCell ref="C301:C302"/>
    <mergeCell ref="D301:D302"/>
    <mergeCell ref="E301:E302"/>
    <mergeCell ref="F301:F302"/>
    <mergeCell ref="G301:G302"/>
    <mergeCell ref="Z301:Z302"/>
    <mergeCell ref="AD301:AD302"/>
    <mergeCell ref="B277:B278"/>
    <mergeCell ref="C277:C278"/>
    <mergeCell ref="D277:D278"/>
    <mergeCell ref="E277:E278"/>
    <mergeCell ref="F277:F278"/>
    <mergeCell ref="G277:G278"/>
    <mergeCell ref="Z277:Z278"/>
    <mergeCell ref="AD277:AD278"/>
    <mergeCell ref="B287:B288"/>
    <mergeCell ref="C287:C288"/>
    <mergeCell ref="D287:D288"/>
    <mergeCell ref="E287:E288"/>
    <mergeCell ref="F287:F288"/>
    <mergeCell ref="G287:G288"/>
    <mergeCell ref="Z287:Z288"/>
    <mergeCell ref="AD287:AD288"/>
    <mergeCell ref="B270:B271"/>
    <mergeCell ref="C270:C271"/>
    <mergeCell ref="D270:D271"/>
    <mergeCell ref="E270:E271"/>
    <mergeCell ref="F270:F271"/>
    <mergeCell ref="G270:G271"/>
    <mergeCell ref="Z270:Z271"/>
    <mergeCell ref="AD270:AD271"/>
    <mergeCell ref="B272:B273"/>
    <mergeCell ref="C272:C273"/>
    <mergeCell ref="D272:D273"/>
    <mergeCell ref="E272:E273"/>
    <mergeCell ref="F272:F273"/>
    <mergeCell ref="G272:G273"/>
    <mergeCell ref="Z272:Z273"/>
    <mergeCell ref="AD272:AD273"/>
    <mergeCell ref="B250:B251"/>
    <mergeCell ref="C250:C251"/>
    <mergeCell ref="D250:D251"/>
    <mergeCell ref="E250:E251"/>
    <mergeCell ref="F250:F251"/>
    <mergeCell ref="G250:G251"/>
    <mergeCell ref="Z250:Z251"/>
    <mergeCell ref="AD250:AD251"/>
    <mergeCell ref="B254:B255"/>
    <mergeCell ref="C254:C255"/>
    <mergeCell ref="D254:D255"/>
    <mergeCell ref="E254:E255"/>
    <mergeCell ref="F254:F255"/>
    <mergeCell ref="G254:G255"/>
    <mergeCell ref="Z254:Z255"/>
    <mergeCell ref="AD254:AD255"/>
    <mergeCell ref="B241:B242"/>
    <mergeCell ref="C241:C242"/>
    <mergeCell ref="D241:D242"/>
    <mergeCell ref="E241:E242"/>
    <mergeCell ref="F241:F242"/>
    <mergeCell ref="G241:G242"/>
    <mergeCell ref="Z241:Z242"/>
    <mergeCell ref="AD241:AD242"/>
    <mergeCell ref="B244:B245"/>
    <mergeCell ref="C244:C245"/>
    <mergeCell ref="D244:D245"/>
    <mergeCell ref="E244:E245"/>
    <mergeCell ref="F244:F245"/>
    <mergeCell ref="G244:G245"/>
    <mergeCell ref="Z244:Z245"/>
    <mergeCell ref="AD244:AD245"/>
    <mergeCell ref="B235:B236"/>
    <mergeCell ref="C235:C236"/>
    <mergeCell ref="D235:D236"/>
    <mergeCell ref="Z235:Z236"/>
    <mergeCell ref="AD235:AD236"/>
    <mergeCell ref="B238:B239"/>
    <mergeCell ref="C238:C239"/>
    <mergeCell ref="D238:D239"/>
    <mergeCell ref="E238:E239"/>
    <mergeCell ref="F238:F239"/>
    <mergeCell ref="G238:G239"/>
    <mergeCell ref="Z238:Z239"/>
    <mergeCell ref="AD238:AD239"/>
    <mergeCell ref="AX3:AZ3"/>
    <mergeCell ref="BA3:BB3"/>
    <mergeCell ref="BC3:BC4"/>
    <mergeCell ref="BD3:BD4"/>
    <mergeCell ref="AJ3:AJ4"/>
    <mergeCell ref="AK3:AK4"/>
    <mergeCell ref="AL3:AL4"/>
    <mergeCell ref="AE52:AE54"/>
    <mergeCell ref="AE46:AE51"/>
    <mergeCell ref="AE40:AE42"/>
    <mergeCell ref="AE43:AE45"/>
    <mergeCell ref="AE36:AE39"/>
    <mergeCell ref="AR3:AR4"/>
    <mergeCell ref="AS3:AS4"/>
    <mergeCell ref="AT3:AT4"/>
    <mergeCell ref="AV3:AW3"/>
    <mergeCell ref="A1:AE1"/>
    <mergeCell ref="AA3:AB3"/>
    <mergeCell ref="AE3:AE4"/>
    <mergeCell ref="AE9:AE1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E16:AE21"/>
    <mergeCell ref="AE25:AE29"/>
    <mergeCell ref="AE22:AE24"/>
    <mergeCell ref="AE30:AE35"/>
    <mergeCell ref="AE57:AE62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A52:A54"/>
    <mergeCell ref="F52:F54"/>
    <mergeCell ref="G52:G54"/>
    <mergeCell ref="AD57:AD62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W9:W12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R25:R29"/>
    <mergeCell ref="AC3:AC4"/>
    <mergeCell ref="BE3:BE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</mergeCells>
  <phoneticPr fontId="14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sheetPr>
    <tabColor rgb="FFFFFF00"/>
  </sheetPr>
  <dimension ref="A1:M18"/>
  <sheetViews>
    <sheetView workbookViewId="0">
      <selection activeCell="B8" sqref="B8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3" width="17.69921875" customWidth="1"/>
  </cols>
  <sheetData>
    <row r="1" spans="1:13" ht="25.2" customHeight="1" thickBot="1" x14ac:dyDescent="0.3">
      <c r="A1" s="3941" t="s">
        <v>9298</v>
      </c>
      <c r="B1" s="3942"/>
      <c r="C1" s="3942"/>
      <c r="D1" s="3942"/>
      <c r="E1" s="3943"/>
      <c r="G1" s="2966" t="s">
        <v>9274</v>
      </c>
      <c r="H1" s="2967" t="s">
        <v>9275</v>
      </c>
      <c r="I1" s="2967" t="s">
        <v>9276</v>
      </c>
      <c r="J1" s="2967" t="s">
        <v>10818</v>
      </c>
      <c r="K1" s="2967" t="s">
        <v>10842</v>
      </c>
      <c r="L1" s="2968" t="s">
        <v>9277</v>
      </c>
      <c r="M1" s="2969" t="s">
        <v>9278</v>
      </c>
    </row>
    <row r="2" spans="1:13" ht="16.2" thickBot="1" x14ac:dyDescent="0.3">
      <c r="G2" s="2970" t="s">
        <v>10846</v>
      </c>
      <c r="H2" s="2971">
        <f>SUM(B5:B18)</f>
        <v>0</v>
      </c>
      <c r="I2" s="3020">
        <f>SUM(C5:C18)</f>
        <v>0</v>
      </c>
      <c r="J2" s="3020">
        <f>SUM(F5:F18)</f>
        <v>0</v>
      </c>
      <c r="K2" s="3020">
        <f>I2/B3</f>
        <v>0</v>
      </c>
      <c r="L2" s="3021">
        <f>H2-I2</f>
        <v>0</v>
      </c>
      <c r="M2" s="3022" t="str">
        <f>IF($G$2="","고객명 입력필요", IF(SIGN(L2)&gt;=0,IF(I2=0,"미사용 랙","적정 사용"),"사용초과"))</f>
        <v>미사용 랙</v>
      </c>
    </row>
    <row r="3" spans="1:13" x14ac:dyDescent="0.25">
      <c r="A3" s="3255" t="s">
        <v>10844</v>
      </c>
      <c r="B3">
        <v>4</v>
      </c>
      <c r="G3" s="3014" t="s">
        <v>9297</v>
      </c>
    </row>
    <row r="4" spans="1:13" ht="15.6" x14ac:dyDescent="0.25">
      <c r="A4" s="2972" t="s">
        <v>9279</v>
      </c>
      <c r="B4" s="2972" t="s">
        <v>9265</v>
      </c>
      <c r="C4" s="2973" t="s">
        <v>9267</v>
      </c>
      <c r="D4" s="2974" t="s">
        <v>9268</v>
      </c>
      <c r="E4" s="2964" t="s">
        <v>9269</v>
      </c>
      <c r="F4" s="2964" t="s">
        <v>10818</v>
      </c>
      <c r="G4" s="2964" t="s">
        <v>10842</v>
      </c>
    </row>
    <row r="5" spans="1:13" ht="15.6" x14ac:dyDescent="0.25">
      <c r="A5" s="2975" t="s">
        <v>9280</v>
      </c>
      <c r="B5" s="2960">
        <f>'7층_랙별_계통_및_부하량'!BJ2</f>
        <v>0</v>
      </c>
      <c r="C5" s="3013">
        <f>'7층_랙별_계통_및_부하량'!BK2</f>
        <v>0</v>
      </c>
      <c r="D5" s="3253">
        <f>B5-C5</f>
        <v>0</v>
      </c>
      <c r="E5" s="3009" t="str">
        <f>IF($G$2="","고객명 입력필요", IF(SIGN(D5)&gt;=0,IF(C5=0,"미사용 랙","적정 사용"),"사용초과"))</f>
        <v>미사용 랙</v>
      </c>
      <c r="F5" s="2993">
        <f>'7층_랙별_계통_및_부하량'!BN2</f>
        <v>0</v>
      </c>
      <c r="G5" s="2993"/>
    </row>
    <row r="6" spans="1:13" ht="15.6" x14ac:dyDescent="0.25">
      <c r="A6" s="2975" t="s">
        <v>9281</v>
      </c>
      <c r="B6" s="2960">
        <f>'6층_랙별_계통 및_부하량'!AZ2</f>
        <v>0</v>
      </c>
      <c r="C6" s="3013">
        <f>'6층_랙별_계통 및_부하량'!BA2</f>
        <v>0</v>
      </c>
      <c r="D6" s="3253">
        <f t="shared" ref="D6:D8" si="0">B6-C6</f>
        <v>0</v>
      </c>
      <c r="E6" s="3009" t="str">
        <f t="shared" ref="E6:E8" si="1">IF($G$2="","고객명 입력필요", IF(SIGN(D6)&gt;=0,IF(C6=0,"미사용 랙","적정 사용"),"사용초과"))</f>
        <v>미사용 랙</v>
      </c>
      <c r="F6" s="2993">
        <f>'6층_랙별_계통 및_부하량'!BD2</f>
        <v>0</v>
      </c>
      <c r="G6" s="2993"/>
    </row>
    <row r="7" spans="1:13" ht="15.6" x14ac:dyDescent="0.25">
      <c r="A7" s="2975" t="s">
        <v>9282</v>
      </c>
      <c r="B7" s="2960">
        <f>'5층_랙별_계통 및_부하량'!AZ2</f>
        <v>0</v>
      </c>
      <c r="C7" s="3013">
        <f>'5층_랙별_계통 및_부하량'!BA2</f>
        <v>0</v>
      </c>
      <c r="D7" s="3253">
        <f t="shared" si="0"/>
        <v>0</v>
      </c>
      <c r="E7" s="3009" t="str">
        <f t="shared" si="1"/>
        <v>미사용 랙</v>
      </c>
      <c r="F7" s="2993">
        <f>'5층_랙별_계통 및_부하량'!BD2</f>
        <v>0</v>
      </c>
      <c r="G7" s="2993"/>
    </row>
    <row r="8" spans="1:13" ht="15.6" x14ac:dyDescent="0.25">
      <c r="A8" s="2975" t="s">
        <v>9283</v>
      </c>
      <c r="B8" s="2960">
        <f>'4층_랙별_계통 및_부하량'!BA2</f>
        <v>0</v>
      </c>
      <c r="C8" s="3013">
        <f>'4층_랙별_계통 및_부하량'!BB2</f>
        <v>0</v>
      </c>
      <c r="D8" s="3253">
        <f t="shared" si="0"/>
        <v>0</v>
      </c>
      <c r="E8" s="3009" t="str">
        <f t="shared" si="1"/>
        <v>미사용 랙</v>
      </c>
      <c r="F8" s="2993">
        <f>'4층_랙별_계통 및_부하량'!BE2</f>
        <v>0</v>
      </c>
      <c r="G8" s="2993"/>
    </row>
    <row r="9" spans="1:13" ht="15.6" x14ac:dyDescent="0.25">
      <c r="A9" s="2977" t="s">
        <v>9284</v>
      </c>
      <c r="B9" s="2960"/>
      <c r="C9" s="3013"/>
      <c r="D9" s="2960"/>
      <c r="E9" s="2976"/>
      <c r="F9" s="2993"/>
      <c r="G9" s="2993"/>
    </row>
    <row r="10" spans="1:13" ht="15.6" x14ac:dyDescent="0.25">
      <c r="A10" s="2977" t="s">
        <v>9285</v>
      </c>
      <c r="B10" s="2960"/>
      <c r="C10" s="3013"/>
      <c r="D10" s="2960"/>
      <c r="E10" s="2976"/>
      <c r="F10" s="2993"/>
      <c r="G10" s="2993"/>
    </row>
    <row r="11" spans="1:13" ht="15.6" x14ac:dyDescent="0.25">
      <c r="A11" s="2977" t="s">
        <v>9286</v>
      </c>
      <c r="B11" s="2960"/>
      <c r="C11" s="3013"/>
      <c r="D11" s="2960"/>
      <c r="E11" s="2976"/>
      <c r="F11" s="2993"/>
      <c r="G11" s="2993"/>
    </row>
    <row r="12" spans="1:13" ht="15.6" x14ac:dyDescent="0.25">
      <c r="A12" s="2977" t="s">
        <v>9287</v>
      </c>
      <c r="B12" s="2960"/>
      <c r="C12" s="3013"/>
      <c r="D12" s="2960"/>
      <c r="E12" s="2976"/>
      <c r="F12" s="2993"/>
      <c r="G12" s="2993"/>
    </row>
    <row r="13" spans="1:13" ht="15.6" x14ac:dyDescent="0.25">
      <c r="A13" s="2977" t="s">
        <v>9288</v>
      </c>
      <c r="B13" s="2960"/>
      <c r="C13" s="3013"/>
      <c r="D13" s="2960"/>
      <c r="E13" s="2976"/>
      <c r="F13" s="2993"/>
      <c r="G13" s="2993"/>
    </row>
    <row r="14" spans="1:13" ht="15.6" x14ac:dyDescent="0.25">
      <c r="A14" s="2977" t="s">
        <v>9289</v>
      </c>
      <c r="B14" s="2960"/>
      <c r="C14" s="3013"/>
      <c r="D14" s="2960"/>
      <c r="E14" s="2976"/>
      <c r="F14" s="2993"/>
      <c r="G14" s="2993"/>
    </row>
    <row r="15" spans="1:13" ht="15.6" x14ac:dyDescent="0.25">
      <c r="A15" s="2977" t="s">
        <v>9290</v>
      </c>
      <c r="B15" s="2960"/>
      <c r="C15" s="3013"/>
      <c r="D15" s="2960"/>
      <c r="E15" s="2976"/>
      <c r="F15" s="2993"/>
      <c r="G15" s="2993"/>
    </row>
    <row r="16" spans="1:13" ht="15.6" x14ac:dyDescent="0.25">
      <c r="A16" s="2977" t="s">
        <v>9291</v>
      </c>
      <c r="B16" s="2960"/>
      <c r="C16" s="3013"/>
      <c r="D16" s="2960"/>
      <c r="E16" s="2976"/>
      <c r="F16" s="2993"/>
      <c r="G16" s="2993"/>
    </row>
    <row r="17" spans="1:7" ht="15.6" x14ac:dyDescent="0.25">
      <c r="A17" s="2977" t="s">
        <v>9292</v>
      </c>
      <c r="B17" s="2960"/>
      <c r="C17" s="3013"/>
      <c r="D17" s="2960"/>
      <c r="E17" s="2976"/>
      <c r="F17" s="2993"/>
      <c r="G17" s="2993"/>
    </row>
    <row r="18" spans="1:7" ht="15.6" x14ac:dyDescent="0.25">
      <c r="A18" s="2977" t="s">
        <v>9293</v>
      </c>
      <c r="B18" s="2960"/>
      <c r="C18" s="3013"/>
      <c r="D18" s="2960"/>
      <c r="E18" s="2976"/>
      <c r="F18" s="3254"/>
      <c r="G18" s="3254"/>
    </row>
  </sheetData>
  <mergeCells count="1">
    <mergeCell ref="A1:E1"/>
  </mergeCells>
  <phoneticPr fontId="1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69F4-70CE-4F29-81F0-022D3F487AC6}">
  <sheetPr>
    <tabColor rgb="FFFFFF00"/>
  </sheetPr>
  <dimension ref="A1:M9"/>
  <sheetViews>
    <sheetView zoomScale="115" zoomScaleNormal="115" workbookViewId="0">
      <selection activeCell="C49" sqref="C49"/>
    </sheetView>
  </sheetViews>
  <sheetFormatPr defaultRowHeight="14.4" x14ac:dyDescent="0.25"/>
  <cols>
    <col min="1" max="1" width="31.69921875" customWidth="1"/>
    <col min="2" max="3" width="18.69921875" customWidth="1"/>
    <col min="9" max="9" width="31.3984375" bestFit="1" customWidth="1"/>
    <col min="10" max="10" width="14.3984375" bestFit="1" customWidth="1"/>
    <col min="11" max="11" width="10.69921875" customWidth="1"/>
  </cols>
  <sheetData>
    <row r="1" spans="1:13" ht="15" thickBot="1" x14ac:dyDescent="0.3">
      <c r="A1" s="3256" t="s">
        <v>10820</v>
      </c>
      <c r="B1" s="3256" t="s">
        <v>10821</v>
      </c>
      <c r="C1" s="3271" t="s">
        <v>10833</v>
      </c>
      <c r="H1" s="3252" t="s">
        <v>10840</v>
      </c>
      <c r="I1" s="3256" t="s">
        <v>10820</v>
      </c>
      <c r="J1" s="3271" t="s">
        <v>10832</v>
      </c>
      <c r="K1" s="3271" t="s">
        <v>10833</v>
      </c>
    </row>
    <row r="2" spans="1:13" ht="25.2" customHeight="1" thickBot="1" x14ac:dyDescent="0.3">
      <c r="A2" s="3959" t="str">
        <f>"Total PowerUsage for Customer: "&amp;'7층~4층_고객 총사용량(삭제X)'!$G$2</f>
        <v>Total PowerUsage for Customer: 미디어꾼</v>
      </c>
      <c r="B2" s="3257" t="s">
        <v>10830</v>
      </c>
      <c r="C2" s="3258">
        <f>'7층~4층_고객 총사용량(삭제X)'!I2</f>
        <v>0</v>
      </c>
      <c r="D2" s="3273" t="s">
        <v>10822</v>
      </c>
      <c r="E2" s="3267"/>
      <c r="I2" s="3950" t="s">
        <v>10834</v>
      </c>
      <c r="J2" s="3259" t="s">
        <v>10835</v>
      </c>
      <c r="K2" s="3272" t="s">
        <v>10836</v>
      </c>
    </row>
    <row r="3" spans="1:13" ht="25.2" customHeight="1" thickBot="1" x14ac:dyDescent="0.3">
      <c r="A3" s="3960"/>
      <c r="B3" s="3257" t="s">
        <v>10829</v>
      </c>
      <c r="C3" s="3258">
        <f>'7층~4층_고객 총사용량(삭제X)'!H2</f>
        <v>0</v>
      </c>
      <c r="D3" s="3273" t="s">
        <v>10823</v>
      </c>
      <c r="I3" s="3951"/>
      <c r="J3" s="3259" t="s">
        <v>10828</v>
      </c>
      <c r="K3" s="3272" t="s">
        <v>10837</v>
      </c>
    </row>
    <row r="4" spans="1:13" ht="25.2" customHeight="1" thickBot="1" x14ac:dyDescent="0.3">
      <c r="A4" s="3960"/>
      <c r="B4" s="3268" t="s">
        <v>10843</v>
      </c>
      <c r="C4" s="3269">
        <f>'7층~4층_고객 총사용량(삭제X)'!K2</f>
        <v>0</v>
      </c>
      <c r="D4" s="3273" t="s">
        <v>10845</v>
      </c>
      <c r="I4" s="3952"/>
      <c r="J4" s="3259" t="s">
        <v>10827</v>
      </c>
      <c r="K4" s="3272" t="s">
        <v>10838</v>
      </c>
      <c r="L4" t="s">
        <v>10824</v>
      </c>
      <c r="M4" t="s">
        <v>10841</v>
      </c>
    </row>
    <row r="5" spans="1:13" ht="25.2" customHeight="1" thickBot="1" x14ac:dyDescent="0.3">
      <c r="A5" s="3961"/>
      <c r="B5" s="3257" t="s">
        <v>10826</v>
      </c>
      <c r="C5" s="3258">
        <f>'7층~4층_고객 총사용량(삭제X)'!J2</f>
        <v>0</v>
      </c>
      <c r="D5" s="3273" t="s">
        <v>10831</v>
      </c>
      <c r="I5" s="3953" t="s">
        <v>10839</v>
      </c>
      <c r="J5" s="3954"/>
      <c r="K5" s="3955"/>
    </row>
    <row r="6" spans="1:13" ht="4.95" customHeight="1" thickBot="1" x14ac:dyDescent="0.3">
      <c r="A6" s="3944" t="s">
        <v>10825</v>
      </c>
      <c r="B6" s="3945"/>
      <c r="C6" s="3946"/>
      <c r="I6" s="3956"/>
      <c r="J6" s="3957"/>
      <c r="K6" s="3958"/>
    </row>
    <row r="7" spans="1:13" ht="4.95" customHeight="1" thickBot="1" x14ac:dyDescent="0.3">
      <c r="A7" s="3947"/>
      <c r="B7" s="3948"/>
      <c r="C7" s="3949"/>
    </row>
    <row r="9" spans="1:13" x14ac:dyDescent="0.25">
      <c r="C9" s="3255"/>
    </row>
  </sheetData>
  <mergeCells count="4">
    <mergeCell ref="A6:C7"/>
    <mergeCell ref="I2:I4"/>
    <mergeCell ref="I5:K6"/>
    <mergeCell ref="A2:A5"/>
  </mergeCells>
  <phoneticPr fontId="34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106497" r:id="rId3">
          <objectPr defaultSize="0" autoPict="0" r:id="rId4">
            <anchor moveWithCells="1" sizeWithCells="1">
              <from>
                <xdr:col>8</xdr:col>
                <xdr:colOff>1135380</xdr:colOff>
                <xdr:row>4</xdr:row>
                <xdr:rowOff>22860</xdr:rowOff>
              </from>
              <to>
                <xdr:col>8</xdr:col>
                <xdr:colOff>1699260</xdr:colOff>
                <xdr:row>5</xdr:row>
                <xdr:rowOff>38100</xdr:rowOff>
              </to>
            </anchor>
          </objectPr>
        </oleObject>
      </mc:Choice>
      <mc:Fallback>
        <oleObject progId="Excel.Sheet.8" dvAspect="DVASPECT_ICON" shapeId="106497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M860"/>
  <sheetViews>
    <sheetView topLeftCell="A134" zoomScale="115" zoomScaleNormal="115" workbookViewId="0">
      <selection activeCell="E169" sqref="E169"/>
    </sheetView>
  </sheetViews>
  <sheetFormatPr defaultRowHeight="14.4" x14ac:dyDescent="0.25"/>
  <cols>
    <col min="1" max="1" width="20.3984375" bestFit="1" customWidth="1"/>
    <col min="2" max="3" width="29.69921875" style="2552" customWidth="1"/>
    <col min="4" max="4" width="20.3984375" bestFit="1" customWidth="1"/>
    <col min="5" max="6" width="31.8984375" style="2552" customWidth="1"/>
    <col min="7" max="7" width="20.3984375" bestFit="1" customWidth="1"/>
    <col min="8" max="9" width="28.09765625" style="2552" customWidth="1"/>
    <col min="10" max="10" width="20.3984375" bestFit="1" customWidth="1"/>
    <col min="11" max="11" width="27.8984375" style="2552" customWidth="1"/>
    <col min="12" max="12" width="28.09765625" style="2552" customWidth="1"/>
  </cols>
  <sheetData>
    <row r="1" spans="1:13" x14ac:dyDescent="0.25">
      <c r="A1" s="2553"/>
      <c r="B1" s="2551"/>
      <c r="C1" s="2551"/>
      <c r="M1" s="3267" t="s">
        <v>11068</v>
      </c>
    </row>
    <row r="2" spans="1:13" x14ac:dyDescent="0.25">
      <c r="A2" s="3965" t="s">
        <v>6634</v>
      </c>
      <c r="B2" s="3964" t="s">
        <v>8716</v>
      </c>
      <c r="C2" s="3964" t="s">
        <v>9310</v>
      </c>
      <c r="D2" s="3965" t="s">
        <v>6635</v>
      </c>
      <c r="E2" s="3964" t="s">
        <v>8716</v>
      </c>
      <c r="F2" s="3964" t="s">
        <v>9310</v>
      </c>
      <c r="G2" s="3965" t="s">
        <v>7539</v>
      </c>
      <c r="H2" s="3964" t="s">
        <v>8716</v>
      </c>
      <c r="I2" s="3964" t="s">
        <v>9310</v>
      </c>
      <c r="J2" s="3965" t="s">
        <v>7540</v>
      </c>
      <c r="K2" s="3964" t="s">
        <v>8716</v>
      </c>
      <c r="L2" s="3964" t="s">
        <v>9310</v>
      </c>
    </row>
    <row r="3" spans="1:13" x14ac:dyDescent="0.25">
      <c r="A3" s="3965"/>
      <c r="B3" s="3964"/>
      <c r="C3" s="3964"/>
      <c r="D3" s="3965"/>
      <c r="E3" s="3964"/>
      <c r="F3" s="3964"/>
      <c r="G3" s="3965"/>
      <c r="H3" s="3964"/>
      <c r="I3" s="3964"/>
      <c r="J3" s="3965"/>
      <c r="K3" s="3964"/>
      <c r="L3" s="3964"/>
    </row>
    <row r="4" spans="1:13" x14ac:dyDescent="0.25">
      <c r="A4" t="s">
        <v>11069</v>
      </c>
      <c r="B4" t="s">
        <v>11070</v>
      </c>
      <c r="C4">
        <v>-1.7000000000000001E-2</v>
      </c>
      <c r="D4" t="s">
        <v>11071</v>
      </c>
      <c r="E4" t="s">
        <v>11070</v>
      </c>
      <c r="F4">
        <v>0</v>
      </c>
      <c r="G4" t="s">
        <v>6551</v>
      </c>
      <c r="H4" t="s">
        <v>9344</v>
      </c>
      <c r="I4">
        <v>36.262</v>
      </c>
      <c r="J4" t="s">
        <v>6593</v>
      </c>
      <c r="K4" t="s">
        <v>9344</v>
      </c>
      <c r="L4">
        <v>0</v>
      </c>
    </row>
    <row r="5" spans="1:13" x14ac:dyDescent="0.25">
      <c r="A5" t="s">
        <v>11069</v>
      </c>
      <c r="B5" t="s">
        <v>11072</v>
      </c>
      <c r="C5">
        <v>34.645000000000003</v>
      </c>
      <c r="D5" t="s">
        <v>11071</v>
      </c>
      <c r="E5" t="s">
        <v>11072</v>
      </c>
      <c r="F5">
        <v>34.084000000000003</v>
      </c>
      <c r="G5" t="s">
        <v>6551</v>
      </c>
      <c r="H5" t="s">
        <v>9361</v>
      </c>
      <c r="I5">
        <v>13.042999999999999</v>
      </c>
      <c r="J5" t="s">
        <v>6593</v>
      </c>
      <c r="K5" t="s">
        <v>9361</v>
      </c>
      <c r="L5">
        <v>0</v>
      </c>
    </row>
    <row r="6" spans="1:13" x14ac:dyDescent="0.25">
      <c r="A6" t="s">
        <v>11069</v>
      </c>
      <c r="B6" t="s">
        <v>11073</v>
      </c>
      <c r="C6">
        <v>0</v>
      </c>
      <c r="D6" t="s">
        <v>11071</v>
      </c>
      <c r="E6" t="s">
        <v>11073</v>
      </c>
      <c r="F6">
        <v>0</v>
      </c>
      <c r="G6" t="s">
        <v>6551</v>
      </c>
      <c r="H6" t="s">
        <v>9315</v>
      </c>
      <c r="I6">
        <v>0</v>
      </c>
      <c r="J6" t="s">
        <v>6593</v>
      </c>
      <c r="K6" t="s">
        <v>9315</v>
      </c>
      <c r="L6">
        <v>0.60499999999999998</v>
      </c>
    </row>
    <row r="7" spans="1:13" x14ac:dyDescent="0.25">
      <c r="A7" t="s">
        <v>11069</v>
      </c>
      <c r="B7" t="s">
        <v>11074</v>
      </c>
      <c r="C7">
        <v>34.247999999999998</v>
      </c>
      <c r="D7" t="s">
        <v>11071</v>
      </c>
      <c r="E7" t="s">
        <v>11074</v>
      </c>
      <c r="F7">
        <v>34.087000000000003</v>
      </c>
      <c r="G7" t="s">
        <v>6551</v>
      </c>
      <c r="H7" t="s">
        <v>9395</v>
      </c>
      <c r="I7">
        <v>0</v>
      </c>
      <c r="J7" t="s">
        <v>6593</v>
      </c>
      <c r="K7" t="s">
        <v>9395</v>
      </c>
      <c r="L7">
        <v>0</v>
      </c>
    </row>
    <row r="8" spans="1:13" x14ac:dyDescent="0.25">
      <c r="A8" t="s">
        <v>11075</v>
      </c>
      <c r="B8" t="s">
        <v>11070</v>
      </c>
      <c r="C8">
        <v>35.582000000000001</v>
      </c>
      <c r="D8" t="s">
        <v>11076</v>
      </c>
      <c r="E8" t="s">
        <v>11070</v>
      </c>
      <c r="F8">
        <v>34.246000000000002</v>
      </c>
      <c r="G8" t="s">
        <v>6551</v>
      </c>
      <c r="H8" t="s">
        <v>9355</v>
      </c>
      <c r="I8">
        <v>0</v>
      </c>
      <c r="J8" t="s">
        <v>6593</v>
      </c>
      <c r="K8" t="s">
        <v>9355</v>
      </c>
      <c r="L8">
        <v>1.044</v>
      </c>
    </row>
    <row r="9" spans="1:13" x14ac:dyDescent="0.25">
      <c r="A9" t="s">
        <v>11075</v>
      </c>
      <c r="B9" t="s">
        <v>11072</v>
      </c>
      <c r="C9">
        <v>0</v>
      </c>
      <c r="D9" t="s">
        <v>11076</v>
      </c>
      <c r="E9" t="s">
        <v>11072</v>
      </c>
      <c r="F9">
        <v>0</v>
      </c>
      <c r="G9" t="s">
        <v>6551</v>
      </c>
      <c r="H9" t="s">
        <v>9351</v>
      </c>
      <c r="I9">
        <v>0</v>
      </c>
      <c r="J9" t="s">
        <v>6593</v>
      </c>
      <c r="K9" t="s">
        <v>9351</v>
      </c>
      <c r="L9">
        <v>0</v>
      </c>
    </row>
    <row r="10" spans="1:13" x14ac:dyDescent="0.25">
      <c r="A10" t="s">
        <v>11075</v>
      </c>
      <c r="B10" t="s">
        <v>11073</v>
      </c>
      <c r="C10">
        <v>35.393000000000001</v>
      </c>
      <c r="D10" t="s">
        <v>11076</v>
      </c>
      <c r="E10" t="s">
        <v>11073</v>
      </c>
      <c r="F10">
        <v>40.545000000000002</v>
      </c>
      <c r="G10" t="s">
        <v>6551</v>
      </c>
      <c r="H10" t="s">
        <v>9409</v>
      </c>
      <c r="I10">
        <v>0</v>
      </c>
      <c r="J10" t="s">
        <v>6593</v>
      </c>
      <c r="K10" t="s">
        <v>9409</v>
      </c>
      <c r="L10">
        <v>1.333</v>
      </c>
    </row>
    <row r="11" spans="1:13" x14ac:dyDescent="0.25">
      <c r="A11" t="s">
        <v>11075</v>
      </c>
      <c r="B11" t="s">
        <v>11074</v>
      </c>
      <c r="C11">
        <v>-8.8999999999999996E-2</v>
      </c>
      <c r="D11" t="s">
        <v>11076</v>
      </c>
      <c r="E11" t="s">
        <v>11074</v>
      </c>
      <c r="F11">
        <v>0</v>
      </c>
      <c r="G11" t="s">
        <v>6551</v>
      </c>
      <c r="H11" t="s">
        <v>9492</v>
      </c>
      <c r="I11">
        <v>0</v>
      </c>
      <c r="J11" t="s">
        <v>6593</v>
      </c>
      <c r="K11" t="s">
        <v>9492</v>
      </c>
      <c r="L11">
        <v>0.47499999999999998</v>
      </c>
    </row>
    <row r="12" spans="1:13" x14ac:dyDescent="0.25">
      <c r="A12" t="s">
        <v>11077</v>
      </c>
      <c r="B12" t="s">
        <v>11070</v>
      </c>
      <c r="C12">
        <v>0</v>
      </c>
      <c r="D12" t="s">
        <v>6516</v>
      </c>
      <c r="E12" t="s">
        <v>9344</v>
      </c>
      <c r="F12">
        <v>7.6820000000000004</v>
      </c>
      <c r="G12" t="s">
        <v>6551</v>
      </c>
      <c r="H12" t="s">
        <v>9364</v>
      </c>
      <c r="I12">
        <v>0</v>
      </c>
      <c r="J12" t="s">
        <v>6593</v>
      </c>
      <c r="K12" t="s">
        <v>9364</v>
      </c>
      <c r="L12">
        <v>1.613</v>
      </c>
    </row>
    <row r="13" spans="1:13" x14ac:dyDescent="0.25">
      <c r="A13" t="s">
        <v>11077</v>
      </c>
      <c r="B13" t="s">
        <v>11072</v>
      </c>
      <c r="C13">
        <v>0</v>
      </c>
      <c r="D13" t="s">
        <v>6516</v>
      </c>
      <c r="E13" t="s">
        <v>9361</v>
      </c>
      <c r="F13">
        <v>7.5809999999999995</v>
      </c>
      <c r="G13" t="s">
        <v>6551</v>
      </c>
      <c r="H13" t="s">
        <v>9500</v>
      </c>
      <c r="I13">
        <v>0</v>
      </c>
      <c r="J13" t="s">
        <v>6593</v>
      </c>
      <c r="K13" t="s">
        <v>9500</v>
      </c>
      <c r="L13">
        <v>0.56100000000000005</v>
      </c>
    </row>
    <row r="14" spans="1:13" x14ac:dyDescent="0.25">
      <c r="A14" t="s">
        <v>11077</v>
      </c>
      <c r="B14" t="s">
        <v>11073</v>
      </c>
      <c r="C14">
        <v>0</v>
      </c>
      <c r="D14" t="s">
        <v>6516</v>
      </c>
      <c r="E14" t="s">
        <v>9315</v>
      </c>
      <c r="F14">
        <v>12.811999999999999</v>
      </c>
      <c r="G14" t="s">
        <v>6551</v>
      </c>
      <c r="H14" t="s">
        <v>9386</v>
      </c>
      <c r="I14">
        <v>33.868000000000002</v>
      </c>
      <c r="J14" t="s">
        <v>6593</v>
      </c>
      <c r="K14" t="s">
        <v>9386</v>
      </c>
      <c r="L14">
        <v>1.3900000000000001</v>
      </c>
    </row>
    <row r="15" spans="1:13" x14ac:dyDescent="0.25">
      <c r="A15" t="s">
        <v>11077</v>
      </c>
      <c r="B15" t="s">
        <v>11074</v>
      </c>
      <c r="C15">
        <v>0</v>
      </c>
      <c r="D15" t="s">
        <v>6516</v>
      </c>
      <c r="E15" t="s">
        <v>9395</v>
      </c>
      <c r="F15">
        <v>13.153</v>
      </c>
      <c r="G15" t="s">
        <v>6551</v>
      </c>
      <c r="H15" t="s">
        <v>9509</v>
      </c>
      <c r="I15">
        <v>0</v>
      </c>
      <c r="J15" t="s">
        <v>6593</v>
      </c>
      <c r="K15" t="s">
        <v>9509</v>
      </c>
      <c r="L15">
        <v>0</v>
      </c>
    </row>
    <row r="16" spans="1:13" x14ac:dyDescent="0.25">
      <c r="A16" t="s">
        <v>11077</v>
      </c>
      <c r="B16" t="s">
        <v>11078</v>
      </c>
      <c r="C16">
        <v>0</v>
      </c>
      <c r="D16" t="s">
        <v>6516</v>
      </c>
      <c r="E16" t="s">
        <v>9355</v>
      </c>
      <c r="F16">
        <v>13.564</v>
      </c>
      <c r="G16" t="s">
        <v>6551</v>
      </c>
      <c r="H16" t="s">
        <v>9398</v>
      </c>
      <c r="I16">
        <v>0</v>
      </c>
      <c r="J16" t="s">
        <v>6593</v>
      </c>
      <c r="K16" t="s">
        <v>9398</v>
      </c>
      <c r="L16">
        <v>1.427</v>
      </c>
    </row>
    <row r="17" spans="1:12" x14ac:dyDescent="0.25">
      <c r="A17" t="s">
        <v>11077</v>
      </c>
      <c r="B17" t="s">
        <v>11079</v>
      </c>
      <c r="C17">
        <v>0</v>
      </c>
      <c r="D17" t="s">
        <v>6516</v>
      </c>
      <c r="E17" t="s">
        <v>9351</v>
      </c>
      <c r="F17">
        <v>13.4</v>
      </c>
      <c r="G17" t="s">
        <v>6551</v>
      </c>
      <c r="H17" t="s">
        <v>9478</v>
      </c>
      <c r="I17">
        <v>0</v>
      </c>
      <c r="J17" t="s">
        <v>6593</v>
      </c>
      <c r="K17" t="s">
        <v>9478</v>
      </c>
      <c r="L17">
        <v>0.96499999999999997</v>
      </c>
    </row>
    <row r="18" spans="1:12" x14ac:dyDescent="0.25">
      <c r="A18" t="s">
        <v>11077</v>
      </c>
      <c r="B18" t="s">
        <v>11080</v>
      </c>
      <c r="C18">
        <v>0</v>
      </c>
      <c r="D18" t="s">
        <v>6516</v>
      </c>
      <c r="E18" t="s">
        <v>9409</v>
      </c>
      <c r="F18">
        <v>13.603</v>
      </c>
      <c r="G18" t="s">
        <v>6551</v>
      </c>
      <c r="H18" t="s">
        <v>9453</v>
      </c>
      <c r="I18">
        <v>2.8519999999999999</v>
      </c>
      <c r="J18" t="s">
        <v>6593</v>
      </c>
      <c r="K18" t="s">
        <v>9453</v>
      </c>
      <c r="L18">
        <v>0.108</v>
      </c>
    </row>
    <row r="19" spans="1:12" x14ac:dyDescent="0.25">
      <c r="A19" t="s">
        <v>11077</v>
      </c>
      <c r="B19" t="s">
        <v>11081</v>
      </c>
      <c r="C19">
        <v>0</v>
      </c>
      <c r="D19" t="s">
        <v>6516</v>
      </c>
      <c r="E19" t="s">
        <v>9492</v>
      </c>
      <c r="F19">
        <v>13.54</v>
      </c>
      <c r="G19" t="s">
        <v>6551</v>
      </c>
      <c r="H19" t="s">
        <v>9465</v>
      </c>
      <c r="I19">
        <v>0</v>
      </c>
      <c r="J19" t="s">
        <v>6593</v>
      </c>
      <c r="K19" t="s">
        <v>9465</v>
      </c>
      <c r="L19">
        <v>0.48899999999999999</v>
      </c>
    </row>
    <row r="20" spans="1:12" x14ac:dyDescent="0.25">
      <c r="A20" t="s">
        <v>11077</v>
      </c>
      <c r="B20" t="s">
        <v>11082</v>
      </c>
      <c r="C20">
        <v>0</v>
      </c>
      <c r="D20" t="s">
        <v>6516</v>
      </c>
      <c r="E20" t="s">
        <v>9364</v>
      </c>
      <c r="F20">
        <v>13.632</v>
      </c>
      <c r="G20" t="s">
        <v>6551</v>
      </c>
      <c r="H20" t="s">
        <v>9462</v>
      </c>
      <c r="I20">
        <v>3.673</v>
      </c>
      <c r="J20" t="s">
        <v>6593</v>
      </c>
      <c r="K20" t="s">
        <v>9462</v>
      </c>
      <c r="L20">
        <v>0.67</v>
      </c>
    </row>
    <row r="21" spans="1:12" x14ac:dyDescent="0.25">
      <c r="A21" t="s">
        <v>11077</v>
      </c>
      <c r="B21" t="s">
        <v>11083</v>
      </c>
      <c r="C21">
        <v>0</v>
      </c>
      <c r="D21" t="s">
        <v>6516</v>
      </c>
      <c r="E21" t="s">
        <v>9500</v>
      </c>
      <c r="F21">
        <v>12.295999999999999</v>
      </c>
      <c r="G21" t="s">
        <v>6576</v>
      </c>
      <c r="H21" t="s">
        <v>9344</v>
      </c>
      <c r="I21">
        <v>0</v>
      </c>
      <c r="J21" t="s">
        <v>6593</v>
      </c>
      <c r="K21" t="s">
        <v>9473</v>
      </c>
      <c r="L21">
        <v>0.45300000000000001</v>
      </c>
    </row>
    <row r="22" spans="1:12" x14ac:dyDescent="0.25">
      <c r="A22" t="s">
        <v>11077</v>
      </c>
      <c r="B22" t="s">
        <v>11084</v>
      </c>
      <c r="C22">
        <v>0</v>
      </c>
      <c r="D22" t="s">
        <v>6516</v>
      </c>
      <c r="E22" t="s">
        <v>9386</v>
      </c>
      <c r="F22">
        <v>14.760999999999999</v>
      </c>
      <c r="G22" t="s">
        <v>6576</v>
      </c>
      <c r="H22" t="s">
        <v>9361</v>
      </c>
      <c r="I22">
        <v>0.33800000000000002</v>
      </c>
      <c r="J22" t="s">
        <v>6593</v>
      </c>
      <c r="K22" t="s">
        <v>9486</v>
      </c>
      <c r="L22">
        <v>0.871</v>
      </c>
    </row>
    <row r="23" spans="1:12" x14ac:dyDescent="0.25">
      <c r="A23" t="s">
        <v>11077</v>
      </c>
      <c r="B23" t="s">
        <v>11085</v>
      </c>
      <c r="C23">
        <v>0</v>
      </c>
      <c r="D23" t="s">
        <v>6516</v>
      </c>
      <c r="E23" t="s">
        <v>9509</v>
      </c>
      <c r="F23">
        <v>13.848000000000001</v>
      </c>
      <c r="G23" t="s">
        <v>6576</v>
      </c>
      <c r="H23" t="s">
        <v>9315</v>
      </c>
      <c r="I23">
        <v>0</v>
      </c>
      <c r="J23" t="s">
        <v>6593</v>
      </c>
      <c r="K23" t="s">
        <v>9512</v>
      </c>
      <c r="L23">
        <v>0.40300000000000002</v>
      </c>
    </row>
    <row r="24" spans="1:12" x14ac:dyDescent="0.25">
      <c r="A24" t="s">
        <v>6511</v>
      </c>
      <c r="B24" t="s">
        <v>9344</v>
      </c>
      <c r="C24">
        <v>0.69599999999999995</v>
      </c>
      <c r="D24" t="s">
        <v>6516</v>
      </c>
      <c r="E24" t="s">
        <v>9398</v>
      </c>
      <c r="F24">
        <v>0</v>
      </c>
      <c r="G24" t="s">
        <v>6576</v>
      </c>
      <c r="H24" t="s">
        <v>9395</v>
      </c>
      <c r="I24">
        <v>1.944</v>
      </c>
      <c r="J24" t="s">
        <v>6593</v>
      </c>
      <c r="K24" t="s">
        <v>9489</v>
      </c>
      <c r="L24">
        <v>0.86299999999999999</v>
      </c>
    </row>
    <row r="25" spans="1:12" x14ac:dyDescent="0.25">
      <c r="A25" t="s">
        <v>6511</v>
      </c>
      <c r="B25" t="s">
        <v>9361</v>
      </c>
      <c r="C25">
        <v>8.0359999999999996</v>
      </c>
      <c r="D25" t="s">
        <v>6516</v>
      </c>
      <c r="E25" t="s">
        <v>9478</v>
      </c>
      <c r="F25">
        <v>0</v>
      </c>
      <c r="G25" t="s">
        <v>6576</v>
      </c>
      <c r="H25" t="s">
        <v>9355</v>
      </c>
      <c r="I25">
        <v>0</v>
      </c>
      <c r="J25" t="s">
        <v>6593</v>
      </c>
      <c r="K25" t="s">
        <v>9547</v>
      </c>
      <c r="L25">
        <v>0.374</v>
      </c>
    </row>
    <row r="26" spans="1:12" x14ac:dyDescent="0.25">
      <c r="A26" t="s">
        <v>6511</v>
      </c>
      <c r="B26" t="s">
        <v>9315</v>
      </c>
      <c r="C26">
        <v>7.3579999999999997</v>
      </c>
      <c r="D26" t="s">
        <v>6516</v>
      </c>
      <c r="E26" t="s">
        <v>9453</v>
      </c>
      <c r="F26">
        <v>0</v>
      </c>
      <c r="G26" t="s">
        <v>6576</v>
      </c>
      <c r="H26" t="s">
        <v>9351</v>
      </c>
      <c r="I26">
        <v>0.60499999999999998</v>
      </c>
      <c r="J26" t="s">
        <v>6593</v>
      </c>
      <c r="K26" t="s">
        <v>9497</v>
      </c>
      <c r="L26">
        <v>0.43099999999999999</v>
      </c>
    </row>
    <row r="27" spans="1:12" x14ac:dyDescent="0.25">
      <c r="A27" t="s">
        <v>6511</v>
      </c>
      <c r="B27" t="s">
        <v>9395</v>
      </c>
      <c r="C27">
        <v>7.79</v>
      </c>
      <c r="D27" t="s">
        <v>6516</v>
      </c>
      <c r="E27" t="s">
        <v>9465</v>
      </c>
      <c r="F27">
        <v>3.2480000000000002</v>
      </c>
      <c r="G27" t="s">
        <v>6576</v>
      </c>
      <c r="H27" t="s">
        <v>9409</v>
      </c>
      <c r="I27">
        <v>0</v>
      </c>
      <c r="J27" t="s">
        <v>6593</v>
      </c>
      <c r="K27" t="s">
        <v>9554</v>
      </c>
      <c r="L27">
        <v>0.66900000000000004</v>
      </c>
    </row>
    <row r="28" spans="1:12" x14ac:dyDescent="0.25">
      <c r="A28" t="s">
        <v>6511</v>
      </c>
      <c r="B28" t="s">
        <v>9355</v>
      </c>
      <c r="C28">
        <v>9.2680000000000007</v>
      </c>
      <c r="D28" t="s">
        <v>6516</v>
      </c>
      <c r="E28" t="s">
        <v>9462</v>
      </c>
      <c r="F28">
        <v>0</v>
      </c>
      <c r="G28" t="s">
        <v>6576</v>
      </c>
      <c r="H28" t="s">
        <v>9492</v>
      </c>
      <c r="I28">
        <v>1.0289999999999999</v>
      </c>
      <c r="J28" t="s">
        <v>6593</v>
      </c>
      <c r="K28" t="s">
        <v>9419</v>
      </c>
      <c r="L28">
        <v>0.36</v>
      </c>
    </row>
    <row r="29" spans="1:12" x14ac:dyDescent="0.25">
      <c r="A29" t="s">
        <v>6511</v>
      </c>
      <c r="B29" t="s">
        <v>9351</v>
      </c>
      <c r="C29">
        <v>5.1310000000000002</v>
      </c>
      <c r="D29" t="s">
        <v>6516</v>
      </c>
      <c r="E29" t="s">
        <v>9473</v>
      </c>
      <c r="F29">
        <v>3.161</v>
      </c>
      <c r="G29" t="s">
        <v>6576</v>
      </c>
      <c r="H29" t="s">
        <v>9364</v>
      </c>
      <c r="I29">
        <v>0</v>
      </c>
      <c r="J29" t="s">
        <v>6593</v>
      </c>
      <c r="K29" t="s">
        <v>9365</v>
      </c>
      <c r="L29">
        <v>0.71299999999999997</v>
      </c>
    </row>
    <row r="30" spans="1:12" x14ac:dyDescent="0.25">
      <c r="A30" t="s">
        <v>6511</v>
      </c>
      <c r="B30" t="s">
        <v>9409</v>
      </c>
      <c r="C30">
        <v>2.577</v>
      </c>
      <c r="D30" t="s">
        <v>6517</v>
      </c>
      <c r="E30" t="s">
        <v>11070</v>
      </c>
      <c r="F30">
        <v>12.269</v>
      </c>
      <c r="G30" t="s">
        <v>6576</v>
      </c>
      <c r="H30" t="s">
        <v>9500</v>
      </c>
      <c r="I30">
        <v>1.9510000000000001</v>
      </c>
      <c r="J30" t="s">
        <v>6593</v>
      </c>
      <c r="K30" t="s">
        <v>9521</v>
      </c>
      <c r="L30">
        <v>0.77</v>
      </c>
    </row>
    <row r="31" spans="1:12" x14ac:dyDescent="0.25">
      <c r="A31" t="s">
        <v>6511</v>
      </c>
      <c r="B31" t="s">
        <v>9492</v>
      </c>
      <c r="C31">
        <v>0</v>
      </c>
      <c r="D31" t="s">
        <v>6517</v>
      </c>
      <c r="E31" t="s">
        <v>11072</v>
      </c>
      <c r="F31">
        <v>12.545</v>
      </c>
      <c r="G31" t="s">
        <v>6576</v>
      </c>
      <c r="H31" t="s">
        <v>9386</v>
      </c>
      <c r="I31">
        <v>0</v>
      </c>
      <c r="J31" t="s">
        <v>6593</v>
      </c>
      <c r="K31" t="s">
        <v>9430</v>
      </c>
      <c r="L31">
        <v>1.153</v>
      </c>
    </row>
    <row r="32" spans="1:12" x14ac:dyDescent="0.25">
      <c r="A32" t="s">
        <v>6511</v>
      </c>
      <c r="B32" t="s">
        <v>9364</v>
      </c>
      <c r="C32">
        <v>0</v>
      </c>
      <c r="D32" t="s">
        <v>6517</v>
      </c>
      <c r="E32" t="s">
        <v>11073</v>
      </c>
      <c r="F32">
        <v>12.121</v>
      </c>
      <c r="G32" t="s">
        <v>6576</v>
      </c>
      <c r="H32" t="s">
        <v>9509</v>
      </c>
      <c r="I32">
        <v>1.8279999999999998</v>
      </c>
      <c r="J32" t="s">
        <v>6593</v>
      </c>
      <c r="K32" t="s">
        <v>9459</v>
      </c>
      <c r="L32">
        <v>7.9000000000000001E-2</v>
      </c>
    </row>
    <row r="33" spans="1:12" x14ac:dyDescent="0.25">
      <c r="A33" t="s">
        <v>6506</v>
      </c>
      <c r="B33" t="s">
        <v>9344</v>
      </c>
      <c r="C33">
        <v>0.39100000000000001</v>
      </c>
      <c r="D33" t="s">
        <v>6517</v>
      </c>
      <c r="E33" t="s">
        <v>11074</v>
      </c>
      <c r="F33">
        <v>0</v>
      </c>
      <c r="G33" t="s">
        <v>6576</v>
      </c>
      <c r="H33" t="s">
        <v>9398</v>
      </c>
      <c r="I33">
        <v>0</v>
      </c>
      <c r="J33" t="s">
        <v>6593</v>
      </c>
      <c r="K33" t="s">
        <v>9375</v>
      </c>
      <c r="L33">
        <v>6.4000000000000001E-2</v>
      </c>
    </row>
    <row r="34" spans="1:12" x14ac:dyDescent="0.25">
      <c r="A34" t="s">
        <v>6506</v>
      </c>
      <c r="B34" t="s">
        <v>9361</v>
      </c>
      <c r="C34">
        <v>7.4530000000000003</v>
      </c>
      <c r="D34" t="s">
        <v>6518</v>
      </c>
      <c r="E34" t="s">
        <v>10011</v>
      </c>
      <c r="F34">
        <v>5.7000000000000002E-2</v>
      </c>
      <c r="G34" t="s">
        <v>6576</v>
      </c>
      <c r="H34" t="s">
        <v>9478</v>
      </c>
      <c r="I34">
        <v>1.4259999999999999</v>
      </c>
      <c r="J34" t="s">
        <v>6593</v>
      </c>
      <c r="K34" t="s">
        <v>9443</v>
      </c>
      <c r="L34">
        <v>0.94399999999999995</v>
      </c>
    </row>
    <row r="35" spans="1:12" x14ac:dyDescent="0.25">
      <c r="A35" t="s">
        <v>6506</v>
      </c>
      <c r="B35" t="s">
        <v>9315</v>
      </c>
      <c r="C35">
        <v>6.9589999999999996</v>
      </c>
      <c r="D35" t="s">
        <v>6518</v>
      </c>
      <c r="E35" t="s">
        <v>9344</v>
      </c>
      <c r="F35">
        <v>0</v>
      </c>
      <c r="G35" t="s">
        <v>6576</v>
      </c>
      <c r="H35" t="s">
        <v>9453</v>
      </c>
      <c r="I35">
        <v>0</v>
      </c>
      <c r="J35" t="s">
        <v>6593</v>
      </c>
      <c r="K35" t="s">
        <v>9371</v>
      </c>
      <c r="L35">
        <v>0.41699999999999998</v>
      </c>
    </row>
    <row r="36" spans="1:12" x14ac:dyDescent="0.25">
      <c r="A36" t="s">
        <v>6506</v>
      </c>
      <c r="B36" t="s">
        <v>9395</v>
      </c>
      <c r="C36">
        <v>7.4889999999999999</v>
      </c>
      <c r="D36" t="s">
        <v>6518</v>
      </c>
      <c r="E36" t="s">
        <v>9404</v>
      </c>
      <c r="F36">
        <v>0</v>
      </c>
      <c r="G36" t="s">
        <v>6576</v>
      </c>
      <c r="H36" t="s">
        <v>9465</v>
      </c>
      <c r="I36">
        <v>1.454</v>
      </c>
      <c r="J36" t="s">
        <v>6593</v>
      </c>
      <c r="K36" t="s">
        <v>9571</v>
      </c>
      <c r="L36">
        <v>1.9359999999999999</v>
      </c>
    </row>
    <row r="37" spans="1:12" x14ac:dyDescent="0.25">
      <c r="A37" t="s">
        <v>6506</v>
      </c>
      <c r="B37" t="s">
        <v>9355</v>
      </c>
      <c r="C37">
        <v>9.2010000000000005</v>
      </c>
      <c r="D37" t="s">
        <v>6518</v>
      </c>
      <c r="E37" t="s">
        <v>9361</v>
      </c>
      <c r="F37">
        <v>0</v>
      </c>
      <c r="G37" t="s">
        <v>6576</v>
      </c>
      <c r="H37" t="s">
        <v>9462</v>
      </c>
      <c r="I37">
        <v>0</v>
      </c>
      <c r="J37" t="s">
        <v>6593</v>
      </c>
      <c r="K37" t="s">
        <v>9468</v>
      </c>
      <c r="L37">
        <v>0</v>
      </c>
    </row>
    <row r="38" spans="1:12" x14ac:dyDescent="0.25">
      <c r="A38" t="s">
        <v>6506</v>
      </c>
      <c r="B38" t="s">
        <v>9351</v>
      </c>
      <c r="C38">
        <v>2.5540000000000003</v>
      </c>
      <c r="D38" t="s">
        <v>6518</v>
      </c>
      <c r="E38" t="s">
        <v>9593</v>
      </c>
      <c r="F38">
        <v>0</v>
      </c>
      <c r="G38" t="s">
        <v>6576</v>
      </c>
      <c r="H38" t="s">
        <v>9473</v>
      </c>
      <c r="I38">
        <v>0</v>
      </c>
      <c r="J38" t="s">
        <v>6593</v>
      </c>
      <c r="K38" t="s">
        <v>9580</v>
      </c>
      <c r="L38">
        <v>1.5409999999999999</v>
      </c>
    </row>
    <row r="39" spans="1:12" x14ac:dyDescent="0.25">
      <c r="A39" t="s">
        <v>6506</v>
      </c>
      <c r="B39" t="s">
        <v>9409</v>
      </c>
      <c r="C39">
        <v>6.2780000000000005</v>
      </c>
      <c r="D39" t="s">
        <v>6518</v>
      </c>
      <c r="E39" t="s">
        <v>9315</v>
      </c>
      <c r="F39">
        <v>0</v>
      </c>
      <c r="G39" t="s">
        <v>6576</v>
      </c>
      <c r="H39" t="s">
        <v>9486</v>
      </c>
      <c r="I39">
        <v>0</v>
      </c>
      <c r="J39" t="s">
        <v>6593</v>
      </c>
      <c r="K39" t="s">
        <v>9349</v>
      </c>
      <c r="L39">
        <v>0</v>
      </c>
    </row>
    <row r="40" spans="1:12" x14ac:dyDescent="0.25">
      <c r="A40" t="s">
        <v>6506</v>
      </c>
      <c r="B40" t="s">
        <v>9492</v>
      </c>
      <c r="C40">
        <v>0</v>
      </c>
      <c r="D40" t="s">
        <v>6518</v>
      </c>
      <c r="E40" t="s">
        <v>9392</v>
      </c>
      <c r="F40">
        <v>0.45300000000000001</v>
      </c>
      <c r="G40" t="s">
        <v>6576</v>
      </c>
      <c r="H40" t="s">
        <v>9512</v>
      </c>
      <c r="I40">
        <v>0</v>
      </c>
      <c r="J40" t="s">
        <v>6593</v>
      </c>
      <c r="K40" t="s">
        <v>9381</v>
      </c>
      <c r="L40">
        <v>0</v>
      </c>
    </row>
    <row r="41" spans="1:12" x14ac:dyDescent="0.25">
      <c r="A41" t="s">
        <v>6506</v>
      </c>
      <c r="B41" t="s">
        <v>9364</v>
      </c>
      <c r="C41">
        <v>0</v>
      </c>
      <c r="D41" t="s">
        <v>6518</v>
      </c>
      <c r="E41" t="s">
        <v>9395</v>
      </c>
      <c r="F41">
        <v>0</v>
      </c>
      <c r="G41" t="s">
        <v>6576</v>
      </c>
      <c r="H41" t="s">
        <v>9489</v>
      </c>
      <c r="I41">
        <v>0</v>
      </c>
      <c r="J41" t="s">
        <v>6593</v>
      </c>
      <c r="K41" t="s">
        <v>9358</v>
      </c>
      <c r="L41">
        <v>0.59</v>
      </c>
    </row>
    <row r="42" spans="1:12" x14ac:dyDescent="0.25">
      <c r="A42" t="s">
        <v>6512</v>
      </c>
      <c r="B42" t="s">
        <v>9344</v>
      </c>
      <c r="C42">
        <v>0</v>
      </c>
      <c r="D42" t="s">
        <v>6518</v>
      </c>
      <c r="E42" t="s">
        <v>9412</v>
      </c>
      <c r="F42">
        <v>0</v>
      </c>
      <c r="G42" t="s">
        <v>6576</v>
      </c>
      <c r="H42" t="s">
        <v>9547</v>
      </c>
      <c r="I42">
        <v>0</v>
      </c>
      <c r="J42" t="s">
        <v>6593</v>
      </c>
      <c r="K42" t="s">
        <v>9924</v>
      </c>
      <c r="L42">
        <v>0.20100000000000001</v>
      </c>
    </row>
    <row r="43" spans="1:12" x14ac:dyDescent="0.25">
      <c r="A43" t="s">
        <v>6512</v>
      </c>
      <c r="B43" t="s">
        <v>9361</v>
      </c>
      <c r="C43">
        <v>7.2229999999999999</v>
      </c>
      <c r="D43" t="s">
        <v>6518</v>
      </c>
      <c r="E43" t="s">
        <v>9355</v>
      </c>
      <c r="F43">
        <v>0</v>
      </c>
      <c r="G43" t="s">
        <v>6576</v>
      </c>
      <c r="H43" t="s">
        <v>9497</v>
      </c>
      <c r="I43">
        <v>0</v>
      </c>
      <c r="J43" t="s">
        <v>6593</v>
      </c>
      <c r="K43" t="s">
        <v>9368</v>
      </c>
      <c r="L43">
        <v>0.72699999999999998</v>
      </c>
    </row>
    <row r="44" spans="1:12" x14ac:dyDescent="0.25">
      <c r="A44" t="s">
        <v>6512</v>
      </c>
      <c r="B44" t="s">
        <v>9315</v>
      </c>
      <c r="C44">
        <v>6.125</v>
      </c>
      <c r="D44" t="s">
        <v>6518</v>
      </c>
      <c r="E44" t="s">
        <v>9870</v>
      </c>
      <c r="F44">
        <v>0</v>
      </c>
      <c r="G44" t="s">
        <v>6576</v>
      </c>
      <c r="H44" t="s">
        <v>9554</v>
      </c>
      <c r="I44">
        <v>0</v>
      </c>
      <c r="J44" t="s">
        <v>6593</v>
      </c>
      <c r="K44" t="s">
        <v>9481</v>
      </c>
      <c r="L44">
        <v>0.18</v>
      </c>
    </row>
    <row r="45" spans="1:12" x14ac:dyDescent="0.25">
      <c r="A45" t="s">
        <v>6512</v>
      </c>
      <c r="B45" t="s">
        <v>9395</v>
      </c>
      <c r="C45">
        <v>0</v>
      </c>
      <c r="D45" t="s">
        <v>6518</v>
      </c>
      <c r="E45" t="s">
        <v>9351</v>
      </c>
      <c r="F45">
        <v>3.0110000000000001</v>
      </c>
      <c r="G45" t="s">
        <v>6576</v>
      </c>
      <c r="H45" t="s">
        <v>9419</v>
      </c>
      <c r="I45">
        <v>0</v>
      </c>
      <c r="J45" t="s">
        <v>6593</v>
      </c>
      <c r="K45" t="s">
        <v>9378</v>
      </c>
      <c r="L45">
        <v>0.69799999999999995</v>
      </c>
    </row>
    <row r="46" spans="1:12" x14ac:dyDescent="0.25">
      <c r="A46" t="s">
        <v>6512</v>
      </c>
      <c r="B46" t="s">
        <v>9355</v>
      </c>
      <c r="C46">
        <v>1.4139999999999999</v>
      </c>
      <c r="D46" t="s">
        <v>6518</v>
      </c>
      <c r="E46" t="s">
        <v>10076</v>
      </c>
      <c r="F46">
        <v>0</v>
      </c>
      <c r="G46" t="s">
        <v>6576</v>
      </c>
      <c r="H46" t="s">
        <v>9365</v>
      </c>
      <c r="I46">
        <v>0</v>
      </c>
      <c r="J46" t="s">
        <v>6593</v>
      </c>
      <c r="K46" t="s">
        <v>9527</v>
      </c>
      <c r="L46">
        <v>0</v>
      </c>
    </row>
    <row r="47" spans="1:12" x14ac:dyDescent="0.25">
      <c r="A47" t="s">
        <v>6512</v>
      </c>
      <c r="B47" t="s">
        <v>9351</v>
      </c>
      <c r="C47">
        <v>2.149</v>
      </c>
      <c r="D47" t="s">
        <v>6518</v>
      </c>
      <c r="E47" t="s">
        <v>9409</v>
      </c>
      <c r="F47">
        <v>2.6429999999999998</v>
      </c>
      <c r="G47" t="s">
        <v>6576</v>
      </c>
      <c r="H47" t="s">
        <v>9521</v>
      </c>
      <c r="I47">
        <v>0.42499999999999999</v>
      </c>
      <c r="J47" t="s">
        <v>6593</v>
      </c>
      <c r="K47" t="s">
        <v>9389</v>
      </c>
      <c r="L47">
        <v>1.7429999999999999</v>
      </c>
    </row>
    <row r="48" spans="1:12" x14ac:dyDescent="0.25">
      <c r="A48" t="s">
        <v>6512</v>
      </c>
      <c r="B48" t="s">
        <v>9409</v>
      </c>
      <c r="C48">
        <v>6.423</v>
      </c>
      <c r="D48" t="s">
        <v>6518</v>
      </c>
      <c r="E48" t="s">
        <v>9766</v>
      </c>
      <c r="F48">
        <v>0</v>
      </c>
      <c r="G48" t="s">
        <v>6576</v>
      </c>
      <c r="H48" t="s">
        <v>9430</v>
      </c>
      <c r="I48">
        <v>0</v>
      </c>
      <c r="J48" t="s">
        <v>6593</v>
      </c>
      <c r="K48" t="s">
        <v>9620</v>
      </c>
      <c r="L48">
        <v>0</v>
      </c>
    </row>
    <row r="49" spans="1:12" x14ac:dyDescent="0.25">
      <c r="A49" t="s">
        <v>6512</v>
      </c>
      <c r="B49" t="s">
        <v>9492</v>
      </c>
      <c r="C49">
        <v>3.94</v>
      </c>
      <c r="D49" t="s">
        <v>6518</v>
      </c>
      <c r="E49" t="s">
        <v>9492</v>
      </c>
      <c r="F49">
        <v>3.2189999999999999</v>
      </c>
      <c r="G49" t="s">
        <v>6576</v>
      </c>
      <c r="H49" t="s">
        <v>9459</v>
      </c>
      <c r="I49">
        <v>0</v>
      </c>
      <c r="J49" t="s">
        <v>6593</v>
      </c>
      <c r="K49" t="s">
        <v>9401</v>
      </c>
      <c r="L49">
        <v>0</v>
      </c>
    </row>
    <row r="50" spans="1:12" x14ac:dyDescent="0.25">
      <c r="A50" t="s">
        <v>6512</v>
      </c>
      <c r="B50" t="s">
        <v>9364</v>
      </c>
      <c r="C50">
        <v>0</v>
      </c>
      <c r="D50" t="s">
        <v>6518</v>
      </c>
      <c r="E50" t="s">
        <v>9364</v>
      </c>
      <c r="F50">
        <v>1.419</v>
      </c>
      <c r="G50" t="s">
        <v>6576</v>
      </c>
      <c r="H50" t="s">
        <v>9375</v>
      </c>
      <c r="I50">
        <v>0</v>
      </c>
      <c r="J50" t="s">
        <v>6593</v>
      </c>
      <c r="K50" t="s">
        <v>9528</v>
      </c>
      <c r="L50">
        <v>0</v>
      </c>
    </row>
    <row r="51" spans="1:12" x14ac:dyDescent="0.25">
      <c r="A51" t="s">
        <v>6507</v>
      </c>
      <c r="B51" t="s">
        <v>9344</v>
      </c>
      <c r="C51">
        <v>0</v>
      </c>
      <c r="D51" t="s">
        <v>6518</v>
      </c>
      <c r="E51" t="s">
        <v>9771</v>
      </c>
      <c r="F51">
        <v>0</v>
      </c>
      <c r="G51" t="s">
        <v>6576</v>
      </c>
      <c r="H51" t="s">
        <v>9443</v>
      </c>
      <c r="I51">
        <v>0</v>
      </c>
      <c r="J51" t="s">
        <v>6593</v>
      </c>
      <c r="K51" t="s">
        <v>9524</v>
      </c>
      <c r="L51">
        <v>0.64100000000000001</v>
      </c>
    </row>
    <row r="52" spans="1:12" x14ac:dyDescent="0.25">
      <c r="A52" t="s">
        <v>6507</v>
      </c>
      <c r="B52" t="s">
        <v>9361</v>
      </c>
      <c r="C52">
        <v>9.0129999999999999</v>
      </c>
      <c r="D52" t="s">
        <v>6518</v>
      </c>
      <c r="E52" t="s">
        <v>9500</v>
      </c>
      <c r="F52">
        <v>0</v>
      </c>
      <c r="G52" t="s">
        <v>6576</v>
      </c>
      <c r="H52" t="s">
        <v>9371</v>
      </c>
      <c r="I52">
        <v>0</v>
      </c>
      <c r="J52" t="s">
        <v>6593</v>
      </c>
      <c r="K52" t="s">
        <v>9456</v>
      </c>
      <c r="L52">
        <v>0</v>
      </c>
    </row>
    <row r="53" spans="1:12" x14ac:dyDescent="0.25">
      <c r="A53" t="s">
        <v>6507</v>
      </c>
      <c r="B53" t="s">
        <v>9315</v>
      </c>
      <c r="C53">
        <v>6.3970000000000002</v>
      </c>
      <c r="D53" t="s">
        <v>6518</v>
      </c>
      <c r="E53" t="s">
        <v>10067</v>
      </c>
      <c r="F53">
        <v>0</v>
      </c>
      <c r="G53" t="s">
        <v>6576</v>
      </c>
      <c r="H53" t="s">
        <v>9571</v>
      </c>
      <c r="I53">
        <v>0</v>
      </c>
      <c r="J53" t="s">
        <v>6593</v>
      </c>
      <c r="K53" t="s">
        <v>9533</v>
      </c>
      <c r="L53">
        <v>0</v>
      </c>
    </row>
    <row r="54" spans="1:12" x14ac:dyDescent="0.25">
      <c r="A54" t="s">
        <v>6507</v>
      </c>
      <c r="B54" t="s">
        <v>9395</v>
      </c>
      <c r="C54">
        <v>0</v>
      </c>
      <c r="D54" t="s">
        <v>6518</v>
      </c>
      <c r="E54" t="s">
        <v>9386</v>
      </c>
      <c r="F54">
        <v>0.18</v>
      </c>
      <c r="G54" t="s">
        <v>6576</v>
      </c>
      <c r="H54" t="s">
        <v>9468</v>
      </c>
      <c r="I54">
        <v>0</v>
      </c>
      <c r="J54" t="s">
        <v>6593</v>
      </c>
      <c r="K54" t="s">
        <v>9448</v>
      </c>
      <c r="L54">
        <v>0</v>
      </c>
    </row>
    <row r="55" spans="1:12" x14ac:dyDescent="0.25">
      <c r="A55" t="s">
        <v>6507</v>
      </c>
      <c r="B55" t="s">
        <v>9355</v>
      </c>
      <c r="C55">
        <v>2.0950000000000002</v>
      </c>
      <c r="D55" t="s">
        <v>6518</v>
      </c>
      <c r="E55" t="s">
        <v>10062</v>
      </c>
      <c r="F55">
        <v>0</v>
      </c>
      <c r="G55" t="s">
        <v>6576</v>
      </c>
      <c r="H55" t="s">
        <v>9580</v>
      </c>
      <c r="I55">
        <v>0</v>
      </c>
      <c r="J55" t="s">
        <v>6593</v>
      </c>
      <c r="K55" t="s">
        <v>9635</v>
      </c>
      <c r="L55">
        <v>0</v>
      </c>
    </row>
    <row r="56" spans="1:12" x14ac:dyDescent="0.25">
      <c r="A56" t="s">
        <v>6507</v>
      </c>
      <c r="B56" t="s">
        <v>9351</v>
      </c>
      <c r="C56">
        <v>3.2189999999999999</v>
      </c>
      <c r="D56" t="s">
        <v>6518</v>
      </c>
      <c r="E56" t="s">
        <v>9509</v>
      </c>
      <c r="F56">
        <v>0.28000000000000003</v>
      </c>
      <c r="G56" t="s">
        <v>6576</v>
      </c>
      <c r="H56" t="s">
        <v>9349</v>
      </c>
      <c r="I56">
        <v>0.63300000000000001</v>
      </c>
      <c r="J56" t="s">
        <v>6593</v>
      </c>
      <c r="K56" t="s">
        <v>9440</v>
      </c>
      <c r="L56">
        <v>0</v>
      </c>
    </row>
    <row r="57" spans="1:12" x14ac:dyDescent="0.25">
      <c r="A57" t="s">
        <v>6507</v>
      </c>
      <c r="B57" t="s">
        <v>9409</v>
      </c>
      <c r="C57">
        <v>4.516</v>
      </c>
      <c r="D57" t="s">
        <v>6518</v>
      </c>
      <c r="E57" t="s">
        <v>10052</v>
      </c>
      <c r="F57">
        <v>0</v>
      </c>
      <c r="G57" t="s">
        <v>6576</v>
      </c>
      <c r="H57" t="s">
        <v>9381</v>
      </c>
      <c r="I57">
        <v>0</v>
      </c>
      <c r="J57" t="s">
        <v>6593</v>
      </c>
      <c r="K57" t="s">
        <v>9433</v>
      </c>
      <c r="L57">
        <v>7.1999999999999995E-2</v>
      </c>
    </row>
    <row r="58" spans="1:12" x14ac:dyDescent="0.25">
      <c r="A58" t="s">
        <v>6507</v>
      </c>
      <c r="B58" t="s">
        <v>9492</v>
      </c>
      <c r="C58">
        <v>4.75</v>
      </c>
      <c r="D58" t="s">
        <v>6518</v>
      </c>
      <c r="E58" t="s">
        <v>9398</v>
      </c>
      <c r="F58">
        <v>0.32400000000000001</v>
      </c>
      <c r="G58" t="s">
        <v>6576</v>
      </c>
      <c r="H58" t="s">
        <v>9358</v>
      </c>
      <c r="I58">
        <v>0</v>
      </c>
      <c r="J58" t="s">
        <v>6592</v>
      </c>
      <c r="K58" t="s">
        <v>9344</v>
      </c>
      <c r="L58">
        <v>0</v>
      </c>
    </row>
    <row r="59" spans="1:12" x14ac:dyDescent="0.25">
      <c r="A59" t="s">
        <v>6507</v>
      </c>
      <c r="B59" t="s">
        <v>9364</v>
      </c>
      <c r="C59">
        <v>0</v>
      </c>
      <c r="D59" t="s">
        <v>6518</v>
      </c>
      <c r="E59" t="s">
        <v>10057</v>
      </c>
      <c r="F59">
        <v>0</v>
      </c>
      <c r="G59" t="s">
        <v>6576</v>
      </c>
      <c r="H59" t="s">
        <v>9924</v>
      </c>
      <c r="I59">
        <v>0</v>
      </c>
      <c r="J59" t="s">
        <v>6592</v>
      </c>
      <c r="K59" t="s">
        <v>9361</v>
      </c>
      <c r="L59">
        <v>0</v>
      </c>
    </row>
    <row r="60" spans="1:12" x14ac:dyDescent="0.25">
      <c r="A60" t="s">
        <v>6513</v>
      </c>
      <c r="B60" t="s">
        <v>9344</v>
      </c>
      <c r="C60">
        <v>2.0640000000000001</v>
      </c>
      <c r="D60" t="s">
        <v>6518</v>
      </c>
      <c r="E60" t="s">
        <v>9478</v>
      </c>
      <c r="F60">
        <v>0</v>
      </c>
      <c r="G60" t="s">
        <v>6576</v>
      </c>
      <c r="H60" t="s">
        <v>9368</v>
      </c>
      <c r="I60">
        <v>0</v>
      </c>
      <c r="J60" t="s">
        <v>6592</v>
      </c>
      <c r="K60" t="s">
        <v>9315</v>
      </c>
      <c r="L60">
        <v>0.94299999999999995</v>
      </c>
    </row>
    <row r="61" spans="1:12" x14ac:dyDescent="0.25">
      <c r="A61" t="s">
        <v>6513</v>
      </c>
      <c r="B61" t="s">
        <v>9361</v>
      </c>
      <c r="C61">
        <v>0</v>
      </c>
      <c r="D61" t="s">
        <v>6518</v>
      </c>
      <c r="E61" t="s">
        <v>11086</v>
      </c>
      <c r="F61">
        <v>0</v>
      </c>
      <c r="G61" t="s">
        <v>6576</v>
      </c>
      <c r="H61" t="s">
        <v>9481</v>
      </c>
      <c r="I61">
        <v>0.20799999999999999</v>
      </c>
      <c r="J61" t="s">
        <v>6592</v>
      </c>
      <c r="K61" t="s">
        <v>9395</v>
      </c>
      <c r="L61">
        <v>0</v>
      </c>
    </row>
    <row r="62" spans="1:12" x14ac:dyDescent="0.25">
      <c r="A62" t="s">
        <v>6513</v>
      </c>
      <c r="B62" t="s">
        <v>9315</v>
      </c>
      <c r="C62">
        <v>1.556</v>
      </c>
      <c r="D62" t="s">
        <v>6518</v>
      </c>
      <c r="E62" t="s">
        <v>9453</v>
      </c>
      <c r="F62">
        <v>0</v>
      </c>
      <c r="G62" t="s">
        <v>6576</v>
      </c>
      <c r="H62" t="s">
        <v>9378</v>
      </c>
      <c r="I62">
        <v>0.95699999999999996</v>
      </c>
      <c r="J62" t="s">
        <v>6592</v>
      </c>
      <c r="K62" t="s">
        <v>9355</v>
      </c>
      <c r="L62">
        <v>0</v>
      </c>
    </row>
    <row r="63" spans="1:12" x14ac:dyDescent="0.25">
      <c r="A63" t="s">
        <v>6513</v>
      </c>
      <c r="B63" t="s">
        <v>9395</v>
      </c>
      <c r="C63">
        <v>1.506</v>
      </c>
      <c r="D63" t="s">
        <v>6518</v>
      </c>
      <c r="E63" t="s">
        <v>11087</v>
      </c>
      <c r="F63">
        <v>0</v>
      </c>
      <c r="G63" t="s">
        <v>6576</v>
      </c>
      <c r="H63" t="s">
        <v>9527</v>
      </c>
      <c r="I63">
        <v>1.1879999999999999</v>
      </c>
      <c r="J63" t="s">
        <v>6592</v>
      </c>
      <c r="K63" t="s">
        <v>9351</v>
      </c>
      <c r="L63">
        <v>0</v>
      </c>
    </row>
    <row r="64" spans="1:12" x14ac:dyDescent="0.25">
      <c r="A64" t="s">
        <v>6513</v>
      </c>
      <c r="B64" t="s">
        <v>9355</v>
      </c>
      <c r="C64">
        <v>0</v>
      </c>
      <c r="D64" t="s">
        <v>6518</v>
      </c>
      <c r="E64" t="s">
        <v>9465</v>
      </c>
      <c r="F64">
        <v>0</v>
      </c>
      <c r="G64" t="s">
        <v>6576</v>
      </c>
      <c r="H64" t="s">
        <v>9389</v>
      </c>
      <c r="I64">
        <v>0</v>
      </c>
      <c r="J64" t="s">
        <v>6592</v>
      </c>
      <c r="K64" t="s">
        <v>9409</v>
      </c>
      <c r="L64">
        <v>1.361</v>
      </c>
    </row>
    <row r="65" spans="1:12" x14ac:dyDescent="0.25">
      <c r="A65" t="s">
        <v>6513</v>
      </c>
      <c r="B65" t="s">
        <v>9351</v>
      </c>
      <c r="C65">
        <v>2.57</v>
      </c>
      <c r="D65" t="s">
        <v>6518</v>
      </c>
      <c r="E65" t="s">
        <v>11088</v>
      </c>
      <c r="F65">
        <v>0</v>
      </c>
      <c r="G65" t="s">
        <v>6576</v>
      </c>
      <c r="H65" t="s">
        <v>9620</v>
      </c>
      <c r="I65">
        <v>0</v>
      </c>
      <c r="J65" t="s">
        <v>6592</v>
      </c>
      <c r="K65" t="s">
        <v>9492</v>
      </c>
      <c r="L65">
        <v>0</v>
      </c>
    </row>
    <row r="66" spans="1:12" x14ac:dyDescent="0.25">
      <c r="A66" t="s">
        <v>6513</v>
      </c>
      <c r="B66" t="s">
        <v>9409</v>
      </c>
      <c r="C66">
        <v>1.546</v>
      </c>
      <c r="D66" t="s">
        <v>6518</v>
      </c>
      <c r="E66" t="s">
        <v>9462</v>
      </c>
      <c r="F66">
        <v>2.6</v>
      </c>
      <c r="G66" t="s">
        <v>6576</v>
      </c>
      <c r="H66" t="s">
        <v>9401</v>
      </c>
      <c r="I66">
        <v>0.129</v>
      </c>
      <c r="J66" t="s">
        <v>6592</v>
      </c>
      <c r="K66" t="s">
        <v>9364</v>
      </c>
      <c r="L66">
        <v>1.3180000000000001</v>
      </c>
    </row>
    <row r="67" spans="1:12" x14ac:dyDescent="0.25">
      <c r="A67" t="s">
        <v>6513</v>
      </c>
      <c r="B67" t="s">
        <v>9492</v>
      </c>
      <c r="C67">
        <v>2.8180000000000001</v>
      </c>
      <c r="D67" t="s">
        <v>6518</v>
      </c>
      <c r="E67" t="s">
        <v>11089</v>
      </c>
      <c r="F67">
        <v>0</v>
      </c>
      <c r="G67" t="s">
        <v>6576</v>
      </c>
      <c r="H67" t="s">
        <v>9528</v>
      </c>
      <c r="I67">
        <v>0</v>
      </c>
      <c r="J67" t="s">
        <v>6592</v>
      </c>
      <c r="K67" t="s">
        <v>9500</v>
      </c>
      <c r="L67">
        <v>0.92900000000000005</v>
      </c>
    </row>
    <row r="68" spans="1:12" x14ac:dyDescent="0.25">
      <c r="A68" t="s">
        <v>6513</v>
      </c>
      <c r="B68" t="s">
        <v>9364</v>
      </c>
      <c r="C68">
        <v>0</v>
      </c>
      <c r="D68" t="s">
        <v>6518</v>
      </c>
      <c r="E68" t="s">
        <v>9473</v>
      </c>
      <c r="F68">
        <v>2.3839999999999999</v>
      </c>
      <c r="G68" t="s">
        <v>6576</v>
      </c>
      <c r="H68" t="s">
        <v>9524</v>
      </c>
      <c r="I68">
        <v>0</v>
      </c>
      <c r="J68" t="s">
        <v>6592</v>
      </c>
      <c r="K68" t="s">
        <v>9386</v>
      </c>
      <c r="L68">
        <v>1.109</v>
      </c>
    </row>
    <row r="69" spans="1:12" x14ac:dyDescent="0.25">
      <c r="A69" t="s">
        <v>6513</v>
      </c>
      <c r="B69" t="s">
        <v>9500</v>
      </c>
      <c r="C69">
        <v>6.843</v>
      </c>
      <c r="D69" t="s">
        <v>6518</v>
      </c>
      <c r="E69" t="s">
        <v>11090</v>
      </c>
      <c r="F69">
        <v>0</v>
      </c>
      <c r="G69" t="s">
        <v>6576</v>
      </c>
      <c r="H69" t="s">
        <v>9456</v>
      </c>
      <c r="I69">
        <v>2.1960000000000002</v>
      </c>
      <c r="J69" t="s">
        <v>6592</v>
      </c>
      <c r="K69" t="s">
        <v>9509</v>
      </c>
      <c r="L69">
        <v>0</v>
      </c>
    </row>
    <row r="70" spans="1:12" x14ac:dyDescent="0.25">
      <c r="A70" t="s">
        <v>6513</v>
      </c>
      <c r="B70" t="s">
        <v>9386</v>
      </c>
      <c r="C70">
        <v>0</v>
      </c>
      <c r="D70" t="s">
        <v>6518</v>
      </c>
      <c r="E70" t="s">
        <v>9486</v>
      </c>
      <c r="F70">
        <v>2.823</v>
      </c>
      <c r="G70" t="s">
        <v>6576</v>
      </c>
      <c r="H70" t="s">
        <v>9533</v>
      </c>
      <c r="I70">
        <v>0</v>
      </c>
      <c r="J70" t="s">
        <v>6592</v>
      </c>
      <c r="K70" t="s">
        <v>9398</v>
      </c>
      <c r="L70">
        <v>1.109</v>
      </c>
    </row>
    <row r="71" spans="1:12" x14ac:dyDescent="0.25">
      <c r="A71" t="s">
        <v>6513</v>
      </c>
      <c r="B71" t="s">
        <v>9509</v>
      </c>
      <c r="C71">
        <v>0</v>
      </c>
      <c r="D71" t="s">
        <v>6518</v>
      </c>
      <c r="E71" t="s">
        <v>11091</v>
      </c>
      <c r="F71">
        <v>0</v>
      </c>
      <c r="G71" t="s">
        <v>6577</v>
      </c>
      <c r="H71" t="s">
        <v>9344</v>
      </c>
      <c r="I71">
        <v>0</v>
      </c>
      <c r="J71" t="s">
        <v>6592</v>
      </c>
      <c r="K71" t="s">
        <v>9478</v>
      </c>
      <c r="L71">
        <v>0.51800000000000002</v>
      </c>
    </row>
    <row r="72" spans="1:12" x14ac:dyDescent="0.25">
      <c r="A72" t="s">
        <v>6508</v>
      </c>
      <c r="B72" t="s">
        <v>9344</v>
      </c>
      <c r="C72">
        <v>2.4729999999999999</v>
      </c>
      <c r="D72" t="s">
        <v>6518</v>
      </c>
      <c r="E72" t="s">
        <v>9512</v>
      </c>
      <c r="F72">
        <v>2.3050000000000002</v>
      </c>
      <c r="G72" t="s">
        <v>6577</v>
      </c>
      <c r="H72" t="s">
        <v>9361</v>
      </c>
      <c r="I72">
        <v>0.24399999999999999</v>
      </c>
      <c r="J72" t="s">
        <v>6592</v>
      </c>
      <c r="K72" t="s">
        <v>9453</v>
      </c>
      <c r="L72">
        <v>0.14399999999999999</v>
      </c>
    </row>
    <row r="73" spans="1:12" x14ac:dyDescent="0.25">
      <c r="A73" t="s">
        <v>6508</v>
      </c>
      <c r="B73" t="s">
        <v>9361</v>
      </c>
      <c r="C73">
        <v>0</v>
      </c>
      <c r="D73" t="s">
        <v>6518</v>
      </c>
      <c r="E73" t="s">
        <v>11092</v>
      </c>
      <c r="F73">
        <v>0</v>
      </c>
      <c r="G73" t="s">
        <v>6577</v>
      </c>
      <c r="H73" t="s">
        <v>9315</v>
      </c>
      <c r="I73">
        <v>0</v>
      </c>
      <c r="J73" t="s">
        <v>6592</v>
      </c>
      <c r="K73" t="s">
        <v>9465</v>
      </c>
      <c r="L73">
        <v>0.59</v>
      </c>
    </row>
    <row r="74" spans="1:12" x14ac:dyDescent="0.25">
      <c r="A74" t="s">
        <v>6508</v>
      </c>
      <c r="B74" t="s">
        <v>9315</v>
      </c>
      <c r="C74">
        <v>1.9279999999999999</v>
      </c>
      <c r="D74" t="s">
        <v>6518</v>
      </c>
      <c r="E74" t="s">
        <v>9489</v>
      </c>
      <c r="F74">
        <v>2.77</v>
      </c>
      <c r="G74" t="s">
        <v>6577</v>
      </c>
      <c r="H74" t="s">
        <v>9395</v>
      </c>
      <c r="I74">
        <v>1.462</v>
      </c>
      <c r="J74" t="s">
        <v>6592</v>
      </c>
      <c r="K74" t="s">
        <v>9462</v>
      </c>
      <c r="L74">
        <v>0.81399999999999995</v>
      </c>
    </row>
    <row r="75" spans="1:12" x14ac:dyDescent="0.25">
      <c r="A75" t="s">
        <v>6508</v>
      </c>
      <c r="B75" t="s">
        <v>9395</v>
      </c>
      <c r="C75">
        <v>1.532</v>
      </c>
      <c r="D75" t="s">
        <v>6518</v>
      </c>
      <c r="E75" t="s">
        <v>11093</v>
      </c>
      <c r="F75">
        <v>0</v>
      </c>
      <c r="G75" t="s">
        <v>6577</v>
      </c>
      <c r="H75" t="s">
        <v>9355</v>
      </c>
      <c r="I75">
        <v>0</v>
      </c>
      <c r="J75" t="s">
        <v>6592</v>
      </c>
      <c r="K75" t="s">
        <v>9473</v>
      </c>
      <c r="L75">
        <v>0.44600000000000001</v>
      </c>
    </row>
    <row r="76" spans="1:12" x14ac:dyDescent="0.25">
      <c r="A76" t="s">
        <v>6508</v>
      </c>
      <c r="B76" t="s">
        <v>9355</v>
      </c>
      <c r="C76">
        <v>0</v>
      </c>
      <c r="D76" t="s">
        <v>6518</v>
      </c>
      <c r="E76" t="s">
        <v>9547</v>
      </c>
      <c r="F76">
        <v>0</v>
      </c>
      <c r="G76" t="s">
        <v>6577</v>
      </c>
      <c r="H76" t="s">
        <v>9351</v>
      </c>
      <c r="I76">
        <v>1.0589999999999999</v>
      </c>
      <c r="J76" t="s">
        <v>6592</v>
      </c>
      <c r="K76" t="s">
        <v>9486</v>
      </c>
      <c r="L76">
        <v>1.915</v>
      </c>
    </row>
    <row r="77" spans="1:12" x14ac:dyDescent="0.25">
      <c r="A77" t="s">
        <v>6508</v>
      </c>
      <c r="B77" t="s">
        <v>9351</v>
      </c>
      <c r="C77">
        <v>0</v>
      </c>
      <c r="D77" t="s">
        <v>6518</v>
      </c>
      <c r="E77" t="s">
        <v>11094</v>
      </c>
      <c r="F77">
        <v>0</v>
      </c>
      <c r="G77" t="s">
        <v>6577</v>
      </c>
      <c r="H77" t="s">
        <v>9409</v>
      </c>
      <c r="I77">
        <v>0</v>
      </c>
      <c r="J77" t="s">
        <v>6592</v>
      </c>
      <c r="K77" t="s">
        <v>9512</v>
      </c>
      <c r="L77">
        <v>0.66200000000000003</v>
      </c>
    </row>
    <row r="78" spans="1:12" x14ac:dyDescent="0.25">
      <c r="A78" t="s">
        <v>6508</v>
      </c>
      <c r="B78" t="s">
        <v>9409</v>
      </c>
      <c r="C78">
        <v>1.901</v>
      </c>
      <c r="D78" t="s">
        <v>6518</v>
      </c>
      <c r="E78" t="s">
        <v>9497</v>
      </c>
      <c r="F78">
        <v>0</v>
      </c>
      <c r="G78" t="s">
        <v>6577</v>
      </c>
      <c r="H78" t="s">
        <v>9492</v>
      </c>
      <c r="I78">
        <v>0.63300000000000001</v>
      </c>
      <c r="J78" t="s">
        <v>6592</v>
      </c>
      <c r="K78" t="s">
        <v>9489</v>
      </c>
      <c r="L78">
        <v>0.92800000000000005</v>
      </c>
    </row>
    <row r="79" spans="1:12" x14ac:dyDescent="0.25">
      <c r="A79" t="s">
        <v>6508</v>
      </c>
      <c r="B79" t="s">
        <v>9492</v>
      </c>
      <c r="C79">
        <v>3.0369999999999999</v>
      </c>
      <c r="D79" t="s">
        <v>6518</v>
      </c>
      <c r="E79" t="s">
        <v>11095</v>
      </c>
      <c r="F79">
        <v>0</v>
      </c>
      <c r="G79" t="s">
        <v>6577</v>
      </c>
      <c r="H79" t="s">
        <v>9364</v>
      </c>
      <c r="I79">
        <v>0</v>
      </c>
      <c r="J79" t="s">
        <v>6592</v>
      </c>
      <c r="K79" t="s">
        <v>9547</v>
      </c>
      <c r="L79">
        <v>0.42499999999999999</v>
      </c>
    </row>
    <row r="80" spans="1:12" x14ac:dyDescent="0.25">
      <c r="A80" t="s">
        <v>6508</v>
      </c>
      <c r="B80" t="s">
        <v>9364</v>
      </c>
      <c r="C80">
        <v>0</v>
      </c>
      <c r="D80" t="s">
        <v>6518</v>
      </c>
      <c r="E80" t="s">
        <v>9554</v>
      </c>
      <c r="F80">
        <v>0</v>
      </c>
      <c r="G80" t="s">
        <v>6577</v>
      </c>
      <c r="H80" t="s">
        <v>9500</v>
      </c>
      <c r="I80">
        <v>1.907</v>
      </c>
      <c r="J80" t="s">
        <v>6592</v>
      </c>
      <c r="K80" t="s">
        <v>9497</v>
      </c>
      <c r="L80">
        <v>0.59</v>
      </c>
    </row>
    <row r="81" spans="1:12" x14ac:dyDescent="0.25">
      <c r="A81" t="s">
        <v>6508</v>
      </c>
      <c r="B81" t="s">
        <v>9500</v>
      </c>
      <c r="C81">
        <v>8.3049999999999997</v>
      </c>
      <c r="D81" t="s">
        <v>6518</v>
      </c>
      <c r="E81" t="s">
        <v>11096</v>
      </c>
      <c r="F81">
        <v>0.122</v>
      </c>
      <c r="G81" t="s">
        <v>6577</v>
      </c>
      <c r="H81" t="s">
        <v>9386</v>
      </c>
      <c r="I81">
        <v>0</v>
      </c>
      <c r="J81" t="s">
        <v>6592</v>
      </c>
      <c r="K81" t="s">
        <v>9554</v>
      </c>
      <c r="L81">
        <v>0.55400000000000005</v>
      </c>
    </row>
    <row r="82" spans="1:12" x14ac:dyDescent="0.25">
      <c r="A82" t="s">
        <v>6508</v>
      </c>
      <c r="B82" t="s">
        <v>9386</v>
      </c>
      <c r="C82">
        <v>0</v>
      </c>
      <c r="D82" t="s">
        <v>6518</v>
      </c>
      <c r="E82" t="s">
        <v>9419</v>
      </c>
      <c r="F82">
        <v>0</v>
      </c>
      <c r="G82" t="s">
        <v>6577</v>
      </c>
      <c r="H82" t="s">
        <v>9509</v>
      </c>
      <c r="I82">
        <v>2.3039999999999998</v>
      </c>
      <c r="J82" t="s">
        <v>6592</v>
      </c>
      <c r="K82" t="s">
        <v>9419</v>
      </c>
      <c r="L82">
        <v>0.374</v>
      </c>
    </row>
    <row r="83" spans="1:12" x14ac:dyDescent="0.25">
      <c r="A83" t="s">
        <v>6508</v>
      </c>
      <c r="B83" t="s">
        <v>9509</v>
      </c>
      <c r="C83">
        <v>0</v>
      </c>
      <c r="D83" t="s">
        <v>6518</v>
      </c>
      <c r="E83" t="s">
        <v>11097</v>
      </c>
      <c r="F83">
        <v>0.38900000000000001</v>
      </c>
      <c r="G83" t="s">
        <v>6577</v>
      </c>
      <c r="H83" t="s">
        <v>9398</v>
      </c>
      <c r="I83">
        <v>0</v>
      </c>
      <c r="J83" t="s">
        <v>6592</v>
      </c>
      <c r="K83" t="s">
        <v>9365</v>
      </c>
      <c r="L83">
        <v>0.76300000000000001</v>
      </c>
    </row>
    <row r="84" spans="1:12" x14ac:dyDescent="0.25">
      <c r="A84" t="s">
        <v>6514</v>
      </c>
      <c r="B84" t="s">
        <v>9344</v>
      </c>
      <c r="C84">
        <v>4.625</v>
      </c>
      <c r="D84" t="s">
        <v>6518</v>
      </c>
      <c r="E84" t="s">
        <v>9365</v>
      </c>
      <c r="F84">
        <v>0</v>
      </c>
      <c r="G84" t="s">
        <v>6577</v>
      </c>
      <c r="H84" t="s">
        <v>9478</v>
      </c>
      <c r="I84">
        <v>1.865</v>
      </c>
      <c r="J84" t="s">
        <v>6592</v>
      </c>
      <c r="K84" t="s">
        <v>9521</v>
      </c>
      <c r="L84">
        <v>0.9</v>
      </c>
    </row>
    <row r="85" spans="1:12" x14ac:dyDescent="0.25">
      <c r="A85" t="s">
        <v>6514</v>
      </c>
      <c r="B85" t="s">
        <v>9361</v>
      </c>
      <c r="C85">
        <v>7.5789999999999997</v>
      </c>
      <c r="D85" t="s">
        <v>6518</v>
      </c>
      <c r="E85" t="s">
        <v>11098</v>
      </c>
      <c r="F85">
        <v>0</v>
      </c>
      <c r="G85" t="s">
        <v>6577</v>
      </c>
      <c r="H85" t="s">
        <v>9453</v>
      </c>
      <c r="I85">
        <v>0</v>
      </c>
      <c r="J85" t="s">
        <v>6592</v>
      </c>
      <c r="K85" t="s">
        <v>9430</v>
      </c>
      <c r="L85">
        <v>1.2030000000000001</v>
      </c>
    </row>
    <row r="86" spans="1:12" x14ac:dyDescent="0.25">
      <c r="A86" t="s">
        <v>6514</v>
      </c>
      <c r="B86" t="s">
        <v>9315</v>
      </c>
      <c r="C86">
        <v>1.1320000000000001</v>
      </c>
      <c r="D86" t="s">
        <v>6519</v>
      </c>
      <c r="E86" t="s">
        <v>9344</v>
      </c>
      <c r="F86">
        <v>0</v>
      </c>
      <c r="G86" t="s">
        <v>6577</v>
      </c>
      <c r="H86" t="s">
        <v>9465</v>
      </c>
      <c r="I86">
        <v>1.159</v>
      </c>
      <c r="J86" t="s">
        <v>6592</v>
      </c>
      <c r="K86" t="s">
        <v>9459</v>
      </c>
      <c r="L86">
        <v>0.54</v>
      </c>
    </row>
    <row r="87" spans="1:12" x14ac:dyDescent="0.25">
      <c r="A87" t="s">
        <v>6514</v>
      </c>
      <c r="B87" t="s">
        <v>9395</v>
      </c>
      <c r="C87">
        <v>2.2120000000000002</v>
      </c>
      <c r="D87" t="s">
        <v>6519</v>
      </c>
      <c r="E87" t="s">
        <v>10011</v>
      </c>
      <c r="F87">
        <v>5.7000000000000002E-2</v>
      </c>
      <c r="G87" t="s">
        <v>6577</v>
      </c>
      <c r="H87" t="s">
        <v>9462</v>
      </c>
      <c r="I87">
        <v>0</v>
      </c>
      <c r="J87" t="s">
        <v>6592</v>
      </c>
      <c r="K87" t="s">
        <v>9375</v>
      </c>
      <c r="L87">
        <v>9.2999999999999999E-2</v>
      </c>
    </row>
    <row r="88" spans="1:12" x14ac:dyDescent="0.25">
      <c r="A88" t="s">
        <v>6514</v>
      </c>
      <c r="B88" t="s">
        <v>9355</v>
      </c>
      <c r="C88">
        <v>1.3120000000000001</v>
      </c>
      <c r="D88" t="s">
        <v>6519</v>
      </c>
      <c r="E88" t="s">
        <v>9361</v>
      </c>
      <c r="F88">
        <v>0</v>
      </c>
      <c r="G88" t="s">
        <v>6577</v>
      </c>
      <c r="H88" t="s">
        <v>9473</v>
      </c>
      <c r="I88">
        <v>0</v>
      </c>
      <c r="J88" t="s">
        <v>6592</v>
      </c>
      <c r="K88" t="s">
        <v>9443</v>
      </c>
      <c r="L88">
        <v>0.72699999999999998</v>
      </c>
    </row>
    <row r="89" spans="1:12" x14ac:dyDescent="0.25">
      <c r="A89" t="s">
        <v>6514</v>
      </c>
      <c r="B89" t="s">
        <v>9351</v>
      </c>
      <c r="C89">
        <v>3.4390000000000001</v>
      </c>
      <c r="D89" t="s">
        <v>6519</v>
      </c>
      <c r="E89" t="s">
        <v>9404</v>
      </c>
      <c r="F89">
        <v>0</v>
      </c>
      <c r="G89" t="s">
        <v>6577</v>
      </c>
      <c r="H89" t="s">
        <v>9486</v>
      </c>
      <c r="I89">
        <v>0</v>
      </c>
      <c r="J89" t="s">
        <v>6592</v>
      </c>
      <c r="K89" t="s">
        <v>9371</v>
      </c>
      <c r="L89">
        <v>0.34499999999999997</v>
      </c>
    </row>
    <row r="90" spans="1:12" x14ac:dyDescent="0.25">
      <c r="A90" t="s">
        <v>6514</v>
      </c>
      <c r="B90" t="s">
        <v>9409</v>
      </c>
      <c r="C90">
        <v>2.5990000000000002</v>
      </c>
      <c r="D90" t="s">
        <v>6519</v>
      </c>
      <c r="E90" t="s">
        <v>9315</v>
      </c>
      <c r="F90">
        <v>0</v>
      </c>
      <c r="G90" t="s">
        <v>6577</v>
      </c>
      <c r="H90" t="s">
        <v>9512</v>
      </c>
      <c r="I90">
        <v>0</v>
      </c>
      <c r="J90" t="s">
        <v>6592</v>
      </c>
      <c r="K90" t="s">
        <v>9571</v>
      </c>
      <c r="L90">
        <v>1.873</v>
      </c>
    </row>
    <row r="91" spans="1:12" x14ac:dyDescent="0.25">
      <c r="A91" t="s">
        <v>6514</v>
      </c>
      <c r="B91" t="s">
        <v>9492</v>
      </c>
      <c r="C91">
        <v>7.875</v>
      </c>
      <c r="D91" t="s">
        <v>6519</v>
      </c>
      <c r="E91" t="s">
        <v>9593</v>
      </c>
      <c r="F91">
        <v>0</v>
      </c>
      <c r="G91" t="s">
        <v>6577</v>
      </c>
      <c r="H91" t="s">
        <v>9489</v>
      </c>
      <c r="I91">
        <v>0</v>
      </c>
      <c r="J91" t="s">
        <v>6592</v>
      </c>
      <c r="K91" t="s">
        <v>9468</v>
      </c>
      <c r="L91">
        <v>0</v>
      </c>
    </row>
    <row r="92" spans="1:12" x14ac:dyDescent="0.25">
      <c r="A92" t="s">
        <v>6514</v>
      </c>
      <c r="B92" t="s">
        <v>9364</v>
      </c>
      <c r="C92">
        <v>0</v>
      </c>
      <c r="D92" t="s">
        <v>6519</v>
      </c>
      <c r="E92" t="s">
        <v>9395</v>
      </c>
      <c r="F92">
        <v>0</v>
      </c>
      <c r="G92" t="s">
        <v>6577</v>
      </c>
      <c r="H92" t="s">
        <v>9547</v>
      </c>
      <c r="I92">
        <v>0</v>
      </c>
      <c r="J92" t="s">
        <v>6592</v>
      </c>
      <c r="K92" t="s">
        <v>9580</v>
      </c>
      <c r="L92">
        <v>1.462</v>
      </c>
    </row>
    <row r="93" spans="1:12" x14ac:dyDescent="0.25">
      <c r="A93" t="s">
        <v>6514</v>
      </c>
      <c r="B93" t="s">
        <v>9500</v>
      </c>
      <c r="C93">
        <v>0</v>
      </c>
      <c r="D93" t="s">
        <v>6519</v>
      </c>
      <c r="E93" t="s">
        <v>9392</v>
      </c>
      <c r="F93">
        <v>0.40300000000000002</v>
      </c>
      <c r="G93" t="s">
        <v>6577</v>
      </c>
      <c r="H93" t="s">
        <v>9497</v>
      </c>
      <c r="I93">
        <v>0</v>
      </c>
      <c r="J93" t="s">
        <v>6592</v>
      </c>
      <c r="K93" t="s">
        <v>9349</v>
      </c>
      <c r="L93">
        <v>0</v>
      </c>
    </row>
    <row r="94" spans="1:12" x14ac:dyDescent="0.25">
      <c r="A94" t="s">
        <v>6514</v>
      </c>
      <c r="B94" t="s">
        <v>9386</v>
      </c>
      <c r="C94">
        <v>0</v>
      </c>
      <c r="D94" t="s">
        <v>6519</v>
      </c>
      <c r="E94" t="s">
        <v>9355</v>
      </c>
      <c r="F94">
        <v>0</v>
      </c>
      <c r="G94" t="s">
        <v>6577</v>
      </c>
      <c r="H94" t="s">
        <v>9554</v>
      </c>
      <c r="I94">
        <v>0</v>
      </c>
      <c r="J94" t="s">
        <v>6592</v>
      </c>
      <c r="K94" t="s">
        <v>9381</v>
      </c>
      <c r="L94">
        <v>9.2999999999999999E-2</v>
      </c>
    </row>
    <row r="95" spans="1:12" x14ac:dyDescent="0.25">
      <c r="A95" t="s">
        <v>6514</v>
      </c>
      <c r="B95" t="s">
        <v>9509</v>
      </c>
      <c r="C95">
        <v>0</v>
      </c>
      <c r="D95" t="s">
        <v>6519</v>
      </c>
      <c r="E95" t="s">
        <v>9412</v>
      </c>
      <c r="F95">
        <v>0</v>
      </c>
      <c r="G95" t="s">
        <v>6577</v>
      </c>
      <c r="H95" t="s">
        <v>9419</v>
      </c>
      <c r="I95">
        <v>0</v>
      </c>
      <c r="J95" t="s">
        <v>6592</v>
      </c>
      <c r="K95" t="s">
        <v>9358</v>
      </c>
      <c r="L95">
        <v>0.79200000000000004</v>
      </c>
    </row>
    <row r="96" spans="1:12" x14ac:dyDescent="0.25">
      <c r="A96" t="s">
        <v>6509</v>
      </c>
      <c r="B96" t="s">
        <v>9344</v>
      </c>
      <c r="C96">
        <v>5.2229999999999999</v>
      </c>
      <c r="D96" t="s">
        <v>6519</v>
      </c>
      <c r="E96" t="s">
        <v>9351</v>
      </c>
      <c r="F96">
        <v>2.52</v>
      </c>
      <c r="G96" t="s">
        <v>6577</v>
      </c>
      <c r="H96" t="s">
        <v>9365</v>
      </c>
      <c r="I96">
        <v>0</v>
      </c>
      <c r="J96" t="s">
        <v>6592</v>
      </c>
      <c r="K96" t="s">
        <v>9924</v>
      </c>
      <c r="L96">
        <v>0.36699999999999999</v>
      </c>
    </row>
    <row r="97" spans="1:12" x14ac:dyDescent="0.25">
      <c r="A97" t="s">
        <v>6509</v>
      </c>
      <c r="B97" t="s">
        <v>9361</v>
      </c>
      <c r="C97">
        <v>7.4950000000000001</v>
      </c>
      <c r="D97" t="s">
        <v>6519</v>
      </c>
      <c r="E97" t="s">
        <v>9870</v>
      </c>
      <c r="F97">
        <v>0</v>
      </c>
      <c r="G97" t="s">
        <v>6577</v>
      </c>
      <c r="H97" t="s">
        <v>9521</v>
      </c>
      <c r="I97">
        <v>0.25900000000000001</v>
      </c>
      <c r="J97" t="s">
        <v>6592</v>
      </c>
      <c r="K97" t="s">
        <v>9368</v>
      </c>
      <c r="L97">
        <v>0.67700000000000005</v>
      </c>
    </row>
    <row r="98" spans="1:12" x14ac:dyDescent="0.25">
      <c r="A98" t="s">
        <v>6509</v>
      </c>
      <c r="B98" t="s">
        <v>9315</v>
      </c>
      <c r="C98">
        <v>1.1659999999999999</v>
      </c>
      <c r="D98" t="s">
        <v>6519</v>
      </c>
      <c r="E98" t="s">
        <v>9409</v>
      </c>
      <c r="F98">
        <v>3.0390000000000001</v>
      </c>
      <c r="G98" t="s">
        <v>6577</v>
      </c>
      <c r="H98" t="s">
        <v>9430</v>
      </c>
      <c r="I98">
        <v>0</v>
      </c>
      <c r="J98" t="s">
        <v>6592</v>
      </c>
      <c r="K98" t="s">
        <v>9481</v>
      </c>
      <c r="L98">
        <v>0</v>
      </c>
    </row>
    <row r="99" spans="1:12" x14ac:dyDescent="0.25">
      <c r="A99" t="s">
        <v>6509</v>
      </c>
      <c r="B99" t="s">
        <v>9395</v>
      </c>
      <c r="C99">
        <v>2.105</v>
      </c>
      <c r="D99" t="s">
        <v>6519</v>
      </c>
      <c r="E99" t="s">
        <v>10076</v>
      </c>
      <c r="F99">
        <v>0</v>
      </c>
      <c r="G99" t="s">
        <v>6577</v>
      </c>
      <c r="H99" t="s">
        <v>9459</v>
      </c>
      <c r="I99">
        <v>0</v>
      </c>
      <c r="J99" t="s">
        <v>6592</v>
      </c>
      <c r="K99" t="s">
        <v>9378</v>
      </c>
      <c r="L99">
        <v>1.0009999999999999</v>
      </c>
    </row>
    <row r="100" spans="1:12" x14ac:dyDescent="0.25">
      <c r="A100" t="s">
        <v>6509</v>
      </c>
      <c r="B100" t="s">
        <v>9355</v>
      </c>
      <c r="C100">
        <v>1.6339999999999999</v>
      </c>
      <c r="D100" t="s">
        <v>6519</v>
      </c>
      <c r="E100" t="s">
        <v>9492</v>
      </c>
      <c r="F100">
        <v>2.6509999999999998</v>
      </c>
      <c r="G100" t="s">
        <v>6577</v>
      </c>
      <c r="H100" t="s">
        <v>9375</v>
      </c>
      <c r="I100">
        <v>2.1960000000000002</v>
      </c>
      <c r="J100" t="s">
        <v>6592</v>
      </c>
      <c r="K100" t="s">
        <v>9527</v>
      </c>
      <c r="L100">
        <v>0</v>
      </c>
    </row>
    <row r="101" spans="1:12" x14ac:dyDescent="0.25">
      <c r="A101" t="s">
        <v>6509</v>
      </c>
      <c r="B101" t="s">
        <v>9351</v>
      </c>
      <c r="C101">
        <v>2.7330000000000001</v>
      </c>
      <c r="D101" t="s">
        <v>6519</v>
      </c>
      <c r="E101" t="s">
        <v>9766</v>
      </c>
      <c r="F101">
        <v>0</v>
      </c>
      <c r="G101" t="s">
        <v>6577</v>
      </c>
      <c r="H101" t="s">
        <v>9443</v>
      </c>
      <c r="I101">
        <v>0</v>
      </c>
      <c r="J101" t="s">
        <v>6592</v>
      </c>
      <c r="K101" t="s">
        <v>9389</v>
      </c>
      <c r="L101">
        <v>0.69099999999999995</v>
      </c>
    </row>
    <row r="102" spans="1:12" x14ac:dyDescent="0.25">
      <c r="A102" t="s">
        <v>6509</v>
      </c>
      <c r="B102" t="s">
        <v>9409</v>
      </c>
      <c r="C102">
        <v>2.4510000000000001</v>
      </c>
      <c r="D102" t="s">
        <v>6519</v>
      </c>
      <c r="E102" t="s">
        <v>9364</v>
      </c>
      <c r="F102">
        <v>1.4550000000000001</v>
      </c>
      <c r="G102" t="s">
        <v>6577</v>
      </c>
      <c r="H102" t="s">
        <v>9371</v>
      </c>
      <c r="I102">
        <v>0</v>
      </c>
      <c r="J102" t="s">
        <v>6592</v>
      </c>
      <c r="K102" t="s">
        <v>9620</v>
      </c>
      <c r="L102">
        <v>0</v>
      </c>
    </row>
    <row r="103" spans="1:12" x14ac:dyDescent="0.25">
      <c r="A103" t="s">
        <v>6509</v>
      </c>
      <c r="B103" t="s">
        <v>9492</v>
      </c>
      <c r="C103">
        <v>6.9240000000000004</v>
      </c>
      <c r="D103" t="s">
        <v>6519</v>
      </c>
      <c r="E103" t="s">
        <v>9771</v>
      </c>
      <c r="F103">
        <v>0</v>
      </c>
      <c r="G103" t="s">
        <v>6577</v>
      </c>
      <c r="H103" t="s">
        <v>9571</v>
      </c>
      <c r="I103">
        <v>0</v>
      </c>
      <c r="J103" t="s">
        <v>6592</v>
      </c>
      <c r="K103" t="s">
        <v>9401</v>
      </c>
      <c r="L103">
        <v>0</v>
      </c>
    </row>
    <row r="104" spans="1:12" x14ac:dyDescent="0.25">
      <c r="A104" t="s">
        <v>6509</v>
      </c>
      <c r="B104" t="s">
        <v>9364</v>
      </c>
      <c r="C104">
        <v>0</v>
      </c>
      <c r="D104" t="s">
        <v>6519</v>
      </c>
      <c r="E104" t="s">
        <v>9500</v>
      </c>
      <c r="F104">
        <v>1.347</v>
      </c>
      <c r="G104" t="s">
        <v>6577</v>
      </c>
      <c r="H104" t="s">
        <v>9468</v>
      </c>
      <c r="I104">
        <v>0</v>
      </c>
      <c r="J104" t="s">
        <v>6592</v>
      </c>
      <c r="K104" t="s">
        <v>9528</v>
      </c>
      <c r="L104">
        <v>0</v>
      </c>
    </row>
    <row r="105" spans="1:12" x14ac:dyDescent="0.25">
      <c r="A105" t="s">
        <v>6509</v>
      </c>
      <c r="B105" t="s">
        <v>9500</v>
      </c>
      <c r="C105">
        <v>0</v>
      </c>
      <c r="D105" t="s">
        <v>6519</v>
      </c>
      <c r="E105" t="s">
        <v>10067</v>
      </c>
      <c r="F105">
        <v>0</v>
      </c>
      <c r="G105" t="s">
        <v>6577</v>
      </c>
      <c r="H105" t="s">
        <v>9580</v>
      </c>
      <c r="I105">
        <v>0</v>
      </c>
      <c r="J105" t="s">
        <v>6592</v>
      </c>
      <c r="K105" t="s">
        <v>9524</v>
      </c>
      <c r="L105">
        <v>0.84199999999999997</v>
      </c>
    </row>
    <row r="106" spans="1:12" x14ac:dyDescent="0.25">
      <c r="A106" t="s">
        <v>6509</v>
      </c>
      <c r="B106" t="s">
        <v>9386</v>
      </c>
      <c r="C106">
        <v>0</v>
      </c>
      <c r="D106" t="s">
        <v>6519</v>
      </c>
      <c r="E106" t="s">
        <v>9386</v>
      </c>
      <c r="F106">
        <v>0</v>
      </c>
      <c r="G106" t="s">
        <v>6577</v>
      </c>
      <c r="H106" t="s">
        <v>9349</v>
      </c>
      <c r="I106">
        <v>0.77100000000000002</v>
      </c>
      <c r="J106" t="s">
        <v>6592</v>
      </c>
      <c r="K106" t="s">
        <v>9456</v>
      </c>
      <c r="L106">
        <v>0.158</v>
      </c>
    </row>
    <row r="107" spans="1:12" x14ac:dyDescent="0.25">
      <c r="A107" t="s">
        <v>6509</v>
      </c>
      <c r="B107" t="s">
        <v>9509</v>
      </c>
      <c r="C107">
        <v>0</v>
      </c>
      <c r="D107" t="s">
        <v>6519</v>
      </c>
      <c r="E107" t="s">
        <v>10062</v>
      </c>
      <c r="F107">
        <v>0</v>
      </c>
      <c r="G107" t="s">
        <v>6577</v>
      </c>
      <c r="H107" t="s">
        <v>9381</v>
      </c>
      <c r="I107">
        <v>0</v>
      </c>
      <c r="J107" t="s">
        <v>6592</v>
      </c>
      <c r="K107" t="s">
        <v>9533</v>
      </c>
      <c r="L107">
        <v>0.53200000000000003</v>
      </c>
    </row>
    <row r="108" spans="1:12" x14ac:dyDescent="0.25">
      <c r="A108" t="s">
        <v>6515</v>
      </c>
      <c r="B108" t="s">
        <v>9344</v>
      </c>
      <c r="C108">
        <v>0</v>
      </c>
      <c r="D108" t="s">
        <v>6519</v>
      </c>
      <c r="E108" t="s">
        <v>9509</v>
      </c>
      <c r="F108">
        <v>0.32400000000000001</v>
      </c>
      <c r="G108" t="s">
        <v>6577</v>
      </c>
      <c r="H108" t="s">
        <v>9358</v>
      </c>
      <c r="I108">
        <v>0</v>
      </c>
      <c r="J108" t="s">
        <v>6592</v>
      </c>
      <c r="K108" t="s">
        <v>9448</v>
      </c>
      <c r="L108">
        <v>0.108</v>
      </c>
    </row>
    <row r="109" spans="1:12" x14ac:dyDescent="0.25">
      <c r="A109" t="s">
        <v>6515</v>
      </c>
      <c r="B109" t="s">
        <v>9361</v>
      </c>
      <c r="C109">
        <v>0</v>
      </c>
      <c r="D109" t="s">
        <v>6519</v>
      </c>
      <c r="E109" t="s">
        <v>10052</v>
      </c>
      <c r="F109">
        <v>0</v>
      </c>
      <c r="G109" t="s">
        <v>6577</v>
      </c>
      <c r="H109" t="s">
        <v>9924</v>
      </c>
      <c r="I109">
        <v>0</v>
      </c>
      <c r="J109" t="s">
        <v>6592</v>
      </c>
      <c r="K109" t="s">
        <v>9635</v>
      </c>
      <c r="L109">
        <v>0</v>
      </c>
    </row>
    <row r="110" spans="1:12" x14ac:dyDescent="0.25">
      <c r="A110" t="s">
        <v>6515</v>
      </c>
      <c r="B110" t="s">
        <v>9315</v>
      </c>
      <c r="C110">
        <v>0</v>
      </c>
      <c r="D110" t="s">
        <v>6519</v>
      </c>
      <c r="E110" t="s">
        <v>9398</v>
      </c>
      <c r="F110">
        <v>0.28000000000000003</v>
      </c>
      <c r="G110" t="s">
        <v>6577</v>
      </c>
      <c r="H110" t="s">
        <v>9368</v>
      </c>
      <c r="I110">
        <v>0</v>
      </c>
      <c r="J110" t="s">
        <v>6592</v>
      </c>
      <c r="K110" t="s">
        <v>9440</v>
      </c>
      <c r="L110">
        <v>4.2999999999999997E-2</v>
      </c>
    </row>
    <row r="111" spans="1:12" x14ac:dyDescent="0.25">
      <c r="A111" t="s">
        <v>6510</v>
      </c>
      <c r="B111" t="s">
        <v>9344</v>
      </c>
      <c r="C111">
        <v>0</v>
      </c>
      <c r="D111" t="s">
        <v>6519</v>
      </c>
      <c r="E111" t="s">
        <v>10057</v>
      </c>
      <c r="F111">
        <v>0</v>
      </c>
      <c r="G111" t="s">
        <v>6577</v>
      </c>
      <c r="H111" t="s">
        <v>9481</v>
      </c>
      <c r="I111">
        <v>0.158</v>
      </c>
      <c r="J111" t="s">
        <v>6592</v>
      </c>
      <c r="K111" t="s">
        <v>9433</v>
      </c>
      <c r="L111">
        <v>0</v>
      </c>
    </row>
    <row r="112" spans="1:12" x14ac:dyDescent="0.25">
      <c r="A112" t="s">
        <v>6510</v>
      </c>
      <c r="B112" t="s">
        <v>9361</v>
      </c>
      <c r="C112">
        <v>19.681999999999999</v>
      </c>
      <c r="D112" t="s">
        <v>6519</v>
      </c>
      <c r="E112" t="s">
        <v>9478</v>
      </c>
      <c r="F112">
        <v>0</v>
      </c>
      <c r="G112" t="s">
        <v>6577</v>
      </c>
      <c r="H112" t="s">
        <v>9378</v>
      </c>
      <c r="I112">
        <v>0.96499999999999997</v>
      </c>
      <c r="J112" t="s">
        <v>6589</v>
      </c>
      <c r="K112" t="s">
        <v>9344</v>
      </c>
      <c r="L112">
        <v>12.504</v>
      </c>
    </row>
    <row r="113" spans="1:12" x14ac:dyDescent="0.25">
      <c r="A113" t="s">
        <v>6510</v>
      </c>
      <c r="B113" t="s">
        <v>9315</v>
      </c>
      <c r="C113">
        <v>17.48</v>
      </c>
      <c r="D113" t="s">
        <v>6519</v>
      </c>
      <c r="E113" t="s">
        <v>11086</v>
      </c>
      <c r="F113">
        <v>0</v>
      </c>
      <c r="G113" t="s">
        <v>6577</v>
      </c>
      <c r="H113" t="s">
        <v>9527</v>
      </c>
      <c r="I113">
        <v>1.339</v>
      </c>
      <c r="J113" t="s">
        <v>6589</v>
      </c>
      <c r="K113" t="s">
        <v>9361</v>
      </c>
      <c r="L113">
        <v>3.02</v>
      </c>
    </row>
    <row r="114" spans="1:12" x14ac:dyDescent="0.25">
      <c r="A114" t="s">
        <v>10849</v>
      </c>
      <c r="B114" t="s">
        <v>9344</v>
      </c>
      <c r="C114">
        <v>0.20100000000000001</v>
      </c>
      <c r="D114" t="s">
        <v>6519</v>
      </c>
      <c r="E114" t="s">
        <v>9453</v>
      </c>
      <c r="F114">
        <v>0</v>
      </c>
      <c r="G114" t="s">
        <v>6577</v>
      </c>
      <c r="H114" t="s">
        <v>9389</v>
      </c>
      <c r="I114">
        <v>0</v>
      </c>
      <c r="J114" t="s">
        <v>6589</v>
      </c>
      <c r="K114" t="s">
        <v>9315</v>
      </c>
      <c r="L114">
        <v>4.01</v>
      </c>
    </row>
    <row r="115" spans="1:12" x14ac:dyDescent="0.25">
      <c r="A115" t="s">
        <v>10849</v>
      </c>
      <c r="B115" t="s">
        <v>9361</v>
      </c>
      <c r="C115">
        <v>0</v>
      </c>
      <c r="D115" t="s">
        <v>6519</v>
      </c>
      <c r="E115" t="s">
        <v>11087</v>
      </c>
      <c r="F115">
        <v>0</v>
      </c>
      <c r="G115" t="s">
        <v>6577</v>
      </c>
      <c r="H115" t="s">
        <v>9620</v>
      </c>
      <c r="I115">
        <v>0</v>
      </c>
      <c r="J115" t="s">
        <v>6589</v>
      </c>
      <c r="K115" t="s">
        <v>9395</v>
      </c>
      <c r="L115">
        <v>0</v>
      </c>
    </row>
    <row r="116" spans="1:12" x14ac:dyDescent="0.25">
      <c r="A116" t="s">
        <v>10849</v>
      </c>
      <c r="B116" t="s">
        <v>9315</v>
      </c>
      <c r="C116">
        <v>0</v>
      </c>
      <c r="D116" t="s">
        <v>6519</v>
      </c>
      <c r="E116" t="s">
        <v>9465</v>
      </c>
      <c r="F116">
        <v>0</v>
      </c>
      <c r="G116" t="s">
        <v>6577</v>
      </c>
      <c r="H116" t="s">
        <v>9401</v>
      </c>
      <c r="I116">
        <v>0</v>
      </c>
      <c r="J116" t="s">
        <v>6589</v>
      </c>
      <c r="K116" t="s">
        <v>9355</v>
      </c>
      <c r="L116">
        <v>0</v>
      </c>
    </row>
    <row r="117" spans="1:12" x14ac:dyDescent="0.25">
      <c r="A117" t="s">
        <v>10849</v>
      </c>
      <c r="B117" t="s">
        <v>9395</v>
      </c>
      <c r="C117">
        <v>0</v>
      </c>
      <c r="D117" t="s">
        <v>6519</v>
      </c>
      <c r="E117" t="s">
        <v>11088</v>
      </c>
      <c r="F117">
        <v>0</v>
      </c>
      <c r="G117" t="s">
        <v>6577</v>
      </c>
      <c r="H117" t="s">
        <v>9528</v>
      </c>
      <c r="I117">
        <v>0</v>
      </c>
      <c r="J117" t="s">
        <v>6589</v>
      </c>
      <c r="K117" t="s">
        <v>9351</v>
      </c>
      <c r="L117">
        <v>32.356000000000002</v>
      </c>
    </row>
    <row r="118" spans="1:12" x14ac:dyDescent="0.25">
      <c r="A118" t="s">
        <v>10849</v>
      </c>
      <c r="B118" t="s">
        <v>9355</v>
      </c>
      <c r="C118">
        <v>0</v>
      </c>
      <c r="D118" t="s">
        <v>6519</v>
      </c>
      <c r="E118" t="s">
        <v>9462</v>
      </c>
      <c r="F118">
        <v>2.8810000000000002</v>
      </c>
      <c r="G118" t="s">
        <v>6577</v>
      </c>
      <c r="H118" t="s">
        <v>9524</v>
      </c>
      <c r="I118">
        <v>0</v>
      </c>
      <c r="J118" t="s">
        <v>6589</v>
      </c>
      <c r="K118" t="s">
        <v>9409</v>
      </c>
      <c r="L118">
        <v>0</v>
      </c>
    </row>
    <row r="119" spans="1:12" x14ac:dyDescent="0.25">
      <c r="A119" t="s">
        <v>10849</v>
      </c>
      <c r="B119" t="s">
        <v>9351</v>
      </c>
      <c r="C119">
        <v>0</v>
      </c>
      <c r="D119" t="s">
        <v>6519</v>
      </c>
      <c r="E119" t="s">
        <v>11089</v>
      </c>
      <c r="F119">
        <v>0</v>
      </c>
      <c r="G119" t="s">
        <v>6577</v>
      </c>
      <c r="H119" t="s">
        <v>9456</v>
      </c>
      <c r="I119">
        <v>0</v>
      </c>
      <c r="J119" t="s">
        <v>6589</v>
      </c>
      <c r="K119" t="s">
        <v>9492</v>
      </c>
      <c r="L119">
        <v>0</v>
      </c>
    </row>
    <row r="120" spans="1:12" x14ac:dyDescent="0.25">
      <c r="A120" t="s">
        <v>10849</v>
      </c>
      <c r="B120" t="s">
        <v>9409</v>
      </c>
      <c r="C120">
        <v>0</v>
      </c>
      <c r="D120" t="s">
        <v>6519</v>
      </c>
      <c r="E120" t="s">
        <v>9473</v>
      </c>
      <c r="F120">
        <v>2.802</v>
      </c>
      <c r="G120" t="s">
        <v>6577</v>
      </c>
      <c r="H120" t="s">
        <v>9533</v>
      </c>
      <c r="I120">
        <v>0</v>
      </c>
      <c r="J120" t="s">
        <v>6589</v>
      </c>
      <c r="K120" t="s">
        <v>9364</v>
      </c>
      <c r="L120">
        <v>0</v>
      </c>
    </row>
    <row r="121" spans="1:12" x14ac:dyDescent="0.25">
      <c r="A121" t="s">
        <v>10849</v>
      </c>
      <c r="B121" t="s">
        <v>9492</v>
      </c>
      <c r="C121">
        <v>0</v>
      </c>
      <c r="D121" t="s">
        <v>6519</v>
      </c>
      <c r="E121" t="s">
        <v>11090</v>
      </c>
      <c r="F121">
        <v>0</v>
      </c>
      <c r="G121" t="s">
        <v>6578</v>
      </c>
      <c r="H121" t="s">
        <v>9344</v>
      </c>
      <c r="I121">
        <v>1.6919999999999999</v>
      </c>
      <c r="J121" t="s">
        <v>6589</v>
      </c>
      <c r="K121" t="s">
        <v>9500</v>
      </c>
      <c r="L121">
        <v>0</v>
      </c>
    </row>
    <row r="122" spans="1:12" x14ac:dyDescent="0.25">
      <c r="A122" t="s">
        <v>10849</v>
      </c>
      <c r="B122" t="s">
        <v>9364</v>
      </c>
      <c r="C122">
        <v>0</v>
      </c>
      <c r="D122" t="s">
        <v>6519</v>
      </c>
      <c r="E122" t="s">
        <v>9486</v>
      </c>
      <c r="F122">
        <v>2.3479999999999999</v>
      </c>
      <c r="G122" t="s">
        <v>6578</v>
      </c>
      <c r="H122" t="s">
        <v>9361</v>
      </c>
      <c r="I122">
        <v>0</v>
      </c>
      <c r="J122" t="s">
        <v>6586</v>
      </c>
      <c r="K122" t="s">
        <v>9344</v>
      </c>
      <c r="L122">
        <v>28.323</v>
      </c>
    </row>
    <row r="123" spans="1:12" x14ac:dyDescent="0.25">
      <c r="A123" t="s">
        <v>10849</v>
      </c>
      <c r="B123" t="s">
        <v>9500</v>
      </c>
      <c r="C123">
        <v>0</v>
      </c>
      <c r="D123" t="s">
        <v>6519</v>
      </c>
      <c r="E123" t="s">
        <v>11091</v>
      </c>
      <c r="F123">
        <v>0</v>
      </c>
      <c r="G123" t="s">
        <v>6578</v>
      </c>
      <c r="H123" t="s">
        <v>9315</v>
      </c>
      <c r="I123">
        <v>1.4910000000000001</v>
      </c>
      <c r="J123" t="s">
        <v>6586</v>
      </c>
      <c r="K123" t="s">
        <v>9361</v>
      </c>
      <c r="L123">
        <v>17.931000000000001</v>
      </c>
    </row>
    <row r="124" spans="1:12" x14ac:dyDescent="0.25">
      <c r="A124" t="s">
        <v>10849</v>
      </c>
      <c r="B124" t="s">
        <v>9386</v>
      </c>
      <c r="C124">
        <v>0</v>
      </c>
      <c r="D124" t="s">
        <v>6519</v>
      </c>
      <c r="E124" t="s">
        <v>9512</v>
      </c>
      <c r="F124">
        <v>2.7709999999999999</v>
      </c>
      <c r="G124" t="s">
        <v>6578</v>
      </c>
      <c r="H124" t="s">
        <v>9395</v>
      </c>
      <c r="I124">
        <v>0</v>
      </c>
      <c r="J124" t="s">
        <v>6586</v>
      </c>
      <c r="K124" t="s">
        <v>9315</v>
      </c>
      <c r="L124">
        <v>0</v>
      </c>
    </row>
    <row r="125" spans="1:12" x14ac:dyDescent="0.25">
      <c r="A125" t="s">
        <v>10849</v>
      </c>
      <c r="B125" t="s">
        <v>9509</v>
      </c>
      <c r="C125">
        <v>0</v>
      </c>
      <c r="D125" t="s">
        <v>6519</v>
      </c>
      <c r="E125" t="s">
        <v>11092</v>
      </c>
      <c r="F125">
        <v>0</v>
      </c>
      <c r="G125" t="s">
        <v>6578</v>
      </c>
      <c r="H125" t="s">
        <v>9355</v>
      </c>
      <c r="I125">
        <v>0.19400000000000001</v>
      </c>
      <c r="J125" t="s">
        <v>6586</v>
      </c>
      <c r="K125" t="s">
        <v>9395</v>
      </c>
      <c r="L125">
        <v>4.577</v>
      </c>
    </row>
    <row r="126" spans="1:12" x14ac:dyDescent="0.25">
      <c r="A126" t="s">
        <v>10849</v>
      </c>
      <c r="B126" t="s">
        <v>9398</v>
      </c>
      <c r="C126">
        <v>0</v>
      </c>
      <c r="D126" t="s">
        <v>6519</v>
      </c>
      <c r="E126" t="s">
        <v>9489</v>
      </c>
      <c r="F126">
        <v>2.2160000000000002</v>
      </c>
      <c r="G126" t="s">
        <v>6578</v>
      </c>
      <c r="H126" t="s">
        <v>9351</v>
      </c>
      <c r="I126">
        <v>0</v>
      </c>
      <c r="J126" t="s">
        <v>6586</v>
      </c>
      <c r="K126" t="s">
        <v>9355</v>
      </c>
      <c r="L126">
        <v>0</v>
      </c>
    </row>
    <row r="127" spans="1:12" x14ac:dyDescent="0.25">
      <c r="A127" t="s">
        <v>10849</v>
      </c>
      <c r="B127" t="s">
        <v>9478</v>
      </c>
      <c r="C127">
        <v>0</v>
      </c>
      <c r="D127" t="s">
        <v>6519</v>
      </c>
      <c r="E127" t="s">
        <v>11093</v>
      </c>
      <c r="F127">
        <v>0</v>
      </c>
      <c r="G127" t="s">
        <v>6578</v>
      </c>
      <c r="H127" t="s">
        <v>9409</v>
      </c>
      <c r="I127">
        <v>0.89200000000000002</v>
      </c>
      <c r="J127" t="s">
        <v>6586</v>
      </c>
      <c r="K127" t="s">
        <v>9351</v>
      </c>
      <c r="L127">
        <v>0</v>
      </c>
    </row>
    <row r="128" spans="1:12" x14ac:dyDescent="0.25">
      <c r="A128" t="s">
        <v>10849</v>
      </c>
      <c r="B128" t="s">
        <v>9453</v>
      </c>
      <c r="C128">
        <v>0</v>
      </c>
      <c r="D128" t="s">
        <v>6519</v>
      </c>
      <c r="E128" t="s">
        <v>9547</v>
      </c>
      <c r="F128">
        <v>0</v>
      </c>
      <c r="G128" t="s">
        <v>6578</v>
      </c>
      <c r="H128" t="s">
        <v>9492</v>
      </c>
      <c r="I128">
        <v>0</v>
      </c>
      <c r="J128" t="s">
        <v>6586</v>
      </c>
      <c r="K128" t="s">
        <v>9409</v>
      </c>
      <c r="L128">
        <v>0</v>
      </c>
    </row>
    <row r="129" spans="1:12" x14ac:dyDescent="0.25">
      <c r="A129" t="s">
        <v>10849</v>
      </c>
      <c r="B129" t="s">
        <v>9465</v>
      </c>
      <c r="C129">
        <v>0</v>
      </c>
      <c r="D129" t="s">
        <v>6519</v>
      </c>
      <c r="E129" t="s">
        <v>11094</v>
      </c>
      <c r="F129">
        <v>0</v>
      </c>
      <c r="G129" t="s">
        <v>6578</v>
      </c>
      <c r="H129" t="s">
        <v>9364</v>
      </c>
      <c r="I129">
        <v>0.76300000000000001</v>
      </c>
      <c r="J129" t="s">
        <v>6586</v>
      </c>
      <c r="K129" t="s">
        <v>9492</v>
      </c>
      <c r="L129">
        <v>0</v>
      </c>
    </row>
    <row r="130" spans="1:12" x14ac:dyDescent="0.25">
      <c r="A130" t="s">
        <v>10849</v>
      </c>
      <c r="B130" t="s">
        <v>9462</v>
      </c>
      <c r="C130">
        <v>0</v>
      </c>
      <c r="D130" t="s">
        <v>6519</v>
      </c>
      <c r="E130" t="s">
        <v>9497</v>
      </c>
      <c r="F130">
        <v>0</v>
      </c>
      <c r="G130" t="s">
        <v>6578</v>
      </c>
      <c r="H130" t="s">
        <v>9500</v>
      </c>
      <c r="I130">
        <v>0</v>
      </c>
      <c r="J130" t="s">
        <v>6586</v>
      </c>
      <c r="K130" t="s">
        <v>9364</v>
      </c>
      <c r="L130">
        <v>0</v>
      </c>
    </row>
    <row r="131" spans="1:12" x14ac:dyDescent="0.25">
      <c r="A131" t="s">
        <v>10849</v>
      </c>
      <c r="B131" t="s">
        <v>9473</v>
      </c>
      <c r="C131">
        <v>0</v>
      </c>
      <c r="D131" t="s">
        <v>6519</v>
      </c>
      <c r="E131" t="s">
        <v>11095</v>
      </c>
      <c r="F131">
        <v>0</v>
      </c>
      <c r="G131" t="s">
        <v>6578</v>
      </c>
      <c r="H131" t="s">
        <v>9386</v>
      </c>
      <c r="I131">
        <v>0.95099999999999996</v>
      </c>
      <c r="J131" t="s">
        <v>6586</v>
      </c>
      <c r="K131" t="s">
        <v>9500</v>
      </c>
      <c r="L131">
        <v>0</v>
      </c>
    </row>
    <row r="132" spans="1:12" x14ac:dyDescent="0.25">
      <c r="A132" t="s">
        <v>10849</v>
      </c>
      <c r="B132" t="s">
        <v>9486</v>
      </c>
      <c r="C132">
        <v>0</v>
      </c>
      <c r="D132" t="s">
        <v>6519</v>
      </c>
      <c r="E132" t="s">
        <v>9554</v>
      </c>
      <c r="F132">
        <v>0</v>
      </c>
      <c r="G132" t="s">
        <v>6578</v>
      </c>
      <c r="H132" t="s">
        <v>9509</v>
      </c>
      <c r="I132">
        <v>0</v>
      </c>
      <c r="J132" t="s">
        <v>6591</v>
      </c>
      <c r="K132" t="s">
        <v>9344</v>
      </c>
      <c r="L132">
        <v>0</v>
      </c>
    </row>
    <row r="133" spans="1:12" x14ac:dyDescent="0.25">
      <c r="A133" t="s">
        <v>10849</v>
      </c>
      <c r="B133" t="s">
        <v>9512</v>
      </c>
      <c r="C133">
        <v>0</v>
      </c>
      <c r="D133" t="s">
        <v>6519</v>
      </c>
      <c r="E133" t="s">
        <v>11096</v>
      </c>
      <c r="F133">
        <v>0.129</v>
      </c>
      <c r="G133" t="s">
        <v>6578</v>
      </c>
      <c r="H133" t="s">
        <v>9398</v>
      </c>
      <c r="I133">
        <v>1.5049999999999999</v>
      </c>
      <c r="J133" t="s">
        <v>6591</v>
      </c>
      <c r="K133" t="s">
        <v>9361</v>
      </c>
      <c r="L133">
        <v>0</v>
      </c>
    </row>
    <row r="134" spans="1:12" x14ac:dyDescent="0.25">
      <c r="A134" t="s">
        <v>10849</v>
      </c>
      <c r="B134" t="s">
        <v>9489</v>
      </c>
      <c r="C134">
        <v>0</v>
      </c>
      <c r="D134" t="s">
        <v>6519</v>
      </c>
      <c r="E134" t="s">
        <v>9419</v>
      </c>
      <c r="F134">
        <v>0</v>
      </c>
      <c r="G134" t="s">
        <v>6578</v>
      </c>
      <c r="H134" t="s">
        <v>9478</v>
      </c>
      <c r="I134">
        <v>0</v>
      </c>
      <c r="J134" t="s">
        <v>6591</v>
      </c>
      <c r="K134" t="s">
        <v>9315</v>
      </c>
      <c r="L134">
        <v>0</v>
      </c>
    </row>
    <row r="135" spans="1:12" x14ac:dyDescent="0.25">
      <c r="A135" t="s">
        <v>10849</v>
      </c>
      <c r="B135" t="s">
        <v>9547</v>
      </c>
      <c r="C135">
        <v>0</v>
      </c>
      <c r="D135" t="s">
        <v>6519</v>
      </c>
      <c r="E135" t="s">
        <v>11097</v>
      </c>
      <c r="F135">
        <v>0.26600000000000001</v>
      </c>
      <c r="G135" t="s">
        <v>6578</v>
      </c>
      <c r="H135" t="s">
        <v>9453</v>
      </c>
      <c r="I135">
        <v>0.878</v>
      </c>
      <c r="J135" t="s">
        <v>6591</v>
      </c>
      <c r="K135" t="s">
        <v>9395</v>
      </c>
      <c r="L135">
        <v>0</v>
      </c>
    </row>
    <row r="136" spans="1:12" x14ac:dyDescent="0.25">
      <c r="A136" t="s">
        <v>10849</v>
      </c>
      <c r="B136" t="s">
        <v>9497</v>
      </c>
      <c r="C136">
        <v>0</v>
      </c>
      <c r="D136" t="s">
        <v>6519</v>
      </c>
      <c r="E136" t="s">
        <v>9365</v>
      </c>
      <c r="F136">
        <v>0</v>
      </c>
      <c r="G136" t="s">
        <v>6578</v>
      </c>
      <c r="H136" t="s">
        <v>9465</v>
      </c>
      <c r="I136">
        <v>0</v>
      </c>
      <c r="J136" t="s">
        <v>6591</v>
      </c>
      <c r="K136" t="s">
        <v>9355</v>
      </c>
      <c r="L136">
        <v>0</v>
      </c>
    </row>
    <row r="137" spans="1:12" x14ac:dyDescent="0.25">
      <c r="A137" t="s">
        <v>10849</v>
      </c>
      <c r="B137" t="s">
        <v>9554</v>
      </c>
      <c r="C137">
        <v>0</v>
      </c>
      <c r="D137" t="s">
        <v>6519</v>
      </c>
      <c r="E137" t="s">
        <v>11098</v>
      </c>
      <c r="F137">
        <v>0</v>
      </c>
      <c r="G137" t="s">
        <v>6578</v>
      </c>
      <c r="H137" t="s">
        <v>9462</v>
      </c>
      <c r="I137">
        <v>0.42499999999999999</v>
      </c>
      <c r="J137" t="s">
        <v>6591</v>
      </c>
      <c r="K137" t="s">
        <v>9351</v>
      </c>
      <c r="L137">
        <v>0</v>
      </c>
    </row>
    <row r="138" spans="1:12" x14ac:dyDescent="0.25">
      <c r="A138" t="s">
        <v>10849</v>
      </c>
      <c r="B138" t="s">
        <v>9419</v>
      </c>
      <c r="C138">
        <v>0</v>
      </c>
      <c r="D138" t="s">
        <v>6520</v>
      </c>
      <c r="E138" t="s">
        <v>10011</v>
      </c>
      <c r="F138">
        <v>0</v>
      </c>
      <c r="G138" t="s">
        <v>6578</v>
      </c>
      <c r="H138" t="s">
        <v>9473</v>
      </c>
      <c r="I138">
        <v>0</v>
      </c>
      <c r="J138" t="s">
        <v>6591</v>
      </c>
      <c r="K138" t="s">
        <v>9409</v>
      </c>
      <c r="L138">
        <v>0</v>
      </c>
    </row>
    <row r="139" spans="1:12" x14ac:dyDescent="0.25">
      <c r="A139" t="s">
        <v>10849</v>
      </c>
      <c r="B139" t="s">
        <v>9365</v>
      </c>
      <c r="C139">
        <v>0</v>
      </c>
      <c r="D139" t="s">
        <v>6520</v>
      </c>
      <c r="E139" t="s">
        <v>9344</v>
      </c>
      <c r="F139">
        <v>0</v>
      </c>
      <c r="G139" t="s">
        <v>6578</v>
      </c>
      <c r="H139" t="s">
        <v>9486</v>
      </c>
      <c r="I139">
        <v>0</v>
      </c>
      <c r="J139" t="s">
        <v>6591</v>
      </c>
      <c r="K139" t="s">
        <v>9492</v>
      </c>
      <c r="L139">
        <v>0.47499999999999998</v>
      </c>
    </row>
    <row r="140" spans="1:12" x14ac:dyDescent="0.25">
      <c r="A140" t="s">
        <v>10849</v>
      </c>
      <c r="B140" t="s">
        <v>9521</v>
      </c>
      <c r="C140">
        <v>2.8000000000000001E-2</v>
      </c>
      <c r="D140" t="s">
        <v>6520</v>
      </c>
      <c r="E140" t="s">
        <v>9404</v>
      </c>
      <c r="F140">
        <v>0</v>
      </c>
      <c r="G140" t="s">
        <v>6578</v>
      </c>
      <c r="H140" t="s">
        <v>9512</v>
      </c>
      <c r="I140">
        <v>0</v>
      </c>
      <c r="J140" t="s">
        <v>6591</v>
      </c>
      <c r="K140" t="s">
        <v>9364</v>
      </c>
      <c r="L140">
        <v>0</v>
      </c>
    </row>
    <row r="141" spans="1:12" x14ac:dyDescent="0.25">
      <c r="A141" t="s">
        <v>10849</v>
      </c>
      <c r="B141" t="s">
        <v>9430</v>
      </c>
      <c r="C141">
        <v>2.8000000000000001E-2</v>
      </c>
      <c r="D141" t="s">
        <v>6520</v>
      </c>
      <c r="E141" t="s">
        <v>9361</v>
      </c>
      <c r="F141">
        <v>0</v>
      </c>
      <c r="G141" t="s">
        <v>6578</v>
      </c>
      <c r="H141" t="s">
        <v>9489</v>
      </c>
      <c r="I141">
        <v>0</v>
      </c>
      <c r="J141" t="s">
        <v>6591</v>
      </c>
      <c r="K141" t="s">
        <v>9500</v>
      </c>
      <c r="L141">
        <v>0.33800000000000002</v>
      </c>
    </row>
    <row r="142" spans="1:12" x14ac:dyDescent="0.25">
      <c r="A142" t="s">
        <v>10849</v>
      </c>
      <c r="B142" t="s">
        <v>9459</v>
      </c>
      <c r="C142">
        <v>0</v>
      </c>
      <c r="D142" t="s">
        <v>6520</v>
      </c>
      <c r="E142" t="s">
        <v>9593</v>
      </c>
      <c r="F142">
        <v>0</v>
      </c>
      <c r="G142" t="s">
        <v>6578</v>
      </c>
      <c r="H142" t="s">
        <v>9547</v>
      </c>
      <c r="I142">
        <v>0</v>
      </c>
      <c r="J142" t="s">
        <v>6591</v>
      </c>
      <c r="K142" t="s">
        <v>9386</v>
      </c>
      <c r="L142">
        <v>0</v>
      </c>
    </row>
    <row r="143" spans="1:12" x14ac:dyDescent="0.25">
      <c r="A143" t="s">
        <v>10849</v>
      </c>
      <c r="B143" t="s">
        <v>9375</v>
      </c>
      <c r="C143">
        <v>0</v>
      </c>
      <c r="D143" t="s">
        <v>6520</v>
      </c>
      <c r="E143" t="s">
        <v>9315</v>
      </c>
      <c r="F143">
        <v>0</v>
      </c>
      <c r="G143" t="s">
        <v>6578</v>
      </c>
      <c r="H143" t="s">
        <v>9497</v>
      </c>
      <c r="I143">
        <v>0</v>
      </c>
      <c r="J143" t="s">
        <v>6591</v>
      </c>
      <c r="K143" t="s">
        <v>9509</v>
      </c>
      <c r="L143">
        <v>1.1020000000000001</v>
      </c>
    </row>
    <row r="144" spans="1:12" x14ac:dyDescent="0.25">
      <c r="A144" t="s">
        <v>10849</v>
      </c>
      <c r="B144" t="s">
        <v>9443</v>
      </c>
      <c r="C144">
        <v>0</v>
      </c>
      <c r="D144" t="s">
        <v>6520</v>
      </c>
      <c r="E144" t="s">
        <v>9392</v>
      </c>
      <c r="F144">
        <v>0.14399999999999999</v>
      </c>
      <c r="G144" t="s">
        <v>6578</v>
      </c>
      <c r="H144" t="s">
        <v>9554</v>
      </c>
      <c r="I144">
        <v>0</v>
      </c>
      <c r="J144" t="s">
        <v>6591</v>
      </c>
      <c r="K144" t="s">
        <v>9398</v>
      </c>
      <c r="L144">
        <v>0</v>
      </c>
    </row>
    <row r="145" spans="1:12" x14ac:dyDescent="0.25">
      <c r="A145" t="s">
        <v>10849</v>
      </c>
      <c r="B145" t="s">
        <v>9371</v>
      </c>
      <c r="C145">
        <v>0</v>
      </c>
      <c r="D145" t="s">
        <v>6520</v>
      </c>
      <c r="E145" t="s">
        <v>9395</v>
      </c>
      <c r="F145">
        <v>0</v>
      </c>
      <c r="G145" t="s">
        <v>6578</v>
      </c>
      <c r="H145" t="s">
        <v>9419</v>
      </c>
      <c r="I145">
        <v>0</v>
      </c>
      <c r="J145" t="s">
        <v>6591</v>
      </c>
      <c r="K145" t="s">
        <v>9478</v>
      </c>
      <c r="L145">
        <v>1.5049999999999999</v>
      </c>
    </row>
    <row r="146" spans="1:12" x14ac:dyDescent="0.25">
      <c r="A146" t="s">
        <v>10849</v>
      </c>
      <c r="B146" t="s">
        <v>9571</v>
      </c>
      <c r="C146">
        <v>0</v>
      </c>
      <c r="D146" t="s">
        <v>6520</v>
      </c>
      <c r="E146" t="s">
        <v>9412</v>
      </c>
      <c r="F146">
        <v>0.374</v>
      </c>
      <c r="G146" t="s">
        <v>6578</v>
      </c>
      <c r="H146" t="s">
        <v>9365</v>
      </c>
      <c r="I146">
        <v>0</v>
      </c>
      <c r="J146" t="s">
        <v>6591</v>
      </c>
      <c r="K146" t="s">
        <v>9453</v>
      </c>
      <c r="L146">
        <v>0</v>
      </c>
    </row>
    <row r="147" spans="1:12" x14ac:dyDescent="0.25">
      <c r="A147" t="s">
        <v>10849</v>
      </c>
      <c r="B147" t="s">
        <v>9468</v>
      </c>
      <c r="C147">
        <v>0</v>
      </c>
      <c r="D147" t="s">
        <v>6520</v>
      </c>
      <c r="E147" t="s">
        <v>9355</v>
      </c>
      <c r="F147">
        <v>0</v>
      </c>
      <c r="G147" t="s">
        <v>6578</v>
      </c>
      <c r="H147" t="s">
        <v>9521</v>
      </c>
      <c r="I147">
        <v>0</v>
      </c>
      <c r="J147" t="s">
        <v>6591</v>
      </c>
      <c r="K147" t="s">
        <v>9465</v>
      </c>
      <c r="L147">
        <v>0.32400000000000001</v>
      </c>
    </row>
    <row r="148" spans="1:12" x14ac:dyDescent="0.25">
      <c r="A148" t="s">
        <v>10849</v>
      </c>
      <c r="B148" t="s">
        <v>9580</v>
      </c>
      <c r="C148">
        <v>0</v>
      </c>
      <c r="D148" t="s">
        <v>6520</v>
      </c>
      <c r="E148" t="s">
        <v>9870</v>
      </c>
      <c r="F148">
        <v>0.97199999999999998</v>
      </c>
      <c r="G148" t="s">
        <v>6578</v>
      </c>
      <c r="H148" t="s">
        <v>9430</v>
      </c>
      <c r="I148">
        <v>0</v>
      </c>
      <c r="J148" t="s">
        <v>6591</v>
      </c>
      <c r="K148" t="s">
        <v>9462</v>
      </c>
      <c r="L148">
        <v>0</v>
      </c>
    </row>
    <row r="149" spans="1:12" x14ac:dyDescent="0.25">
      <c r="A149" t="s">
        <v>10849</v>
      </c>
      <c r="B149" t="s">
        <v>9349</v>
      </c>
      <c r="C149">
        <v>0</v>
      </c>
      <c r="D149" t="s">
        <v>6520</v>
      </c>
      <c r="E149" t="s">
        <v>9351</v>
      </c>
      <c r="F149">
        <v>0</v>
      </c>
      <c r="G149" t="s">
        <v>6578</v>
      </c>
      <c r="H149" t="s">
        <v>9459</v>
      </c>
      <c r="I149">
        <v>0</v>
      </c>
      <c r="J149" t="s">
        <v>6591</v>
      </c>
      <c r="K149" t="s">
        <v>9473</v>
      </c>
      <c r="L149">
        <v>0.41</v>
      </c>
    </row>
    <row r="150" spans="1:12" x14ac:dyDescent="0.25">
      <c r="A150" t="s">
        <v>10849</v>
      </c>
      <c r="B150" t="s">
        <v>9381</v>
      </c>
      <c r="C150">
        <v>0</v>
      </c>
      <c r="D150" t="s">
        <v>6520</v>
      </c>
      <c r="E150" t="s">
        <v>9409</v>
      </c>
      <c r="F150">
        <v>0</v>
      </c>
      <c r="G150" t="s">
        <v>6578</v>
      </c>
      <c r="H150" t="s">
        <v>9375</v>
      </c>
      <c r="I150">
        <v>0</v>
      </c>
      <c r="J150" t="s">
        <v>6591</v>
      </c>
      <c r="K150" t="s">
        <v>9486</v>
      </c>
      <c r="L150">
        <v>0.16500000000000001</v>
      </c>
    </row>
    <row r="151" spans="1:12" x14ac:dyDescent="0.25">
      <c r="A151" t="s">
        <v>10849</v>
      </c>
      <c r="B151" t="s">
        <v>9358</v>
      </c>
      <c r="C151">
        <v>0</v>
      </c>
      <c r="D151" t="s">
        <v>6520</v>
      </c>
      <c r="E151" t="s">
        <v>10076</v>
      </c>
      <c r="F151">
        <v>0.42499999999999999</v>
      </c>
      <c r="G151" t="s">
        <v>6578</v>
      </c>
      <c r="H151" t="s">
        <v>9443</v>
      </c>
      <c r="I151">
        <v>0</v>
      </c>
      <c r="J151" t="s">
        <v>6591</v>
      </c>
      <c r="K151" t="s">
        <v>9512</v>
      </c>
      <c r="L151">
        <v>0.32400000000000001</v>
      </c>
    </row>
    <row r="152" spans="1:12" x14ac:dyDescent="0.25">
      <c r="A152" t="s">
        <v>10849</v>
      </c>
      <c r="B152" t="s">
        <v>9924</v>
      </c>
      <c r="C152">
        <v>0</v>
      </c>
      <c r="D152" t="s">
        <v>6520</v>
      </c>
      <c r="E152" t="s">
        <v>9492</v>
      </c>
      <c r="F152">
        <v>0</v>
      </c>
      <c r="G152" t="s">
        <v>6578</v>
      </c>
      <c r="H152" t="s">
        <v>9371</v>
      </c>
      <c r="I152">
        <v>0</v>
      </c>
      <c r="J152" t="s">
        <v>6591</v>
      </c>
      <c r="K152" t="s">
        <v>9489</v>
      </c>
      <c r="L152">
        <v>0</v>
      </c>
    </row>
    <row r="153" spans="1:12" x14ac:dyDescent="0.25">
      <c r="A153" t="s">
        <v>10849</v>
      </c>
      <c r="B153" t="s">
        <v>9368</v>
      </c>
      <c r="C153">
        <v>0</v>
      </c>
      <c r="D153" t="s">
        <v>6520</v>
      </c>
      <c r="E153" t="s">
        <v>9766</v>
      </c>
      <c r="F153">
        <v>7.9000000000000001E-2</v>
      </c>
      <c r="G153" t="s">
        <v>6578</v>
      </c>
      <c r="H153" t="s">
        <v>9571</v>
      </c>
      <c r="I153">
        <v>0</v>
      </c>
      <c r="J153" t="s">
        <v>6591</v>
      </c>
      <c r="K153" t="s">
        <v>9547</v>
      </c>
      <c r="L153">
        <v>0</v>
      </c>
    </row>
    <row r="154" spans="1:12" x14ac:dyDescent="0.25">
      <c r="A154" t="s">
        <v>10849</v>
      </c>
      <c r="B154" t="s">
        <v>9481</v>
      </c>
      <c r="C154">
        <v>0</v>
      </c>
      <c r="D154" t="s">
        <v>6520</v>
      </c>
      <c r="E154" t="s">
        <v>9364</v>
      </c>
      <c r="F154">
        <v>0</v>
      </c>
      <c r="G154" t="s">
        <v>6578</v>
      </c>
      <c r="H154" t="s">
        <v>9468</v>
      </c>
      <c r="I154">
        <v>0</v>
      </c>
      <c r="J154" t="s">
        <v>6591</v>
      </c>
      <c r="K154" t="s">
        <v>9497</v>
      </c>
      <c r="L154">
        <v>0.36699999999999999</v>
      </c>
    </row>
    <row r="155" spans="1:12" x14ac:dyDescent="0.25">
      <c r="A155" t="s">
        <v>10849</v>
      </c>
      <c r="B155" t="s">
        <v>9378</v>
      </c>
      <c r="C155">
        <v>0</v>
      </c>
      <c r="D155" t="s">
        <v>6520</v>
      </c>
      <c r="E155" t="s">
        <v>9771</v>
      </c>
      <c r="F155">
        <v>0.96499999999999997</v>
      </c>
      <c r="G155" t="s">
        <v>6578</v>
      </c>
      <c r="H155" t="s">
        <v>9580</v>
      </c>
      <c r="I155">
        <v>0</v>
      </c>
      <c r="J155" t="s">
        <v>6591</v>
      </c>
      <c r="K155" t="s">
        <v>9554</v>
      </c>
      <c r="L155">
        <v>0</v>
      </c>
    </row>
    <row r="156" spans="1:12" x14ac:dyDescent="0.25">
      <c r="A156" t="s">
        <v>10849</v>
      </c>
      <c r="B156" t="s">
        <v>9527</v>
      </c>
      <c r="C156">
        <v>0</v>
      </c>
      <c r="D156" t="s">
        <v>6520</v>
      </c>
      <c r="E156" t="s">
        <v>9500</v>
      </c>
      <c r="F156">
        <v>0</v>
      </c>
      <c r="G156" t="s">
        <v>6578</v>
      </c>
      <c r="H156" t="s">
        <v>9349</v>
      </c>
      <c r="I156">
        <v>0</v>
      </c>
      <c r="J156" t="s">
        <v>6591</v>
      </c>
      <c r="K156" t="s">
        <v>9419</v>
      </c>
      <c r="L156">
        <v>0.33800000000000002</v>
      </c>
    </row>
    <row r="157" spans="1:12" x14ac:dyDescent="0.25">
      <c r="A157" t="s">
        <v>10849</v>
      </c>
      <c r="B157" t="s">
        <v>9389</v>
      </c>
      <c r="C157">
        <v>0</v>
      </c>
      <c r="D157" t="s">
        <v>6520</v>
      </c>
      <c r="E157" t="s">
        <v>10067</v>
      </c>
      <c r="F157">
        <v>0.151</v>
      </c>
      <c r="G157" t="s">
        <v>6578</v>
      </c>
      <c r="H157" t="s">
        <v>9381</v>
      </c>
      <c r="I157">
        <v>0</v>
      </c>
      <c r="J157" t="s">
        <v>6591</v>
      </c>
      <c r="K157" t="s">
        <v>9365</v>
      </c>
      <c r="L157">
        <v>1.0009999999999999</v>
      </c>
    </row>
    <row r="158" spans="1:12" x14ac:dyDescent="0.25">
      <c r="A158" t="s">
        <v>10849</v>
      </c>
      <c r="B158" t="s">
        <v>9620</v>
      </c>
      <c r="C158">
        <v>0</v>
      </c>
      <c r="D158" t="s">
        <v>6520</v>
      </c>
      <c r="E158" t="s">
        <v>9386</v>
      </c>
      <c r="F158">
        <v>0</v>
      </c>
      <c r="G158" t="s">
        <v>6578</v>
      </c>
      <c r="H158" t="s">
        <v>9358</v>
      </c>
      <c r="I158">
        <v>0</v>
      </c>
      <c r="J158" t="s">
        <v>6591</v>
      </c>
      <c r="K158" t="s">
        <v>9521</v>
      </c>
      <c r="L158">
        <v>0.61899999999999999</v>
      </c>
    </row>
    <row r="159" spans="1:12" x14ac:dyDescent="0.25">
      <c r="A159" t="s">
        <v>10849</v>
      </c>
      <c r="B159" t="s">
        <v>9401</v>
      </c>
      <c r="C159">
        <v>0</v>
      </c>
      <c r="D159" t="s">
        <v>6520</v>
      </c>
      <c r="E159" t="s">
        <v>10062</v>
      </c>
      <c r="F159">
        <v>0.59699999999999998</v>
      </c>
      <c r="G159" t="s">
        <v>6578</v>
      </c>
      <c r="H159" t="s">
        <v>9924</v>
      </c>
      <c r="I159">
        <v>0</v>
      </c>
      <c r="J159" t="s">
        <v>6591</v>
      </c>
      <c r="K159" t="s">
        <v>9430</v>
      </c>
      <c r="L159">
        <v>0.55400000000000005</v>
      </c>
    </row>
    <row r="160" spans="1:12" x14ac:dyDescent="0.25">
      <c r="A160" t="s">
        <v>10849</v>
      </c>
      <c r="B160" t="s">
        <v>9528</v>
      </c>
      <c r="C160">
        <v>0</v>
      </c>
      <c r="D160" t="s">
        <v>6520</v>
      </c>
      <c r="E160" t="s">
        <v>9509</v>
      </c>
      <c r="F160">
        <v>0</v>
      </c>
      <c r="G160" t="s">
        <v>6578</v>
      </c>
      <c r="H160" t="s">
        <v>9368</v>
      </c>
      <c r="I160">
        <v>0</v>
      </c>
      <c r="J160" t="s">
        <v>6591</v>
      </c>
      <c r="K160" t="s">
        <v>9459</v>
      </c>
      <c r="L160">
        <v>0.71299999999999997</v>
      </c>
    </row>
    <row r="161" spans="1:12" x14ac:dyDescent="0.25">
      <c r="A161" t="s">
        <v>10849</v>
      </c>
      <c r="B161" t="s">
        <v>9524</v>
      </c>
      <c r="C161">
        <v>0</v>
      </c>
      <c r="D161" t="s">
        <v>6520</v>
      </c>
      <c r="E161" t="s">
        <v>10052</v>
      </c>
      <c r="F161">
        <v>0.59</v>
      </c>
      <c r="G161" t="s">
        <v>6578</v>
      </c>
      <c r="H161" t="s">
        <v>9481</v>
      </c>
      <c r="I161">
        <v>0</v>
      </c>
      <c r="J161" t="s">
        <v>6591</v>
      </c>
      <c r="K161" t="s">
        <v>9375</v>
      </c>
      <c r="L161">
        <v>0.97199999999999998</v>
      </c>
    </row>
    <row r="162" spans="1:12" x14ac:dyDescent="0.25">
      <c r="A162" t="s">
        <v>10849</v>
      </c>
      <c r="B162" t="s">
        <v>9456</v>
      </c>
      <c r="C162">
        <v>0</v>
      </c>
      <c r="D162" t="s">
        <v>6520</v>
      </c>
      <c r="E162" t="s">
        <v>9398</v>
      </c>
      <c r="F162">
        <v>0</v>
      </c>
      <c r="G162" t="s">
        <v>6578</v>
      </c>
      <c r="H162" t="s">
        <v>9378</v>
      </c>
      <c r="I162">
        <v>0</v>
      </c>
      <c r="J162" t="s">
        <v>6591</v>
      </c>
      <c r="K162" t="s">
        <v>9443</v>
      </c>
      <c r="L162">
        <v>0.92900000000000005</v>
      </c>
    </row>
    <row r="163" spans="1:12" x14ac:dyDescent="0.25">
      <c r="A163" t="s">
        <v>10849</v>
      </c>
      <c r="B163" t="s">
        <v>9533</v>
      </c>
      <c r="C163">
        <v>0</v>
      </c>
      <c r="D163" t="s">
        <v>6520</v>
      </c>
      <c r="E163" t="s">
        <v>10057</v>
      </c>
      <c r="F163">
        <v>0</v>
      </c>
      <c r="G163" t="s">
        <v>6578</v>
      </c>
      <c r="H163" t="s">
        <v>9527</v>
      </c>
      <c r="I163">
        <v>0</v>
      </c>
      <c r="J163" t="s">
        <v>6591</v>
      </c>
      <c r="K163" t="s">
        <v>9371</v>
      </c>
      <c r="L163">
        <v>0</v>
      </c>
    </row>
    <row r="164" spans="1:12" x14ac:dyDescent="0.25">
      <c r="A164" t="s">
        <v>10850</v>
      </c>
      <c r="B164" t="s">
        <v>9344</v>
      </c>
      <c r="C164">
        <v>0.122</v>
      </c>
      <c r="D164" t="s">
        <v>6520</v>
      </c>
      <c r="E164" t="s">
        <v>9478</v>
      </c>
      <c r="F164">
        <v>0</v>
      </c>
      <c r="G164" t="s">
        <v>6578</v>
      </c>
      <c r="H164" t="s">
        <v>9389</v>
      </c>
      <c r="I164">
        <v>0</v>
      </c>
      <c r="J164" t="s">
        <v>6591</v>
      </c>
      <c r="K164" t="s">
        <v>9571</v>
      </c>
      <c r="L164">
        <v>0</v>
      </c>
    </row>
    <row r="165" spans="1:12" x14ac:dyDescent="0.25">
      <c r="A165" t="s">
        <v>10850</v>
      </c>
      <c r="B165" t="s">
        <v>9361</v>
      </c>
      <c r="C165">
        <v>0</v>
      </c>
      <c r="D165" t="s">
        <v>6520</v>
      </c>
      <c r="E165" t="s">
        <v>11086</v>
      </c>
      <c r="F165">
        <v>0</v>
      </c>
      <c r="G165" t="s">
        <v>6578</v>
      </c>
      <c r="H165" t="s">
        <v>9620</v>
      </c>
      <c r="I165">
        <v>0</v>
      </c>
      <c r="J165" t="s">
        <v>6591</v>
      </c>
      <c r="K165" t="s">
        <v>9468</v>
      </c>
      <c r="L165">
        <v>0</v>
      </c>
    </row>
    <row r="166" spans="1:12" x14ac:dyDescent="0.25">
      <c r="A166" t="s">
        <v>10850</v>
      </c>
      <c r="B166" t="s">
        <v>9315</v>
      </c>
      <c r="C166">
        <v>0</v>
      </c>
      <c r="D166" t="s">
        <v>6520</v>
      </c>
      <c r="E166" t="s">
        <v>9453</v>
      </c>
      <c r="F166">
        <v>0</v>
      </c>
      <c r="G166" t="s">
        <v>6578</v>
      </c>
      <c r="H166" t="s">
        <v>9401</v>
      </c>
      <c r="I166">
        <v>0</v>
      </c>
      <c r="J166" t="s">
        <v>6591</v>
      </c>
      <c r="K166" t="s">
        <v>9580</v>
      </c>
      <c r="L166">
        <v>0</v>
      </c>
    </row>
    <row r="167" spans="1:12" x14ac:dyDescent="0.25">
      <c r="A167" t="s">
        <v>10850</v>
      </c>
      <c r="B167" t="s">
        <v>9395</v>
      </c>
      <c r="C167">
        <v>0</v>
      </c>
      <c r="D167" t="s">
        <v>6520</v>
      </c>
      <c r="E167" t="s">
        <v>11087</v>
      </c>
      <c r="F167">
        <v>0</v>
      </c>
      <c r="G167" t="s">
        <v>6578</v>
      </c>
      <c r="H167" t="s">
        <v>9528</v>
      </c>
      <c r="I167">
        <v>0</v>
      </c>
      <c r="J167" t="s">
        <v>6591</v>
      </c>
      <c r="K167" t="s">
        <v>9349</v>
      </c>
      <c r="L167">
        <v>0.82799999999999996</v>
      </c>
    </row>
    <row r="168" spans="1:12" x14ac:dyDescent="0.25">
      <c r="A168" t="s">
        <v>10850</v>
      </c>
      <c r="B168" t="s">
        <v>9355</v>
      </c>
      <c r="C168">
        <v>0</v>
      </c>
      <c r="D168" t="s">
        <v>6520</v>
      </c>
      <c r="E168" t="s">
        <v>9465</v>
      </c>
      <c r="F168">
        <v>0</v>
      </c>
      <c r="G168" t="s">
        <v>6578</v>
      </c>
      <c r="H168" t="s">
        <v>9524</v>
      </c>
      <c r="I168">
        <v>0</v>
      </c>
      <c r="J168" t="s">
        <v>6591</v>
      </c>
      <c r="K168" t="s">
        <v>9381</v>
      </c>
      <c r="L168">
        <v>1.448</v>
      </c>
    </row>
    <row r="169" spans="1:12" x14ac:dyDescent="0.25">
      <c r="A169" t="s">
        <v>10850</v>
      </c>
      <c r="B169" t="s">
        <v>9351</v>
      </c>
      <c r="C169">
        <v>0</v>
      </c>
      <c r="D169" t="s">
        <v>6520</v>
      </c>
      <c r="E169" t="s">
        <v>11088</v>
      </c>
      <c r="F169">
        <v>0</v>
      </c>
      <c r="G169" t="s">
        <v>6578</v>
      </c>
      <c r="H169" t="s">
        <v>9456</v>
      </c>
      <c r="I169">
        <v>0</v>
      </c>
      <c r="J169" t="s">
        <v>6591</v>
      </c>
      <c r="K169" t="s">
        <v>9358</v>
      </c>
      <c r="L169">
        <v>0.44600000000000001</v>
      </c>
    </row>
    <row r="170" spans="1:12" x14ac:dyDescent="0.25">
      <c r="A170" t="s">
        <v>10850</v>
      </c>
      <c r="B170" t="s">
        <v>9409</v>
      </c>
      <c r="C170">
        <v>0</v>
      </c>
      <c r="D170" t="s">
        <v>6520</v>
      </c>
      <c r="E170" t="s">
        <v>9462</v>
      </c>
      <c r="F170">
        <v>0</v>
      </c>
      <c r="G170" t="s">
        <v>6578</v>
      </c>
      <c r="H170" t="s">
        <v>9533</v>
      </c>
      <c r="I170">
        <v>0</v>
      </c>
      <c r="J170" t="s">
        <v>6591</v>
      </c>
      <c r="K170" t="s">
        <v>9924</v>
      </c>
      <c r="L170">
        <v>0</v>
      </c>
    </row>
    <row r="171" spans="1:12" x14ac:dyDescent="0.25">
      <c r="A171" t="s">
        <v>10850</v>
      </c>
      <c r="B171" t="s">
        <v>9492</v>
      </c>
      <c r="C171">
        <v>0</v>
      </c>
      <c r="D171" t="s">
        <v>6520</v>
      </c>
      <c r="E171" t="s">
        <v>11089</v>
      </c>
      <c r="F171">
        <v>0.36</v>
      </c>
      <c r="G171" t="s">
        <v>6579</v>
      </c>
      <c r="H171" t="s">
        <v>9344</v>
      </c>
      <c r="I171">
        <v>1.4550000000000001</v>
      </c>
      <c r="J171" t="s">
        <v>6591</v>
      </c>
      <c r="K171" t="s">
        <v>9368</v>
      </c>
      <c r="L171">
        <v>1.0649999999999999</v>
      </c>
    </row>
    <row r="172" spans="1:12" x14ac:dyDescent="0.25">
      <c r="A172" t="s">
        <v>10850</v>
      </c>
      <c r="B172" t="s">
        <v>9364</v>
      </c>
      <c r="C172">
        <v>0</v>
      </c>
      <c r="D172" t="s">
        <v>6520</v>
      </c>
      <c r="E172" t="s">
        <v>9473</v>
      </c>
      <c r="F172">
        <v>0</v>
      </c>
      <c r="G172" t="s">
        <v>6579</v>
      </c>
      <c r="H172" t="s">
        <v>9361</v>
      </c>
      <c r="I172">
        <v>0</v>
      </c>
      <c r="J172" t="s">
        <v>6587</v>
      </c>
      <c r="K172" t="s">
        <v>9344</v>
      </c>
      <c r="L172">
        <v>0.216</v>
      </c>
    </row>
    <row r="173" spans="1:12" x14ac:dyDescent="0.25">
      <c r="A173" t="s">
        <v>10850</v>
      </c>
      <c r="B173" t="s">
        <v>9500</v>
      </c>
      <c r="C173">
        <v>0</v>
      </c>
      <c r="D173" t="s">
        <v>6520</v>
      </c>
      <c r="E173" t="s">
        <v>11090</v>
      </c>
      <c r="F173">
        <v>0.35199999999999998</v>
      </c>
      <c r="G173" t="s">
        <v>6579</v>
      </c>
      <c r="H173" t="s">
        <v>9315</v>
      </c>
      <c r="I173">
        <v>1.663</v>
      </c>
      <c r="J173" t="s">
        <v>6587</v>
      </c>
      <c r="K173" t="s">
        <v>9361</v>
      </c>
      <c r="L173">
        <v>3.573</v>
      </c>
    </row>
    <row r="174" spans="1:12" x14ac:dyDescent="0.25">
      <c r="A174" t="s">
        <v>10850</v>
      </c>
      <c r="B174" t="s">
        <v>9386</v>
      </c>
      <c r="C174">
        <v>0</v>
      </c>
      <c r="D174" t="s">
        <v>6520</v>
      </c>
      <c r="E174" t="s">
        <v>9486</v>
      </c>
      <c r="F174">
        <v>0</v>
      </c>
      <c r="G174" t="s">
        <v>6579</v>
      </c>
      <c r="H174" t="s">
        <v>9395</v>
      </c>
      <c r="I174">
        <v>0</v>
      </c>
      <c r="J174" t="s">
        <v>6587</v>
      </c>
      <c r="K174" t="s">
        <v>9315</v>
      </c>
      <c r="L174">
        <v>0.129</v>
      </c>
    </row>
    <row r="175" spans="1:12" x14ac:dyDescent="0.25">
      <c r="A175" t="s">
        <v>10850</v>
      </c>
      <c r="B175" t="s">
        <v>9509</v>
      </c>
      <c r="C175">
        <v>0</v>
      </c>
      <c r="D175" t="s">
        <v>6520</v>
      </c>
      <c r="E175" t="s">
        <v>11091</v>
      </c>
      <c r="F175">
        <v>0.33100000000000002</v>
      </c>
      <c r="G175" t="s">
        <v>6579</v>
      </c>
      <c r="H175" t="s">
        <v>9355</v>
      </c>
      <c r="I175">
        <v>0.32400000000000001</v>
      </c>
      <c r="J175" t="s">
        <v>6587</v>
      </c>
      <c r="K175" t="s">
        <v>9395</v>
      </c>
      <c r="L175">
        <v>0</v>
      </c>
    </row>
    <row r="176" spans="1:12" x14ac:dyDescent="0.25">
      <c r="A176" t="s">
        <v>10850</v>
      </c>
      <c r="B176" t="s">
        <v>9398</v>
      </c>
      <c r="C176">
        <v>0</v>
      </c>
      <c r="D176" t="s">
        <v>6520</v>
      </c>
      <c r="E176" t="s">
        <v>9512</v>
      </c>
      <c r="F176">
        <v>0.90600000000000003</v>
      </c>
      <c r="G176" t="s">
        <v>6579</v>
      </c>
      <c r="H176" t="s">
        <v>9351</v>
      </c>
      <c r="I176">
        <v>0</v>
      </c>
      <c r="J176" t="s">
        <v>6587</v>
      </c>
      <c r="K176" t="s">
        <v>9355</v>
      </c>
      <c r="L176">
        <v>0</v>
      </c>
    </row>
    <row r="177" spans="1:12" x14ac:dyDescent="0.25">
      <c r="A177" t="s">
        <v>10850</v>
      </c>
      <c r="B177" t="s">
        <v>9478</v>
      </c>
      <c r="C177">
        <v>0</v>
      </c>
      <c r="D177" t="s">
        <v>6520</v>
      </c>
      <c r="E177" t="s">
        <v>11092</v>
      </c>
      <c r="F177">
        <v>0.36699999999999999</v>
      </c>
      <c r="G177" t="s">
        <v>6579</v>
      </c>
      <c r="H177" t="s">
        <v>9409</v>
      </c>
      <c r="I177">
        <v>0.93600000000000005</v>
      </c>
      <c r="J177" t="s">
        <v>6587</v>
      </c>
      <c r="K177" t="s">
        <v>9351</v>
      </c>
      <c r="L177">
        <v>0</v>
      </c>
    </row>
    <row r="178" spans="1:12" x14ac:dyDescent="0.25">
      <c r="A178" t="s">
        <v>10850</v>
      </c>
      <c r="B178" t="s">
        <v>9453</v>
      </c>
      <c r="C178">
        <v>0</v>
      </c>
      <c r="D178" t="s">
        <v>6520</v>
      </c>
      <c r="E178" t="s">
        <v>9489</v>
      </c>
      <c r="F178">
        <v>0.45300000000000001</v>
      </c>
      <c r="G178" t="s">
        <v>6579</v>
      </c>
      <c r="H178" t="s">
        <v>9492</v>
      </c>
      <c r="I178">
        <v>0</v>
      </c>
      <c r="J178" t="s">
        <v>6587</v>
      </c>
      <c r="K178" t="s">
        <v>9409</v>
      </c>
      <c r="L178">
        <v>0.223</v>
      </c>
    </row>
    <row r="179" spans="1:12" x14ac:dyDescent="0.25">
      <c r="A179" t="s">
        <v>10850</v>
      </c>
      <c r="B179" t="s">
        <v>9465</v>
      </c>
      <c r="C179">
        <v>0</v>
      </c>
      <c r="D179" t="s">
        <v>6520</v>
      </c>
      <c r="E179" t="s">
        <v>11093</v>
      </c>
      <c r="F179">
        <v>0.245</v>
      </c>
      <c r="G179" t="s">
        <v>6579</v>
      </c>
      <c r="H179" t="s">
        <v>9364</v>
      </c>
      <c r="I179">
        <v>0.88600000000000001</v>
      </c>
      <c r="J179" t="s">
        <v>6587</v>
      </c>
      <c r="K179" t="s">
        <v>9492</v>
      </c>
      <c r="L179">
        <v>1.353</v>
      </c>
    </row>
    <row r="180" spans="1:12" x14ac:dyDescent="0.25">
      <c r="A180" t="s">
        <v>10850</v>
      </c>
      <c r="B180" t="s">
        <v>9462</v>
      </c>
      <c r="C180">
        <v>0</v>
      </c>
      <c r="D180" t="s">
        <v>6520</v>
      </c>
      <c r="E180" t="s">
        <v>9547</v>
      </c>
      <c r="F180">
        <v>0</v>
      </c>
      <c r="G180" t="s">
        <v>6579</v>
      </c>
      <c r="H180" t="s">
        <v>9500</v>
      </c>
      <c r="I180">
        <v>0</v>
      </c>
      <c r="J180" t="s">
        <v>6587</v>
      </c>
      <c r="K180" t="s">
        <v>9364</v>
      </c>
      <c r="L180">
        <v>0.34499999999999997</v>
      </c>
    </row>
    <row r="181" spans="1:12" x14ac:dyDescent="0.25">
      <c r="A181" t="s">
        <v>10850</v>
      </c>
      <c r="B181" t="s">
        <v>9473</v>
      </c>
      <c r="C181">
        <v>0</v>
      </c>
      <c r="D181" t="s">
        <v>6520</v>
      </c>
      <c r="E181" t="s">
        <v>11094</v>
      </c>
      <c r="F181">
        <v>0.309</v>
      </c>
      <c r="G181" t="s">
        <v>6579</v>
      </c>
      <c r="H181" t="s">
        <v>9386</v>
      </c>
      <c r="I181">
        <v>1.087</v>
      </c>
      <c r="J181" t="s">
        <v>6587</v>
      </c>
      <c r="K181" t="s">
        <v>9500</v>
      </c>
      <c r="L181">
        <v>0.115</v>
      </c>
    </row>
    <row r="182" spans="1:12" x14ac:dyDescent="0.25">
      <c r="A182" t="s">
        <v>10850</v>
      </c>
      <c r="B182" t="s">
        <v>9486</v>
      </c>
      <c r="C182">
        <v>0</v>
      </c>
      <c r="D182" t="s">
        <v>6520</v>
      </c>
      <c r="E182" t="s">
        <v>9497</v>
      </c>
      <c r="F182">
        <v>0.69799999999999995</v>
      </c>
      <c r="G182" t="s">
        <v>6579</v>
      </c>
      <c r="H182" t="s">
        <v>9509</v>
      </c>
      <c r="I182">
        <v>0</v>
      </c>
      <c r="J182" t="s">
        <v>6587</v>
      </c>
      <c r="K182" t="s">
        <v>9386</v>
      </c>
      <c r="L182">
        <v>0</v>
      </c>
    </row>
    <row r="183" spans="1:12" x14ac:dyDescent="0.25">
      <c r="A183" t="s">
        <v>10850</v>
      </c>
      <c r="B183" t="s">
        <v>9512</v>
      </c>
      <c r="C183">
        <v>0</v>
      </c>
      <c r="D183" t="s">
        <v>6520</v>
      </c>
      <c r="E183" t="s">
        <v>11095</v>
      </c>
      <c r="F183">
        <v>0.67700000000000005</v>
      </c>
      <c r="G183" t="s">
        <v>6579</v>
      </c>
      <c r="H183" t="s">
        <v>9398</v>
      </c>
      <c r="I183">
        <v>1.181</v>
      </c>
      <c r="J183" t="s">
        <v>6587</v>
      </c>
      <c r="K183" t="s">
        <v>9509</v>
      </c>
      <c r="L183">
        <v>0.92100000000000004</v>
      </c>
    </row>
    <row r="184" spans="1:12" x14ac:dyDescent="0.25">
      <c r="A184" t="s">
        <v>10850</v>
      </c>
      <c r="B184" t="s">
        <v>9489</v>
      </c>
      <c r="C184">
        <v>0</v>
      </c>
      <c r="D184" t="s">
        <v>6520</v>
      </c>
      <c r="E184" t="s">
        <v>9554</v>
      </c>
      <c r="F184">
        <v>0</v>
      </c>
      <c r="G184" t="s">
        <v>6579</v>
      </c>
      <c r="H184" t="s">
        <v>9478</v>
      </c>
      <c r="I184">
        <v>0</v>
      </c>
      <c r="J184" t="s">
        <v>6587</v>
      </c>
      <c r="K184" t="s">
        <v>9398</v>
      </c>
      <c r="L184">
        <v>0.54700000000000004</v>
      </c>
    </row>
    <row r="185" spans="1:12" x14ac:dyDescent="0.25">
      <c r="A185" t="s">
        <v>10850</v>
      </c>
      <c r="B185" t="s">
        <v>9547</v>
      </c>
      <c r="C185">
        <v>0</v>
      </c>
      <c r="D185" t="s">
        <v>6520</v>
      </c>
      <c r="E185" t="s">
        <v>11096</v>
      </c>
      <c r="F185">
        <v>0.65500000000000003</v>
      </c>
      <c r="G185" t="s">
        <v>6579</v>
      </c>
      <c r="H185" t="s">
        <v>9453</v>
      </c>
      <c r="I185">
        <v>0.80600000000000005</v>
      </c>
      <c r="J185" t="s">
        <v>6587</v>
      </c>
      <c r="K185" t="s">
        <v>9478</v>
      </c>
      <c r="L185">
        <v>3.3119999999999998</v>
      </c>
    </row>
    <row r="186" spans="1:12" x14ac:dyDescent="0.25">
      <c r="A186" t="s">
        <v>10850</v>
      </c>
      <c r="B186" t="s">
        <v>9497</v>
      </c>
      <c r="C186">
        <v>0</v>
      </c>
      <c r="D186" t="s">
        <v>6520</v>
      </c>
      <c r="E186" t="s">
        <v>9419</v>
      </c>
      <c r="F186">
        <v>0.94399999999999995</v>
      </c>
      <c r="G186" t="s">
        <v>6579</v>
      </c>
      <c r="H186" t="s">
        <v>9465</v>
      </c>
      <c r="I186">
        <v>0</v>
      </c>
      <c r="J186" t="s">
        <v>6587</v>
      </c>
      <c r="K186" t="s">
        <v>9453</v>
      </c>
      <c r="L186">
        <v>0.374</v>
      </c>
    </row>
    <row r="187" spans="1:12" x14ac:dyDescent="0.25">
      <c r="A187" t="s">
        <v>10850</v>
      </c>
      <c r="B187" t="s">
        <v>9554</v>
      </c>
      <c r="C187">
        <v>0</v>
      </c>
      <c r="D187" t="s">
        <v>6520</v>
      </c>
      <c r="E187" t="s">
        <v>11097</v>
      </c>
      <c r="F187">
        <v>0.85699999999999998</v>
      </c>
      <c r="G187" t="s">
        <v>6579</v>
      </c>
      <c r="H187" t="s">
        <v>9462</v>
      </c>
      <c r="I187">
        <v>0.38100000000000001</v>
      </c>
      <c r="J187" t="s">
        <v>6587</v>
      </c>
      <c r="K187" t="s">
        <v>9465</v>
      </c>
      <c r="L187">
        <v>0</v>
      </c>
    </row>
    <row r="188" spans="1:12" x14ac:dyDescent="0.25">
      <c r="A188" t="s">
        <v>10850</v>
      </c>
      <c r="B188" t="s">
        <v>9419</v>
      </c>
      <c r="C188">
        <v>0</v>
      </c>
      <c r="D188" t="s">
        <v>6520</v>
      </c>
      <c r="E188" t="s">
        <v>9365</v>
      </c>
      <c r="F188">
        <v>1.3900000000000001</v>
      </c>
      <c r="G188" t="s">
        <v>6579</v>
      </c>
      <c r="H188" t="s">
        <v>9473</v>
      </c>
      <c r="I188">
        <v>0</v>
      </c>
      <c r="J188" t="s">
        <v>6587</v>
      </c>
      <c r="K188" t="s">
        <v>9462</v>
      </c>
      <c r="L188">
        <v>0.879</v>
      </c>
    </row>
    <row r="189" spans="1:12" x14ac:dyDescent="0.25">
      <c r="A189" t="s">
        <v>10850</v>
      </c>
      <c r="B189" t="s">
        <v>9365</v>
      </c>
      <c r="C189">
        <v>0</v>
      </c>
      <c r="D189" t="s">
        <v>6520</v>
      </c>
      <c r="E189" t="s">
        <v>11098</v>
      </c>
      <c r="F189">
        <v>1.0089999999999999</v>
      </c>
      <c r="G189" t="s">
        <v>6579</v>
      </c>
      <c r="H189" t="s">
        <v>9486</v>
      </c>
      <c r="I189">
        <v>0</v>
      </c>
      <c r="J189" t="s">
        <v>6587</v>
      </c>
      <c r="K189" t="s">
        <v>9473</v>
      </c>
      <c r="L189">
        <v>0</v>
      </c>
    </row>
    <row r="190" spans="1:12" x14ac:dyDescent="0.25">
      <c r="A190" t="s">
        <v>10850</v>
      </c>
      <c r="B190" t="s">
        <v>9521</v>
      </c>
      <c r="C190">
        <v>0.38900000000000001</v>
      </c>
      <c r="D190" t="s">
        <v>6521</v>
      </c>
      <c r="E190" t="s">
        <v>9344</v>
      </c>
      <c r="F190">
        <v>0</v>
      </c>
      <c r="G190" t="s">
        <v>6579</v>
      </c>
      <c r="H190" t="s">
        <v>9512</v>
      </c>
      <c r="I190">
        <v>0</v>
      </c>
      <c r="J190" t="s">
        <v>6587</v>
      </c>
      <c r="K190" t="s">
        <v>9486</v>
      </c>
      <c r="L190">
        <v>0</v>
      </c>
    </row>
    <row r="191" spans="1:12" x14ac:dyDescent="0.25">
      <c r="A191" t="s">
        <v>10850</v>
      </c>
      <c r="B191" t="s">
        <v>9430</v>
      </c>
      <c r="C191">
        <v>0.187</v>
      </c>
      <c r="D191" t="s">
        <v>6521</v>
      </c>
      <c r="E191" t="s">
        <v>10011</v>
      </c>
      <c r="F191">
        <v>0</v>
      </c>
      <c r="G191" t="s">
        <v>6579</v>
      </c>
      <c r="H191" t="s">
        <v>9489</v>
      </c>
      <c r="I191">
        <v>0</v>
      </c>
      <c r="J191" t="s">
        <v>6587</v>
      </c>
      <c r="K191" t="s">
        <v>9512</v>
      </c>
      <c r="L191">
        <v>0.252</v>
      </c>
    </row>
    <row r="192" spans="1:12" x14ac:dyDescent="0.25">
      <c r="A192" t="s">
        <v>10850</v>
      </c>
      <c r="B192" t="s">
        <v>9459</v>
      </c>
      <c r="C192">
        <v>0</v>
      </c>
      <c r="D192" t="s">
        <v>6521</v>
      </c>
      <c r="E192" t="s">
        <v>9361</v>
      </c>
      <c r="F192">
        <v>0</v>
      </c>
      <c r="G192" t="s">
        <v>6579</v>
      </c>
      <c r="H192" t="s">
        <v>9547</v>
      </c>
      <c r="I192">
        <v>0</v>
      </c>
      <c r="J192" t="s">
        <v>6587</v>
      </c>
      <c r="K192" t="s">
        <v>9489</v>
      </c>
      <c r="L192">
        <v>0</v>
      </c>
    </row>
    <row r="193" spans="1:12" x14ac:dyDescent="0.25">
      <c r="A193" t="s">
        <v>10850</v>
      </c>
      <c r="B193" t="s">
        <v>9375</v>
      </c>
      <c r="C193">
        <v>0</v>
      </c>
      <c r="D193" t="s">
        <v>6521</v>
      </c>
      <c r="E193" t="s">
        <v>9404</v>
      </c>
      <c r="F193">
        <v>0</v>
      </c>
      <c r="G193" t="s">
        <v>6579</v>
      </c>
      <c r="H193" t="s">
        <v>9497</v>
      </c>
      <c r="I193">
        <v>0</v>
      </c>
      <c r="J193" t="s">
        <v>6587</v>
      </c>
      <c r="K193" t="s">
        <v>9547</v>
      </c>
      <c r="L193">
        <v>0</v>
      </c>
    </row>
    <row r="194" spans="1:12" x14ac:dyDescent="0.25">
      <c r="A194" t="s">
        <v>10850</v>
      </c>
      <c r="B194" t="s">
        <v>9443</v>
      </c>
      <c r="C194">
        <v>0</v>
      </c>
      <c r="D194" t="s">
        <v>6521</v>
      </c>
      <c r="E194" t="s">
        <v>9315</v>
      </c>
      <c r="F194">
        <v>0</v>
      </c>
      <c r="G194" t="s">
        <v>6579</v>
      </c>
      <c r="H194" t="s">
        <v>9554</v>
      </c>
      <c r="I194">
        <v>0</v>
      </c>
      <c r="J194" t="s">
        <v>6587</v>
      </c>
      <c r="K194" t="s">
        <v>9497</v>
      </c>
      <c r="L194">
        <v>0</v>
      </c>
    </row>
    <row r="195" spans="1:12" x14ac:dyDescent="0.25">
      <c r="A195" t="s">
        <v>10850</v>
      </c>
      <c r="B195" t="s">
        <v>9371</v>
      </c>
      <c r="C195">
        <v>0</v>
      </c>
      <c r="D195" t="s">
        <v>6521</v>
      </c>
      <c r="E195" t="s">
        <v>9593</v>
      </c>
      <c r="F195">
        <v>0</v>
      </c>
      <c r="G195" t="s">
        <v>6579</v>
      </c>
      <c r="H195" t="s">
        <v>9419</v>
      </c>
      <c r="I195">
        <v>0</v>
      </c>
      <c r="J195" t="s">
        <v>6587</v>
      </c>
      <c r="K195" t="s">
        <v>9554</v>
      </c>
      <c r="L195">
        <v>0.626</v>
      </c>
    </row>
    <row r="196" spans="1:12" x14ac:dyDescent="0.25">
      <c r="A196" t="s">
        <v>10850</v>
      </c>
      <c r="B196" t="s">
        <v>9571</v>
      </c>
      <c r="C196">
        <v>0</v>
      </c>
      <c r="D196" t="s">
        <v>6521</v>
      </c>
      <c r="E196" t="s">
        <v>9395</v>
      </c>
      <c r="F196">
        <v>0</v>
      </c>
      <c r="G196" t="s">
        <v>6579</v>
      </c>
      <c r="H196" t="s">
        <v>9365</v>
      </c>
      <c r="I196">
        <v>0</v>
      </c>
      <c r="J196" t="s">
        <v>6587</v>
      </c>
      <c r="K196" t="s">
        <v>9419</v>
      </c>
      <c r="L196">
        <v>0</v>
      </c>
    </row>
    <row r="197" spans="1:12" x14ac:dyDescent="0.25">
      <c r="A197" t="s">
        <v>10850</v>
      </c>
      <c r="B197" t="s">
        <v>9468</v>
      </c>
      <c r="C197">
        <v>0</v>
      </c>
      <c r="D197" t="s">
        <v>6521</v>
      </c>
      <c r="E197" t="s">
        <v>9392</v>
      </c>
      <c r="F197">
        <v>0.14399999999999999</v>
      </c>
      <c r="G197" t="s">
        <v>6579</v>
      </c>
      <c r="H197" t="s">
        <v>9521</v>
      </c>
      <c r="I197">
        <v>0</v>
      </c>
      <c r="J197" t="s">
        <v>6587</v>
      </c>
      <c r="K197" t="s">
        <v>9365</v>
      </c>
      <c r="L197">
        <v>0.05</v>
      </c>
    </row>
    <row r="198" spans="1:12" x14ac:dyDescent="0.25">
      <c r="A198" t="s">
        <v>10850</v>
      </c>
      <c r="B198" t="s">
        <v>9580</v>
      </c>
      <c r="C198">
        <v>0</v>
      </c>
      <c r="D198" t="s">
        <v>6521</v>
      </c>
      <c r="E198" t="s">
        <v>9355</v>
      </c>
      <c r="F198">
        <v>0</v>
      </c>
      <c r="G198" t="s">
        <v>6579</v>
      </c>
      <c r="H198" t="s">
        <v>9430</v>
      </c>
      <c r="I198">
        <v>0</v>
      </c>
      <c r="J198" t="s">
        <v>6587</v>
      </c>
      <c r="K198" t="s">
        <v>9521</v>
      </c>
      <c r="L198">
        <v>1.3109999999999999</v>
      </c>
    </row>
    <row r="199" spans="1:12" x14ac:dyDescent="0.25">
      <c r="A199" t="s">
        <v>10850</v>
      </c>
      <c r="B199" t="s">
        <v>9349</v>
      </c>
      <c r="C199">
        <v>0</v>
      </c>
      <c r="D199" t="s">
        <v>6521</v>
      </c>
      <c r="E199" t="s">
        <v>9412</v>
      </c>
      <c r="F199">
        <v>0.439</v>
      </c>
      <c r="G199" t="s">
        <v>6579</v>
      </c>
      <c r="H199" t="s">
        <v>9459</v>
      </c>
      <c r="I199">
        <v>0</v>
      </c>
      <c r="J199" t="s">
        <v>6587</v>
      </c>
      <c r="K199" t="s">
        <v>9430</v>
      </c>
      <c r="L199">
        <v>0</v>
      </c>
    </row>
    <row r="200" spans="1:12" x14ac:dyDescent="0.25">
      <c r="A200" t="s">
        <v>10850</v>
      </c>
      <c r="B200" t="s">
        <v>9381</v>
      </c>
      <c r="C200">
        <v>0</v>
      </c>
      <c r="D200" t="s">
        <v>6521</v>
      </c>
      <c r="E200" t="s">
        <v>9351</v>
      </c>
      <c r="F200">
        <v>0</v>
      </c>
      <c r="G200" t="s">
        <v>6579</v>
      </c>
      <c r="H200" t="s">
        <v>9375</v>
      </c>
      <c r="I200">
        <v>0</v>
      </c>
      <c r="J200" t="s">
        <v>6587</v>
      </c>
      <c r="K200" t="s">
        <v>9459</v>
      </c>
      <c r="L200">
        <v>0</v>
      </c>
    </row>
    <row r="201" spans="1:12" x14ac:dyDescent="0.25">
      <c r="A201" t="s">
        <v>10850</v>
      </c>
      <c r="B201" t="s">
        <v>9358</v>
      </c>
      <c r="C201">
        <v>0</v>
      </c>
      <c r="D201" t="s">
        <v>6521</v>
      </c>
      <c r="E201" t="s">
        <v>9870</v>
      </c>
      <c r="F201">
        <v>0.95799999999999996</v>
      </c>
      <c r="G201" t="s">
        <v>6579</v>
      </c>
      <c r="H201" t="s">
        <v>9443</v>
      </c>
      <c r="I201">
        <v>0</v>
      </c>
      <c r="J201" t="s">
        <v>6587</v>
      </c>
      <c r="K201" t="s">
        <v>9375</v>
      </c>
      <c r="L201">
        <v>0.48199999999999998</v>
      </c>
    </row>
    <row r="202" spans="1:12" x14ac:dyDescent="0.25">
      <c r="A202" t="s">
        <v>10850</v>
      </c>
      <c r="B202" t="s">
        <v>9924</v>
      </c>
      <c r="C202">
        <v>0</v>
      </c>
      <c r="D202" t="s">
        <v>6521</v>
      </c>
      <c r="E202" t="s">
        <v>9409</v>
      </c>
      <c r="F202">
        <v>0</v>
      </c>
      <c r="G202" t="s">
        <v>6579</v>
      </c>
      <c r="H202" t="s">
        <v>9371</v>
      </c>
      <c r="I202">
        <v>0</v>
      </c>
      <c r="J202" t="s">
        <v>6587</v>
      </c>
      <c r="K202" t="s">
        <v>9443</v>
      </c>
      <c r="L202">
        <v>0</v>
      </c>
    </row>
    <row r="203" spans="1:12" x14ac:dyDescent="0.25">
      <c r="A203" t="s">
        <v>10850</v>
      </c>
      <c r="B203" t="s">
        <v>9368</v>
      </c>
      <c r="C203">
        <v>0</v>
      </c>
      <c r="D203" t="s">
        <v>6521</v>
      </c>
      <c r="E203" t="s">
        <v>10076</v>
      </c>
      <c r="F203">
        <v>0.439</v>
      </c>
      <c r="G203" t="s">
        <v>6579</v>
      </c>
      <c r="H203" t="s">
        <v>9571</v>
      </c>
      <c r="I203">
        <v>0</v>
      </c>
      <c r="J203" t="s">
        <v>6587</v>
      </c>
      <c r="K203" t="s">
        <v>9371</v>
      </c>
      <c r="L203">
        <v>0.78500000000000003</v>
      </c>
    </row>
    <row r="204" spans="1:12" x14ac:dyDescent="0.25">
      <c r="A204" t="s">
        <v>10850</v>
      </c>
      <c r="B204" t="s">
        <v>9481</v>
      </c>
      <c r="C204">
        <v>0</v>
      </c>
      <c r="D204" t="s">
        <v>6521</v>
      </c>
      <c r="E204" t="s">
        <v>9492</v>
      </c>
      <c r="F204">
        <v>0</v>
      </c>
      <c r="G204" t="s">
        <v>6579</v>
      </c>
      <c r="H204" t="s">
        <v>9468</v>
      </c>
      <c r="I204">
        <v>0</v>
      </c>
      <c r="J204" t="s">
        <v>6587</v>
      </c>
      <c r="K204" t="s">
        <v>9571</v>
      </c>
      <c r="L204">
        <v>0</v>
      </c>
    </row>
    <row r="205" spans="1:12" x14ac:dyDescent="0.25">
      <c r="A205" t="s">
        <v>10850</v>
      </c>
      <c r="B205" t="s">
        <v>9378</v>
      </c>
      <c r="C205">
        <v>0</v>
      </c>
      <c r="D205" t="s">
        <v>6521</v>
      </c>
      <c r="E205" t="s">
        <v>9766</v>
      </c>
      <c r="F205">
        <v>0.23699999999999999</v>
      </c>
      <c r="G205" t="s">
        <v>6579</v>
      </c>
      <c r="H205" t="s">
        <v>9580</v>
      </c>
      <c r="I205">
        <v>0</v>
      </c>
      <c r="J205" t="s">
        <v>6587</v>
      </c>
      <c r="K205" t="s">
        <v>9468</v>
      </c>
      <c r="L205">
        <v>0</v>
      </c>
    </row>
    <row r="206" spans="1:12" x14ac:dyDescent="0.25">
      <c r="A206" t="s">
        <v>10850</v>
      </c>
      <c r="B206" t="s">
        <v>9527</v>
      </c>
      <c r="C206">
        <v>0</v>
      </c>
      <c r="D206" t="s">
        <v>6521</v>
      </c>
      <c r="E206" t="s">
        <v>9364</v>
      </c>
      <c r="F206">
        <v>0</v>
      </c>
      <c r="G206" t="s">
        <v>6579</v>
      </c>
      <c r="H206" t="s">
        <v>9349</v>
      </c>
      <c r="I206">
        <v>0</v>
      </c>
      <c r="J206" t="s">
        <v>6587</v>
      </c>
      <c r="K206" t="s">
        <v>9580</v>
      </c>
      <c r="L206">
        <v>0.46800000000000003</v>
      </c>
    </row>
    <row r="207" spans="1:12" x14ac:dyDescent="0.25">
      <c r="A207" t="s">
        <v>10850</v>
      </c>
      <c r="B207" t="s">
        <v>9389</v>
      </c>
      <c r="C207">
        <v>0</v>
      </c>
      <c r="D207" t="s">
        <v>6521</v>
      </c>
      <c r="E207" t="s">
        <v>9771</v>
      </c>
      <c r="F207">
        <v>0.93500000000000005</v>
      </c>
      <c r="G207" t="s">
        <v>6579</v>
      </c>
      <c r="H207" t="s">
        <v>9381</v>
      </c>
      <c r="I207">
        <v>0</v>
      </c>
      <c r="J207" t="s">
        <v>6587</v>
      </c>
      <c r="K207" t="s">
        <v>9349</v>
      </c>
      <c r="L207">
        <v>1.6930000000000001</v>
      </c>
    </row>
    <row r="208" spans="1:12" x14ac:dyDescent="0.25">
      <c r="A208" t="s">
        <v>10850</v>
      </c>
      <c r="B208" t="s">
        <v>9620</v>
      </c>
      <c r="C208">
        <v>0</v>
      </c>
      <c r="D208" t="s">
        <v>6521</v>
      </c>
      <c r="E208" t="s">
        <v>9500</v>
      </c>
      <c r="F208">
        <v>0</v>
      </c>
      <c r="G208" t="s">
        <v>6579</v>
      </c>
      <c r="H208" t="s">
        <v>9358</v>
      </c>
      <c r="I208">
        <v>0</v>
      </c>
      <c r="J208" t="s">
        <v>6587</v>
      </c>
      <c r="K208" t="s">
        <v>9381</v>
      </c>
      <c r="L208">
        <v>1.0149999999999999</v>
      </c>
    </row>
    <row r="209" spans="1:12" x14ac:dyDescent="0.25">
      <c r="A209" t="s">
        <v>10850</v>
      </c>
      <c r="B209" t="s">
        <v>9401</v>
      </c>
      <c r="C209">
        <v>0</v>
      </c>
      <c r="D209" t="s">
        <v>6521</v>
      </c>
      <c r="E209" t="s">
        <v>10067</v>
      </c>
      <c r="F209">
        <v>0.16500000000000001</v>
      </c>
      <c r="G209" t="s">
        <v>6579</v>
      </c>
      <c r="H209" t="s">
        <v>9924</v>
      </c>
      <c r="I209">
        <v>0</v>
      </c>
      <c r="J209" t="s">
        <v>6587</v>
      </c>
      <c r="K209" t="s">
        <v>9358</v>
      </c>
      <c r="L209">
        <v>1.087</v>
      </c>
    </row>
    <row r="210" spans="1:12" x14ac:dyDescent="0.25">
      <c r="A210" t="s">
        <v>10850</v>
      </c>
      <c r="B210" t="s">
        <v>9528</v>
      </c>
      <c r="C210">
        <v>0</v>
      </c>
      <c r="D210" t="s">
        <v>6521</v>
      </c>
      <c r="E210" t="s">
        <v>9386</v>
      </c>
      <c r="F210">
        <v>0</v>
      </c>
      <c r="G210" t="s">
        <v>6579</v>
      </c>
      <c r="H210" t="s">
        <v>9368</v>
      </c>
      <c r="I210">
        <v>0</v>
      </c>
      <c r="J210" t="s">
        <v>6587</v>
      </c>
      <c r="K210" t="s">
        <v>9924</v>
      </c>
      <c r="L210">
        <v>3.0329999999999999</v>
      </c>
    </row>
    <row r="211" spans="1:12" x14ac:dyDescent="0.25">
      <c r="A211" t="s">
        <v>10850</v>
      </c>
      <c r="B211" t="s">
        <v>9524</v>
      </c>
      <c r="C211">
        <v>0</v>
      </c>
      <c r="D211" t="s">
        <v>6521</v>
      </c>
      <c r="E211" t="s">
        <v>10062</v>
      </c>
      <c r="F211">
        <v>0.38100000000000001</v>
      </c>
      <c r="G211" t="s">
        <v>6579</v>
      </c>
      <c r="H211" t="s">
        <v>9481</v>
      </c>
      <c r="I211">
        <v>0</v>
      </c>
      <c r="J211" t="s">
        <v>6587</v>
      </c>
      <c r="K211" t="s">
        <v>9368</v>
      </c>
      <c r="L211">
        <v>0</v>
      </c>
    </row>
    <row r="212" spans="1:12" x14ac:dyDescent="0.25">
      <c r="A212" t="s">
        <v>10850</v>
      </c>
      <c r="B212" t="s">
        <v>9456</v>
      </c>
      <c r="C212">
        <v>0</v>
      </c>
      <c r="D212" t="s">
        <v>6521</v>
      </c>
      <c r="E212" t="s">
        <v>9509</v>
      </c>
      <c r="F212">
        <v>0</v>
      </c>
      <c r="G212" t="s">
        <v>6579</v>
      </c>
      <c r="H212" t="s">
        <v>9378</v>
      </c>
      <c r="I212">
        <v>0</v>
      </c>
      <c r="J212" t="s">
        <v>6590</v>
      </c>
      <c r="K212" t="s">
        <v>9344</v>
      </c>
      <c r="L212">
        <v>0.23699999999999999</v>
      </c>
    </row>
    <row r="213" spans="1:12" x14ac:dyDescent="0.25">
      <c r="A213" t="s">
        <v>10850</v>
      </c>
      <c r="B213" t="s">
        <v>9533</v>
      </c>
      <c r="C213">
        <v>0</v>
      </c>
      <c r="D213" t="s">
        <v>6521</v>
      </c>
      <c r="E213" t="s">
        <v>10052</v>
      </c>
      <c r="F213">
        <v>0.58299999999999996</v>
      </c>
      <c r="G213" t="s">
        <v>6579</v>
      </c>
      <c r="H213" t="s">
        <v>9527</v>
      </c>
      <c r="I213">
        <v>0</v>
      </c>
      <c r="J213" t="s">
        <v>6590</v>
      </c>
      <c r="K213" t="s">
        <v>9361</v>
      </c>
      <c r="L213">
        <v>0.252</v>
      </c>
    </row>
    <row r="214" spans="1:12" x14ac:dyDescent="0.25">
      <c r="A214" t="s">
        <v>10851</v>
      </c>
      <c r="B214" t="s">
        <v>9344</v>
      </c>
      <c r="C214">
        <v>0</v>
      </c>
      <c r="D214" t="s">
        <v>6521</v>
      </c>
      <c r="E214" t="s">
        <v>9398</v>
      </c>
      <c r="F214">
        <v>0</v>
      </c>
      <c r="G214" t="s">
        <v>6579</v>
      </c>
      <c r="H214" t="s">
        <v>9389</v>
      </c>
      <c r="I214">
        <v>0</v>
      </c>
      <c r="J214" t="s">
        <v>6590</v>
      </c>
      <c r="K214" t="s">
        <v>9315</v>
      </c>
      <c r="L214">
        <v>0.54700000000000004</v>
      </c>
    </row>
    <row r="215" spans="1:12" x14ac:dyDescent="0.25">
      <c r="A215" t="s">
        <v>10851</v>
      </c>
      <c r="B215" t="s">
        <v>9361</v>
      </c>
      <c r="C215">
        <v>0</v>
      </c>
      <c r="D215" t="s">
        <v>6521</v>
      </c>
      <c r="E215" t="s">
        <v>10057</v>
      </c>
      <c r="F215">
        <v>0</v>
      </c>
      <c r="G215" t="s">
        <v>6579</v>
      </c>
      <c r="H215" t="s">
        <v>9620</v>
      </c>
      <c r="I215">
        <v>0</v>
      </c>
      <c r="J215" t="s">
        <v>6590</v>
      </c>
      <c r="K215" t="s">
        <v>9395</v>
      </c>
      <c r="L215">
        <v>0</v>
      </c>
    </row>
    <row r="216" spans="1:12" x14ac:dyDescent="0.25">
      <c r="A216" t="s">
        <v>10851</v>
      </c>
      <c r="B216" t="s">
        <v>9315</v>
      </c>
      <c r="C216">
        <v>0</v>
      </c>
      <c r="D216" t="s">
        <v>6521</v>
      </c>
      <c r="E216" t="s">
        <v>9478</v>
      </c>
      <c r="F216">
        <v>0</v>
      </c>
      <c r="G216" t="s">
        <v>6579</v>
      </c>
      <c r="H216" t="s">
        <v>9401</v>
      </c>
      <c r="I216">
        <v>0</v>
      </c>
      <c r="J216" t="s">
        <v>6590</v>
      </c>
      <c r="K216" t="s">
        <v>9355</v>
      </c>
      <c r="L216">
        <v>0.69799999999999995</v>
      </c>
    </row>
    <row r="217" spans="1:12" x14ac:dyDescent="0.25">
      <c r="A217" t="s">
        <v>10851</v>
      </c>
      <c r="B217" t="s">
        <v>9395</v>
      </c>
      <c r="C217">
        <v>0</v>
      </c>
      <c r="D217" t="s">
        <v>6521</v>
      </c>
      <c r="E217" t="s">
        <v>11086</v>
      </c>
      <c r="F217">
        <v>0</v>
      </c>
      <c r="G217" t="s">
        <v>6579</v>
      </c>
      <c r="H217" t="s">
        <v>9528</v>
      </c>
      <c r="I217">
        <v>0</v>
      </c>
      <c r="J217" t="s">
        <v>6590</v>
      </c>
      <c r="K217" t="s">
        <v>9351</v>
      </c>
      <c r="L217">
        <v>0.36</v>
      </c>
    </row>
    <row r="218" spans="1:12" x14ac:dyDescent="0.25">
      <c r="A218" t="s">
        <v>10851</v>
      </c>
      <c r="B218" t="s">
        <v>9355</v>
      </c>
      <c r="C218">
        <v>0</v>
      </c>
      <c r="D218" t="s">
        <v>6521</v>
      </c>
      <c r="E218" t="s">
        <v>9453</v>
      </c>
      <c r="F218">
        <v>0</v>
      </c>
      <c r="G218" t="s">
        <v>6579</v>
      </c>
      <c r="H218" t="s">
        <v>9524</v>
      </c>
      <c r="I218">
        <v>0</v>
      </c>
      <c r="J218" t="s">
        <v>6590</v>
      </c>
      <c r="K218" t="s">
        <v>9409</v>
      </c>
      <c r="L218">
        <v>0.56899999999999995</v>
      </c>
    </row>
    <row r="219" spans="1:12" x14ac:dyDescent="0.25">
      <c r="A219" t="s">
        <v>10851</v>
      </c>
      <c r="B219" t="s">
        <v>9351</v>
      </c>
      <c r="C219">
        <v>0</v>
      </c>
      <c r="D219" t="s">
        <v>6521</v>
      </c>
      <c r="E219" t="s">
        <v>11087</v>
      </c>
      <c r="F219">
        <v>0</v>
      </c>
      <c r="G219" t="s">
        <v>6579</v>
      </c>
      <c r="H219" t="s">
        <v>9456</v>
      </c>
      <c r="I219">
        <v>0</v>
      </c>
      <c r="J219" t="s">
        <v>6590</v>
      </c>
      <c r="K219" t="s">
        <v>9492</v>
      </c>
      <c r="L219">
        <v>0.439</v>
      </c>
    </row>
    <row r="220" spans="1:12" x14ac:dyDescent="0.25">
      <c r="A220" t="s">
        <v>10851</v>
      </c>
      <c r="B220" t="s">
        <v>9409</v>
      </c>
      <c r="C220">
        <v>0</v>
      </c>
      <c r="D220" t="s">
        <v>6521</v>
      </c>
      <c r="E220" t="s">
        <v>9465</v>
      </c>
      <c r="F220">
        <v>0</v>
      </c>
      <c r="G220" t="s">
        <v>6579</v>
      </c>
      <c r="H220" t="s">
        <v>9533</v>
      </c>
      <c r="I220">
        <v>0</v>
      </c>
      <c r="J220" t="s">
        <v>6590</v>
      </c>
      <c r="K220" t="s">
        <v>9364</v>
      </c>
      <c r="L220">
        <v>0.57599999999999996</v>
      </c>
    </row>
    <row r="221" spans="1:12" x14ac:dyDescent="0.25">
      <c r="A221" t="s">
        <v>10851</v>
      </c>
      <c r="B221" t="s">
        <v>9492</v>
      </c>
      <c r="C221">
        <v>0</v>
      </c>
      <c r="D221" t="s">
        <v>6521</v>
      </c>
      <c r="E221" t="s">
        <v>11088</v>
      </c>
      <c r="F221">
        <v>0</v>
      </c>
      <c r="G221" t="s">
        <v>6580</v>
      </c>
      <c r="H221" t="s">
        <v>9344</v>
      </c>
      <c r="I221">
        <v>0</v>
      </c>
      <c r="J221" t="s">
        <v>6590</v>
      </c>
      <c r="K221" t="s">
        <v>9500</v>
      </c>
      <c r="L221">
        <v>0.51800000000000002</v>
      </c>
    </row>
    <row r="222" spans="1:12" x14ac:dyDescent="0.25">
      <c r="A222" t="s">
        <v>10851</v>
      </c>
      <c r="B222" t="s">
        <v>9364</v>
      </c>
      <c r="C222">
        <v>0</v>
      </c>
      <c r="D222" t="s">
        <v>6521</v>
      </c>
      <c r="E222" t="s">
        <v>9462</v>
      </c>
      <c r="F222">
        <v>0</v>
      </c>
      <c r="G222" t="s">
        <v>6580</v>
      </c>
      <c r="H222" t="s">
        <v>9361</v>
      </c>
      <c r="I222">
        <v>2.823</v>
      </c>
      <c r="J222" t="s">
        <v>6588</v>
      </c>
      <c r="K222" t="s">
        <v>9344</v>
      </c>
      <c r="L222">
        <v>1.109</v>
      </c>
    </row>
    <row r="223" spans="1:12" x14ac:dyDescent="0.25">
      <c r="A223" t="s">
        <v>10851</v>
      </c>
      <c r="B223" t="s">
        <v>9500</v>
      </c>
      <c r="C223">
        <v>0</v>
      </c>
      <c r="D223" t="s">
        <v>6521</v>
      </c>
      <c r="E223" t="s">
        <v>11089</v>
      </c>
      <c r="F223">
        <v>8.5999999999999993E-2</v>
      </c>
      <c r="G223" t="s">
        <v>6580</v>
      </c>
      <c r="H223" t="s">
        <v>9315</v>
      </c>
      <c r="I223">
        <v>0</v>
      </c>
      <c r="J223" t="s">
        <v>6588</v>
      </c>
      <c r="K223" t="s">
        <v>9361</v>
      </c>
      <c r="L223">
        <v>0.38800000000000001</v>
      </c>
    </row>
    <row r="224" spans="1:12" x14ac:dyDescent="0.25">
      <c r="A224" t="s">
        <v>10851</v>
      </c>
      <c r="B224" t="s">
        <v>9386</v>
      </c>
      <c r="C224">
        <v>0</v>
      </c>
      <c r="D224" t="s">
        <v>6521</v>
      </c>
      <c r="E224" t="s">
        <v>9473</v>
      </c>
      <c r="F224">
        <v>0</v>
      </c>
      <c r="G224" t="s">
        <v>6580</v>
      </c>
      <c r="H224" t="s">
        <v>9395</v>
      </c>
      <c r="I224">
        <v>1.137</v>
      </c>
      <c r="J224" t="s">
        <v>6588</v>
      </c>
      <c r="K224" t="s">
        <v>9315</v>
      </c>
      <c r="L224">
        <v>0.69199999999999995</v>
      </c>
    </row>
    <row r="225" spans="1:12" x14ac:dyDescent="0.25">
      <c r="A225" t="s">
        <v>10851</v>
      </c>
      <c r="B225" t="s">
        <v>9509</v>
      </c>
      <c r="C225">
        <v>0</v>
      </c>
      <c r="D225" t="s">
        <v>6521</v>
      </c>
      <c r="E225" t="s">
        <v>11090</v>
      </c>
      <c r="F225">
        <v>3.5999999999999997E-2</v>
      </c>
      <c r="G225" t="s">
        <v>6580</v>
      </c>
      <c r="H225" t="s">
        <v>9355</v>
      </c>
      <c r="I225">
        <v>0</v>
      </c>
      <c r="J225" t="s">
        <v>6588</v>
      </c>
      <c r="K225" t="s">
        <v>9395</v>
      </c>
      <c r="L225">
        <v>0</v>
      </c>
    </row>
    <row r="226" spans="1:12" x14ac:dyDescent="0.25">
      <c r="A226" t="s">
        <v>10851</v>
      </c>
      <c r="B226" t="s">
        <v>9398</v>
      </c>
      <c r="C226">
        <v>0</v>
      </c>
      <c r="D226" t="s">
        <v>6521</v>
      </c>
      <c r="E226" t="s">
        <v>9486</v>
      </c>
      <c r="F226">
        <v>0</v>
      </c>
      <c r="G226" t="s">
        <v>6580</v>
      </c>
      <c r="H226" t="s">
        <v>9351</v>
      </c>
      <c r="I226">
        <v>0.14399999999999999</v>
      </c>
      <c r="J226" t="s">
        <v>6588</v>
      </c>
      <c r="K226" t="s">
        <v>9355</v>
      </c>
      <c r="L226">
        <v>0.95099999999999996</v>
      </c>
    </row>
    <row r="227" spans="1:12" x14ac:dyDescent="0.25">
      <c r="A227" t="s">
        <v>10851</v>
      </c>
      <c r="B227" t="s">
        <v>9478</v>
      </c>
      <c r="C227">
        <v>0</v>
      </c>
      <c r="D227" t="s">
        <v>6521</v>
      </c>
      <c r="E227" t="s">
        <v>11091</v>
      </c>
      <c r="F227">
        <v>0.35299999999999998</v>
      </c>
      <c r="G227" t="s">
        <v>6580</v>
      </c>
      <c r="H227" t="s">
        <v>9409</v>
      </c>
      <c r="I227">
        <v>0</v>
      </c>
      <c r="J227" t="s">
        <v>6588</v>
      </c>
      <c r="K227" t="s">
        <v>9351</v>
      </c>
      <c r="L227">
        <v>0.27300000000000002</v>
      </c>
    </row>
    <row r="228" spans="1:12" x14ac:dyDescent="0.25">
      <c r="A228" t="s">
        <v>10851</v>
      </c>
      <c r="B228" t="s">
        <v>9453</v>
      </c>
      <c r="C228">
        <v>0</v>
      </c>
      <c r="D228" t="s">
        <v>6521</v>
      </c>
      <c r="E228" t="s">
        <v>9512</v>
      </c>
      <c r="F228">
        <v>1.044</v>
      </c>
      <c r="G228" t="s">
        <v>6580</v>
      </c>
      <c r="H228" t="s">
        <v>9492</v>
      </c>
      <c r="I228">
        <v>0.74099999999999999</v>
      </c>
      <c r="J228" t="s">
        <v>6588</v>
      </c>
      <c r="K228" t="s">
        <v>9409</v>
      </c>
      <c r="L228">
        <v>0.878</v>
      </c>
    </row>
    <row r="229" spans="1:12" x14ac:dyDescent="0.25">
      <c r="A229" t="s">
        <v>10851</v>
      </c>
      <c r="B229" t="s">
        <v>9465</v>
      </c>
      <c r="C229">
        <v>0</v>
      </c>
      <c r="D229" t="s">
        <v>6521</v>
      </c>
      <c r="E229" t="s">
        <v>11092</v>
      </c>
      <c r="F229">
        <v>0.45300000000000001</v>
      </c>
      <c r="G229" t="s">
        <v>6580</v>
      </c>
      <c r="H229" t="s">
        <v>9364</v>
      </c>
      <c r="I229">
        <v>0</v>
      </c>
      <c r="J229" t="s">
        <v>6588</v>
      </c>
      <c r="K229" t="s">
        <v>9492</v>
      </c>
      <c r="L229">
        <v>0.43099999999999999</v>
      </c>
    </row>
    <row r="230" spans="1:12" x14ac:dyDescent="0.25">
      <c r="A230" t="s">
        <v>10851</v>
      </c>
      <c r="B230" t="s">
        <v>9462</v>
      </c>
      <c r="C230">
        <v>0</v>
      </c>
      <c r="D230" t="s">
        <v>6521</v>
      </c>
      <c r="E230" t="s">
        <v>9489</v>
      </c>
      <c r="F230">
        <v>0.29499999999999998</v>
      </c>
      <c r="G230" t="s">
        <v>6580</v>
      </c>
      <c r="H230" t="s">
        <v>9500</v>
      </c>
      <c r="I230">
        <v>0.19400000000000001</v>
      </c>
      <c r="J230" t="s">
        <v>6588</v>
      </c>
      <c r="K230" t="s">
        <v>9364</v>
      </c>
      <c r="L230">
        <v>0.36699999999999999</v>
      </c>
    </row>
    <row r="231" spans="1:12" x14ac:dyDescent="0.25">
      <c r="A231" t="s">
        <v>10851</v>
      </c>
      <c r="B231" t="s">
        <v>9473</v>
      </c>
      <c r="C231">
        <v>0</v>
      </c>
      <c r="D231" t="s">
        <v>6521</v>
      </c>
      <c r="E231" t="s">
        <v>11093</v>
      </c>
      <c r="F231">
        <v>0.432</v>
      </c>
      <c r="G231" t="s">
        <v>6580</v>
      </c>
      <c r="H231" t="s">
        <v>9386</v>
      </c>
      <c r="I231">
        <v>0.38100000000000001</v>
      </c>
      <c r="J231" t="s">
        <v>6588</v>
      </c>
      <c r="K231" t="s">
        <v>9500</v>
      </c>
      <c r="L231">
        <v>0.55400000000000005</v>
      </c>
    </row>
    <row r="232" spans="1:12" x14ac:dyDescent="0.25">
      <c r="A232" t="s">
        <v>10851</v>
      </c>
      <c r="B232" t="s">
        <v>9486</v>
      </c>
      <c r="C232">
        <v>0</v>
      </c>
      <c r="D232" t="s">
        <v>6521</v>
      </c>
      <c r="E232" t="s">
        <v>9547</v>
      </c>
      <c r="F232">
        <v>0</v>
      </c>
      <c r="G232" t="s">
        <v>6580</v>
      </c>
      <c r="H232" t="s">
        <v>9509</v>
      </c>
      <c r="I232">
        <v>0.30199999999999999</v>
      </c>
      <c r="K232"/>
      <c r="L232"/>
    </row>
    <row r="233" spans="1:12" x14ac:dyDescent="0.25">
      <c r="A233" t="s">
        <v>10851</v>
      </c>
      <c r="B233" t="s">
        <v>9512</v>
      </c>
      <c r="C233">
        <v>0</v>
      </c>
      <c r="D233" t="s">
        <v>6521</v>
      </c>
      <c r="E233" t="s">
        <v>11094</v>
      </c>
      <c r="F233">
        <v>0.25900000000000001</v>
      </c>
      <c r="G233" t="s">
        <v>6580</v>
      </c>
      <c r="H233" t="s">
        <v>9398</v>
      </c>
      <c r="I233">
        <v>0.32400000000000001</v>
      </c>
      <c r="K233"/>
      <c r="L233"/>
    </row>
    <row r="234" spans="1:12" x14ac:dyDescent="0.25">
      <c r="A234" t="s">
        <v>10851</v>
      </c>
      <c r="B234" t="s">
        <v>9489</v>
      </c>
      <c r="C234">
        <v>0</v>
      </c>
      <c r="D234" t="s">
        <v>6521</v>
      </c>
      <c r="E234" t="s">
        <v>9497</v>
      </c>
      <c r="F234">
        <v>0.72</v>
      </c>
      <c r="G234" t="s">
        <v>6580</v>
      </c>
      <c r="H234" t="s">
        <v>9478</v>
      </c>
      <c r="I234">
        <v>1.1879999999999999</v>
      </c>
      <c r="K234"/>
      <c r="L234"/>
    </row>
    <row r="235" spans="1:12" x14ac:dyDescent="0.25">
      <c r="A235" t="s">
        <v>10851</v>
      </c>
      <c r="B235" t="s">
        <v>9547</v>
      </c>
      <c r="C235">
        <v>0</v>
      </c>
      <c r="D235" t="s">
        <v>6521</v>
      </c>
      <c r="E235" t="s">
        <v>11095</v>
      </c>
      <c r="F235">
        <v>0.504</v>
      </c>
      <c r="G235" t="s">
        <v>6580</v>
      </c>
      <c r="H235" t="s">
        <v>9453</v>
      </c>
      <c r="I235">
        <v>0.72699999999999998</v>
      </c>
      <c r="K235"/>
      <c r="L235"/>
    </row>
    <row r="236" spans="1:12" x14ac:dyDescent="0.25">
      <c r="A236" t="s">
        <v>10851</v>
      </c>
      <c r="B236" t="s">
        <v>9497</v>
      </c>
      <c r="C236">
        <v>0</v>
      </c>
      <c r="D236" t="s">
        <v>6521</v>
      </c>
      <c r="E236" t="s">
        <v>9554</v>
      </c>
      <c r="F236">
        <v>0</v>
      </c>
      <c r="G236" t="s">
        <v>6580</v>
      </c>
      <c r="H236" t="s">
        <v>9465</v>
      </c>
      <c r="I236">
        <v>0.74199999999999999</v>
      </c>
      <c r="K236"/>
      <c r="L236"/>
    </row>
    <row r="237" spans="1:12" x14ac:dyDescent="0.25">
      <c r="A237" t="s">
        <v>10851</v>
      </c>
      <c r="B237" t="s">
        <v>9554</v>
      </c>
      <c r="C237">
        <v>0</v>
      </c>
      <c r="D237" t="s">
        <v>6521</v>
      </c>
      <c r="E237" t="s">
        <v>11096</v>
      </c>
      <c r="F237">
        <v>0.497</v>
      </c>
      <c r="G237" t="s">
        <v>6580</v>
      </c>
      <c r="H237" t="s">
        <v>9462</v>
      </c>
      <c r="I237">
        <v>0.20799999999999999</v>
      </c>
      <c r="K237"/>
      <c r="L237"/>
    </row>
    <row r="238" spans="1:12" x14ac:dyDescent="0.25">
      <c r="A238" t="s">
        <v>10851</v>
      </c>
      <c r="B238" t="s">
        <v>9419</v>
      </c>
      <c r="C238">
        <v>0</v>
      </c>
      <c r="D238" t="s">
        <v>6521</v>
      </c>
      <c r="E238" t="s">
        <v>9419</v>
      </c>
      <c r="F238">
        <v>1.0009999999999999</v>
      </c>
      <c r="G238" t="s">
        <v>6580</v>
      </c>
      <c r="H238" t="s">
        <v>9473</v>
      </c>
      <c r="I238">
        <v>0</v>
      </c>
      <c r="K238"/>
      <c r="L238"/>
    </row>
    <row r="239" spans="1:12" x14ac:dyDescent="0.25">
      <c r="A239" t="s">
        <v>10851</v>
      </c>
      <c r="B239" t="s">
        <v>9365</v>
      </c>
      <c r="C239">
        <v>0</v>
      </c>
      <c r="D239" t="s">
        <v>6521</v>
      </c>
      <c r="E239" t="s">
        <v>11097</v>
      </c>
      <c r="F239">
        <v>0.79100000000000004</v>
      </c>
      <c r="G239" t="s">
        <v>6580</v>
      </c>
      <c r="H239" t="s">
        <v>9486</v>
      </c>
      <c r="I239">
        <v>0</v>
      </c>
      <c r="K239"/>
      <c r="L239"/>
    </row>
    <row r="240" spans="1:12" x14ac:dyDescent="0.25">
      <c r="A240" t="s">
        <v>10851</v>
      </c>
      <c r="B240" t="s">
        <v>9521</v>
      </c>
      <c r="C240">
        <v>0</v>
      </c>
      <c r="D240" t="s">
        <v>6521</v>
      </c>
      <c r="E240" t="s">
        <v>9365</v>
      </c>
      <c r="F240">
        <v>1.347</v>
      </c>
      <c r="G240" t="s">
        <v>6580</v>
      </c>
      <c r="H240" t="s">
        <v>9512</v>
      </c>
      <c r="I240">
        <v>0</v>
      </c>
      <c r="K240"/>
      <c r="L240"/>
    </row>
    <row r="241" spans="1:12" x14ac:dyDescent="0.25">
      <c r="A241" t="s">
        <v>10851</v>
      </c>
      <c r="B241" t="s">
        <v>9430</v>
      </c>
      <c r="C241">
        <v>0</v>
      </c>
      <c r="D241" t="s">
        <v>6521</v>
      </c>
      <c r="E241" t="s">
        <v>11098</v>
      </c>
      <c r="F241">
        <v>0.95799999999999996</v>
      </c>
      <c r="G241" t="s">
        <v>6580</v>
      </c>
      <c r="H241" t="s">
        <v>9489</v>
      </c>
      <c r="I241">
        <v>0</v>
      </c>
      <c r="K241"/>
      <c r="L241"/>
    </row>
    <row r="242" spans="1:12" x14ac:dyDescent="0.25">
      <c r="A242" t="s">
        <v>10851</v>
      </c>
      <c r="B242" t="s">
        <v>9459</v>
      </c>
      <c r="C242">
        <v>0</v>
      </c>
      <c r="D242" t="s">
        <v>6522</v>
      </c>
      <c r="E242" t="s">
        <v>9344</v>
      </c>
      <c r="F242">
        <v>0</v>
      </c>
      <c r="G242" t="s">
        <v>6580</v>
      </c>
      <c r="H242" t="s">
        <v>9547</v>
      </c>
      <c r="I242">
        <v>0</v>
      </c>
      <c r="K242"/>
      <c r="L242"/>
    </row>
    <row r="243" spans="1:12" x14ac:dyDescent="0.25">
      <c r="A243" t="s">
        <v>10851</v>
      </c>
      <c r="B243" t="s">
        <v>9375</v>
      </c>
      <c r="C243">
        <v>0</v>
      </c>
      <c r="D243" t="s">
        <v>6522</v>
      </c>
      <c r="E243" t="s">
        <v>9361</v>
      </c>
      <c r="F243">
        <v>0</v>
      </c>
      <c r="G243" t="s">
        <v>6580</v>
      </c>
      <c r="H243" t="s">
        <v>9497</v>
      </c>
      <c r="I243">
        <v>0</v>
      </c>
      <c r="K243"/>
      <c r="L243"/>
    </row>
    <row r="244" spans="1:12" x14ac:dyDescent="0.25">
      <c r="A244" t="s">
        <v>10851</v>
      </c>
      <c r="B244" t="s">
        <v>9443</v>
      </c>
      <c r="C244">
        <v>0</v>
      </c>
      <c r="D244" t="s">
        <v>6522</v>
      </c>
      <c r="E244" t="s">
        <v>9315</v>
      </c>
      <c r="F244">
        <v>0</v>
      </c>
      <c r="G244" t="s">
        <v>6580</v>
      </c>
      <c r="H244" t="s">
        <v>9554</v>
      </c>
      <c r="I244">
        <v>0</v>
      </c>
      <c r="K244"/>
      <c r="L244"/>
    </row>
    <row r="245" spans="1:12" x14ac:dyDescent="0.25">
      <c r="A245" t="s">
        <v>10851</v>
      </c>
      <c r="B245" t="s">
        <v>9371</v>
      </c>
      <c r="C245">
        <v>0</v>
      </c>
      <c r="D245" t="s">
        <v>6522</v>
      </c>
      <c r="E245" t="s">
        <v>9395</v>
      </c>
      <c r="F245">
        <v>0</v>
      </c>
      <c r="G245" t="s">
        <v>6580</v>
      </c>
      <c r="H245" t="s">
        <v>9419</v>
      </c>
      <c r="I245">
        <v>2.6139999999999999</v>
      </c>
      <c r="K245"/>
      <c r="L245"/>
    </row>
    <row r="246" spans="1:12" x14ac:dyDescent="0.25">
      <c r="A246" t="s">
        <v>10851</v>
      </c>
      <c r="B246" t="s">
        <v>9571</v>
      </c>
      <c r="C246">
        <v>0</v>
      </c>
      <c r="D246" t="s">
        <v>6522</v>
      </c>
      <c r="E246" t="s">
        <v>9355</v>
      </c>
      <c r="F246">
        <v>0</v>
      </c>
      <c r="G246" t="s">
        <v>6580</v>
      </c>
      <c r="H246" t="s">
        <v>9365</v>
      </c>
      <c r="I246">
        <v>0</v>
      </c>
      <c r="K246"/>
      <c r="L246"/>
    </row>
    <row r="247" spans="1:12" x14ac:dyDescent="0.25">
      <c r="A247" t="s">
        <v>10851</v>
      </c>
      <c r="B247" t="s">
        <v>9468</v>
      </c>
      <c r="C247">
        <v>0</v>
      </c>
      <c r="D247" t="s">
        <v>6522</v>
      </c>
      <c r="E247" t="s">
        <v>9351</v>
      </c>
      <c r="F247">
        <v>0</v>
      </c>
      <c r="G247" t="s">
        <v>6580</v>
      </c>
      <c r="H247" t="s">
        <v>9521</v>
      </c>
      <c r="I247">
        <v>1.1519999999999999</v>
      </c>
      <c r="K247"/>
      <c r="L247"/>
    </row>
    <row r="248" spans="1:12" x14ac:dyDescent="0.25">
      <c r="A248" t="s">
        <v>10851</v>
      </c>
      <c r="B248" t="s">
        <v>9580</v>
      </c>
      <c r="C248">
        <v>0</v>
      </c>
      <c r="D248" t="s">
        <v>6522</v>
      </c>
      <c r="E248" t="s">
        <v>9409</v>
      </c>
      <c r="F248">
        <v>0</v>
      </c>
      <c r="G248" t="s">
        <v>6580</v>
      </c>
      <c r="H248" t="s">
        <v>9430</v>
      </c>
      <c r="I248">
        <v>0</v>
      </c>
      <c r="K248"/>
      <c r="L248"/>
    </row>
    <row r="249" spans="1:12" x14ac:dyDescent="0.25">
      <c r="A249" t="s">
        <v>10851</v>
      </c>
      <c r="B249" t="s">
        <v>9349</v>
      </c>
      <c r="C249">
        <v>0</v>
      </c>
      <c r="D249" t="s">
        <v>6522</v>
      </c>
      <c r="E249" t="s">
        <v>9492</v>
      </c>
      <c r="F249">
        <v>0</v>
      </c>
      <c r="G249" t="s">
        <v>6580</v>
      </c>
      <c r="H249" t="s">
        <v>9459</v>
      </c>
      <c r="I249">
        <v>0</v>
      </c>
      <c r="K249"/>
      <c r="L249"/>
    </row>
    <row r="250" spans="1:12" x14ac:dyDescent="0.25">
      <c r="A250" t="s">
        <v>10851</v>
      </c>
      <c r="B250" t="s">
        <v>9381</v>
      </c>
      <c r="C250">
        <v>0</v>
      </c>
      <c r="D250" t="s">
        <v>6522</v>
      </c>
      <c r="E250" t="s">
        <v>9364</v>
      </c>
      <c r="F250">
        <v>0</v>
      </c>
      <c r="G250" t="s">
        <v>6580</v>
      </c>
      <c r="H250" t="s">
        <v>9375</v>
      </c>
      <c r="I250">
        <v>0</v>
      </c>
      <c r="K250"/>
      <c r="L250"/>
    </row>
    <row r="251" spans="1:12" x14ac:dyDescent="0.25">
      <c r="A251" t="s">
        <v>10851</v>
      </c>
      <c r="B251" t="s">
        <v>9358</v>
      </c>
      <c r="C251">
        <v>0</v>
      </c>
      <c r="D251" t="s">
        <v>6522</v>
      </c>
      <c r="E251" t="s">
        <v>9500</v>
      </c>
      <c r="F251">
        <v>0</v>
      </c>
      <c r="G251" t="s">
        <v>6580</v>
      </c>
      <c r="H251" t="s">
        <v>9443</v>
      </c>
      <c r="I251">
        <v>0.36</v>
      </c>
      <c r="K251"/>
      <c r="L251"/>
    </row>
    <row r="252" spans="1:12" x14ac:dyDescent="0.25">
      <c r="A252" t="s">
        <v>10851</v>
      </c>
      <c r="B252" t="s">
        <v>9924</v>
      </c>
      <c r="C252">
        <v>0</v>
      </c>
      <c r="D252" t="s">
        <v>6522</v>
      </c>
      <c r="E252" t="s">
        <v>9386</v>
      </c>
      <c r="F252">
        <v>0</v>
      </c>
      <c r="G252" t="s">
        <v>6580</v>
      </c>
      <c r="H252" t="s">
        <v>9371</v>
      </c>
      <c r="I252">
        <v>0</v>
      </c>
      <c r="K252"/>
      <c r="L252"/>
    </row>
    <row r="253" spans="1:12" x14ac:dyDescent="0.25">
      <c r="A253" t="s">
        <v>10851</v>
      </c>
      <c r="B253" t="s">
        <v>9368</v>
      </c>
      <c r="C253">
        <v>0</v>
      </c>
      <c r="D253" t="s">
        <v>6522</v>
      </c>
      <c r="E253" t="s">
        <v>9509</v>
      </c>
      <c r="F253">
        <v>0</v>
      </c>
      <c r="G253" t="s">
        <v>6580</v>
      </c>
      <c r="H253" t="s">
        <v>9571</v>
      </c>
      <c r="I253">
        <v>0.20799999999999999</v>
      </c>
      <c r="K253"/>
      <c r="L253"/>
    </row>
    <row r="254" spans="1:12" x14ac:dyDescent="0.25">
      <c r="A254" t="s">
        <v>10851</v>
      </c>
      <c r="B254" t="s">
        <v>9481</v>
      </c>
      <c r="C254">
        <v>0</v>
      </c>
      <c r="D254" t="s">
        <v>6522</v>
      </c>
      <c r="E254" t="s">
        <v>9398</v>
      </c>
      <c r="F254">
        <v>0</v>
      </c>
      <c r="G254" t="s">
        <v>6580</v>
      </c>
      <c r="H254" t="s">
        <v>9468</v>
      </c>
      <c r="I254">
        <v>0</v>
      </c>
      <c r="K254"/>
      <c r="L254"/>
    </row>
    <row r="255" spans="1:12" x14ac:dyDescent="0.25">
      <c r="A255" t="s">
        <v>10851</v>
      </c>
      <c r="B255" t="s">
        <v>9378</v>
      </c>
      <c r="C255">
        <v>0</v>
      </c>
      <c r="D255" t="s">
        <v>6522</v>
      </c>
      <c r="E255" t="s">
        <v>9478</v>
      </c>
      <c r="F255">
        <v>0</v>
      </c>
      <c r="G255" t="s">
        <v>6580</v>
      </c>
      <c r="H255" t="s">
        <v>9580</v>
      </c>
      <c r="I255">
        <v>0.129</v>
      </c>
      <c r="K255"/>
      <c r="L255"/>
    </row>
    <row r="256" spans="1:12" x14ac:dyDescent="0.25">
      <c r="A256" t="s">
        <v>10851</v>
      </c>
      <c r="B256" t="s">
        <v>9527</v>
      </c>
      <c r="C256">
        <v>0</v>
      </c>
      <c r="D256" t="s">
        <v>6522</v>
      </c>
      <c r="E256" t="s">
        <v>9453</v>
      </c>
      <c r="F256">
        <v>0</v>
      </c>
      <c r="G256" t="s">
        <v>6580</v>
      </c>
      <c r="H256" t="s">
        <v>9349</v>
      </c>
      <c r="I256">
        <v>0</v>
      </c>
      <c r="K256"/>
      <c r="L256"/>
    </row>
    <row r="257" spans="1:12" x14ac:dyDescent="0.25">
      <c r="A257" t="s">
        <v>10851</v>
      </c>
      <c r="B257" t="s">
        <v>9389</v>
      </c>
      <c r="C257">
        <v>0</v>
      </c>
      <c r="D257" t="s">
        <v>6522</v>
      </c>
      <c r="E257" t="s">
        <v>9465</v>
      </c>
      <c r="F257">
        <v>0</v>
      </c>
      <c r="G257" t="s">
        <v>6580</v>
      </c>
      <c r="H257" t="s">
        <v>9381</v>
      </c>
      <c r="I257">
        <v>1.7069999999999999</v>
      </c>
      <c r="K257"/>
      <c r="L257"/>
    </row>
    <row r="258" spans="1:12" x14ac:dyDescent="0.25">
      <c r="A258" t="s">
        <v>10851</v>
      </c>
      <c r="B258" t="s">
        <v>9620</v>
      </c>
      <c r="C258">
        <v>0</v>
      </c>
      <c r="D258" t="s">
        <v>6522</v>
      </c>
      <c r="E258" t="s">
        <v>9462</v>
      </c>
      <c r="F258">
        <v>0</v>
      </c>
      <c r="G258" t="s">
        <v>6580</v>
      </c>
      <c r="H258" t="s">
        <v>9358</v>
      </c>
      <c r="I258">
        <v>0</v>
      </c>
      <c r="K258"/>
      <c r="L258"/>
    </row>
    <row r="259" spans="1:12" x14ac:dyDescent="0.25">
      <c r="A259" t="s">
        <v>10851</v>
      </c>
      <c r="B259" t="s">
        <v>9401</v>
      </c>
      <c r="C259">
        <v>0</v>
      </c>
      <c r="D259" t="s">
        <v>6522</v>
      </c>
      <c r="E259" t="s">
        <v>9473</v>
      </c>
      <c r="F259">
        <v>0</v>
      </c>
      <c r="G259" t="s">
        <v>6580</v>
      </c>
      <c r="H259" t="s">
        <v>9924</v>
      </c>
      <c r="I259">
        <v>0.46100000000000002</v>
      </c>
      <c r="K259"/>
      <c r="L259"/>
    </row>
    <row r="260" spans="1:12" x14ac:dyDescent="0.25">
      <c r="A260" t="s">
        <v>10851</v>
      </c>
      <c r="B260" t="s">
        <v>9528</v>
      </c>
      <c r="C260">
        <v>0</v>
      </c>
      <c r="D260" t="s">
        <v>6522</v>
      </c>
      <c r="E260" t="s">
        <v>9486</v>
      </c>
      <c r="F260">
        <v>0</v>
      </c>
      <c r="G260" t="s">
        <v>6580</v>
      </c>
      <c r="H260" t="s">
        <v>9368</v>
      </c>
      <c r="I260">
        <v>0</v>
      </c>
      <c r="K260"/>
      <c r="L260"/>
    </row>
    <row r="261" spans="1:12" x14ac:dyDescent="0.25">
      <c r="A261" t="s">
        <v>10851</v>
      </c>
      <c r="B261" t="s">
        <v>9524</v>
      </c>
      <c r="C261">
        <v>0</v>
      </c>
      <c r="D261" t="s">
        <v>6522</v>
      </c>
      <c r="E261" t="s">
        <v>9512</v>
      </c>
      <c r="F261">
        <v>0</v>
      </c>
      <c r="G261" t="s">
        <v>6580</v>
      </c>
      <c r="H261" t="s">
        <v>9481</v>
      </c>
      <c r="I261">
        <v>0.46100000000000002</v>
      </c>
      <c r="K261"/>
      <c r="L261"/>
    </row>
    <row r="262" spans="1:12" x14ac:dyDescent="0.25">
      <c r="A262" t="s">
        <v>10851</v>
      </c>
      <c r="B262" t="s">
        <v>9456</v>
      </c>
      <c r="C262">
        <v>0</v>
      </c>
      <c r="D262" t="s">
        <v>6522</v>
      </c>
      <c r="E262" t="s">
        <v>9489</v>
      </c>
      <c r="F262">
        <v>0</v>
      </c>
      <c r="G262" t="s">
        <v>6580</v>
      </c>
      <c r="H262" t="s">
        <v>9378</v>
      </c>
      <c r="I262">
        <v>0</v>
      </c>
      <c r="K262"/>
      <c r="L262"/>
    </row>
    <row r="263" spans="1:12" x14ac:dyDescent="0.25">
      <c r="A263" t="s">
        <v>10851</v>
      </c>
      <c r="B263" t="s">
        <v>9533</v>
      </c>
      <c r="C263">
        <v>0</v>
      </c>
      <c r="D263" t="s">
        <v>6522</v>
      </c>
      <c r="E263" t="s">
        <v>9547</v>
      </c>
      <c r="F263">
        <v>0</v>
      </c>
      <c r="G263" t="s">
        <v>6580</v>
      </c>
      <c r="H263" t="s">
        <v>9527</v>
      </c>
      <c r="I263">
        <v>1.2969999999999999</v>
      </c>
      <c r="K263"/>
      <c r="L263"/>
    </row>
    <row r="264" spans="1:12" x14ac:dyDescent="0.25">
      <c r="A264" t="s">
        <v>10851</v>
      </c>
      <c r="B264" t="s">
        <v>9448</v>
      </c>
      <c r="C264">
        <v>0</v>
      </c>
      <c r="D264" t="s">
        <v>6522</v>
      </c>
      <c r="E264" t="s">
        <v>9497</v>
      </c>
      <c r="F264">
        <v>0</v>
      </c>
      <c r="G264" t="s">
        <v>6580</v>
      </c>
      <c r="H264" t="s">
        <v>9389</v>
      </c>
      <c r="I264">
        <v>0</v>
      </c>
      <c r="K264"/>
      <c r="L264"/>
    </row>
    <row r="265" spans="1:12" x14ac:dyDescent="0.25">
      <c r="A265" t="s">
        <v>10851</v>
      </c>
      <c r="B265" t="s">
        <v>9635</v>
      </c>
      <c r="C265">
        <v>0</v>
      </c>
      <c r="D265" t="s">
        <v>6522</v>
      </c>
      <c r="E265" t="s">
        <v>9554</v>
      </c>
      <c r="F265">
        <v>0</v>
      </c>
      <c r="G265" t="s">
        <v>6580</v>
      </c>
      <c r="H265" t="s">
        <v>9620</v>
      </c>
      <c r="I265">
        <v>1.0580000000000001</v>
      </c>
      <c r="K265"/>
      <c r="L265"/>
    </row>
    <row r="266" spans="1:12" x14ac:dyDescent="0.25">
      <c r="A266" t="s">
        <v>10851</v>
      </c>
      <c r="B266" t="s">
        <v>9440</v>
      </c>
      <c r="C266">
        <v>0</v>
      </c>
      <c r="D266" t="s">
        <v>6522</v>
      </c>
      <c r="E266" t="s">
        <v>9419</v>
      </c>
      <c r="F266">
        <v>0</v>
      </c>
      <c r="G266" t="s">
        <v>6580</v>
      </c>
      <c r="H266" t="s">
        <v>9401</v>
      </c>
      <c r="I266">
        <v>0</v>
      </c>
      <c r="K266"/>
      <c r="L266"/>
    </row>
    <row r="267" spans="1:12" x14ac:dyDescent="0.25">
      <c r="A267" t="s">
        <v>10851</v>
      </c>
      <c r="B267" t="s">
        <v>9433</v>
      </c>
      <c r="C267">
        <v>0</v>
      </c>
      <c r="D267" t="s">
        <v>6522</v>
      </c>
      <c r="E267" t="s">
        <v>9365</v>
      </c>
      <c r="F267">
        <v>0</v>
      </c>
      <c r="G267" t="s">
        <v>6580</v>
      </c>
      <c r="H267" t="s">
        <v>9528</v>
      </c>
      <c r="I267">
        <v>1.173</v>
      </c>
      <c r="K267"/>
      <c r="L267"/>
    </row>
    <row r="268" spans="1:12" x14ac:dyDescent="0.25">
      <c r="A268" t="s">
        <v>10852</v>
      </c>
      <c r="B268" t="s">
        <v>9344</v>
      </c>
      <c r="C268">
        <v>0</v>
      </c>
      <c r="D268" t="s">
        <v>6522</v>
      </c>
      <c r="E268" t="s">
        <v>9521</v>
      </c>
      <c r="F268">
        <v>0</v>
      </c>
      <c r="G268" t="s">
        <v>6580</v>
      </c>
      <c r="H268" t="s">
        <v>9524</v>
      </c>
      <c r="I268">
        <v>0</v>
      </c>
      <c r="K268"/>
      <c r="L268"/>
    </row>
    <row r="269" spans="1:12" x14ac:dyDescent="0.25">
      <c r="A269" t="s">
        <v>10852</v>
      </c>
      <c r="B269" t="s">
        <v>9361</v>
      </c>
      <c r="C269">
        <v>0</v>
      </c>
      <c r="D269" t="s">
        <v>6522</v>
      </c>
      <c r="E269" t="s">
        <v>9430</v>
      </c>
      <c r="F269">
        <v>0</v>
      </c>
      <c r="G269" t="s">
        <v>6580</v>
      </c>
      <c r="H269" t="s">
        <v>9456</v>
      </c>
      <c r="I269">
        <v>1.8719999999999999</v>
      </c>
      <c r="K269"/>
      <c r="L269"/>
    </row>
    <row r="270" spans="1:12" x14ac:dyDescent="0.25">
      <c r="A270" t="s">
        <v>10852</v>
      </c>
      <c r="B270" t="s">
        <v>9315</v>
      </c>
      <c r="C270">
        <v>0</v>
      </c>
      <c r="D270" t="s">
        <v>6522</v>
      </c>
      <c r="E270" t="s">
        <v>9459</v>
      </c>
      <c r="F270">
        <v>0</v>
      </c>
      <c r="G270" t="s">
        <v>6580</v>
      </c>
      <c r="H270" t="s">
        <v>9533</v>
      </c>
      <c r="I270">
        <v>0</v>
      </c>
      <c r="K270"/>
      <c r="L270"/>
    </row>
    <row r="271" spans="1:12" x14ac:dyDescent="0.25">
      <c r="A271" t="s">
        <v>10852</v>
      </c>
      <c r="B271" t="s">
        <v>9395</v>
      </c>
      <c r="C271">
        <v>0</v>
      </c>
      <c r="D271" t="s">
        <v>6522</v>
      </c>
      <c r="E271" t="s">
        <v>9375</v>
      </c>
      <c r="F271">
        <v>0</v>
      </c>
      <c r="G271" t="s">
        <v>6580</v>
      </c>
      <c r="H271" t="s">
        <v>9448</v>
      </c>
      <c r="I271">
        <v>1.0940000000000001</v>
      </c>
      <c r="K271"/>
      <c r="L271"/>
    </row>
    <row r="272" spans="1:12" x14ac:dyDescent="0.25">
      <c r="A272" t="s">
        <v>10852</v>
      </c>
      <c r="B272" t="s">
        <v>9355</v>
      </c>
      <c r="C272">
        <v>0</v>
      </c>
      <c r="D272" t="s">
        <v>6522</v>
      </c>
      <c r="E272" t="s">
        <v>9443</v>
      </c>
      <c r="F272">
        <v>0</v>
      </c>
      <c r="G272" t="s">
        <v>6580</v>
      </c>
      <c r="H272" t="s">
        <v>9635</v>
      </c>
      <c r="I272">
        <v>0</v>
      </c>
      <c r="K272"/>
      <c r="L272"/>
    </row>
    <row r="273" spans="1:12" x14ac:dyDescent="0.25">
      <c r="A273" t="s">
        <v>10852</v>
      </c>
      <c r="B273" t="s">
        <v>9351</v>
      </c>
      <c r="C273">
        <v>0</v>
      </c>
      <c r="D273" t="s">
        <v>6522</v>
      </c>
      <c r="E273" t="s">
        <v>9371</v>
      </c>
      <c r="F273" s="4031">
        <v>0</v>
      </c>
      <c r="G273" t="s">
        <v>6580</v>
      </c>
      <c r="H273" t="s">
        <v>9440</v>
      </c>
      <c r="I273">
        <v>1.4750000000000001</v>
      </c>
      <c r="K273"/>
      <c r="L273"/>
    </row>
    <row r="274" spans="1:12" x14ac:dyDescent="0.25">
      <c r="A274" t="s">
        <v>10852</v>
      </c>
      <c r="B274" t="s">
        <v>9409</v>
      </c>
      <c r="C274">
        <v>0</v>
      </c>
      <c r="D274" t="s">
        <v>6522</v>
      </c>
      <c r="E274" t="s">
        <v>9571</v>
      </c>
      <c r="F274">
        <v>0</v>
      </c>
      <c r="G274" t="s">
        <v>6580</v>
      </c>
      <c r="H274" t="s">
        <v>9433</v>
      </c>
      <c r="I274">
        <v>0.88600000000000001</v>
      </c>
      <c r="K274"/>
      <c r="L274"/>
    </row>
    <row r="275" spans="1:12" x14ac:dyDescent="0.25">
      <c r="A275" t="s">
        <v>10852</v>
      </c>
      <c r="B275" t="s">
        <v>9492</v>
      </c>
      <c r="C275">
        <v>0</v>
      </c>
      <c r="D275" t="s">
        <v>6522</v>
      </c>
      <c r="E275" t="s">
        <v>9468</v>
      </c>
      <c r="F275">
        <v>0</v>
      </c>
      <c r="G275" t="s">
        <v>6581</v>
      </c>
      <c r="H275" t="s">
        <v>9344</v>
      </c>
      <c r="I275">
        <v>0</v>
      </c>
      <c r="K275"/>
      <c r="L275"/>
    </row>
    <row r="276" spans="1:12" x14ac:dyDescent="0.25">
      <c r="A276" t="s">
        <v>10852</v>
      </c>
      <c r="B276" t="s">
        <v>9364</v>
      </c>
      <c r="C276">
        <v>0</v>
      </c>
      <c r="D276" t="s">
        <v>6522</v>
      </c>
      <c r="E276" t="s">
        <v>9580</v>
      </c>
      <c r="F276">
        <v>0</v>
      </c>
      <c r="G276" t="s">
        <v>6581</v>
      </c>
      <c r="H276" t="s">
        <v>9361</v>
      </c>
      <c r="I276">
        <v>2.5979999999999999</v>
      </c>
      <c r="K276"/>
      <c r="L276"/>
    </row>
    <row r="277" spans="1:12" x14ac:dyDescent="0.25">
      <c r="A277" t="s">
        <v>10852</v>
      </c>
      <c r="B277" t="s">
        <v>9500</v>
      </c>
      <c r="C277">
        <v>0</v>
      </c>
      <c r="D277" t="s">
        <v>6522</v>
      </c>
      <c r="E277" t="s">
        <v>9349</v>
      </c>
      <c r="F277">
        <v>0</v>
      </c>
      <c r="G277" t="s">
        <v>6581</v>
      </c>
      <c r="H277" t="s">
        <v>9315</v>
      </c>
      <c r="I277">
        <v>0</v>
      </c>
      <c r="K277"/>
      <c r="L277"/>
    </row>
    <row r="278" spans="1:12" x14ac:dyDescent="0.25">
      <c r="A278" t="s">
        <v>10852</v>
      </c>
      <c r="B278" t="s">
        <v>9386</v>
      </c>
      <c r="C278">
        <v>0</v>
      </c>
      <c r="D278" t="s">
        <v>6522</v>
      </c>
      <c r="E278" t="s">
        <v>9381</v>
      </c>
      <c r="F278">
        <v>0</v>
      </c>
      <c r="G278" t="s">
        <v>6581</v>
      </c>
      <c r="H278" t="s">
        <v>9395</v>
      </c>
      <c r="I278">
        <v>0.95699999999999996</v>
      </c>
      <c r="K278"/>
      <c r="L278"/>
    </row>
    <row r="279" spans="1:12" x14ac:dyDescent="0.25">
      <c r="A279" t="s">
        <v>10852</v>
      </c>
      <c r="B279" t="s">
        <v>9509</v>
      </c>
      <c r="C279">
        <v>0</v>
      </c>
      <c r="D279" t="s">
        <v>6522</v>
      </c>
      <c r="E279" t="s">
        <v>9358</v>
      </c>
      <c r="F279">
        <v>0</v>
      </c>
      <c r="G279" t="s">
        <v>6581</v>
      </c>
      <c r="H279" t="s">
        <v>9355</v>
      </c>
      <c r="I279">
        <v>0</v>
      </c>
      <c r="K279"/>
      <c r="L279"/>
    </row>
    <row r="280" spans="1:12" x14ac:dyDescent="0.25">
      <c r="A280" t="s">
        <v>10852</v>
      </c>
      <c r="B280" t="s">
        <v>9398</v>
      </c>
      <c r="C280">
        <v>0</v>
      </c>
      <c r="D280" t="s">
        <v>6522</v>
      </c>
      <c r="E280" t="s">
        <v>9924</v>
      </c>
      <c r="F280">
        <v>0</v>
      </c>
      <c r="G280" t="s">
        <v>6581</v>
      </c>
      <c r="H280" t="s">
        <v>9351</v>
      </c>
      <c r="I280">
        <v>0.13600000000000001</v>
      </c>
      <c r="K280"/>
      <c r="L280"/>
    </row>
    <row r="281" spans="1:12" x14ac:dyDescent="0.25">
      <c r="A281" t="s">
        <v>10852</v>
      </c>
      <c r="B281" t="s">
        <v>9478</v>
      </c>
      <c r="C281">
        <v>0</v>
      </c>
      <c r="D281" t="s">
        <v>6522</v>
      </c>
      <c r="E281" t="s">
        <v>9368</v>
      </c>
      <c r="F281">
        <v>0</v>
      </c>
      <c r="G281" t="s">
        <v>6581</v>
      </c>
      <c r="H281" t="s">
        <v>9409</v>
      </c>
      <c r="I281">
        <v>0</v>
      </c>
      <c r="K281"/>
      <c r="L281"/>
    </row>
    <row r="282" spans="1:12" x14ac:dyDescent="0.25">
      <c r="A282" t="s">
        <v>10852</v>
      </c>
      <c r="B282" t="s">
        <v>9453</v>
      </c>
      <c r="C282">
        <v>0</v>
      </c>
      <c r="D282" t="s">
        <v>6522</v>
      </c>
      <c r="E282" t="s">
        <v>9481</v>
      </c>
      <c r="F282">
        <v>0</v>
      </c>
      <c r="G282" t="s">
        <v>6581</v>
      </c>
      <c r="H282" t="s">
        <v>9492</v>
      </c>
      <c r="I282">
        <v>0.95799999999999996</v>
      </c>
      <c r="K282"/>
      <c r="L282"/>
    </row>
    <row r="283" spans="1:12" x14ac:dyDescent="0.25">
      <c r="A283" t="s">
        <v>10852</v>
      </c>
      <c r="B283" t="s">
        <v>9465</v>
      </c>
      <c r="C283">
        <v>0</v>
      </c>
      <c r="D283" t="s">
        <v>6522</v>
      </c>
      <c r="E283" t="s">
        <v>9378</v>
      </c>
      <c r="F283">
        <v>0</v>
      </c>
      <c r="G283" t="s">
        <v>6581</v>
      </c>
      <c r="H283" t="s">
        <v>9364</v>
      </c>
      <c r="I283">
        <v>0</v>
      </c>
      <c r="K283"/>
      <c r="L283"/>
    </row>
    <row r="284" spans="1:12" x14ac:dyDescent="0.25">
      <c r="A284" t="s">
        <v>10852</v>
      </c>
      <c r="B284" t="s">
        <v>9462</v>
      </c>
      <c r="C284">
        <v>0</v>
      </c>
      <c r="D284" t="s">
        <v>6522</v>
      </c>
      <c r="E284" t="s">
        <v>9527</v>
      </c>
      <c r="F284">
        <v>0</v>
      </c>
      <c r="G284" t="s">
        <v>6581</v>
      </c>
      <c r="H284" t="s">
        <v>9500</v>
      </c>
      <c r="I284">
        <v>0.108</v>
      </c>
      <c r="K284"/>
      <c r="L284"/>
    </row>
    <row r="285" spans="1:12" x14ac:dyDescent="0.25">
      <c r="A285" t="s">
        <v>10852</v>
      </c>
      <c r="B285" t="s">
        <v>9473</v>
      </c>
      <c r="C285">
        <v>0</v>
      </c>
      <c r="D285" t="s">
        <v>6522</v>
      </c>
      <c r="E285" t="s">
        <v>9389</v>
      </c>
      <c r="F285">
        <v>0</v>
      </c>
      <c r="G285" t="s">
        <v>6581</v>
      </c>
      <c r="H285" t="s">
        <v>9386</v>
      </c>
      <c r="I285">
        <v>0.28799999999999998</v>
      </c>
      <c r="K285"/>
      <c r="L285"/>
    </row>
    <row r="286" spans="1:12" x14ac:dyDescent="0.25">
      <c r="A286" t="s">
        <v>10852</v>
      </c>
      <c r="B286" t="s">
        <v>9486</v>
      </c>
      <c r="C286">
        <v>0</v>
      </c>
      <c r="D286" t="s">
        <v>6522</v>
      </c>
      <c r="E286" t="s">
        <v>9620</v>
      </c>
      <c r="F286">
        <v>0</v>
      </c>
      <c r="G286" t="s">
        <v>6581</v>
      </c>
      <c r="H286" t="s">
        <v>9509</v>
      </c>
      <c r="I286">
        <v>0</v>
      </c>
      <c r="K286"/>
      <c r="L286"/>
    </row>
    <row r="287" spans="1:12" x14ac:dyDescent="0.25">
      <c r="A287" t="s">
        <v>10852</v>
      </c>
      <c r="B287" t="s">
        <v>9512</v>
      </c>
      <c r="C287">
        <v>0</v>
      </c>
      <c r="D287" t="s">
        <v>6522</v>
      </c>
      <c r="E287" t="s">
        <v>9401</v>
      </c>
      <c r="F287">
        <v>0</v>
      </c>
      <c r="G287" t="s">
        <v>6581</v>
      </c>
      <c r="H287" t="s">
        <v>9398</v>
      </c>
      <c r="I287">
        <v>0.65500000000000003</v>
      </c>
      <c r="K287"/>
      <c r="L287"/>
    </row>
    <row r="288" spans="1:12" x14ac:dyDescent="0.25">
      <c r="A288" t="s">
        <v>10852</v>
      </c>
      <c r="B288" t="s">
        <v>9489</v>
      </c>
      <c r="C288">
        <v>0</v>
      </c>
      <c r="D288" t="s">
        <v>6522</v>
      </c>
      <c r="E288" t="s">
        <v>9528</v>
      </c>
      <c r="F288">
        <v>0</v>
      </c>
      <c r="G288" t="s">
        <v>6581</v>
      </c>
      <c r="H288" t="s">
        <v>9478</v>
      </c>
      <c r="I288">
        <v>0.66900000000000004</v>
      </c>
      <c r="K288"/>
      <c r="L288"/>
    </row>
    <row r="289" spans="1:12" x14ac:dyDescent="0.25">
      <c r="A289" t="s">
        <v>10852</v>
      </c>
      <c r="B289" t="s">
        <v>9547</v>
      </c>
      <c r="C289">
        <v>0</v>
      </c>
      <c r="D289" t="s">
        <v>6522</v>
      </c>
      <c r="E289" t="s">
        <v>9524</v>
      </c>
      <c r="F289">
        <v>0</v>
      </c>
      <c r="G289" t="s">
        <v>6581</v>
      </c>
      <c r="H289" t="s">
        <v>9453</v>
      </c>
      <c r="I289">
        <v>0.65500000000000003</v>
      </c>
      <c r="K289"/>
      <c r="L289"/>
    </row>
    <row r="290" spans="1:12" x14ac:dyDescent="0.25">
      <c r="A290" t="s">
        <v>10852</v>
      </c>
      <c r="B290" t="s">
        <v>9497</v>
      </c>
      <c r="C290">
        <v>0</v>
      </c>
      <c r="D290" t="s">
        <v>6522</v>
      </c>
      <c r="E290" t="s">
        <v>9456</v>
      </c>
      <c r="F290">
        <v>0</v>
      </c>
      <c r="G290" t="s">
        <v>6581</v>
      </c>
      <c r="H290" t="s">
        <v>9465</v>
      </c>
      <c r="I290">
        <v>0.92900000000000005</v>
      </c>
      <c r="K290"/>
      <c r="L290"/>
    </row>
    <row r="291" spans="1:12" x14ac:dyDescent="0.25">
      <c r="A291" t="s">
        <v>10852</v>
      </c>
      <c r="B291" t="s">
        <v>9554</v>
      </c>
      <c r="C291">
        <v>0</v>
      </c>
      <c r="D291" t="s">
        <v>6522</v>
      </c>
      <c r="E291" t="s">
        <v>9533</v>
      </c>
      <c r="F291">
        <v>0</v>
      </c>
      <c r="G291" t="s">
        <v>6581</v>
      </c>
      <c r="H291" t="s">
        <v>9462</v>
      </c>
      <c r="I291">
        <v>0.19400000000000001</v>
      </c>
      <c r="K291"/>
      <c r="L291"/>
    </row>
    <row r="292" spans="1:12" x14ac:dyDescent="0.25">
      <c r="A292" t="s">
        <v>10852</v>
      </c>
      <c r="B292" t="s">
        <v>9419</v>
      </c>
      <c r="C292">
        <v>0</v>
      </c>
      <c r="D292" t="s">
        <v>6522</v>
      </c>
      <c r="E292" t="s">
        <v>9448</v>
      </c>
      <c r="F292">
        <v>0</v>
      </c>
      <c r="G292" t="s">
        <v>6581</v>
      </c>
      <c r="H292" t="s">
        <v>9473</v>
      </c>
      <c r="I292">
        <v>0</v>
      </c>
      <c r="K292"/>
      <c r="L292"/>
    </row>
    <row r="293" spans="1:12" x14ac:dyDescent="0.25">
      <c r="A293" t="s">
        <v>10852</v>
      </c>
      <c r="B293" t="s">
        <v>9365</v>
      </c>
      <c r="C293">
        <v>0</v>
      </c>
      <c r="D293" t="s">
        <v>6522</v>
      </c>
      <c r="E293" t="s">
        <v>9635</v>
      </c>
      <c r="F293">
        <v>0</v>
      </c>
      <c r="G293" t="s">
        <v>6581</v>
      </c>
      <c r="H293" t="s">
        <v>9486</v>
      </c>
      <c r="I293">
        <v>0</v>
      </c>
      <c r="K293"/>
      <c r="L293"/>
    </row>
    <row r="294" spans="1:12" x14ac:dyDescent="0.25">
      <c r="A294" t="s">
        <v>10852</v>
      </c>
      <c r="B294" t="s">
        <v>9521</v>
      </c>
      <c r="C294">
        <v>0.82099999999999995</v>
      </c>
      <c r="D294" t="s">
        <v>6522</v>
      </c>
      <c r="E294" t="s">
        <v>9440</v>
      </c>
      <c r="F294">
        <v>0</v>
      </c>
      <c r="G294" t="s">
        <v>6581</v>
      </c>
      <c r="H294" t="s">
        <v>9512</v>
      </c>
      <c r="I294">
        <v>0</v>
      </c>
      <c r="K294"/>
      <c r="L294"/>
    </row>
    <row r="295" spans="1:12" x14ac:dyDescent="0.25">
      <c r="A295" t="s">
        <v>10852</v>
      </c>
      <c r="B295" t="s">
        <v>9430</v>
      </c>
      <c r="C295">
        <v>0</v>
      </c>
      <c r="D295" t="s">
        <v>6522</v>
      </c>
      <c r="E295" t="s">
        <v>9433</v>
      </c>
      <c r="F295">
        <v>0</v>
      </c>
      <c r="G295" t="s">
        <v>6581</v>
      </c>
      <c r="H295" t="s">
        <v>9489</v>
      </c>
      <c r="I295">
        <v>0</v>
      </c>
      <c r="K295"/>
      <c r="L295"/>
    </row>
    <row r="296" spans="1:12" x14ac:dyDescent="0.25">
      <c r="A296" t="s">
        <v>10852</v>
      </c>
      <c r="B296" t="s">
        <v>9459</v>
      </c>
      <c r="C296">
        <v>1.0149999999999999</v>
      </c>
      <c r="D296" t="s">
        <v>6523</v>
      </c>
      <c r="E296" t="s">
        <v>9344</v>
      </c>
      <c r="F296">
        <v>0</v>
      </c>
      <c r="G296" t="s">
        <v>6581</v>
      </c>
      <c r="H296" t="s">
        <v>9547</v>
      </c>
      <c r="I296">
        <v>0</v>
      </c>
      <c r="K296"/>
      <c r="L296"/>
    </row>
    <row r="297" spans="1:12" x14ac:dyDescent="0.25">
      <c r="A297" t="s">
        <v>10852</v>
      </c>
      <c r="B297" t="s">
        <v>9375</v>
      </c>
      <c r="C297">
        <v>0</v>
      </c>
      <c r="D297" t="s">
        <v>6523</v>
      </c>
      <c r="E297" t="s">
        <v>9361</v>
      </c>
      <c r="F297">
        <v>0</v>
      </c>
      <c r="G297" t="s">
        <v>6581</v>
      </c>
      <c r="H297" t="s">
        <v>9497</v>
      </c>
      <c r="I297">
        <v>0</v>
      </c>
      <c r="K297"/>
      <c r="L297"/>
    </row>
    <row r="298" spans="1:12" x14ac:dyDescent="0.25">
      <c r="A298" t="s">
        <v>10852</v>
      </c>
      <c r="B298" t="s">
        <v>9443</v>
      </c>
      <c r="C298">
        <v>0</v>
      </c>
      <c r="D298" t="s">
        <v>6523</v>
      </c>
      <c r="E298" t="s">
        <v>9315</v>
      </c>
      <c r="F298">
        <v>0</v>
      </c>
      <c r="G298" t="s">
        <v>6581</v>
      </c>
      <c r="H298" t="s">
        <v>9554</v>
      </c>
      <c r="I298">
        <v>0</v>
      </c>
      <c r="K298"/>
      <c r="L298"/>
    </row>
    <row r="299" spans="1:12" x14ac:dyDescent="0.25">
      <c r="A299" t="s">
        <v>10852</v>
      </c>
      <c r="B299" t="s">
        <v>9371</v>
      </c>
      <c r="C299">
        <v>0</v>
      </c>
      <c r="D299" t="s">
        <v>6523</v>
      </c>
      <c r="E299" t="s">
        <v>9395</v>
      </c>
      <c r="F299">
        <v>0</v>
      </c>
      <c r="G299" t="s">
        <v>6581</v>
      </c>
      <c r="H299" t="s">
        <v>9419</v>
      </c>
      <c r="I299">
        <v>1.75</v>
      </c>
      <c r="K299"/>
      <c r="L299"/>
    </row>
    <row r="300" spans="1:12" x14ac:dyDescent="0.25">
      <c r="A300" t="s">
        <v>10852</v>
      </c>
      <c r="B300" t="s">
        <v>9571</v>
      </c>
      <c r="C300">
        <v>0</v>
      </c>
      <c r="D300" t="s">
        <v>6523</v>
      </c>
      <c r="E300" t="s">
        <v>9355</v>
      </c>
      <c r="F300">
        <v>0</v>
      </c>
      <c r="G300" t="s">
        <v>6581</v>
      </c>
      <c r="H300" t="s">
        <v>9365</v>
      </c>
      <c r="I300">
        <v>0</v>
      </c>
      <c r="K300"/>
      <c r="L300"/>
    </row>
    <row r="301" spans="1:12" x14ac:dyDescent="0.25">
      <c r="A301" t="s">
        <v>10852</v>
      </c>
      <c r="B301" t="s">
        <v>9468</v>
      </c>
      <c r="C301">
        <v>0</v>
      </c>
      <c r="D301" t="s">
        <v>6523</v>
      </c>
      <c r="E301" t="s">
        <v>9351</v>
      </c>
      <c r="F301">
        <v>0</v>
      </c>
      <c r="G301" t="s">
        <v>6581</v>
      </c>
      <c r="H301" t="s">
        <v>9521</v>
      </c>
      <c r="I301">
        <v>1.5190000000000001</v>
      </c>
      <c r="K301"/>
      <c r="L301"/>
    </row>
    <row r="302" spans="1:12" x14ac:dyDescent="0.25">
      <c r="A302" t="s">
        <v>10852</v>
      </c>
      <c r="B302" t="s">
        <v>9580</v>
      </c>
      <c r="C302">
        <v>0</v>
      </c>
      <c r="D302" t="s">
        <v>6523</v>
      </c>
      <c r="E302" t="s">
        <v>9409</v>
      </c>
      <c r="F302">
        <v>0</v>
      </c>
      <c r="G302" t="s">
        <v>6581</v>
      </c>
      <c r="H302" t="s">
        <v>9430</v>
      </c>
      <c r="I302">
        <v>0</v>
      </c>
      <c r="K302"/>
      <c r="L302"/>
    </row>
    <row r="303" spans="1:12" x14ac:dyDescent="0.25">
      <c r="A303" t="s">
        <v>10852</v>
      </c>
      <c r="B303" t="s">
        <v>9349</v>
      </c>
      <c r="C303">
        <v>0</v>
      </c>
      <c r="D303" t="s">
        <v>6523</v>
      </c>
      <c r="E303" t="s">
        <v>9492</v>
      </c>
      <c r="F303">
        <v>0</v>
      </c>
      <c r="G303" t="s">
        <v>6581</v>
      </c>
      <c r="H303" t="s">
        <v>9459</v>
      </c>
      <c r="I303">
        <v>0</v>
      </c>
      <c r="K303"/>
      <c r="L303"/>
    </row>
    <row r="304" spans="1:12" x14ac:dyDescent="0.25">
      <c r="A304" t="s">
        <v>10852</v>
      </c>
      <c r="B304" t="s">
        <v>9381</v>
      </c>
      <c r="C304">
        <v>0</v>
      </c>
      <c r="D304" t="s">
        <v>6523</v>
      </c>
      <c r="E304" t="s">
        <v>9364</v>
      </c>
      <c r="F304">
        <v>0</v>
      </c>
      <c r="G304" t="s">
        <v>6581</v>
      </c>
      <c r="H304" t="s">
        <v>9375</v>
      </c>
      <c r="I304">
        <v>0</v>
      </c>
      <c r="K304"/>
      <c r="L304"/>
    </row>
    <row r="305" spans="1:12" x14ac:dyDescent="0.25">
      <c r="A305" t="s">
        <v>10852</v>
      </c>
      <c r="B305" t="s">
        <v>9358</v>
      </c>
      <c r="C305">
        <v>1.109</v>
      </c>
      <c r="D305" t="s">
        <v>6523</v>
      </c>
      <c r="E305" t="s">
        <v>9500</v>
      </c>
      <c r="F305">
        <v>0</v>
      </c>
      <c r="G305" t="s">
        <v>6581</v>
      </c>
      <c r="H305" t="s">
        <v>9443</v>
      </c>
      <c r="I305">
        <v>7.1999999999999995E-2</v>
      </c>
      <c r="K305"/>
      <c r="L305"/>
    </row>
    <row r="306" spans="1:12" x14ac:dyDescent="0.25">
      <c r="A306" t="s">
        <v>10852</v>
      </c>
      <c r="B306" t="s">
        <v>9924</v>
      </c>
      <c r="C306">
        <v>0</v>
      </c>
      <c r="D306" t="s">
        <v>6523</v>
      </c>
      <c r="E306" t="s">
        <v>9386</v>
      </c>
      <c r="F306">
        <v>0</v>
      </c>
      <c r="G306" t="s">
        <v>6581</v>
      </c>
      <c r="H306" t="s">
        <v>9371</v>
      </c>
      <c r="I306">
        <v>0</v>
      </c>
      <c r="K306"/>
      <c r="L306"/>
    </row>
    <row r="307" spans="1:12" x14ac:dyDescent="0.25">
      <c r="A307" t="s">
        <v>10852</v>
      </c>
      <c r="B307" t="s">
        <v>9368</v>
      </c>
      <c r="C307">
        <v>0</v>
      </c>
      <c r="D307" t="s">
        <v>6523</v>
      </c>
      <c r="E307" t="s">
        <v>9509</v>
      </c>
      <c r="F307">
        <v>0</v>
      </c>
      <c r="G307" t="s">
        <v>6581</v>
      </c>
      <c r="H307" t="s">
        <v>9571</v>
      </c>
      <c r="I307">
        <v>0.20799999999999999</v>
      </c>
      <c r="K307"/>
      <c r="L307"/>
    </row>
    <row r="308" spans="1:12" x14ac:dyDescent="0.25">
      <c r="A308" t="s">
        <v>10852</v>
      </c>
      <c r="B308" t="s">
        <v>9481</v>
      </c>
      <c r="C308">
        <v>0</v>
      </c>
      <c r="D308" t="s">
        <v>6523</v>
      </c>
      <c r="E308" t="s">
        <v>9398</v>
      </c>
      <c r="F308">
        <v>0</v>
      </c>
      <c r="G308" t="s">
        <v>6581</v>
      </c>
      <c r="H308" t="s">
        <v>9468</v>
      </c>
      <c r="I308">
        <v>0</v>
      </c>
      <c r="K308"/>
      <c r="L308"/>
    </row>
    <row r="309" spans="1:12" x14ac:dyDescent="0.25">
      <c r="A309" t="s">
        <v>10852</v>
      </c>
      <c r="B309" t="s">
        <v>9378</v>
      </c>
      <c r="C309">
        <v>0</v>
      </c>
      <c r="D309" t="s">
        <v>6523</v>
      </c>
      <c r="E309" t="s">
        <v>9478</v>
      </c>
      <c r="F309">
        <v>0</v>
      </c>
      <c r="G309" t="s">
        <v>6581</v>
      </c>
      <c r="H309" t="s">
        <v>9580</v>
      </c>
      <c r="I309">
        <v>6.4000000000000001E-2</v>
      </c>
      <c r="K309"/>
      <c r="L309"/>
    </row>
    <row r="310" spans="1:12" x14ac:dyDescent="0.25">
      <c r="A310" t="s">
        <v>10852</v>
      </c>
      <c r="B310" t="s">
        <v>9527</v>
      </c>
      <c r="C310">
        <v>0</v>
      </c>
      <c r="D310" t="s">
        <v>6523</v>
      </c>
      <c r="E310" t="s">
        <v>9453</v>
      </c>
      <c r="F310">
        <v>0</v>
      </c>
      <c r="G310" t="s">
        <v>6581</v>
      </c>
      <c r="H310" t="s">
        <v>9349</v>
      </c>
      <c r="I310">
        <v>0</v>
      </c>
      <c r="K310"/>
      <c r="L310"/>
    </row>
    <row r="311" spans="1:12" x14ac:dyDescent="0.25">
      <c r="A311" t="s">
        <v>10852</v>
      </c>
      <c r="B311" t="s">
        <v>9389</v>
      </c>
      <c r="C311">
        <v>1.044</v>
      </c>
      <c r="D311" t="s">
        <v>6523</v>
      </c>
      <c r="E311" t="s">
        <v>9465</v>
      </c>
      <c r="F311">
        <v>0</v>
      </c>
      <c r="G311" t="s">
        <v>6581</v>
      </c>
      <c r="H311" t="s">
        <v>9381</v>
      </c>
      <c r="I311">
        <v>2.2959999999999998</v>
      </c>
      <c r="K311"/>
      <c r="L311"/>
    </row>
    <row r="312" spans="1:12" x14ac:dyDescent="0.25">
      <c r="A312" t="s">
        <v>10852</v>
      </c>
      <c r="B312" t="s">
        <v>9620</v>
      </c>
      <c r="C312">
        <v>0</v>
      </c>
      <c r="D312" t="s">
        <v>6523</v>
      </c>
      <c r="E312" t="s">
        <v>9462</v>
      </c>
      <c r="F312">
        <v>0</v>
      </c>
      <c r="G312" t="s">
        <v>6581</v>
      </c>
      <c r="H312" t="s">
        <v>9358</v>
      </c>
      <c r="I312">
        <v>0</v>
      </c>
      <c r="K312"/>
      <c r="L312"/>
    </row>
    <row r="313" spans="1:12" x14ac:dyDescent="0.25">
      <c r="A313" t="s">
        <v>10852</v>
      </c>
      <c r="B313" t="s">
        <v>9401</v>
      </c>
      <c r="C313">
        <v>0</v>
      </c>
      <c r="D313" t="s">
        <v>6523</v>
      </c>
      <c r="E313" t="s">
        <v>9473</v>
      </c>
      <c r="F313">
        <v>0</v>
      </c>
      <c r="G313" t="s">
        <v>6581</v>
      </c>
      <c r="H313" t="s">
        <v>9924</v>
      </c>
      <c r="I313">
        <v>0.44600000000000001</v>
      </c>
      <c r="K313"/>
      <c r="L313"/>
    </row>
    <row r="314" spans="1:12" x14ac:dyDescent="0.25">
      <c r="A314" t="s">
        <v>10852</v>
      </c>
      <c r="B314" t="s">
        <v>9528</v>
      </c>
      <c r="C314">
        <v>0</v>
      </c>
      <c r="D314" t="s">
        <v>6523</v>
      </c>
      <c r="E314" t="s">
        <v>9486</v>
      </c>
      <c r="F314">
        <v>0</v>
      </c>
      <c r="G314" t="s">
        <v>6581</v>
      </c>
      <c r="H314" t="s">
        <v>9368</v>
      </c>
      <c r="I314">
        <v>0</v>
      </c>
      <c r="K314"/>
      <c r="L314"/>
    </row>
    <row r="315" spans="1:12" x14ac:dyDescent="0.25">
      <c r="A315" t="s">
        <v>10852</v>
      </c>
      <c r="B315" t="s">
        <v>9524</v>
      </c>
      <c r="C315">
        <v>0</v>
      </c>
      <c r="D315" t="s">
        <v>6523</v>
      </c>
      <c r="E315" t="s">
        <v>9512</v>
      </c>
      <c r="F315">
        <v>0</v>
      </c>
      <c r="G315" t="s">
        <v>6581</v>
      </c>
      <c r="H315" t="s">
        <v>9481</v>
      </c>
      <c r="I315">
        <v>0.23699999999999999</v>
      </c>
      <c r="K315"/>
      <c r="L315"/>
    </row>
    <row r="316" spans="1:12" x14ac:dyDescent="0.25">
      <c r="A316" t="s">
        <v>10852</v>
      </c>
      <c r="B316" t="s">
        <v>9456</v>
      </c>
      <c r="C316">
        <v>0</v>
      </c>
      <c r="D316" t="s">
        <v>6523</v>
      </c>
      <c r="E316" t="s">
        <v>9489</v>
      </c>
      <c r="F316">
        <v>0</v>
      </c>
      <c r="G316" t="s">
        <v>6581</v>
      </c>
      <c r="H316" t="s">
        <v>9378</v>
      </c>
      <c r="I316">
        <v>0</v>
      </c>
      <c r="K316"/>
      <c r="L316"/>
    </row>
    <row r="317" spans="1:12" x14ac:dyDescent="0.25">
      <c r="A317" t="s">
        <v>10852</v>
      </c>
      <c r="B317" t="s">
        <v>9533</v>
      </c>
      <c r="C317">
        <v>0</v>
      </c>
      <c r="D317" t="s">
        <v>6523</v>
      </c>
      <c r="E317" t="s">
        <v>9547</v>
      </c>
      <c r="F317">
        <v>0</v>
      </c>
      <c r="G317" t="s">
        <v>6581</v>
      </c>
      <c r="H317" t="s">
        <v>9527</v>
      </c>
      <c r="I317">
        <v>1.1599999999999999</v>
      </c>
      <c r="K317"/>
      <c r="L317"/>
    </row>
    <row r="318" spans="1:12" x14ac:dyDescent="0.25">
      <c r="A318" t="s">
        <v>10852</v>
      </c>
      <c r="B318" t="s">
        <v>9448</v>
      </c>
      <c r="C318">
        <v>0</v>
      </c>
      <c r="D318" t="s">
        <v>6523</v>
      </c>
      <c r="E318" t="s">
        <v>9497</v>
      </c>
      <c r="F318">
        <v>0</v>
      </c>
      <c r="G318" t="s">
        <v>6581</v>
      </c>
      <c r="H318" t="s">
        <v>9389</v>
      </c>
      <c r="I318">
        <v>0</v>
      </c>
      <c r="K318"/>
      <c r="L318"/>
    </row>
    <row r="319" spans="1:12" x14ac:dyDescent="0.25">
      <c r="A319" t="s">
        <v>10852</v>
      </c>
      <c r="B319" t="s">
        <v>9635</v>
      </c>
      <c r="C319">
        <v>0</v>
      </c>
      <c r="D319" t="s">
        <v>6523</v>
      </c>
      <c r="E319" t="s">
        <v>9554</v>
      </c>
      <c r="F319">
        <v>0</v>
      </c>
      <c r="G319" t="s">
        <v>6581</v>
      </c>
      <c r="H319" t="s">
        <v>9620</v>
      </c>
      <c r="I319">
        <v>1.087</v>
      </c>
      <c r="K319"/>
      <c r="L319"/>
    </row>
    <row r="320" spans="1:12" x14ac:dyDescent="0.25">
      <c r="A320" t="s">
        <v>10852</v>
      </c>
      <c r="B320" t="s">
        <v>9440</v>
      </c>
      <c r="C320">
        <v>0</v>
      </c>
      <c r="D320" t="s">
        <v>6523</v>
      </c>
      <c r="E320" t="s">
        <v>9419</v>
      </c>
      <c r="F320">
        <v>0</v>
      </c>
      <c r="G320" t="s">
        <v>6581</v>
      </c>
      <c r="H320" t="s">
        <v>9401</v>
      </c>
      <c r="I320">
        <v>0</v>
      </c>
      <c r="K320"/>
      <c r="L320"/>
    </row>
    <row r="321" spans="1:12" x14ac:dyDescent="0.25">
      <c r="A321" t="s">
        <v>10852</v>
      </c>
      <c r="B321" t="s">
        <v>9433</v>
      </c>
      <c r="C321">
        <v>0</v>
      </c>
      <c r="D321" t="s">
        <v>6523</v>
      </c>
      <c r="E321" t="s">
        <v>9365</v>
      </c>
      <c r="F321">
        <v>0</v>
      </c>
      <c r="G321" t="s">
        <v>6581</v>
      </c>
      <c r="H321" t="s">
        <v>9528</v>
      </c>
      <c r="I321">
        <v>1.0720000000000001</v>
      </c>
      <c r="K321"/>
      <c r="L321"/>
    </row>
    <row r="322" spans="1:12" x14ac:dyDescent="0.25">
      <c r="A322" t="s">
        <v>11099</v>
      </c>
      <c r="B322" t="s">
        <v>9344</v>
      </c>
      <c r="C322">
        <v>0</v>
      </c>
      <c r="D322" t="s">
        <v>6523</v>
      </c>
      <c r="E322" t="s">
        <v>9521</v>
      </c>
      <c r="F322">
        <v>0</v>
      </c>
      <c r="G322" t="s">
        <v>6581</v>
      </c>
      <c r="H322" t="s">
        <v>9524</v>
      </c>
      <c r="I322">
        <v>0</v>
      </c>
      <c r="K322"/>
      <c r="L322"/>
    </row>
    <row r="323" spans="1:12" x14ac:dyDescent="0.25">
      <c r="A323" t="s">
        <v>11099</v>
      </c>
      <c r="B323" t="s">
        <v>9361</v>
      </c>
      <c r="C323">
        <v>0</v>
      </c>
      <c r="D323" t="s">
        <v>6523</v>
      </c>
      <c r="E323" t="s">
        <v>9430</v>
      </c>
      <c r="F323">
        <v>0</v>
      </c>
      <c r="G323" t="s">
        <v>6581</v>
      </c>
      <c r="H323" t="s">
        <v>9456</v>
      </c>
      <c r="I323">
        <v>0.29499999999999998</v>
      </c>
      <c r="K323"/>
      <c r="L323"/>
    </row>
    <row r="324" spans="1:12" x14ac:dyDescent="0.25">
      <c r="A324" t="s">
        <v>11099</v>
      </c>
      <c r="B324" t="s">
        <v>9315</v>
      </c>
      <c r="C324">
        <v>0</v>
      </c>
      <c r="D324" t="s">
        <v>6523</v>
      </c>
      <c r="E324" t="s">
        <v>9459</v>
      </c>
      <c r="F324">
        <v>0</v>
      </c>
      <c r="G324" t="s">
        <v>6581</v>
      </c>
      <c r="H324" t="s">
        <v>9533</v>
      </c>
      <c r="I324">
        <v>0</v>
      </c>
      <c r="K324"/>
      <c r="L324"/>
    </row>
    <row r="325" spans="1:12" x14ac:dyDescent="0.25">
      <c r="A325" t="s">
        <v>11099</v>
      </c>
      <c r="B325" t="s">
        <v>9395</v>
      </c>
      <c r="C325">
        <v>0</v>
      </c>
      <c r="D325" t="s">
        <v>6523</v>
      </c>
      <c r="E325" t="s">
        <v>9375</v>
      </c>
      <c r="F325">
        <v>0</v>
      </c>
      <c r="G325" t="s">
        <v>6581</v>
      </c>
      <c r="H325" t="s">
        <v>9448</v>
      </c>
      <c r="I325">
        <v>1.2389999999999999</v>
      </c>
      <c r="K325"/>
      <c r="L325"/>
    </row>
    <row r="326" spans="1:12" x14ac:dyDescent="0.25">
      <c r="A326" t="s">
        <v>11099</v>
      </c>
      <c r="B326" t="s">
        <v>9355</v>
      </c>
      <c r="C326">
        <v>0</v>
      </c>
      <c r="D326" t="s">
        <v>6523</v>
      </c>
      <c r="E326" t="s">
        <v>9443</v>
      </c>
      <c r="F326">
        <v>0</v>
      </c>
      <c r="G326" t="s">
        <v>6581</v>
      </c>
      <c r="H326" t="s">
        <v>9635</v>
      </c>
      <c r="I326">
        <v>0</v>
      </c>
      <c r="K326"/>
      <c r="L326"/>
    </row>
    <row r="327" spans="1:12" x14ac:dyDescent="0.25">
      <c r="A327" t="s">
        <v>11099</v>
      </c>
      <c r="B327" t="s">
        <v>9351</v>
      </c>
      <c r="C327">
        <v>0</v>
      </c>
      <c r="D327" t="s">
        <v>6523</v>
      </c>
      <c r="E327" t="s">
        <v>9371</v>
      </c>
      <c r="F327">
        <v>0</v>
      </c>
      <c r="G327" t="s">
        <v>6581</v>
      </c>
      <c r="H327" t="s">
        <v>9440</v>
      </c>
      <c r="I327">
        <v>0.187</v>
      </c>
      <c r="K327"/>
      <c r="L327"/>
    </row>
    <row r="328" spans="1:12" x14ac:dyDescent="0.25">
      <c r="A328" t="s">
        <v>11099</v>
      </c>
      <c r="B328" t="s">
        <v>9409</v>
      </c>
      <c r="C328">
        <v>0</v>
      </c>
      <c r="D328" t="s">
        <v>6523</v>
      </c>
      <c r="E328" t="s">
        <v>9571</v>
      </c>
      <c r="F328">
        <v>0</v>
      </c>
      <c r="G328" t="s">
        <v>6581</v>
      </c>
      <c r="H328" t="s">
        <v>9433</v>
      </c>
      <c r="I328">
        <v>0.54</v>
      </c>
      <c r="K328"/>
      <c r="L328"/>
    </row>
    <row r="329" spans="1:12" x14ac:dyDescent="0.25">
      <c r="A329" t="s">
        <v>11099</v>
      </c>
      <c r="B329" t="s">
        <v>9492</v>
      </c>
      <c r="C329">
        <v>0</v>
      </c>
      <c r="D329" t="s">
        <v>6523</v>
      </c>
      <c r="E329" t="s">
        <v>9468</v>
      </c>
      <c r="F329">
        <v>0</v>
      </c>
      <c r="G329" t="s">
        <v>6582</v>
      </c>
      <c r="H329" t="s">
        <v>9344</v>
      </c>
      <c r="I329">
        <v>0</v>
      </c>
      <c r="K329"/>
      <c r="L329"/>
    </row>
    <row r="330" spans="1:12" x14ac:dyDescent="0.25">
      <c r="A330" t="s">
        <v>11100</v>
      </c>
      <c r="B330" t="s">
        <v>9344</v>
      </c>
      <c r="C330">
        <v>0</v>
      </c>
      <c r="D330" t="s">
        <v>6523</v>
      </c>
      <c r="E330" t="s">
        <v>9580</v>
      </c>
      <c r="F330">
        <v>0</v>
      </c>
      <c r="G330" t="s">
        <v>6582</v>
      </c>
      <c r="H330" t="s">
        <v>9361</v>
      </c>
      <c r="I330">
        <v>0</v>
      </c>
      <c r="K330"/>
      <c r="L330"/>
    </row>
    <row r="331" spans="1:12" x14ac:dyDescent="0.25">
      <c r="A331" t="s">
        <v>11100</v>
      </c>
      <c r="B331" t="s">
        <v>9361</v>
      </c>
      <c r="C331">
        <v>0</v>
      </c>
      <c r="D331" t="s">
        <v>6523</v>
      </c>
      <c r="E331" t="s">
        <v>9349</v>
      </c>
      <c r="F331">
        <v>0</v>
      </c>
      <c r="G331" t="s">
        <v>6582</v>
      </c>
      <c r="H331" t="s">
        <v>9315</v>
      </c>
      <c r="I331">
        <v>0</v>
      </c>
      <c r="K331"/>
      <c r="L331"/>
    </row>
    <row r="332" spans="1:12" x14ac:dyDescent="0.25">
      <c r="A332" t="s">
        <v>11100</v>
      </c>
      <c r="B332" t="s">
        <v>9315</v>
      </c>
      <c r="C332">
        <v>0</v>
      </c>
      <c r="D332" t="s">
        <v>6523</v>
      </c>
      <c r="E332" t="s">
        <v>9381</v>
      </c>
      <c r="F332">
        <v>0</v>
      </c>
      <c r="G332" t="s">
        <v>6582</v>
      </c>
      <c r="H332" t="s">
        <v>9395</v>
      </c>
      <c r="I332">
        <v>0</v>
      </c>
      <c r="K332"/>
      <c r="L332"/>
    </row>
    <row r="333" spans="1:12" x14ac:dyDescent="0.25">
      <c r="A333" t="s">
        <v>11100</v>
      </c>
      <c r="B333" t="s">
        <v>9395</v>
      </c>
      <c r="C333">
        <v>0</v>
      </c>
      <c r="D333" t="s">
        <v>6523</v>
      </c>
      <c r="E333" t="s">
        <v>9358</v>
      </c>
      <c r="F333">
        <v>0</v>
      </c>
      <c r="G333" t="s">
        <v>6582</v>
      </c>
      <c r="H333" t="s">
        <v>9355</v>
      </c>
      <c r="I333">
        <v>0</v>
      </c>
      <c r="K333"/>
      <c r="L333"/>
    </row>
    <row r="334" spans="1:12" x14ac:dyDescent="0.25">
      <c r="A334" t="s">
        <v>11100</v>
      </c>
      <c r="B334" t="s">
        <v>9355</v>
      </c>
      <c r="C334">
        <v>0</v>
      </c>
      <c r="D334" t="s">
        <v>6523</v>
      </c>
      <c r="E334" t="s">
        <v>9924</v>
      </c>
      <c r="F334">
        <v>0</v>
      </c>
      <c r="G334" t="s">
        <v>6582</v>
      </c>
      <c r="H334" t="s">
        <v>9351</v>
      </c>
      <c r="I334">
        <v>0</v>
      </c>
      <c r="K334"/>
      <c r="L334"/>
    </row>
    <row r="335" spans="1:12" x14ac:dyDescent="0.25">
      <c r="A335" t="s">
        <v>11100</v>
      </c>
      <c r="B335" t="s">
        <v>9351</v>
      </c>
      <c r="C335">
        <v>0</v>
      </c>
      <c r="D335" t="s">
        <v>6523</v>
      </c>
      <c r="E335" t="s">
        <v>9368</v>
      </c>
      <c r="F335">
        <v>0</v>
      </c>
      <c r="G335" t="s">
        <v>6582</v>
      </c>
      <c r="H335" t="s">
        <v>9409</v>
      </c>
      <c r="I335">
        <v>0</v>
      </c>
      <c r="K335"/>
      <c r="L335"/>
    </row>
    <row r="336" spans="1:12" x14ac:dyDescent="0.25">
      <c r="A336" t="s">
        <v>11100</v>
      </c>
      <c r="B336" t="s">
        <v>9409</v>
      </c>
      <c r="C336">
        <v>0</v>
      </c>
      <c r="D336" t="s">
        <v>6523</v>
      </c>
      <c r="E336" t="s">
        <v>9481</v>
      </c>
      <c r="F336">
        <v>0</v>
      </c>
      <c r="G336" t="s">
        <v>6582</v>
      </c>
      <c r="H336" t="s">
        <v>9492</v>
      </c>
      <c r="I336">
        <v>0</v>
      </c>
      <c r="K336"/>
      <c r="L336"/>
    </row>
    <row r="337" spans="1:12" x14ac:dyDescent="0.25">
      <c r="A337" t="s">
        <v>11100</v>
      </c>
      <c r="B337" t="s">
        <v>9492</v>
      </c>
      <c r="C337">
        <v>0</v>
      </c>
      <c r="D337" t="s">
        <v>6523</v>
      </c>
      <c r="E337" t="s">
        <v>9378</v>
      </c>
      <c r="F337">
        <v>0</v>
      </c>
      <c r="G337" t="s">
        <v>6582</v>
      </c>
      <c r="H337" t="s">
        <v>9364</v>
      </c>
      <c r="I337">
        <v>0</v>
      </c>
      <c r="K337"/>
      <c r="L337"/>
    </row>
    <row r="338" spans="1:12" x14ac:dyDescent="0.25">
      <c r="A338" t="s">
        <v>11101</v>
      </c>
      <c r="B338" t="s">
        <v>9344</v>
      </c>
      <c r="C338">
        <v>3.653</v>
      </c>
      <c r="D338" t="s">
        <v>6523</v>
      </c>
      <c r="E338" t="s">
        <v>9527</v>
      </c>
      <c r="F338">
        <v>0</v>
      </c>
      <c r="G338" t="s">
        <v>6582</v>
      </c>
      <c r="H338" t="s">
        <v>9500</v>
      </c>
      <c r="I338">
        <v>0</v>
      </c>
      <c r="K338"/>
      <c r="L338"/>
    </row>
    <row r="339" spans="1:12" x14ac:dyDescent="0.25">
      <c r="A339" t="s">
        <v>11101</v>
      </c>
      <c r="B339" t="s">
        <v>9361</v>
      </c>
      <c r="C339">
        <v>9.0280000000000005</v>
      </c>
      <c r="D339" t="s">
        <v>6523</v>
      </c>
      <c r="E339" t="s">
        <v>9389</v>
      </c>
      <c r="F339">
        <v>0</v>
      </c>
      <c r="G339" t="s">
        <v>6582</v>
      </c>
      <c r="H339" t="s">
        <v>9386</v>
      </c>
      <c r="I339">
        <v>0</v>
      </c>
      <c r="K339"/>
      <c r="L339"/>
    </row>
    <row r="340" spans="1:12" x14ac:dyDescent="0.25">
      <c r="A340" t="s">
        <v>11101</v>
      </c>
      <c r="B340" t="s">
        <v>9315</v>
      </c>
      <c r="C340">
        <v>3.657</v>
      </c>
      <c r="D340" t="s">
        <v>6523</v>
      </c>
      <c r="E340" t="s">
        <v>9620</v>
      </c>
      <c r="F340">
        <v>0</v>
      </c>
      <c r="G340" t="s">
        <v>6582</v>
      </c>
      <c r="H340" t="s">
        <v>9509</v>
      </c>
      <c r="I340">
        <v>0</v>
      </c>
      <c r="K340"/>
      <c r="L340"/>
    </row>
    <row r="341" spans="1:12" x14ac:dyDescent="0.25">
      <c r="A341" t="s">
        <v>11101</v>
      </c>
      <c r="B341" t="s">
        <v>9395</v>
      </c>
      <c r="C341">
        <v>0</v>
      </c>
      <c r="D341" t="s">
        <v>6523</v>
      </c>
      <c r="E341" t="s">
        <v>9401</v>
      </c>
      <c r="F341">
        <v>0</v>
      </c>
      <c r="G341" t="s">
        <v>6582</v>
      </c>
      <c r="H341" t="s">
        <v>9398</v>
      </c>
      <c r="I341">
        <v>0</v>
      </c>
      <c r="K341"/>
      <c r="L341"/>
    </row>
    <row r="342" spans="1:12" x14ac:dyDescent="0.25">
      <c r="A342" t="s">
        <v>11101</v>
      </c>
      <c r="B342" t="s">
        <v>9355</v>
      </c>
      <c r="C342">
        <v>3.8109999999999999</v>
      </c>
      <c r="D342" t="s">
        <v>6523</v>
      </c>
      <c r="E342" t="s">
        <v>9528</v>
      </c>
      <c r="F342">
        <v>0</v>
      </c>
      <c r="G342" t="s">
        <v>6582</v>
      </c>
      <c r="H342" t="s">
        <v>9478</v>
      </c>
      <c r="I342">
        <v>0</v>
      </c>
      <c r="K342"/>
      <c r="L342"/>
    </row>
    <row r="343" spans="1:12" x14ac:dyDescent="0.25">
      <c r="A343" t="s">
        <v>11101</v>
      </c>
      <c r="B343" t="s">
        <v>9351</v>
      </c>
      <c r="C343">
        <v>0</v>
      </c>
      <c r="D343" t="s">
        <v>6523</v>
      </c>
      <c r="E343" t="s">
        <v>9524</v>
      </c>
      <c r="F343">
        <v>0</v>
      </c>
      <c r="G343" t="s">
        <v>6582</v>
      </c>
      <c r="H343" t="s">
        <v>9453</v>
      </c>
      <c r="I343">
        <v>0</v>
      </c>
      <c r="K343"/>
      <c r="L343"/>
    </row>
    <row r="344" spans="1:12" x14ac:dyDescent="0.25">
      <c r="B344"/>
      <c r="C344"/>
      <c r="D344" t="s">
        <v>6523</v>
      </c>
      <c r="E344" t="s">
        <v>9456</v>
      </c>
      <c r="F344">
        <v>0</v>
      </c>
      <c r="G344" t="s">
        <v>6582</v>
      </c>
      <c r="H344" t="s">
        <v>9465</v>
      </c>
      <c r="I344">
        <v>0</v>
      </c>
      <c r="K344"/>
      <c r="L344"/>
    </row>
    <row r="345" spans="1:12" x14ac:dyDescent="0.25">
      <c r="B345"/>
      <c r="C345"/>
      <c r="D345" t="s">
        <v>6523</v>
      </c>
      <c r="E345" t="s">
        <v>9533</v>
      </c>
      <c r="F345">
        <v>0</v>
      </c>
      <c r="G345" t="s">
        <v>6582</v>
      </c>
      <c r="H345" t="s">
        <v>9462</v>
      </c>
      <c r="I345">
        <v>0</v>
      </c>
      <c r="K345"/>
      <c r="L345"/>
    </row>
    <row r="346" spans="1:12" x14ac:dyDescent="0.25">
      <c r="B346"/>
      <c r="C346"/>
      <c r="D346" t="s">
        <v>6523</v>
      </c>
      <c r="E346" t="s">
        <v>9448</v>
      </c>
      <c r="F346">
        <v>0</v>
      </c>
      <c r="G346" t="s">
        <v>6582</v>
      </c>
      <c r="H346" t="s">
        <v>9473</v>
      </c>
      <c r="I346">
        <v>0</v>
      </c>
      <c r="K346"/>
      <c r="L346"/>
    </row>
    <row r="347" spans="1:12" x14ac:dyDescent="0.25">
      <c r="B347"/>
      <c r="C347"/>
      <c r="D347" t="s">
        <v>6523</v>
      </c>
      <c r="E347" t="s">
        <v>9635</v>
      </c>
      <c r="F347">
        <v>0</v>
      </c>
      <c r="G347" t="s">
        <v>6582</v>
      </c>
      <c r="H347" t="s">
        <v>9486</v>
      </c>
      <c r="I347">
        <v>0</v>
      </c>
      <c r="K347"/>
      <c r="L347"/>
    </row>
    <row r="348" spans="1:12" x14ac:dyDescent="0.25">
      <c r="B348"/>
      <c r="C348"/>
      <c r="D348" t="s">
        <v>6523</v>
      </c>
      <c r="E348" t="s">
        <v>9440</v>
      </c>
      <c r="F348">
        <v>0</v>
      </c>
      <c r="G348" t="s">
        <v>6582</v>
      </c>
      <c r="H348" t="s">
        <v>9512</v>
      </c>
      <c r="I348">
        <v>0</v>
      </c>
      <c r="K348"/>
      <c r="L348"/>
    </row>
    <row r="349" spans="1:12" x14ac:dyDescent="0.25">
      <c r="B349"/>
      <c r="C349"/>
      <c r="D349" t="s">
        <v>6523</v>
      </c>
      <c r="E349" t="s">
        <v>9433</v>
      </c>
      <c r="F349">
        <v>0</v>
      </c>
      <c r="G349" t="s">
        <v>6582</v>
      </c>
      <c r="H349" t="s">
        <v>9489</v>
      </c>
      <c r="I349">
        <v>0</v>
      </c>
      <c r="K349"/>
      <c r="L349"/>
    </row>
    <row r="350" spans="1:12" x14ac:dyDescent="0.25">
      <c r="B350"/>
      <c r="C350"/>
      <c r="D350" t="s">
        <v>6524</v>
      </c>
      <c r="E350" t="s">
        <v>9344</v>
      </c>
      <c r="F350">
        <v>1.7109999999999999</v>
      </c>
      <c r="G350" t="s">
        <v>6582</v>
      </c>
      <c r="H350" t="s">
        <v>9547</v>
      </c>
      <c r="I350">
        <v>0</v>
      </c>
      <c r="K350"/>
      <c r="L350"/>
    </row>
    <row r="351" spans="1:12" x14ac:dyDescent="0.25">
      <c r="B351"/>
      <c r="C351"/>
      <c r="D351" t="s">
        <v>6524</v>
      </c>
      <c r="E351" t="s">
        <v>9361</v>
      </c>
      <c r="F351">
        <v>0.16900000000000001</v>
      </c>
      <c r="G351" t="s">
        <v>6582</v>
      </c>
      <c r="H351" t="s">
        <v>9497</v>
      </c>
      <c r="I351">
        <v>0</v>
      </c>
      <c r="K351"/>
      <c r="L351"/>
    </row>
    <row r="352" spans="1:12" x14ac:dyDescent="0.25">
      <c r="B352"/>
      <c r="C352"/>
      <c r="D352" t="s">
        <v>6524</v>
      </c>
      <c r="E352" t="s">
        <v>9315</v>
      </c>
      <c r="F352">
        <v>0.16500000000000001</v>
      </c>
      <c r="G352" t="s">
        <v>6582</v>
      </c>
      <c r="H352" t="s">
        <v>9554</v>
      </c>
      <c r="I352">
        <v>0</v>
      </c>
      <c r="K352"/>
      <c r="L352"/>
    </row>
    <row r="353" spans="4:9" customFormat="1" x14ac:dyDescent="0.25">
      <c r="D353" t="s">
        <v>6524</v>
      </c>
      <c r="E353" t="s">
        <v>9395</v>
      </c>
      <c r="F353">
        <v>0</v>
      </c>
      <c r="G353" t="s">
        <v>6582</v>
      </c>
      <c r="H353" t="s">
        <v>9419</v>
      </c>
      <c r="I353">
        <v>0</v>
      </c>
    </row>
    <row r="354" spans="4:9" customFormat="1" x14ac:dyDescent="0.25">
      <c r="D354" t="s">
        <v>6524</v>
      </c>
      <c r="E354" t="s">
        <v>9355</v>
      </c>
      <c r="F354">
        <v>8.2000000000000003E-2</v>
      </c>
      <c r="G354" t="s">
        <v>6582</v>
      </c>
      <c r="H354" t="s">
        <v>9365</v>
      </c>
      <c r="I354">
        <v>0</v>
      </c>
    </row>
    <row r="355" spans="4:9" customFormat="1" x14ac:dyDescent="0.25">
      <c r="D355" t="s">
        <v>6524</v>
      </c>
      <c r="E355" t="s">
        <v>9351</v>
      </c>
      <c r="F355">
        <v>8.2000000000000003E-2</v>
      </c>
      <c r="G355" t="s">
        <v>6582</v>
      </c>
      <c r="H355" t="s">
        <v>9521</v>
      </c>
      <c r="I355">
        <v>0</v>
      </c>
    </row>
    <row r="356" spans="4:9" customFormat="1" x14ac:dyDescent="0.25">
      <c r="D356" t="s">
        <v>6524</v>
      </c>
      <c r="E356" t="s">
        <v>9409</v>
      </c>
      <c r="F356">
        <v>0</v>
      </c>
      <c r="G356" t="s">
        <v>6582</v>
      </c>
      <c r="H356" t="s">
        <v>9430</v>
      </c>
      <c r="I356">
        <v>0</v>
      </c>
    </row>
    <row r="357" spans="4:9" customFormat="1" x14ac:dyDescent="0.25">
      <c r="D357" t="s">
        <v>6524</v>
      </c>
      <c r="E357" t="s">
        <v>9492</v>
      </c>
      <c r="F357">
        <v>0</v>
      </c>
      <c r="G357" t="s">
        <v>6582</v>
      </c>
      <c r="H357" t="s">
        <v>9459</v>
      </c>
      <c r="I357">
        <v>0</v>
      </c>
    </row>
    <row r="358" spans="4:9" customFormat="1" x14ac:dyDescent="0.25">
      <c r="D358" t="s">
        <v>6524</v>
      </c>
      <c r="E358" t="s">
        <v>9364</v>
      </c>
      <c r="F358">
        <v>0</v>
      </c>
      <c r="G358" t="s">
        <v>6582</v>
      </c>
      <c r="H358" t="s">
        <v>9375</v>
      </c>
      <c r="I358">
        <v>0</v>
      </c>
    </row>
    <row r="359" spans="4:9" customFormat="1" x14ac:dyDescent="0.25">
      <c r="D359" t="s">
        <v>6524</v>
      </c>
      <c r="E359" t="s">
        <v>9500</v>
      </c>
      <c r="F359">
        <v>0</v>
      </c>
      <c r="G359" t="s">
        <v>6582</v>
      </c>
      <c r="H359" t="s">
        <v>9443</v>
      </c>
      <c r="I359">
        <v>0</v>
      </c>
    </row>
    <row r="360" spans="4:9" customFormat="1" x14ac:dyDescent="0.25">
      <c r="D360" t="s">
        <v>6524</v>
      </c>
      <c r="E360" t="s">
        <v>9386</v>
      </c>
      <c r="F360">
        <v>0</v>
      </c>
      <c r="G360" t="s">
        <v>6582</v>
      </c>
      <c r="H360" t="s">
        <v>9371</v>
      </c>
      <c r="I360">
        <v>0</v>
      </c>
    </row>
    <row r="361" spans="4:9" customFormat="1" x14ac:dyDescent="0.25">
      <c r="D361" t="s">
        <v>6524</v>
      </c>
      <c r="E361" t="s">
        <v>9509</v>
      </c>
      <c r="F361">
        <v>0</v>
      </c>
      <c r="G361" t="s">
        <v>6582</v>
      </c>
      <c r="H361" t="s">
        <v>9571</v>
      </c>
      <c r="I361">
        <v>0</v>
      </c>
    </row>
    <row r="362" spans="4:9" customFormat="1" x14ac:dyDescent="0.25">
      <c r="D362" t="s">
        <v>6524</v>
      </c>
      <c r="E362" t="s">
        <v>9398</v>
      </c>
      <c r="F362">
        <v>0</v>
      </c>
      <c r="G362" t="s">
        <v>6582</v>
      </c>
      <c r="H362" t="s">
        <v>9468</v>
      </c>
      <c r="I362">
        <v>0</v>
      </c>
    </row>
    <row r="363" spans="4:9" customFormat="1" x14ac:dyDescent="0.25">
      <c r="D363" t="s">
        <v>6524</v>
      </c>
      <c r="E363" t="s">
        <v>9478</v>
      </c>
      <c r="F363">
        <v>0</v>
      </c>
      <c r="G363" t="s">
        <v>6582</v>
      </c>
      <c r="H363" t="s">
        <v>9580</v>
      </c>
      <c r="I363">
        <v>0</v>
      </c>
    </row>
    <row r="364" spans="4:9" customFormat="1" x14ac:dyDescent="0.25">
      <c r="D364" t="s">
        <v>6524</v>
      </c>
      <c r="E364" t="s">
        <v>9453</v>
      </c>
      <c r="F364">
        <v>0</v>
      </c>
      <c r="G364" t="s">
        <v>6582</v>
      </c>
      <c r="H364" t="s">
        <v>9349</v>
      </c>
      <c r="I364">
        <v>0</v>
      </c>
    </row>
    <row r="365" spans="4:9" customFormat="1" x14ac:dyDescent="0.25">
      <c r="D365" t="s">
        <v>6524</v>
      </c>
      <c r="E365" t="s">
        <v>9465</v>
      </c>
      <c r="F365">
        <v>0</v>
      </c>
      <c r="G365" t="s">
        <v>6582</v>
      </c>
      <c r="H365" t="s">
        <v>9381</v>
      </c>
      <c r="I365">
        <v>0</v>
      </c>
    </row>
    <row r="366" spans="4:9" customFormat="1" x14ac:dyDescent="0.25">
      <c r="D366" t="s">
        <v>6524</v>
      </c>
      <c r="E366" t="s">
        <v>9462</v>
      </c>
      <c r="F366">
        <v>0</v>
      </c>
      <c r="G366" t="s">
        <v>6582</v>
      </c>
      <c r="H366" t="s">
        <v>9358</v>
      </c>
      <c r="I366">
        <v>0</v>
      </c>
    </row>
    <row r="367" spans="4:9" customFormat="1" x14ac:dyDescent="0.25">
      <c r="D367" t="s">
        <v>6524</v>
      </c>
      <c r="E367" t="s">
        <v>9473</v>
      </c>
      <c r="F367">
        <v>0</v>
      </c>
      <c r="G367" t="s">
        <v>6582</v>
      </c>
      <c r="H367" t="s">
        <v>9924</v>
      </c>
      <c r="I367">
        <v>0</v>
      </c>
    </row>
    <row r="368" spans="4:9" customFormat="1" x14ac:dyDescent="0.25">
      <c r="D368" t="s">
        <v>6524</v>
      </c>
      <c r="E368" t="s">
        <v>9486</v>
      </c>
      <c r="F368">
        <v>0</v>
      </c>
      <c r="G368" t="s">
        <v>6582</v>
      </c>
      <c r="H368" t="s">
        <v>9368</v>
      </c>
      <c r="I368">
        <v>0</v>
      </c>
    </row>
    <row r="369" spans="4:9" customFormat="1" x14ac:dyDescent="0.25">
      <c r="D369" t="s">
        <v>6524</v>
      </c>
      <c r="E369" t="s">
        <v>9512</v>
      </c>
      <c r="F369">
        <v>0</v>
      </c>
      <c r="G369" t="s">
        <v>6582</v>
      </c>
      <c r="H369" t="s">
        <v>9481</v>
      </c>
      <c r="I369">
        <v>0</v>
      </c>
    </row>
    <row r="370" spans="4:9" customFormat="1" x14ac:dyDescent="0.25">
      <c r="D370" t="s">
        <v>6524</v>
      </c>
      <c r="E370" t="s">
        <v>9489</v>
      </c>
      <c r="F370">
        <v>0</v>
      </c>
      <c r="G370" t="s">
        <v>6582</v>
      </c>
      <c r="H370" t="s">
        <v>9378</v>
      </c>
      <c r="I370">
        <v>0</v>
      </c>
    </row>
    <row r="371" spans="4:9" customFormat="1" x14ac:dyDescent="0.25">
      <c r="D371" t="s">
        <v>6524</v>
      </c>
      <c r="E371" t="s">
        <v>9547</v>
      </c>
      <c r="F371">
        <v>0</v>
      </c>
      <c r="G371" t="s">
        <v>6582</v>
      </c>
      <c r="H371" t="s">
        <v>9527</v>
      </c>
      <c r="I371">
        <v>0</v>
      </c>
    </row>
    <row r="372" spans="4:9" customFormat="1" x14ac:dyDescent="0.25">
      <c r="D372" t="s">
        <v>6524</v>
      </c>
      <c r="E372" t="s">
        <v>9497</v>
      </c>
      <c r="F372">
        <v>0</v>
      </c>
      <c r="G372" t="s">
        <v>6582</v>
      </c>
      <c r="H372" t="s">
        <v>9389</v>
      </c>
      <c r="I372">
        <v>0</v>
      </c>
    </row>
    <row r="373" spans="4:9" customFormat="1" x14ac:dyDescent="0.25">
      <c r="D373" t="s">
        <v>6524</v>
      </c>
      <c r="E373" t="s">
        <v>9554</v>
      </c>
      <c r="F373">
        <v>0</v>
      </c>
      <c r="G373" t="s">
        <v>6582</v>
      </c>
      <c r="H373" t="s">
        <v>9620</v>
      </c>
      <c r="I373">
        <v>0</v>
      </c>
    </row>
    <row r="374" spans="4:9" customFormat="1" x14ac:dyDescent="0.25">
      <c r="D374" t="s">
        <v>6524</v>
      </c>
      <c r="E374" t="s">
        <v>9419</v>
      </c>
      <c r="F374">
        <v>0</v>
      </c>
      <c r="G374" t="s">
        <v>6582</v>
      </c>
      <c r="H374" t="s">
        <v>9401</v>
      </c>
      <c r="I374">
        <v>0</v>
      </c>
    </row>
    <row r="375" spans="4:9" customFormat="1" x14ac:dyDescent="0.25">
      <c r="D375" t="s">
        <v>6524</v>
      </c>
      <c r="E375" t="s">
        <v>9365</v>
      </c>
      <c r="F375">
        <v>0</v>
      </c>
      <c r="G375" t="s">
        <v>6582</v>
      </c>
      <c r="H375" t="s">
        <v>9528</v>
      </c>
      <c r="I375">
        <v>0</v>
      </c>
    </row>
    <row r="376" spans="4:9" customFormat="1" x14ac:dyDescent="0.25">
      <c r="D376" t="s">
        <v>6524</v>
      </c>
      <c r="E376" t="s">
        <v>9521</v>
      </c>
      <c r="F376">
        <v>0</v>
      </c>
      <c r="G376" t="s">
        <v>6582</v>
      </c>
      <c r="H376" t="s">
        <v>9524</v>
      </c>
      <c r="I376">
        <v>0</v>
      </c>
    </row>
    <row r="377" spans="4:9" customFormat="1" x14ac:dyDescent="0.25">
      <c r="D377" t="s">
        <v>6524</v>
      </c>
      <c r="E377" t="s">
        <v>9430</v>
      </c>
      <c r="F377">
        <v>0</v>
      </c>
      <c r="G377" t="s">
        <v>6582</v>
      </c>
      <c r="H377" t="s">
        <v>9456</v>
      </c>
      <c r="I377">
        <v>0</v>
      </c>
    </row>
    <row r="378" spans="4:9" customFormat="1" x14ac:dyDescent="0.25">
      <c r="D378" t="s">
        <v>6524</v>
      </c>
      <c r="E378" t="s">
        <v>9459</v>
      </c>
      <c r="F378">
        <v>0</v>
      </c>
      <c r="G378" t="s">
        <v>6582</v>
      </c>
      <c r="H378" t="s">
        <v>9533</v>
      </c>
      <c r="I378">
        <v>0</v>
      </c>
    </row>
    <row r="379" spans="4:9" customFormat="1" x14ac:dyDescent="0.25">
      <c r="D379" t="s">
        <v>6524</v>
      </c>
      <c r="E379" t="s">
        <v>9375</v>
      </c>
      <c r="F379">
        <v>0</v>
      </c>
      <c r="G379" t="s">
        <v>6582</v>
      </c>
      <c r="H379" t="s">
        <v>9448</v>
      </c>
      <c r="I379">
        <v>0</v>
      </c>
    </row>
    <row r="380" spans="4:9" customFormat="1" x14ac:dyDescent="0.25">
      <c r="D380" t="s">
        <v>6524</v>
      </c>
      <c r="E380" t="s">
        <v>9443</v>
      </c>
      <c r="F380">
        <v>0</v>
      </c>
      <c r="G380" t="s">
        <v>6582</v>
      </c>
      <c r="H380" t="s">
        <v>9635</v>
      </c>
      <c r="I380">
        <v>0</v>
      </c>
    </row>
    <row r="381" spans="4:9" customFormat="1" x14ac:dyDescent="0.25">
      <c r="D381" t="s">
        <v>6524</v>
      </c>
      <c r="E381" t="s">
        <v>9371</v>
      </c>
      <c r="F381">
        <v>0</v>
      </c>
      <c r="G381" t="s">
        <v>6582</v>
      </c>
      <c r="H381" t="s">
        <v>9440</v>
      </c>
      <c r="I381">
        <v>0</v>
      </c>
    </row>
    <row r="382" spans="4:9" customFormat="1" x14ac:dyDescent="0.25">
      <c r="D382" t="s">
        <v>6524</v>
      </c>
      <c r="E382" t="s">
        <v>9571</v>
      </c>
      <c r="F382">
        <v>0</v>
      </c>
      <c r="G382" t="s">
        <v>6582</v>
      </c>
      <c r="H382" t="s">
        <v>9433</v>
      </c>
      <c r="I382">
        <v>0</v>
      </c>
    </row>
    <row r="383" spans="4:9" customFormat="1" x14ac:dyDescent="0.25">
      <c r="D383" t="s">
        <v>6524</v>
      </c>
      <c r="E383" t="s">
        <v>9468</v>
      </c>
      <c r="F383">
        <v>0</v>
      </c>
      <c r="G383" t="s">
        <v>6583</v>
      </c>
      <c r="H383" t="s">
        <v>9344</v>
      </c>
      <c r="I383">
        <v>0</v>
      </c>
    </row>
    <row r="384" spans="4:9" customFormat="1" x14ac:dyDescent="0.25">
      <c r="D384" t="s">
        <v>6524</v>
      </c>
      <c r="E384" t="s">
        <v>9580</v>
      </c>
      <c r="F384">
        <v>0</v>
      </c>
      <c r="G384" t="s">
        <v>6583</v>
      </c>
      <c r="H384" t="s">
        <v>9361</v>
      </c>
      <c r="I384">
        <v>0</v>
      </c>
    </row>
    <row r="385" spans="4:9" customFormat="1" x14ac:dyDescent="0.25">
      <c r="D385" t="s">
        <v>6524</v>
      </c>
      <c r="E385" t="s">
        <v>9349</v>
      </c>
      <c r="F385">
        <v>0</v>
      </c>
      <c r="G385" t="s">
        <v>6583</v>
      </c>
      <c r="H385" t="s">
        <v>9315</v>
      </c>
      <c r="I385">
        <v>0</v>
      </c>
    </row>
    <row r="386" spans="4:9" customFormat="1" x14ac:dyDescent="0.25">
      <c r="D386" t="s">
        <v>6526</v>
      </c>
      <c r="E386" t="s">
        <v>9344</v>
      </c>
      <c r="F386">
        <v>0</v>
      </c>
      <c r="G386" t="s">
        <v>6583</v>
      </c>
      <c r="H386" t="s">
        <v>9395</v>
      </c>
      <c r="I386">
        <v>0</v>
      </c>
    </row>
    <row r="387" spans="4:9" customFormat="1" x14ac:dyDescent="0.25">
      <c r="D387" t="s">
        <v>6526</v>
      </c>
      <c r="E387" t="s">
        <v>9361</v>
      </c>
      <c r="F387">
        <v>0.223</v>
      </c>
      <c r="G387" t="s">
        <v>6583</v>
      </c>
      <c r="H387" t="s">
        <v>9355</v>
      </c>
      <c r="I387">
        <v>0</v>
      </c>
    </row>
    <row r="388" spans="4:9" customFormat="1" x14ac:dyDescent="0.25">
      <c r="D388" t="s">
        <v>6526</v>
      </c>
      <c r="E388" t="s">
        <v>9315</v>
      </c>
      <c r="F388">
        <v>0.17599999999999999</v>
      </c>
      <c r="G388" t="s">
        <v>6583</v>
      </c>
      <c r="H388" t="s">
        <v>9351</v>
      </c>
      <c r="I388">
        <v>0</v>
      </c>
    </row>
    <row r="389" spans="4:9" customFormat="1" x14ac:dyDescent="0.25">
      <c r="D389" t="s">
        <v>6526</v>
      </c>
      <c r="E389" t="s">
        <v>9395</v>
      </c>
      <c r="F389">
        <v>0</v>
      </c>
      <c r="G389" t="s">
        <v>6583</v>
      </c>
      <c r="H389" t="s">
        <v>9409</v>
      </c>
      <c r="I389">
        <v>0</v>
      </c>
    </row>
    <row r="390" spans="4:9" customFormat="1" x14ac:dyDescent="0.25">
      <c r="D390" t="s">
        <v>6526</v>
      </c>
      <c r="E390" t="s">
        <v>9355</v>
      </c>
      <c r="F390">
        <v>0</v>
      </c>
      <c r="G390" t="s">
        <v>6583</v>
      </c>
      <c r="H390" t="s">
        <v>9492</v>
      </c>
      <c r="I390">
        <v>0</v>
      </c>
    </row>
    <row r="391" spans="4:9" customFormat="1" x14ac:dyDescent="0.25">
      <c r="D391" t="s">
        <v>6526</v>
      </c>
      <c r="E391" t="s">
        <v>9351</v>
      </c>
      <c r="F391">
        <v>0.255</v>
      </c>
      <c r="G391" t="s">
        <v>6583</v>
      </c>
      <c r="H391" t="s">
        <v>9364</v>
      </c>
      <c r="I391">
        <v>0</v>
      </c>
    </row>
    <row r="392" spans="4:9" customFormat="1" x14ac:dyDescent="0.25">
      <c r="D392" t="s">
        <v>6526</v>
      </c>
      <c r="E392" t="s">
        <v>9409</v>
      </c>
      <c r="F392">
        <v>1.083</v>
      </c>
      <c r="G392" t="s">
        <v>6583</v>
      </c>
      <c r="H392" t="s">
        <v>9500</v>
      </c>
      <c r="I392">
        <v>0</v>
      </c>
    </row>
    <row r="393" spans="4:9" customFormat="1" x14ac:dyDescent="0.25">
      <c r="D393" t="s">
        <v>6526</v>
      </c>
      <c r="E393" t="s">
        <v>9492</v>
      </c>
      <c r="F393">
        <v>0</v>
      </c>
      <c r="G393" t="s">
        <v>6583</v>
      </c>
      <c r="H393" t="s">
        <v>9386</v>
      </c>
      <c r="I393">
        <v>0</v>
      </c>
    </row>
    <row r="394" spans="4:9" customFormat="1" x14ac:dyDescent="0.25">
      <c r="D394" t="s">
        <v>6526</v>
      </c>
      <c r="E394" t="s">
        <v>9364</v>
      </c>
      <c r="F394">
        <v>0</v>
      </c>
      <c r="G394" t="s">
        <v>6583</v>
      </c>
      <c r="H394" t="s">
        <v>9509</v>
      </c>
      <c r="I394">
        <v>0</v>
      </c>
    </row>
    <row r="395" spans="4:9" customFormat="1" x14ac:dyDescent="0.25">
      <c r="D395" t="s">
        <v>6526</v>
      </c>
      <c r="E395" t="s">
        <v>9500</v>
      </c>
      <c r="F395">
        <v>0</v>
      </c>
      <c r="G395" t="s">
        <v>6583</v>
      </c>
      <c r="H395" t="s">
        <v>9398</v>
      </c>
      <c r="I395">
        <v>0</v>
      </c>
    </row>
    <row r="396" spans="4:9" customFormat="1" x14ac:dyDescent="0.25">
      <c r="D396" t="s">
        <v>6526</v>
      </c>
      <c r="E396" t="s">
        <v>9386</v>
      </c>
      <c r="F396">
        <v>0</v>
      </c>
      <c r="G396" t="s">
        <v>6583</v>
      </c>
      <c r="H396" t="s">
        <v>9478</v>
      </c>
      <c r="I396">
        <v>0</v>
      </c>
    </row>
    <row r="397" spans="4:9" customFormat="1" x14ac:dyDescent="0.25">
      <c r="D397" t="s">
        <v>6526</v>
      </c>
      <c r="E397" t="s">
        <v>9509</v>
      </c>
      <c r="F397">
        <v>0</v>
      </c>
      <c r="G397" t="s">
        <v>6583</v>
      </c>
      <c r="H397" t="s">
        <v>9453</v>
      </c>
      <c r="I397">
        <v>0</v>
      </c>
    </row>
    <row r="398" spans="4:9" customFormat="1" x14ac:dyDescent="0.25">
      <c r="D398" t="s">
        <v>6526</v>
      </c>
      <c r="E398" t="s">
        <v>9398</v>
      </c>
      <c r="F398">
        <v>0</v>
      </c>
      <c r="G398" t="s">
        <v>6583</v>
      </c>
      <c r="H398" t="s">
        <v>9465</v>
      </c>
      <c r="I398">
        <v>0</v>
      </c>
    </row>
    <row r="399" spans="4:9" customFormat="1" x14ac:dyDescent="0.25">
      <c r="D399" t="s">
        <v>6526</v>
      </c>
      <c r="E399" t="s">
        <v>9478</v>
      </c>
      <c r="F399">
        <v>0</v>
      </c>
      <c r="G399" t="s">
        <v>6583</v>
      </c>
      <c r="H399" t="s">
        <v>9462</v>
      </c>
      <c r="I399">
        <v>0</v>
      </c>
    </row>
    <row r="400" spans="4:9" customFormat="1" x14ac:dyDescent="0.25">
      <c r="D400" t="s">
        <v>6526</v>
      </c>
      <c r="E400" t="s">
        <v>9453</v>
      </c>
      <c r="F400">
        <v>0</v>
      </c>
      <c r="G400" t="s">
        <v>6583</v>
      </c>
      <c r="H400" t="s">
        <v>9473</v>
      </c>
      <c r="I400">
        <v>0</v>
      </c>
    </row>
    <row r="401" spans="4:9" customFormat="1" x14ac:dyDescent="0.25">
      <c r="D401" t="s">
        <v>6526</v>
      </c>
      <c r="E401" t="s">
        <v>9465</v>
      </c>
      <c r="F401">
        <v>0</v>
      </c>
      <c r="G401" t="s">
        <v>6583</v>
      </c>
      <c r="H401" t="s">
        <v>9486</v>
      </c>
      <c r="I401">
        <v>0</v>
      </c>
    </row>
    <row r="402" spans="4:9" customFormat="1" x14ac:dyDescent="0.25">
      <c r="D402" t="s">
        <v>6526</v>
      </c>
      <c r="E402" t="s">
        <v>9462</v>
      </c>
      <c r="F402">
        <v>0</v>
      </c>
      <c r="G402" t="s">
        <v>6583</v>
      </c>
      <c r="H402" t="s">
        <v>9512</v>
      </c>
      <c r="I402">
        <v>0</v>
      </c>
    </row>
    <row r="403" spans="4:9" customFormat="1" x14ac:dyDescent="0.25">
      <c r="D403" t="s">
        <v>6526</v>
      </c>
      <c r="E403" t="s">
        <v>9473</v>
      </c>
      <c r="F403">
        <v>0</v>
      </c>
      <c r="G403" t="s">
        <v>6583</v>
      </c>
      <c r="H403" t="s">
        <v>9489</v>
      </c>
      <c r="I403">
        <v>0</v>
      </c>
    </row>
    <row r="404" spans="4:9" customFormat="1" x14ac:dyDescent="0.25">
      <c r="D404" t="s">
        <v>6526</v>
      </c>
      <c r="E404" t="s">
        <v>9486</v>
      </c>
      <c r="F404">
        <v>0</v>
      </c>
      <c r="G404" t="s">
        <v>6583</v>
      </c>
      <c r="H404" t="s">
        <v>9547</v>
      </c>
      <c r="I404">
        <v>0</v>
      </c>
    </row>
    <row r="405" spans="4:9" customFormat="1" x14ac:dyDescent="0.25">
      <c r="D405" t="s">
        <v>6526</v>
      </c>
      <c r="E405" t="s">
        <v>9512</v>
      </c>
      <c r="F405">
        <v>0</v>
      </c>
      <c r="G405" t="s">
        <v>6583</v>
      </c>
      <c r="H405" t="s">
        <v>9497</v>
      </c>
      <c r="I405">
        <v>0</v>
      </c>
    </row>
    <row r="406" spans="4:9" customFormat="1" x14ac:dyDescent="0.25">
      <c r="D406" t="s">
        <v>6526</v>
      </c>
      <c r="E406" t="s">
        <v>9489</v>
      </c>
      <c r="F406">
        <v>0</v>
      </c>
      <c r="G406" t="s">
        <v>6583</v>
      </c>
      <c r="H406" t="s">
        <v>9554</v>
      </c>
      <c r="I406">
        <v>0</v>
      </c>
    </row>
    <row r="407" spans="4:9" customFormat="1" x14ac:dyDescent="0.25">
      <c r="D407" t="s">
        <v>6526</v>
      </c>
      <c r="E407" t="s">
        <v>9547</v>
      </c>
      <c r="F407">
        <v>0</v>
      </c>
      <c r="G407" t="s">
        <v>6583</v>
      </c>
      <c r="H407" t="s">
        <v>9419</v>
      </c>
      <c r="I407">
        <v>0</v>
      </c>
    </row>
    <row r="408" spans="4:9" customFormat="1" x14ac:dyDescent="0.25">
      <c r="D408" t="s">
        <v>6526</v>
      </c>
      <c r="E408" t="s">
        <v>9497</v>
      </c>
      <c r="F408">
        <v>0</v>
      </c>
      <c r="G408" t="s">
        <v>6583</v>
      </c>
      <c r="H408" t="s">
        <v>9365</v>
      </c>
      <c r="I408">
        <v>0</v>
      </c>
    </row>
    <row r="409" spans="4:9" customFormat="1" x14ac:dyDescent="0.25">
      <c r="D409" t="s">
        <v>6526</v>
      </c>
      <c r="E409" t="s">
        <v>9554</v>
      </c>
      <c r="F409">
        <v>0</v>
      </c>
      <c r="G409" t="s">
        <v>6583</v>
      </c>
      <c r="H409" t="s">
        <v>9521</v>
      </c>
      <c r="I409">
        <v>0</v>
      </c>
    </row>
    <row r="410" spans="4:9" customFormat="1" x14ac:dyDescent="0.25">
      <c r="D410" t="s">
        <v>6526</v>
      </c>
      <c r="E410" t="s">
        <v>9419</v>
      </c>
      <c r="F410">
        <v>0</v>
      </c>
      <c r="G410" t="s">
        <v>6583</v>
      </c>
      <c r="H410" t="s">
        <v>9430</v>
      </c>
      <c r="I410">
        <v>0</v>
      </c>
    </row>
    <row r="411" spans="4:9" customFormat="1" x14ac:dyDescent="0.25">
      <c r="D411" t="s">
        <v>6526</v>
      </c>
      <c r="E411" t="s">
        <v>9365</v>
      </c>
      <c r="F411">
        <v>0</v>
      </c>
      <c r="G411" t="s">
        <v>6583</v>
      </c>
      <c r="H411" t="s">
        <v>9459</v>
      </c>
      <c r="I411">
        <v>0</v>
      </c>
    </row>
    <row r="412" spans="4:9" customFormat="1" x14ac:dyDescent="0.25">
      <c r="D412" t="s">
        <v>6526</v>
      </c>
      <c r="E412" t="s">
        <v>9521</v>
      </c>
      <c r="F412">
        <v>0</v>
      </c>
      <c r="G412" t="s">
        <v>6583</v>
      </c>
      <c r="H412" t="s">
        <v>9375</v>
      </c>
      <c r="I412">
        <v>0</v>
      </c>
    </row>
    <row r="413" spans="4:9" customFormat="1" x14ac:dyDescent="0.25">
      <c r="D413" t="s">
        <v>6526</v>
      </c>
      <c r="E413" t="s">
        <v>9430</v>
      </c>
      <c r="F413">
        <v>0</v>
      </c>
      <c r="G413" t="s">
        <v>6583</v>
      </c>
      <c r="H413" t="s">
        <v>9443</v>
      </c>
      <c r="I413">
        <v>0</v>
      </c>
    </row>
    <row r="414" spans="4:9" customFormat="1" x14ac:dyDescent="0.25">
      <c r="D414" t="s">
        <v>6526</v>
      </c>
      <c r="E414" t="s">
        <v>9459</v>
      </c>
      <c r="F414">
        <v>0</v>
      </c>
      <c r="G414" t="s">
        <v>6583</v>
      </c>
      <c r="H414" t="s">
        <v>9371</v>
      </c>
      <c r="I414">
        <v>0</v>
      </c>
    </row>
    <row r="415" spans="4:9" customFormat="1" x14ac:dyDescent="0.25">
      <c r="D415" t="s">
        <v>6526</v>
      </c>
      <c r="E415" t="s">
        <v>9375</v>
      </c>
      <c r="F415">
        <v>0</v>
      </c>
      <c r="G415" t="s">
        <v>6583</v>
      </c>
      <c r="H415" t="s">
        <v>9571</v>
      </c>
      <c r="I415">
        <v>0</v>
      </c>
    </row>
    <row r="416" spans="4:9" customFormat="1" x14ac:dyDescent="0.25">
      <c r="D416" t="s">
        <v>6526</v>
      </c>
      <c r="E416" t="s">
        <v>9443</v>
      </c>
      <c r="F416">
        <v>0</v>
      </c>
      <c r="G416" t="s">
        <v>6583</v>
      </c>
      <c r="H416" t="s">
        <v>9468</v>
      </c>
      <c r="I416">
        <v>0</v>
      </c>
    </row>
    <row r="417" spans="4:9" customFormat="1" x14ac:dyDescent="0.25">
      <c r="D417" t="s">
        <v>6526</v>
      </c>
      <c r="E417" t="s">
        <v>9371</v>
      </c>
      <c r="F417">
        <v>0</v>
      </c>
      <c r="G417" t="s">
        <v>6583</v>
      </c>
      <c r="H417" t="s">
        <v>9580</v>
      </c>
      <c r="I417">
        <v>0</v>
      </c>
    </row>
    <row r="418" spans="4:9" customFormat="1" x14ac:dyDescent="0.25">
      <c r="D418" t="s">
        <v>6526</v>
      </c>
      <c r="E418" t="s">
        <v>9571</v>
      </c>
      <c r="F418">
        <v>0</v>
      </c>
      <c r="G418" t="s">
        <v>6583</v>
      </c>
      <c r="H418" t="s">
        <v>9349</v>
      </c>
      <c r="I418">
        <v>0</v>
      </c>
    </row>
    <row r="419" spans="4:9" customFormat="1" x14ac:dyDescent="0.25">
      <c r="D419" t="s">
        <v>6526</v>
      </c>
      <c r="E419" t="s">
        <v>9468</v>
      </c>
      <c r="F419">
        <v>0</v>
      </c>
      <c r="G419" t="s">
        <v>6583</v>
      </c>
      <c r="H419" t="s">
        <v>9381</v>
      </c>
      <c r="I419">
        <v>0</v>
      </c>
    </row>
    <row r="420" spans="4:9" customFormat="1" x14ac:dyDescent="0.25">
      <c r="D420" t="s">
        <v>6526</v>
      </c>
      <c r="E420" t="s">
        <v>9580</v>
      </c>
      <c r="F420">
        <v>0</v>
      </c>
      <c r="G420" t="s">
        <v>6583</v>
      </c>
      <c r="H420" t="s">
        <v>9358</v>
      </c>
      <c r="I420">
        <v>0</v>
      </c>
    </row>
    <row r="421" spans="4:9" customFormat="1" x14ac:dyDescent="0.25">
      <c r="D421" t="s">
        <v>6526</v>
      </c>
      <c r="E421" t="s">
        <v>9349</v>
      </c>
      <c r="F421">
        <v>0</v>
      </c>
      <c r="G421" t="s">
        <v>6583</v>
      </c>
      <c r="H421" t="s">
        <v>9924</v>
      </c>
      <c r="I421">
        <v>0</v>
      </c>
    </row>
    <row r="422" spans="4:9" customFormat="1" x14ac:dyDescent="0.25">
      <c r="D422" t="s">
        <v>6528</v>
      </c>
      <c r="E422" t="s">
        <v>9344</v>
      </c>
      <c r="F422">
        <v>0</v>
      </c>
      <c r="G422" t="s">
        <v>6583</v>
      </c>
      <c r="H422" t="s">
        <v>9368</v>
      </c>
      <c r="I422">
        <v>0</v>
      </c>
    </row>
    <row r="423" spans="4:9" customFormat="1" x14ac:dyDescent="0.25">
      <c r="D423" t="s">
        <v>6528</v>
      </c>
      <c r="E423" t="s">
        <v>9361</v>
      </c>
      <c r="F423">
        <v>0</v>
      </c>
      <c r="G423" t="s">
        <v>6583</v>
      </c>
      <c r="H423" t="s">
        <v>9481</v>
      </c>
      <c r="I423">
        <v>0</v>
      </c>
    </row>
    <row r="424" spans="4:9" customFormat="1" x14ac:dyDescent="0.25">
      <c r="D424" t="s">
        <v>6528</v>
      </c>
      <c r="E424" t="s">
        <v>9315</v>
      </c>
      <c r="F424">
        <v>0</v>
      </c>
      <c r="G424" t="s">
        <v>6583</v>
      </c>
      <c r="H424" t="s">
        <v>9378</v>
      </c>
      <c r="I424">
        <v>0</v>
      </c>
    </row>
    <row r="425" spans="4:9" customFormat="1" x14ac:dyDescent="0.25">
      <c r="D425" t="s">
        <v>6528</v>
      </c>
      <c r="E425" t="s">
        <v>9395</v>
      </c>
      <c r="F425">
        <v>0</v>
      </c>
      <c r="G425" t="s">
        <v>6583</v>
      </c>
      <c r="H425" t="s">
        <v>9527</v>
      </c>
      <c r="I425">
        <v>0</v>
      </c>
    </row>
    <row r="426" spans="4:9" customFormat="1" x14ac:dyDescent="0.25">
      <c r="D426" t="s">
        <v>6528</v>
      </c>
      <c r="E426" t="s">
        <v>9355</v>
      </c>
      <c r="F426">
        <v>0</v>
      </c>
      <c r="G426" t="s">
        <v>6583</v>
      </c>
      <c r="H426" t="s">
        <v>9389</v>
      </c>
      <c r="I426">
        <v>0</v>
      </c>
    </row>
    <row r="427" spans="4:9" customFormat="1" x14ac:dyDescent="0.25">
      <c r="D427" t="s">
        <v>6528</v>
      </c>
      <c r="E427" t="s">
        <v>9351</v>
      </c>
      <c r="F427">
        <v>0.40300000000000002</v>
      </c>
      <c r="G427" t="s">
        <v>6583</v>
      </c>
      <c r="H427" t="s">
        <v>9620</v>
      </c>
      <c r="I427">
        <v>0</v>
      </c>
    </row>
    <row r="428" spans="4:9" customFormat="1" x14ac:dyDescent="0.25">
      <c r="D428" t="s">
        <v>6528</v>
      </c>
      <c r="E428" t="s">
        <v>9409</v>
      </c>
      <c r="F428">
        <v>0</v>
      </c>
      <c r="G428" t="s">
        <v>6583</v>
      </c>
      <c r="H428" t="s">
        <v>9401</v>
      </c>
      <c r="I428">
        <v>0</v>
      </c>
    </row>
    <row r="429" spans="4:9" customFormat="1" x14ac:dyDescent="0.25">
      <c r="D429" t="s">
        <v>6528</v>
      </c>
      <c r="E429" t="s">
        <v>9492</v>
      </c>
      <c r="F429">
        <v>0</v>
      </c>
      <c r="G429" t="s">
        <v>6583</v>
      </c>
      <c r="H429" t="s">
        <v>9528</v>
      </c>
      <c r="I429">
        <v>0</v>
      </c>
    </row>
    <row r="430" spans="4:9" customFormat="1" x14ac:dyDescent="0.25">
      <c r="D430" t="s">
        <v>6528</v>
      </c>
      <c r="E430" t="s">
        <v>9364</v>
      </c>
      <c r="F430">
        <v>1.1379999999999999</v>
      </c>
      <c r="G430" t="s">
        <v>6583</v>
      </c>
      <c r="H430" t="s">
        <v>9524</v>
      </c>
      <c r="I430">
        <v>0</v>
      </c>
    </row>
    <row r="431" spans="4:9" customFormat="1" x14ac:dyDescent="0.25">
      <c r="D431" t="s">
        <v>6528</v>
      </c>
      <c r="E431" t="s">
        <v>9500</v>
      </c>
      <c r="F431">
        <v>0</v>
      </c>
      <c r="G431" t="s">
        <v>6583</v>
      </c>
      <c r="H431" t="s">
        <v>9456</v>
      </c>
      <c r="I431">
        <v>0</v>
      </c>
    </row>
    <row r="432" spans="4:9" customFormat="1" x14ac:dyDescent="0.25">
      <c r="D432" t="s">
        <v>6528</v>
      </c>
      <c r="E432" t="s">
        <v>9386</v>
      </c>
      <c r="F432">
        <v>0</v>
      </c>
      <c r="G432" t="s">
        <v>6583</v>
      </c>
      <c r="H432" t="s">
        <v>9533</v>
      </c>
      <c r="I432">
        <v>0</v>
      </c>
    </row>
    <row r="433" spans="4:9" customFormat="1" x14ac:dyDescent="0.25">
      <c r="D433" t="s">
        <v>6528</v>
      </c>
      <c r="E433" t="s">
        <v>9509</v>
      </c>
      <c r="F433">
        <v>0</v>
      </c>
      <c r="G433" t="s">
        <v>6583</v>
      </c>
      <c r="H433" t="s">
        <v>9448</v>
      </c>
      <c r="I433">
        <v>0</v>
      </c>
    </row>
    <row r="434" spans="4:9" customFormat="1" x14ac:dyDescent="0.25">
      <c r="D434" t="s">
        <v>6528</v>
      </c>
      <c r="E434" t="s">
        <v>9398</v>
      </c>
      <c r="F434">
        <v>0.43099999999999999</v>
      </c>
      <c r="G434" t="s">
        <v>6583</v>
      </c>
      <c r="H434" t="s">
        <v>9635</v>
      </c>
      <c r="I434">
        <v>0</v>
      </c>
    </row>
    <row r="435" spans="4:9" customFormat="1" x14ac:dyDescent="0.25">
      <c r="D435" t="s">
        <v>6528</v>
      </c>
      <c r="E435" t="s">
        <v>9478</v>
      </c>
      <c r="F435">
        <v>0</v>
      </c>
      <c r="G435" t="s">
        <v>6583</v>
      </c>
      <c r="H435" t="s">
        <v>9440</v>
      </c>
      <c r="I435">
        <v>0</v>
      </c>
    </row>
    <row r="436" spans="4:9" customFormat="1" x14ac:dyDescent="0.25">
      <c r="D436" t="s">
        <v>6528</v>
      </c>
      <c r="E436" t="s">
        <v>9453</v>
      </c>
      <c r="F436">
        <v>0</v>
      </c>
      <c r="G436" t="s">
        <v>6583</v>
      </c>
      <c r="H436" t="s">
        <v>9433</v>
      </c>
      <c r="I436">
        <v>0</v>
      </c>
    </row>
    <row r="437" spans="4:9" customFormat="1" x14ac:dyDescent="0.25">
      <c r="D437" t="s">
        <v>6528</v>
      </c>
      <c r="E437" t="s">
        <v>9465</v>
      </c>
      <c r="F437">
        <v>0</v>
      </c>
      <c r="G437" t="s">
        <v>6572</v>
      </c>
      <c r="H437" t="s">
        <v>9344</v>
      </c>
      <c r="I437">
        <v>0</v>
      </c>
    </row>
    <row r="438" spans="4:9" customFormat="1" x14ac:dyDescent="0.25">
      <c r="D438" t="s">
        <v>6528</v>
      </c>
      <c r="E438" t="s">
        <v>9462</v>
      </c>
      <c r="F438">
        <v>0</v>
      </c>
      <c r="G438" t="s">
        <v>6572</v>
      </c>
      <c r="H438" t="s">
        <v>9361</v>
      </c>
      <c r="I438">
        <v>0</v>
      </c>
    </row>
    <row r="439" spans="4:9" customFormat="1" x14ac:dyDescent="0.25">
      <c r="D439" t="s">
        <v>6528</v>
      </c>
      <c r="E439" t="s">
        <v>9473</v>
      </c>
      <c r="F439">
        <v>0.70499999999999996</v>
      </c>
      <c r="G439" t="s">
        <v>6572</v>
      </c>
      <c r="H439" t="s">
        <v>9315</v>
      </c>
      <c r="I439">
        <v>0</v>
      </c>
    </row>
    <row r="440" spans="4:9" customFormat="1" x14ac:dyDescent="0.25">
      <c r="D440" t="s">
        <v>6528</v>
      </c>
      <c r="E440" t="s">
        <v>9486</v>
      </c>
      <c r="F440">
        <v>0</v>
      </c>
      <c r="G440" t="s">
        <v>6572</v>
      </c>
      <c r="H440" t="s">
        <v>9395</v>
      </c>
      <c r="I440">
        <v>0</v>
      </c>
    </row>
    <row r="441" spans="4:9" customFormat="1" x14ac:dyDescent="0.25">
      <c r="D441" t="s">
        <v>6528</v>
      </c>
      <c r="E441" t="s">
        <v>9512</v>
      </c>
      <c r="F441">
        <v>0.44600000000000001</v>
      </c>
      <c r="G441" t="s">
        <v>6572</v>
      </c>
      <c r="H441" t="s">
        <v>9355</v>
      </c>
      <c r="I441">
        <v>0</v>
      </c>
    </row>
    <row r="442" spans="4:9" customFormat="1" x14ac:dyDescent="0.25">
      <c r="D442" t="s">
        <v>6528</v>
      </c>
      <c r="E442" t="s">
        <v>9489</v>
      </c>
      <c r="F442">
        <v>0.52500000000000002</v>
      </c>
      <c r="G442" t="s">
        <v>6572</v>
      </c>
      <c r="H442" t="s">
        <v>9351</v>
      </c>
      <c r="I442">
        <v>0</v>
      </c>
    </row>
    <row r="443" spans="4:9" customFormat="1" x14ac:dyDescent="0.25">
      <c r="D443" t="s">
        <v>6528</v>
      </c>
      <c r="E443" t="s">
        <v>9547</v>
      </c>
      <c r="F443">
        <v>0</v>
      </c>
      <c r="G443" t="s">
        <v>6572</v>
      </c>
      <c r="H443" t="s">
        <v>9409</v>
      </c>
      <c r="I443">
        <v>0</v>
      </c>
    </row>
    <row r="444" spans="4:9" customFormat="1" x14ac:dyDescent="0.25">
      <c r="D444" t="s">
        <v>6528</v>
      </c>
      <c r="E444" t="s">
        <v>9497</v>
      </c>
      <c r="F444">
        <v>1.1950000000000001</v>
      </c>
      <c r="G444" t="s">
        <v>6572</v>
      </c>
      <c r="H444" t="s">
        <v>9492</v>
      </c>
      <c r="I444">
        <v>0</v>
      </c>
    </row>
    <row r="445" spans="4:9" customFormat="1" x14ac:dyDescent="0.25">
      <c r="D445" t="s">
        <v>6528</v>
      </c>
      <c r="E445" t="s">
        <v>9554</v>
      </c>
      <c r="F445">
        <v>0</v>
      </c>
      <c r="G445" t="s">
        <v>6572</v>
      </c>
      <c r="H445" t="s">
        <v>9364</v>
      </c>
      <c r="I445">
        <v>0</v>
      </c>
    </row>
    <row r="446" spans="4:9" customFormat="1" x14ac:dyDescent="0.25">
      <c r="D446" t="s">
        <v>6528</v>
      </c>
      <c r="E446" t="s">
        <v>9419</v>
      </c>
      <c r="F446">
        <v>0</v>
      </c>
      <c r="G446" t="s">
        <v>6572</v>
      </c>
      <c r="H446" t="s">
        <v>9500</v>
      </c>
      <c r="I446">
        <v>0</v>
      </c>
    </row>
    <row r="447" spans="4:9" customFormat="1" x14ac:dyDescent="0.25">
      <c r="D447" t="s">
        <v>6528</v>
      </c>
      <c r="E447" t="s">
        <v>9365</v>
      </c>
      <c r="F447">
        <v>1.1890000000000001</v>
      </c>
      <c r="G447" t="s">
        <v>6572</v>
      </c>
      <c r="H447" t="s">
        <v>9386</v>
      </c>
      <c r="I447">
        <v>0</v>
      </c>
    </row>
    <row r="448" spans="4:9" customFormat="1" x14ac:dyDescent="0.25">
      <c r="D448" t="s">
        <v>6528</v>
      </c>
      <c r="E448" t="s">
        <v>9521</v>
      </c>
      <c r="F448">
        <v>0.60399999999999998</v>
      </c>
      <c r="G448" t="s">
        <v>6572</v>
      </c>
      <c r="H448" t="s">
        <v>9509</v>
      </c>
      <c r="I448">
        <v>0</v>
      </c>
    </row>
    <row r="449" spans="4:9" customFormat="1" x14ac:dyDescent="0.25">
      <c r="D449" t="s">
        <v>6528</v>
      </c>
      <c r="E449" t="s">
        <v>9430</v>
      </c>
      <c r="F449">
        <v>1.2170000000000001</v>
      </c>
      <c r="G449" t="s">
        <v>6572</v>
      </c>
      <c r="H449" t="s">
        <v>9398</v>
      </c>
      <c r="I449">
        <v>0</v>
      </c>
    </row>
    <row r="450" spans="4:9" customFormat="1" x14ac:dyDescent="0.25">
      <c r="D450" t="s">
        <v>6528</v>
      </c>
      <c r="E450" t="s">
        <v>9459</v>
      </c>
      <c r="F450">
        <v>0</v>
      </c>
      <c r="G450" t="s">
        <v>6572</v>
      </c>
      <c r="H450" t="s">
        <v>9478</v>
      </c>
      <c r="I450">
        <v>0</v>
      </c>
    </row>
    <row r="451" spans="4:9" customFormat="1" x14ac:dyDescent="0.25">
      <c r="D451" t="s">
        <v>6528</v>
      </c>
      <c r="E451" t="s">
        <v>9375</v>
      </c>
      <c r="F451">
        <v>0</v>
      </c>
      <c r="G451" t="s">
        <v>6572</v>
      </c>
      <c r="H451" t="s">
        <v>9453</v>
      </c>
      <c r="I451">
        <v>0</v>
      </c>
    </row>
    <row r="452" spans="4:9" customFormat="1" x14ac:dyDescent="0.25">
      <c r="D452" t="s">
        <v>6528</v>
      </c>
      <c r="E452" t="s">
        <v>9443</v>
      </c>
      <c r="F452">
        <v>0</v>
      </c>
      <c r="G452" t="s">
        <v>6572</v>
      </c>
      <c r="H452" t="s">
        <v>9465</v>
      </c>
      <c r="I452">
        <v>0</v>
      </c>
    </row>
    <row r="453" spans="4:9" customFormat="1" x14ac:dyDescent="0.25">
      <c r="D453" t="s">
        <v>6528</v>
      </c>
      <c r="E453" t="s">
        <v>9371</v>
      </c>
      <c r="F453">
        <v>0</v>
      </c>
      <c r="G453" t="s">
        <v>6572</v>
      </c>
      <c r="H453" t="s">
        <v>9462</v>
      </c>
      <c r="I453">
        <v>0</v>
      </c>
    </row>
    <row r="454" spans="4:9" customFormat="1" x14ac:dyDescent="0.25">
      <c r="D454" t="s">
        <v>6531</v>
      </c>
      <c r="E454" t="s">
        <v>9344</v>
      </c>
      <c r="F454">
        <v>0</v>
      </c>
      <c r="G454" t="s">
        <v>6572</v>
      </c>
      <c r="H454" t="s">
        <v>9473</v>
      </c>
      <c r="I454">
        <v>0</v>
      </c>
    </row>
    <row r="455" spans="4:9" customFormat="1" x14ac:dyDescent="0.25">
      <c r="D455" t="s">
        <v>6531</v>
      </c>
      <c r="E455" t="s">
        <v>9361</v>
      </c>
      <c r="F455">
        <v>0</v>
      </c>
      <c r="G455" t="s">
        <v>6572</v>
      </c>
      <c r="H455" t="s">
        <v>9486</v>
      </c>
      <c r="I455">
        <v>0</v>
      </c>
    </row>
    <row r="456" spans="4:9" customFormat="1" x14ac:dyDescent="0.25">
      <c r="D456" t="s">
        <v>6531</v>
      </c>
      <c r="E456" t="s">
        <v>9315</v>
      </c>
      <c r="F456">
        <v>0</v>
      </c>
      <c r="G456" t="s">
        <v>6572</v>
      </c>
      <c r="H456" t="s">
        <v>9512</v>
      </c>
      <c r="I456">
        <v>0</v>
      </c>
    </row>
    <row r="457" spans="4:9" customFormat="1" x14ac:dyDescent="0.25">
      <c r="D457" t="s">
        <v>6531</v>
      </c>
      <c r="E457" t="s">
        <v>9395</v>
      </c>
      <c r="F457">
        <v>0.35199999999999998</v>
      </c>
      <c r="G457" t="s">
        <v>6572</v>
      </c>
      <c r="H457" t="s">
        <v>9489</v>
      </c>
      <c r="I457">
        <v>0</v>
      </c>
    </row>
    <row r="458" spans="4:9" customFormat="1" x14ac:dyDescent="0.25">
      <c r="D458" t="s">
        <v>6531</v>
      </c>
      <c r="E458" t="s">
        <v>9355</v>
      </c>
      <c r="F458">
        <v>0</v>
      </c>
      <c r="G458" t="s">
        <v>6572</v>
      </c>
      <c r="H458" t="s">
        <v>9547</v>
      </c>
      <c r="I458">
        <v>0</v>
      </c>
    </row>
    <row r="459" spans="4:9" customFormat="1" x14ac:dyDescent="0.25">
      <c r="D459" t="s">
        <v>6531</v>
      </c>
      <c r="E459" t="s">
        <v>9351</v>
      </c>
      <c r="F459">
        <v>0</v>
      </c>
      <c r="G459" t="s">
        <v>6572</v>
      </c>
      <c r="H459" t="s">
        <v>9497</v>
      </c>
      <c r="I459">
        <v>0</v>
      </c>
    </row>
    <row r="460" spans="4:9" customFormat="1" x14ac:dyDescent="0.25">
      <c r="D460" t="s">
        <v>6531</v>
      </c>
      <c r="E460" t="s">
        <v>9409</v>
      </c>
      <c r="F460">
        <v>0</v>
      </c>
      <c r="G460" t="s">
        <v>6572</v>
      </c>
      <c r="H460" t="s">
        <v>9554</v>
      </c>
      <c r="I460">
        <v>0</v>
      </c>
    </row>
    <row r="461" spans="4:9" customFormat="1" x14ac:dyDescent="0.25">
      <c r="D461" t="s">
        <v>6531</v>
      </c>
      <c r="E461" t="s">
        <v>9492</v>
      </c>
      <c r="F461">
        <v>0</v>
      </c>
      <c r="G461" t="s">
        <v>6572</v>
      </c>
      <c r="H461" t="s">
        <v>9419</v>
      </c>
      <c r="I461">
        <v>0</v>
      </c>
    </row>
    <row r="462" spans="4:9" customFormat="1" x14ac:dyDescent="0.25">
      <c r="D462" t="s">
        <v>6531</v>
      </c>
      <c r="E462" t="s">
        <v>9364</v>
      </c>
      <c r="F462">
        <v>0.626</v>
      </c>
      <c r="G462" t="s">
        <v>6572</v>
      </c>
      <c r="H462" t="s">
        <v>9365</v>
      </c>
      <c r="I462">
        <v>0</v>
      </c>
    </row>
    <row r="463" spans="4:9" customFormat="1" x14ac:dyDescent="0.25">
      <c r="D463" t="s">
        <v>6531</v>
      </c>
      <c r="E463" t="s">
        <v>9500</v>
      </c>
      <c r="F463">
        <v>0</v>
      </c>
      <c r="G463" t="s">
        <v>6572</v>
      </c>
      <c r="H463" t="s">
        <v>9521</v>
      </c>
      <c r="I463">
        <v>0</v>
      </c>
    </row>
    <row r="464" spans="4:9" customFormat="1" x14ac:dyDescent="0.25">
      <c r="D464" t="s">
        <v>6531</v>
      </c>
      <c r="E464" t="s">
        <v>9386</v>
      </c>
      <c r="F464">
        <v>0</v>
      </c>
      <c r="G464" t="s">
        <v>6572</v>
      </c>
      <c r="H464" t="s">
        <v>9430</v>
      </c>
      <c r="I464">
        <v>0</v>
      </c>
    </row>
    <row r="465" spans="4:9" customFormat="1" x14ac:dyDescent="0.25">
      <c r="D465" t="s">
        <v>6531</v>
      </c>
      <c r="E465" t="s">
        <v>9509</v>
      </c>
      <c r="F465">
        <v>0</v>
      </c>
      <c r="G465" t="s">
        <v>6572</v>
      </c>
      <c r="H465" t="s">
        <v>9459</v>
      </c>
      <c r="I465">
        <v>0</v>
      </c>
    </row>
    <row r="466" spans="4:9" customFormat="1" x14ac:dyDescent="0.25">
      <c r="D466" t="s">
        <v>6531</v>
      </c>
      <c r="E466" t="s">
        <v>9398</v>
      </c>
      <c r="F466">
        <v>0</v>
      </c>
      <c r="G466" t="s">
        <v>6572</v>
      </c>
      <c r="H466" t="s">
        <v>9375</v>
      </c>
      <c r="I466">
        <v>0</v>
      </c>
    </row>
    <row r="467" spans="4:9" customFormat="1" x14ac:dyDescent="0.25">
      <c r="D467" t="s">
        <v>6531</v>
      </c>
      <c r="E467" t="s">
        <v>9478</v>
      </c>
      <c r="F467">
        <v>0</v>
      </c>
      <c r="G467" t="s">
        <v>6572</v>
      </c>
      <c r="H467" t="s">
        <v>9443</v>
      </c>
      <c r="I467">
        <v>0</v>
      </c>
    </row>
    <row r="468" spans="4:9" customFormat="1" x14ac:dyDescent="0.25">
      <c r="D468" t="s">
        <v>6531</v>
      </c>
      <c r="E468" t="s">
        <v>9453</v>
      </c>
      <c r="F468">
        <v>0</v>
      </c>
      <c r="G468" t="s">
        <v>6572</v>
      </c>
      <c r="H468" t="s">
        <v>9371</v>
      </c>
      <c r="I468">
        <v>0</v>
      </c>
    </row>
    <row r="469" spans="4:9" customFormat="1" x14ac:dyDescent="0.25">
      <c r="D469" t="s">
        <v>6531</v>
      </c>
      <c r="E469" t="s">
        <v>9465</v>
      </c>
      <c r="F469">
        <v>1.44</v>
      </c>
      <c r="G469" t="s">
        <v>6572</v>
      </c>
      <c r="H469" t="s">
        <v>9571</v>
      </c>
      <c r="I469">
        <v>0</v>
      </c>
    </row>
    <row r="470" spans="4:9" customFormat="1" x14ac:dyDescent="0.25">
      <c r="D470" t="s">
        <v>6531</v>
      </c>
      <c r="E470" t="s">
        <v>9462</v>
      </c>
      <c r="F470">
        <v>0</v>
      </c>
      <c r="G470" t="s">
        <v>6572</v>
      </c>
      <c r="H470" t="s">
        <v>9468</v>
      </c>
      <c r="I470">
        <v>0</v>
      </c>
    </row>
    <row r="471" spans="4:9" customFormat="1" x14ac:dyDescent="0.25">
      <c r="D471" t="s">
        <v>6531</v>
      </c>
      <c r="E471" t="s">
        <v>9473</v>
      </c>
      <c r="F471">
        <v>0.69899999999999995</v>
      </c>
      <c r="G471" t="s">
        <v>6572</v>
      </c>
      <c r="H471" t="s">
        <v>9580</v>
      </c>
      <c r="I471">
        <v>0</v>
      </c>
    </row>
    <row r="472" spans="4:9" customFormat="1" x14ac:dyDescent="0.25">
      <c r="D472" t="s">
        <v>6531</v>
      </c>
      <c r="E472" t="s">
        <v>9486</v>
      </c>
      <c r="F472">
        <v>0.58299999999999996</v>
      </c>
      <c r="G472" t="s">
        <v>6572</v>
      </c>
      <c r="H472" t="s">
        <v>9349</v>
      </c>
      <c r="I472">
        <v>0</v>
      </c>
    </row>
    <row r="473" spans="4:9" customFormat="1" x14ac:dyDescent="0.25">
      <c r="D473" t="s">
        <v>6531</v>
      </c>
      <c r="E473" t="s">
        <v>9512</v>
      </c>
      <c r="F473">
        <v>0</v>
      </c>
      <c r="G473" t="s">
        <v>6572</v>
      </c>
      <c r="H473" t="s">
        <v>9381</v>
      </c>
      <c r="I473">
        <v>0</v>
      </c>
    </row>
    <row r="474" spans="4:9" customFormat="1" x14ac:dyDescent="0.25">
      <c r="D474" t="s">
        <v>6531</v>
      </c>
      <c r="E474" t="s">
        <v>9489</v>
      </c>
      <c r="F474">
        <v>1.123</v>
      </c>
      <c r="G474" t="s">
        <v>6572</v>
      </c>
      <c r="H474" t="s">
        <v>9358</v>
      </c>
      <c r="I474">
        <v>0</v>
      </c>
    </row>
    <row r="475" spans="4:9" customFormat="1" x14ac:dyDescent="0.25">
      <c r="D475" t="s">
        <v>6531</v>
      </c>
      <c r="E475" t="s">
        <v>9547</v>
      </c>
      <c r="F475">
        <v>0</v>
      </c>
      <c r="G475" t="s">
        <v>6572</v>
      </c>
      <c r="H475" t="s">
        <v>9924</v>
      </c>
      <c r="I475">
        <v>0</v>
      </c>
    </row>
    <row r="476" spans="4:9" customFormat="1" x14ac:dyDescent="0.25">
      <c r="D476" t="s">
        <v>6531</v>
      </c>
      <c r="E476" t="s">
        <v>9497</v>
      </c>
      <c r="F476">
        <v>0</v>
      </c>
      <c r="G476" t="s">
        <v>6572</v>
      </c>
      <c r="H476" t="s">
        <v>9368</v>
      </c>
      <c r="I476">
        <v>0</v>
      </c>
    </row>
    <row r="477" spans="4:9" customFormat="1" x14ac:dyDescent="0.25">
      <c r="D477" t="s">
        <v>6531</v>
      </c>
      <c r="E477" t="s">
        <v>9554</v>
      </c>
      <c r="F477">
        <v>0.77800000000000002</v>
      </c>
      <c r="G477" t="s">
        <v>6572</v>
      </c>
      <c r="H477" t="s">
        <v>9481</v>
      </c>
      <c r="I477">
        <v>0</v>
      </c>
    </row>
    <row r="478" spans="4:9" customFormat="1" x14ac:dyDescent="0.25">
      <c r="D478" t="s">
        <v>6531</v>
      </c>
      <c r="E478" t="s">
        <v>9419</v>
      </c>
      <c r="F478">
        <v>0.77</v>
      </c>
      <c r="G478" t="s">
        <v>6572</v>
      </c>
      <c r="H478" t="s">
        <v>9378</v>
      </c>
      <c r="I478">
        <v>0</v>
      </c>
    </row>
    <row r="479" spans="4:9" customFormat="1" x14ac:dyDescent="0.25">
      <c r="D479" t="s">
        <v>6531</v>
      </c>
      <c r="E479" t="s">
        <v>9365</v>
      </c>
      <c r="F479">
        <v>1.087</v>
      </c>
      <c r="G479" t="s">
        <v>6572</v>
      </c>
      <c r="H479" t="s">
        <v>9527</v>
      </c>
      <c r="I479">
        <v>0</v>
      </c>
    </row>
    <row r="480" spans="4:9" customFormat="1" x14ac:dyDescent="0.25">
      <c r="D480" t="s">
        <v>6531</v>
      </c>
      <c r="E480" t="s">
        <v>9521</v>
      </c>
      <c r="F480">
        <v>0</v>
      </c>
      <c r="G480" t="s">
        <v>6572</v>
      </c>
      <c r="H480" t="s">
        <v>9389</v>
      </c>
      <c r="I480">
        <v>0</v>
      </c>
    </row>
    <row r="481" spans="4:9" customFormat="1" x14ac:dyDescent="0.25">
      <c r="D481" t="s">
        <v>6531</v>
      </c>
      <c r="E481" t="s">
        <v>9430</v>
      </c>
      <c r="F481">
        <v>1.2889999999999999</v>
      </c>
      <c r="G481" t="s">
        <v>6572</v>
      </c>
      <c r="H481" t="s">
        <v>9620</v>
      </c>
      <c r="I481">
        <v>0</v>
      </c>
    </row>
    <row r="482" spans="4:9" customFormat="1" x14ac:dyDescent="0.25">
      <c r="D482" t="s">
        <v>6531</v>
      </c>
      <c r="E482" t="s">
        <v>9459</v>
      </c>
      <c r="F482">
        <v>0</v>
      </c>
      <c r="G482" t="s">
        <v>6572</v>
      </c>
      <c r="H482" t="s">
        <v>9401</v>
      </c>
      <c r="I482">
        <v>0</v>
      </c>
    </row>
    <row r="483" spans="4:9" customFormat="1" x14ac:dyDescent="0.25">
      <c r="D483" t="s">
        <v>6531</v>
      </c>
      <c r="E483" t="s">
        <v>9375</v>
      </c>
      <c r="F483">
        <v>1.419</v>
      </c>
      <c r="G483" t="s">
        <v>6572</v>
      </c>
      <c r="H483" t="s">
        <v>9528</v>
      </c>
      <c r="I483">
        <v>0</v>
      </c>
    </row>
    <row r="484" spans="4:9" customFormat="1" x14ac:dyDescent="0.25">
      <c r="D484" t="s">
        <v>6531</v>
      </c>
      <c r="E484" t="s">
        <v>9443</v>
      </c>
      <c r="F484">
        <v>0</v>
      </c>
      <c r="G484" t="s">
        <v>6572</v>
      </c>
      <c r="H484" t="s">
        <v>9524</v>
      </c>
      <c r="I484">
        <v>0</v>
      </c>
    </row>
    <row r="485" spans="4:9" customFormat="1" x14ac:dyDescent="0.25">
      <c r="D485" t="s">
        <v>6531</v>
      </c>
      <c r="E485" t="s">
        <v>9371</v>
      </c>
      <c r="F485">
        <v>0.67600000000000005</v>
      </c>
      <c r="G485" t="s">
        <v>6572</v>
      </c>
      <c r="H485" t="s">
        <v>9456</v>
      </c>
      <c r="I485">
        <v>0</v>
      </c>
    </row>
    <row r="486" spans="4:9" customFormat="1" x14ac:dyDescent="0.25">
      <c r="D486" t="s">
        <v>6529</v>
      </c>
      <c r="E486" t="s">
        <v>9344</v>
      </c>
      <c r="F486">
        <v>0</v>
      </c>
      <c r="G486" t="s">
        <v>6572</v>
      </c>
      <c r="H486" t="s">
        <v>9533</v>
      </c>
      <c r="I486">
        <v>0</v>
      </c>
    </row>
    <row r="487" spans="4:9" customFormat="1" x14ac:dyDescent="0.25">
      <c r="D487" t="s">
        <v>6529</v>
      </c>
      <c r="E487" t="s">
        <v>9361</v>
      </c>
      <c r="F487">
        <v>0</v>
      </c>
      <c r="G487" t="s">
        <v>6573</v>
      </c>
      <c r="H487" t="s">
        <v>9344</v>
      </c>
      <c r="I487">
        <v>0</v>
      </c>
    </row>
    <row r="488" spans="4:9" customFormat="1" x14ac:dyDescent="0.25">
      <c r="D488" t="s">
        <v>6529</v>
      </c>
      <c r="E488" t="s">
        <v>9315</v>
      </c>
      <c r="F488">
        <v>1.375</v>
      </c>
      <c r="G488" t="s">
        <v>6573</v>
      </c>
      <c r="H488" t="s">
        <v>9361</v>
      </c>
      <c r="I488">
        <v>0</v>
      </c>
    </row>
    <row r="489" spans="4:9" customFormat="1" x14ac:dyDescent="0.25">
      <c r="D489" t="s">
        <v>6529</v>
      </c>
      <c r="E489" t="s">
        <v>9395</v>
      </c>
      <c r="F489">
        <v>0</v>
      </c>
      <c r="G489" t="s">
        <v>6573</v>
      </c>
      <c r="H489" t="s">
        <v>9315</v>
      </c>
      <c r="I489">
        <v>0</v>
      </c>
    </row>
    <row r="490" spans="4:9" customFormat="1" x14ac:dyDescent="0.25">
      <c r="D490" t="s">
        <v>6529</v>
      </c>
      <c r="E490" t="s">
        <v>9355</v>
      </c>
      <c r="F490">
        <v>1.2749999999999999</v>
      </c>
      <c r="G490" t="s">
        <v>6573</v>
      </c>
      <c r="H490" t="s">
        <v>9395</v>
      </c>
      <c r="I490">
        <v>0</v>
      </c>
    </row>
    <row r="491" spans="4:9" customFormat="1" x14ac:dyDescent="0.25">
      <c r="D491" t="s">
        <v>6529</v>
      </c>
      <c r="E491" t="s">
        <v>9351</v>
      </c>
      <c r="F491">
        <v>1.325</v>
      </c>
      <c r="G491" t="s">
        <v>6573</v>
      </c>
      <c r="H491" t="s">
        <v>9355</v>
      </c>
      <c r="I491">
        <v>0</v>
      </c>
    </row>
    <row r="492" spans="4:9" customFormat="1" x14ac:dyDescent="0.25">
      <c r="D492" t="s">
        <v>6529</v>
      </c>
      <c r="E492" t="s">
        <v>9409</v>
      </c>
      <c r="F492">
        <v>0</v>
      </c>
      <c r="G492" t="s">
        <v>6573</v>
      </c>
      <c r="H492" t="s">
        <v>9351</v>
      </c>
      <c r="I492">
        <v>0</v>
      </c>
    </row>
    <row r="493" spans="4:9" customFormat="1" x14ac:dyDescent="0.25">
      <c r="D493" t="s">
        <v>6529</v>
      </c>
      <c r="E493" t="s">
        <v>9492</v>
      </c>
      <c r="F493">
        <v>0.90700000000000003</v>
      </c>
      <c r="G493" t="s">
        <v>6573</v>
      </c>
      <c r="H493" t="s">
        <v>9409</v>
      </c>
      <c r="I493">
        <v>0</v>
      </c>
    </row>
    <row r="494" spans="4:9" customFormat="1" x14ac:dyDescent="0.25">
      <c r="D494" t="s">
        <v>6529</v>
      </c>
      <c r="E494" t="s">
        <v>9364</v>
      </c>
      <c r="F494">
        <v>0</v>
      </c>
      <c r="G494" t="s">
        <v>6573</v>
      </c>
      <c r="H494" t="s">
        <v>9492</v>
      </c>
      <c r="I494">
        <v>0</v>
      </c>
    </row>
    <row r="495" spans="4:9" customFormat="1" x14ac:dyDescent="0.25">
      <c r="D495" t="s">
        <v>6529</v>
      </c>
      <c r="E495" t="s">
        <v>9500</v>
      </c>
      <c r="F495">
        <v>0</v>
      </c>
      <c r="G495" t="s">
        <v>6573</v>
      </c>
      <c r="H495" t="s">
        <v>9364</v>
      </c>
      <c r="I495">
        <v>0</v>
      </c>
    </row>
    <row r="496" spans="4:9" customFormat="1" x14ac:dyDescent="0.25">
      <c r="D496" t="s">
        <v>6529</v>
      </c>
      <c r="E496" t="s">
        <v>9386</v>
      </c>
      <c r="F496">
        <v>0</v>
      </c>
      <c r="G496" t="s">
        <v>6573</v>
      </c>
      <c r="H496" t="s">
        <v>9500</v>
      </c>
      <c r="I496">
        <v>0</v>
      </c>
    </row>
    <row r="497" spans="4:9" customFormat="1" x14ac:dyDescent="0.25">
      <c r="D497" t="s">
        <v>6529</v>
      </c>
      <c r="E497" t="s">
        <v>9509</v>
      </c>
      <c r="F497">
        <v>0</v>
      </c>
      <c r="G497" t="s">
        <v>6573</v>
      </c>
      <c r="H497" t="s">
        <v>9386</v>
      </c>
      <c r="I497">
        <v>0</v>
      </c>
    </row>
    <row r="498" spans="4:9" customFormat="1" x14ac:dyDescent="0.25">
      <c r="D498" t="s">
        <v>6529</v>
      </c>
      <c r="E498" t="s">
        <v>9398</v>
      </c>
      <c r="F498">
        <v>0.108</v>
      </c>
      <c r="G498" t="s">
        <v>6573</v>
      </c>
      <c r="H498" t="s">
        <v>9509</v>
      </c>
      <c r="I498">
        <v>0</v>
      </c>
    </row>
    <row r="499" spans="4:9" customFormat="1" x14ac:dyDescent="0.25">
      <c r="D499" t="s">
        <v>6529</v>
      </c>
      <c r="E499" t="s">
        <v>9478</v>
      </c>
      <c r="F499">
        <v>0</v>
      </c>
      <c r="G499" t="s">
        <v>6573</v>
      </c>
      <c r="H499" t="s">
        <v>9398</v>
      </c>
      <c r="I499">
        <v>0</v>
      </c>
    </row>
    <row r="500" spans="4:9" customFormat="1" x14ac:dyDescent="0.25">
      <c r="D500" t="s">
        <v>6529</v>
      </c>
      <c r="E500" t="s">
        <v>9453</v>
      </c>
      <c r="F500">
        <v>0</v>
      </c>
      <c r="G500" t="s">
        <v>6573</v>
      </c>
      <c r="H500" t="s">
        <v>9478</v>
      </c>
      <c r="I500">
        <v>0</v>
      </c>
    </row>
    <row r="501" spans="4:9" customFormat="1" x14ac:dyDescent="0.25">
      <c r="D501" t="s">
        <v>6529</v>
      </c>
      <c r="E501" t="s">
        <v>9465</v>
      </c>
      <c r="F501">
        <v>0.86399999999999999</v>
      </c>
      <c r="G501" t="s">
        <v>6573</v>
      </c>
      <c r="H501" t="s">
        <v>9453</v>
      </c>
      <c r="I501">
        <v>0</v>
      </c>
    </row>
    <row r="502" spans="4:9" customFormat="1" x14ac:dyDescent="0.25">
      <c r="D502" t="s">
        <v>6529</v>
      </c>
      <c r="E502" t="s">
        <v>9462</v>
      </c>
      <c r="F502">
        <v>0</v>
      </c>
      <c r="G502" t="s">
        <v>6573</v>
      </c>
      <c r="H502" t="s">
        <v>9465</v>
      </c>
      <c r="I502">
        <v>0</v>
      </c>
    </row>
    <row r="503" spans="4:9" customFormat="1" x14ac:dyDescent="0.25">
      <c r="D503" t="s">
        <v>6529</v>
      </c>
      <c r="E503" t="s">
        <v>9473</v>
      </c>
      <c r="F503">
        <v>0</v>
      </c>
      <c r="G503" t="s">
        <v>6573</v>
      </c>
      <c r="H503" t="s">
        <v>9462</v>
      </c>
      <c r="I503">
        <v>0</v>
      </c>
    </row>
    <row r="504" spans="4:9" customFormat="1" x14ac:dyDescent="0.25">
      <c r="D504" t="s">
        <v>6529</v>
      </c>
      <c r="E504" t="s">
        <v>9486</v>
      </c>
      <c r="F504">
        <v>1.1879999999999999</v>
      </c>
      <c r="G504" t="s">
        <v>6573</v>
      </c>
      <c r="H504" t="s">
        <v>9473</v>
      </c>
      <c r="I504">
        <v>0</v>
      </c>
    </row>
    <row r="505" spans="4:9" customFormat="1" x14ac:dyDescent="0.25">
      <c r="D505" t="s">
        <v>6529</v>
      </c>
      <c r="E505" t="s">
        <v>9512</v>
      </c>
      <c r="F505">
        <v>0</v>
      </c>
      <c r="G505" t="s">
        <v>6573</v>
      </c>
      <c r="H505" t="s">
        <v>9486</v>
      </c>
      <c r="I505">
        <v>0</v>
      </c>
    </row>
    <row r="506" spans="4:9" customFormat="1" x14ac:dyDescent="0.25">
      <c r="D506" t="s">
        <v>6529</v>
      </c>
      <c r="E506" t="s">
        <v>9489</v>
      </c>
      <c r="F506">
        <v>0.72</v>
      </c>
      <c r="G506" t="s">
        <v>6573</v>
      </c>
      <c r="H506" t="s">
        <v>9512</v>
      </c>
      <c r="I506">
        <v>0</v>
      </c>
    </row>
    <row r="507" spans="4:9" customFormat="1" x14ac:dyDescent="0.25">
      <c r="D507" t="s">
        <v>6529</v>
      </c>
      <c r="E507" t="s">
        <v>9547</v>
      </c>
      <c r="F507">
        <v>0</v>
      </c>
      <c r="G507" t="s">
        <v>6573</v>
      </c>
      <c r="H507" t="s">
        <v>9489</v>
      </c>
      <c r="I507">
        <v>0</v>
      </c>
    </row>
    <row r="508" spans="4:9" customFormat="1" x14ac:dyDescent="0.25">
      <c r="D508" t="s">
        <v>6529</v>
      </c>
      <c r="E508" t="s">
        <v>9497</v>
      </c>
      <c r="F508">
        <v>2.181</v>
      </c>
      <c r="G508" t="s">
        <v>6573</v>
      </c>
      <c r="H508" t="s">
        <v>9547</v>
      </c>
      <c r="I508">
        <v>0</v>
      </c>
    </row>
    <row r="509" spans="4:9" customFormat="1" x14ac:dyDescent="0.25">
      <c r="D509" t="s">
        <v>6529</v>
      </c>
      <c r="E509" t="s">
        <v>9554</v>
      </c>
      <c r="F509">
        <v>0</v>
      </c>
      <c r="G509" t="s">
        <v>6573</v>
      </c>
      <c r="H509" t="s">
        <v>9497</v>
      </c>
      <c r="I509">
        <v>0</v>
      </c>
    </row>
    <row r="510" spans="4:9" customFormat="1" x14ac:dyDescent="0.25">
      <c r="D510" t="s">
        <v>6529</v>
      </c>
      <c r="E510" t="s">
        <v>9419</v>
      </c>
      <c r="F510">
        <v>0.53200000000000003</v>
      </c>
      <c r="G510" t="s">
        <v>6573</v>
      </c>
      <c r="H510" t="s">
        <v>9554</v>
      </c>
      <c r="I510">
        <v>0</v>
      </c>
    </row>
    <row r="511" spans="4:9" customFormat="1" x14ac:dyDescent="0.25">
      <c r="D511" t="s">
        <v>6529</v>
      </c>
      <c r="E511" t="s">
        <v>9365</v>
      </c>
      <c r="F511">
        <v>0.40300000000000002</v>
      </c>
      <c r="G511" t="s">
        <v>6573</v>
      </c>
      <c r="H511" t="s">
        <v>9419</v>
      </c>
      <c r="I511">
        <v>0</v>
      </c>
    </row>
    <row r="512" spans="4:9" customFormat="1" x14ac:dyDescent="0.25">
      <c r="D512" t="s">
        <v>6529</v>
      </c>
      <c r="E512" t="s">
        <v>9521</v>
      </c>
      <c r="F512">
        <v>0</v>
      </c>
      <c r="G512" t="s">
        <v>6573</v>
      </c>
      <c r="H512" t="s">
        <v>9365</v>
      </c>
      <c r="I512">
        <v>0</v>
      </c>
    </row>
    <row r="513" spans="4:9" customFormat="1" x14ac:dyDescent="0.25">
      <c r="D513" t="s">
        <v>6529</v>
      </c>
      <c r="E513" t="s">
        <v>9430</v>
      </c>
      <c r="F513">
        <v>0</v>
      </c>
      <c r="G513" t="s">
        <v>6573</v>
      </c>
      <c r="H513" t="s">
        <v>9521</v>
      </c>
      <c r="I513">
        <v>0</v>
      </c>
    </row>
    <row r="514" spans="4:9" customFormat="1" x14ac:dyDescent="0.25">
      <c r="D514" t="s">
        <v>6529</v>
      </c>
      <c r="E514" t="s">
        <v>9459</v>
      </c>
      <c r="F514">
        <v>0</v>
      </c>
      <c r="G514" t="s">
        <v>6573</v>
      </c>
      <c r="H514" t="s">
        <v>9430</v>
      </c>
      <c r="I514">
        <v>0</v>
      </c>
    </row>
    <row r="515" spans="4:9" customFormat="1" x14ac:dyDescent="0.25">
      <c r="D515" t="s">
        <v>6529</v>
      </c>
      <c r="E515" t="s">
        <v>9375</v>
      </c>
      <c r="F515">
        <v>0</v>
      </c>
      <c r="G515" t="s">
        <v>6573</v>
      </c>
      <c r="H515" t="s">
        <v>9459</v>
      </c>
      <c r="I515">
        <v>0</v>
      </c>
    </row>
    <row r="516" spans="4:9" customFormat="1" x14ac:dyDescent="0.25">
      <c r="D516" t="s">
        <v>6529</v>
      </c>
      <c r="E516" t="s">
        <v>9443</v>
      </c>
      <c r="F516">
        <v>0</v>
      </c>
      <c r="G516" t="s">
        <v>6573</v>
      </c>
      <c r="H516" t="s">
        <v>9375</v>
      </c>
      <c r="I516">
        <v>0</v>
      </c>
    </row>
    <row r="517" spans="4:9" customFormat="1" x14ac:dyDescent="0.25">
      <c r="D517" t="s">
        <v>6529</v>
      </c>
      <c r="E517" t="s">
        <v>9371</v>
      </c>
      <c r="F517">
        <v>0</v>
      </c>
      <c r="G517" t="s">
        <v>6573</v>
      </c>
      <c r="H517" t="s">
        <v>9443</v>
      </c>
      <c r="I517">
        <v>0</v>
      </c>
    </row>
    <row r="518" spans="4:9" customFormat="1" x14ac:dyDescent="0.25">
      <c r="D518" t="s">
        <v>6532</v>
      </c>
      <c r="E518" t="s">
        <v>9344</v>
      </c>
      <c r="F518">
        <v>0</v>
      </c>
      <c r="G518" t="s">
        <v>6573</v>
      </c>
      <c r="H518" t="s">
        <v>9371</v>
      </c>
      <c r="I518">
        <v>0</v>
      </c>
    </row>
    <row r="519" spans="4:9" customFormat="1" x14ac:dyDescent="0.25">
      <c r="D519" t="s">
        <v>6532</v>
      </c>
      <c r="E519" t="s">
        <v>9361</v>
      </c>
      <c r="F519">
        <v>0</v>
      </c>
      <c r="G519" t="s">
        <v>6573</v>
      </c>
      <c r="H519" t="s">
        <v>9571</v>
      </c>
      <c r="I519">
        <v>0</v>
      </c>
    </row>
    <row r="520" spans="4:9" customFormat="1" x14ac:dyDescent="0.25">
      <c r="D520" t="s">
        <v>6532</v>
      </c>
      <c r="E520" t="s">
        <v>9315</v>
      </c>
      <c r="F520">
        <v>0.66200000000000003</v>
      </c>
      <c r="G520" t="s">
        <v>6573</v>
      </c>
      <c r="H520" t="s">
        <v>9468</v>
      </c>
      <c r="I520">
        <v>0</v>
      </c>
    </row>
    <row r="521" spans="4:9" customFormat="1" x14ac:dyDescent="0.25">
      <c r="D521" t="s">
        <v>6532</v>
      </c>
      <c r="E521" t="s">
        <v>9395</v>
      </c>
      <c r="F521">
        <v>1.6280000000000001</v>
      </c>
      <c r="G521" t="s">
        <v>6573</v>
      </c>
      <c r="H521" t="s">
        <v>9580</v>
      </c>
      <c r="I521">
        <v>0</v>
      </c>
    </row>
    <row r="522" spans="4:9" customFormat="1" x14ac:dyDescent="0.25">
      <c r="D522" t="s">
        <v>6532</v>
      </c>
      <c r="E522" t="s">
        <v>9355</v>
      </c>
      <c r="F522">
        <v>0</v>
      </c>
      <c r="G522" t="s">
        <v>6573</v>
      </c>
      <c r="H522" t="s">
        <v>9349</v>
      </c>
      <c r="I522">
        <v>0</v>
      </c>
    </row>
    <row r="523" spans="4:9" customFormat="1" x14ac:dyDescent="0.25">
      <c r="D523" t="s">
        <v>6532</v>
      </c>
      <c r="E523" t="s">
        <v>9351</v>
      </c>
      <c r="F523">
        <v>0.63300000000000001</v>
      </c>
      <c r="G523" t="s">
        <v>6573</v>
      </c>
      <c r="H523" t="s">
        <v>9381</v>
      </c>
      <c r="I523">
        <v>0</v>
      </c>
    </row>
    <row r="524" spans="4:9" customFormat="1" x14ac:dyDescent="0.25">
      <c r="D524" t="s">
        <v>6532</v>
      </c>
      <c r="E524" t="s">
        <v>9409</v>
      </c>
      <c r="F524">
        <v>0</v>
      </c>
      <c r="G524" t="s">
        <v>6573</v>
      </c>
      <c r="H524" t="s">
        <v>9358</v>
      </c>
      <c r="I524">
        <v>0</v>
      </c>
    </row>
    <row r="525" spans="4:9" customFormat="1" x14ac:dyDescent="0.25">
      <c r="D525" t="s">
        <v>6532</v>
      </c>
      <c r="E525" t="s">
        <v>9492</v>
      </c>
      <c r="F525">
        <v>0</v>
      </c>
      <c r="G525" t="s">
        <v>6573</v>
      </c>
      <c r="H525" t="s">
        <v>9924</v>
      </c>
      <c r="I525">
        <v>0</v>
      </c>
    </row>
    <row r="526" spans="4:9" customFormat="1" x14ac:dyDescent="0.25">
      <c r="D526" t="s">
        <v>6532</v>
      </c>
      <c r="E526" t="s">
        <v>9364</v>
      </c>
      <c r="F526">
        <v>0</v>
      </c>
      <c r="G526" t="s">
        <v>6573</v>
      </c>
      <c r="H526" t="s">
        <v>9368</v>
      </c>
      <c r="I526">
        <v>0</v>
      </c>
    </row>
    <row r="527" spans="4:9" customFormat="1" x14ac:dyDescent="0.25">
      <c r="D527" t="s">
        <v>6532</v>
      </c>
      <c r="E527" t="s">
        <v>9500</v>
      </c>
      <c r="F527">
        <v>0</v>
      </c>
      <c r="G527" t="s">
        <v>6573</v>
      </c>
      <c r="H527" t="s">
        <v>9481</v>
      </c>
      <c r="I527">
        <v>0</v>
      </c>
    </row>
    <row r="528" spans="4:9" customFormat="1" x14ac:dyDescent="0.25">
      <c r="D528" t="s">
        <v>6532</v>
      </c>
      <c r="E528" t="s">
        <v>9386</v>
      </c>
      <c r="F528">
        <v>0</v>
      </c>
      <c r="G528" t="s">
        <v>6573</v>
      </c>
      <c r="H528" t="s">
        <v>9378</v>
      </c>
      <c r="I528">
        <v>0</v>
      </c>
    </row>
    <row r="529" spans="4:9" customFormat="1" x14ac:dyDescent="0.25">
      <c r="D529" t="s">
        <v>6532</v>
      </c>
      <c r="E529" t="s">
        <v>9509</v>
      </c>
      <c r="F529">
        <v>0</v>
      </c>
      <c r="G529" t="s">
        <v>6573</v>
      </c>
      <c r="H529" t="s">
        <v>9527</v>
      </c>
      <c r="I529">
        <v>0</v>
      </c>
    </row>
    <row r="530" spans="4:9" customFormat="1" x14ac:dyDescent="0.25">
      <c r="D530" t="s">
        <v>6532</v>
      </c>
      <c r="E530" t="s">
        <v>9398</v>
      </c>
      <c r="F530">
        <v>0.35299999999999998</v>
      </c>
      <c r="G530" t="s">
        <v>6573</v>
      </c>
      <c r="H530" t="s">
        <v>9389</v>
      </c>
      <c r="I530">
        <v>0</v>
      </c>
    </row>
    <row r="531" spans="4:9" customFormat="1" x14ac:dyDescent="0.25">
      <c r="D531" t="s">
        <v>6532</v>
      </c>
      <c r="E531" t="s">
        <v>9478</v>
      </c>
      <c r="F531">
        <v>0.71299999999999997</v>
      </c>
      <c r="G531" t="s">
        <v>6573</v>
      </c>
      <c r="H531" t="s">
        <v>9620</v>
      </c>
      <c r="I531">
        <v>0</v>
      </c>
    </row>
    <row r="532" spans="4:9" customFormat="1" x14ac:dyDescent="0.25">
      <c r="D532" t="s">
        <v>6532</v>
      </c>
      <c r="E532" t="s">
        <v>9453</v>
      </c>
      <c r="F532">
        <v>0</v>
      </c>
      <c r="G532" t="s">
        <v>6573</v>
      </c>
      <c r="H532" t="s">
        <v>9401</v>
      </c>
      <c r="I532">
        <v>0</v>
      </c>
    </row>
    <row r="533" spans="4:9" customFormat="1" x14ac:dyDescent="0.25">
      <c r="D533" t="s">
        <v>6532</v>
      </c>
      <c r="E533" t="s">
        <v>9465</v>
      </c>
      <c r="F533">
        <v>0</v>
      </c>
      <c r="G533" t="s">
        <v>6573</v>
      </c>
      <c r="H533" t="s">
        <v>9528</v>
      </c>
      <c r="I533">
        <v>0</v>
      </c>
    </row>
    <row r="534" spans="4:9" customFormat="1" x14ac:dyDescent="0.25">
      <c r="D534" t="s">
        <v>6532</v>
      </c>
      <c r="E534" t="s">
        <v>9462</v>
      </c>
      <c r="F534">
        <v>0.19400000000000001</v>
      </c>
      <c r="G534" t="s">
        <v>6573</v>
      </c>
      <c r="H534" t="s">
        <v>9524</v>
      </c>
      <c r="I534">
        <v>0</v>
      </c>
    </row>
    <row r="535" spans="4:9" customFormat="1" x14ac:dyDescent="0.25">
      <c r="D535" t="s">
        <v>6532</v>
      </c>
      <c r="E535" t="s">
        <v>9473</v>
      </c>
      <c r="F535">
        <v>0</v>
      </c>
      <c r="G535" t="s">
        <v>6573</v>
      </c>
      <c r="H535" t="s">
        <v>9456</v>
      </c>
      <c r="I535">
        <v>0</v>
      </c>
    </row>
    <row r="536" spans="4:9" customFormat="1" x14ac:dyDescent="0.25">
      <c r="D536" t="s">
        <v>6532</v>
      </c>
      <c r="E536" t="s">
        <v>9486</v>
      </c>
      <c r="F536">
        <v>0.54700000000000004</v>
      </c>
      <c r="G536" t="s">
        <v>6573</v>
      </c>
      <c r="H536" t="s">
        <v>9533</v>
      </c>
      <c r="I536">
        <v>0</v>
      </c>
    </row>
    <row r="537" spans="4:9" customFormat="1" x14ac:dyDescent="0.25">
      <c r="D537" t="s">
        <v>6532</v>
      </c>
      <c r="E537" t="s">
        <v>9512</v>
      </c>
      <c r="F537">
        <v>0</v>
      </c>
      <c r="G537" t="s">
        <v>6574</v>
      </c>
      <c r="H537" t="s">
        <v>9344</v>
      </c>
      <c r="I537">
        <v>0</v>
      </c>
    </row>
    <row r="538" spans="4:9" customFormat="1" x14ac:dyDescent="0.25">
      <c r="D538" t="s">
        <v>6532</v>
      </c>
      <c r="E538" t="s">
        <v>9489</v>
      </c>
      <c r="F538">
        <v>0.80600000000000005</v>
      </c>
      <c r="G538" t="s">
        <v>6574</v>
      </c>
      <c r="H538" t="s">
        <v>9361</v>
      </c>
      <c r="I538">
        <v>0</v>
      </c>
    </row>
    <row r="539" spans="4:9" customFormat="1" x14ac:dyDescent="0.25">
      <c r="D539" t="s">
        <v>6532</v>
      </c>
      <c r="E539" t="s">
        <v>9547</v>
      </c>
      <c r="F539">
        <v>0</v>
      </c>
      <c r="G539" t="s">
        <v>6574</v>
      </c>
      <c r="H539" t="s">
        <v>9315</v>
      </c>
      <c r="I539">
        <v>0</v>
      </c>
    </row>
    <row r="540" spans="4:9" customFormat="1" x14ac:dyDescent="0.25">
      <c r="D540" t="s">
        <v>6532</v>
      </c>
      <c r="E540" t="s">
        <v>9497</v>
      </c>
      <c r="F540">
        <v>0.56100000000000005</v>
      </c>
      <c r="G540" t="s">
        <v>6574</v>
      </c>
      <c r="H540" t="s">
        <v>9395</v>
      </c>
      <c r="I540">
        <v>0</v>
      </c>
    </row>
    <row r="541" spans="4:9" customFormat="1" x14ac:dyDescent="0.25">
      <c r="D541" t="s">
        <v>6532</v>
      </c>
      <c r="E541" t="s">
        <v>9554</v>
      </c>
      <c r="F541">
        <v>1.1379999999999999</v>
      </c>
      <c r="G541" t="s">
        <v>6574</v>
      </c>
      <c r="H541" t="s">
        <v>9355</v>
      </c>
      <c r="I541">
        <v>0</v>
      </c>
    </row>
    <row r="542" spans="4:9" customFormat="1" x14ac:dyDescent="0.25">
      <c r="D542" t="s">
        <v>6532</v>
      </c>
      <c r="E542" t="s">
        <v>9419</v>
      </c>
      <c r="F542">
        <v>0</v>
      </c>
      <c r="G542" t="s">
        <v>6574</v>
      </c>
      <c r="H542" t="s">
        <v>9351</v>
      </c>
      <c r="I542">
        <v>0</v>
      </c>
    </row>
    <row r="543" spans="4:9" customFormat="1" x14ac:dyDescent="0.25">
      <c r="D543" t="s">
        <v>6532</v>
      </c>
      <c r="E543" t="s">
        <v>9365</v>
      </c>
      <c r="F543">
        <v>0</v>
      </c>
      <c r="G543" t="s">
        <v>6574</v>
      </c>
      <c r="H543" t="s">
        <v>9409</v>
      </c>
      <c r="I543">
        <v>0</v>
      </c>
    </row>
    <row r="544" spans="4:9" customFormat="1" x14ac:dyDescent="0.25">
      <c r="D544" t="s">
        <v>6532</v>
      </c>
      <c r="E544" t="s">
        <v>9521</v>
      </c>
      <c r="F544">
        <v>0</v>
      </c>
      <c r="G544" t="s">
        <v>6574</v>
      </c>
      <c r="H544" t="s">
        <v>9492</v>
      </c>
      <c r="I544">
        <v>0</v>
      </c>
    </row>
    <row r="545" spans="4:9" customFormat="1" x14ac:dyDescent="0.25">
      <c r="D545" t="s">
        <v>6532</v>
      </c>
      <c r="E545" t="s">
        <v>9430</v>
      </c>
      <c r="F545">
        <v>0</v>
      </c>
      <c r="G545" t="s">
        <v>6574</v>
      </c>
      <c r="H545" t="s">
        <v>9364</v>
      </c>
      <c r="I545">
        <v>0</v>
      </c>
    </row>
    <row r="546" spans="4:9" customFormat="1" x14ac:dyDescent="0.25">
      <c r="D546" t="s">
        <v>6532</v>
      </c>
      <c r="E546" t="s">
        <v>9459</v>
      </c>
      <c r="F546">
        <v>0</v>
      </c>
      <c r="G546" t="s">
        <v>6574</v>
      </c>
      <c r="H546" t="s">
        <v>9500</v>
      </c>
      <c r="I546">
        <v>0</v>
      </c>
    </row>
    <row r="547" spans="4:9" customFormat="1" x14ac:dyDescent="0.25">
      <c r="D547" t="s">
        <v>6532</v>
      </c>
      <c r="E547" t="s">
        <v>9375</v>
      </c>
      <c r="F547">
        <v>0</v>
      </c>
      <c r="G547" t="s">
        <v>6574</v>
      </c>
      <c r="H547" t="s">
        <v>9386</v>
      </c>
      <c r="I547">
        <v>0</v>
      </c>
    </row>
    <row r="548" spans="4:9" customFormat="1" x14ac:dyDescent="0.25">
      <c r="D548" t="s">
        <v>6532</v>
      </c>
      <c r="E548" t="s">
        <v>9443</v>
      </c>
      <c r="F548">
        <v>0</v>
      </c>
      <c r="G548" t="s">
        <v>6574</v>
      </c>
      <c r="H548" t="s">
        <v>9509</v>
      </c>
      <c r="I548">
        <v>0</v>
      </c>
    </row>
    <row r="549" spans="4:9" customFormat="1" x14ac:dyDescent="0.25">
      <c r="D549" t="s">
        <v>6532</v>
      </c>
      <c r="E549" t="s">
        <v>9371</v>
      </c>
      <c r="F549">
        <v>0</v>
      </c>
      <c r="G549" t="s">
        <v>6574</v>
      </c>
      <c r="H549" t="s">
        <v>9398</v>
      </c>
      <c r="I549">
        <v>0</v>
      </c>
    </row>
    <row r="550" spans="4:9" customFormat="1" x14ac:dyDescent="0.25">
      <c r="D550" t="s">
        <v>6530</v>
      </c>
      <c r="E550" t="s">
        <v>9344</v>
      </c>
      <c r="F550">
        <v>3.012</v>
      </c>
      <c r="G550" t="s">
        <v>6574</v>
      </c>
      <c r="H550" t="s">
        <v>9478</v>
      </c>
      <c r="I550">
        <v>0</v>
      </c>
    </row>
    <row r="551" spans="4:9" customFormat="1" x14ac:dyDescent="0.25">
      <c r="D551" t="s">
        <v>6530</v>
      </c>
      <c r="E551" t="s">
        <v>9361</v>
      </c>
      <c r="F551">
        <v>1.7789999999999999</v>
      </c>
      <c r="G551" t="s">
        <v>6574</v>
      </c>
      <c r="H551" t="s">
        <v>9453</v>
      </c>
      <c r="I551">
        <v>0</v>
      </c>
    </row>
    <row r="552" spans="4:9" customFormat="1" x14ac:dyDescent="0.25">
      <c r="D552" t="s">
        <v>6530</v>
      </c>
      <c r="E552" t="s">
        <v>9315</v>
      </c>
      <c r="F552">
        <v>0</v>
      </c>
      <c r="G552" t="s">
        <v>6574</v>
      </c>
      <c r="H552" t="s">
        <v>9465</v>
      </c>
      <c r="I552">
        <v>0</v>
      </c>
    </row>
    <row r="553" spans="4:9" customFormat="1" x14ac:dyDescent="0.25">
      <c r="D553" t="s">
        <v>6530</v>
      </c>
      <c r="E553" t="s">
        <v>9395</v>
      </c>
      <c r="F553">
        <v>0</v>
      </c>
      <c r="G553" t="s">
        <v>6574</v>
      </c>
      <c r="H553" t="s">
        <v>9462</v>
      </c>
      <c r="I553">
        <v>0</v>
      </c>
    </row>
    <row r="554" spans="4:9" customFormat="1" x14ac:dyDescent="0.25">
      <c r="D554" t="s">
        <v>6530</v>
      </c>
      <c r="E554" t="s">
        <v>9355</v>
      </c>
      <c r="F554">
        <v>0</v>
      </c>
      <c r="G554" t="s">
        <v>6574</v>
      </c>
      <c r="H554" t="s">
        <v>9473</v>
      </c>
      <c r="I554">
        <v>0</v>
      </c>
    </row>
    <row r="555" spans="4:9" customFormat="1" x14ac:dyDescent="0.25">
      <c r="D555" t="s">
        <v>6530</v>
      </c>
      <c r="E555" t="s">
        <v>9351</v>
      </c>
      <c r="F555">
        <v>0</v>
      </c>
      <c r="G555" t="s">
        <v>6574</v>
      </c>
      <c r="H555" t="s">
        <v>9486</v>
      </c>
      <c r="I555">
        <v>1.3169999999999999</v>
      </c>
    </row>
    <row r="556" spans="4:9" customFormat="1" x14ac:dyDescent="0.25">
      <c r="D556" t="s">
        <v>6530</v>
      </c>
      <c r="E556" t="s">
        <v>9409</v>
      </c>
      <c r="F556">
        <v>0.79900000000000004</v>
      </c>
      <c r="G556" t="s">
        <v>6574</v>
      </c>
      <c r="H556" t="s">
        <v>9512</v>
      </c>
      <c r="I556">
        <v>0</v>
      </c>
    </row>
    <row r="557" spans="4:9" customFormat="1" x14ac:dyDescent="0.25">
      <c r="D557" t="s">
        <v>6530</v>
      </c>
      <c r="E557" t="s">
        <v>9492</v>
      </c>
      <c r="F557">
        <v>0.84199999999999997</v>
      </c>
      <c r="G557" t="s">
        <v>6574</v>
      </c>
      <c r="H557" t="s">
        <v>9489</v>
      </c>
      <c r="I557">
        <v>0</v>
      </c>
    </row>
    <row r="558" spans="4:9" customFormat="1" x14ac:dyDescent="0.25">
      <c r="D558" t="s">
        <v>6530</v>
      </c>
      <c r="E558" t="s">
        <v>9364</v>
      </c>
      <c r="F558">
        <v>0.29499999999999998</v>
      </c>
      <c r="G558" t="s">
        <v>6574</v>
      </c>
      <c r="H558" t="s">
        <v>9547</v>
      </c>
      <c r="I558">
        <v>0</v>
      </c>
    </row>
    <row r="559" spans="4:9" customFormat="1" x14ac:dyDescent="0.25">
      <c r="D559" t="s">
        <v>6530</v>
      </c>
      <c r="E559" t="s">
        <v>9500</v>
      </c>
      <c r="F559">
        <v>1.52</v>
      </c>
      <c r="G559" t="s">
        <v>6574</v>
      </c>
      <c r="H559" t="s">
        <v>9497</v>
      </c>
      <c r="I559">
        <v>0</v>
      </c>
    </row>
    <row r="560" spans="4:9" customFormat="1" x14ac:dyDescent="0.25">
      <c r="D560" t="s">
        <v>6530</v>
      </c>
      <c r="E560" t="s">
        <v>9386</v>
      </c>
      <c r="F560">
        <v>0</v>
      </c>
      <c r="G560" t="s">
        <v>6574</v>
      </c>
      <c r="H560" t="s">
        <v>9554</v>
      </c>
      <c r="I560">
        <v>0</v>
      </c>
    </row>
    <row r="561" spans="4:9" customFormat="1" x14ac:dyDescent="0.25">
      <c r="D561" t="s">
        <v>6530</v>
      </c>
      <c r="E561" t="s">
        <v>9509</v>
      </c>
      <c r="F561">
        <v>0.41699999999999998</v>
      </c>
      <c r="G561" t="s">
        <v>6574</v>
      </c>
      <c r="H561" t="s">
        <v>9419</v>
      </c>
      <c r="I561">
        <v>0</v>
      </c>
    </row>
    <row r="562" spans="4:9" customFormat="1" x14ac:dyDescent="0.25">
      <c r="D562" t="s">
        <v>6530</v>
      </c>
      <c r="E562" t="s">
        <v>9398</v>
      </c>
      <c r="F562">
        <v>0.122</v>
      </c>
      <c r="G562" t="s">
        <v>6574</v>
      </c>
      <c r="H562" t="s">
        <v>9365</v>
      </c>
      <c r="I562">
        <v>0</v>
      </c>
    </row>
    <row r="563" spans="4:9" customFormat="1" x14ac:dyDescent="0.25">
      <c r="D563" t="s">
        <v>6530</v>
      </c>
      <c r="E563" t="s">
        <v>9478</v>
      </c>
      <c r="F563">
        <v>0.251</v>
      </c>
      <c r="G563" t="s">
        <v>6574</v>
      </c>
      <c r="H563" t="s">
        <v>9521</v>
      </c>
      <c r="I563">
        <v>0</v>
      </c>
    </row>
    <row r="564" spans="4:9" customFormat="1" x14ac:dyDescent="0.25">
      <c r="D564" t="s">
        <v>6530</v>
      </c>
      <c r="E564" t="s">
        <v>9453</v>
      </c>
      <c r="F564">
        <v>0</v>
      </c>
      <c r="G564" t="s">
        <v>6574</v>
      </c>
      <c r="H564" t="s">
        <v>9430</v>
      </c>
      <c r="I564">
        <v>0</v>
      </c>
    </row>
    <row r="565" spans="4:9" customFormat="1" x14ac:dyDescent="0.25">
      <c r="D565" t="s">
        <v>6530</v>
      </c>
      <c r="E565" t="s">
        <v>9465</v>
      </c>
      <c r="F565">
        <v>0</v>
      </c>
      <c r="G565" t="s">
        <v>6574</v>
      </c>
      <c r="H565" t="s">
        <v>9459</v>
      </c>
      <c r="I565">
        <v>0</v>
      </c>
    </row>
    <row r="566" spans="4:9" customFormat="1" x14ac:dyDescent="0.25">
      <c r="D566" t="s">
        <v>6530</v>
      </c>
      <c r="E566" t="s">
        <v>9462</v>
      </c>
      <c r="F566">
        <v>0</v>
      </c>
      <c r="G566" t="s">
        <v>6574</v>
      </c>
      <c r="H566" t="s">
        <v>9375</v>
      </c>
      <c r="I566">
        <v>0</v>
      </c>
    </row>
    <row r="567" spans="4:9" customFormat="1" x14ac:dyDescent="0.25">
      <c r="D567" t="s">
        <v>6530</v>
      </c>
      <c r="E567" t="s">
        <v>9473</v>
      </c>
      <c r="F567">
        <v>0</v>
      </c>
      <c r="G567" t="s">
        <v>6574</v>
      </c>
      <c r="H567" t="s">
        <v>9443</v>
      </c>
      <c r="I567">
        <v>0</v>
      </c>
    </row>
    <row r="568" spans="4:9" customFormat="1" x14ac:dyDescent="0.25">
      <c r="D568" t="s">
        <v>6530</v>
      </c>
      <c r="E568" t="s">
        <v>9486</v>
      </c>
      <c r="F568">
        <v>0</v>
      </c>
      <c r="G568" t="s">
        <v>6574</v>
      </c>
      <c r="H568" t="s">
        <v>9371</v>
      </c>
      <c r="I568">
        <v>0</v>
      </c>
    </row>
    <row r="569" spans="4:9" customFormat="1" x14ac:dyDescent="0.25">
      <c r="D569" t="s">
        <v>6530</v>
      </c>
      <c r="E569" t="s">
        <v>9512</v>
      </c>
      <c r="F569">
        <v>0</v>
      </c>
      <c r="G569" t="s">
        <v>6574</v>
      </c>
      <c r="H569" t="s">
        <v>9571</v>
      </c>
      <c r="I569">
        <v>0</v>
      </c>
    </row>
    <row r="570" spans="4:9" customFormat="1" x14ac:dyDescent="0.25">
      <c r="D570" t="s">
        <v>6530</v>
      </c>
      <c r="E570" t="s">
        <v>9489</v>
      </c>
      <c r="F570">
        <v>0</v>
      </c>
      <c r="G570" t="s">
        <v>6574</v>
      </c>
      <c r="H570" t="s">
        <v>9468</v>
      </c>
      <c r="I570">
        <v>0</v>
      </c>
    </row>
    <row r="571" spans="4:9" customFormat="1" x14ac:dyDescent="0.25">
      <c r="D571" t="s">
        <v>6530</v>
      </c>
      <c r="E571" t="s">
        <v>9547</v>
      </c>
      <c r="F571">
        <v>0</v>
      </c>
      <c r="G571" t="s">
        <v>6574</v>
      </c>
      <c r="H571" t="s">
        <v>9580</v>
      </c>
      <c r="I571">
        <v>0</v>
      </c>
    </row>
    <row r="572" spans="4:9" customFormat="1" x14ac:dyDescent="0.25">
      <c r="D572" t="s">
        <v>6530</v>
      </c>
      <c r="E572" t="s">
        <v>9497</v>
      </c>
      <c r="F572">
        <v>0.497</v>
      </c>
      <c r="G572" t="s">
        <v>6574</v>
      </c>
      <c r="H572" t="s">
        <v>9349</v>
      </c>
      <c r="I572">
        <v>0</v>
      </c>
    </row>
    <row r="573" spans="4:9" customFormat="1" x14ac:dyDescent="0.25">
      <c r="D573" t="s">
        <v>6530</v>
      </c>
      <c r="E573" t="s">
        <v>9554</v>
      </c>
      <c r="F573">
        <v>0</v>
      </c>
      <c r="G573" t="s">
        <v>6574</v>
      </c>
      <c r="H573" t="s">
        <v>9381</v>
      </c>
      <c r="I573">
        <v>0</v>
      </c>
    </row>
    <row r="574" spans="4:9" customFormat="1" x14ac:dyDescent="0.25">
      <c r="D574" t="s">
        <v>6530</v>
      </c>
      <c r="E574" t="s">
        <v>9419</v>
      </c>
      <c r="F574">
        <v>0</v>
      </c>
      <c r="G574" t="s">
        <v>6574</v>
      </c>
      <c r="H574" t="s">
        <v>9358</v>
      </c>
      <c r="I574">
        <v>0</v>
      </c>
    </row>
    <row r="575" spans="4:9" customFormat="1" x14ac:dyDescent="0.25">
      <c r="D575" t="s">
        <v>6530</v>
      </c>
      <c r="E575" t="s">
        <v>9365</v>
      </c>
      <c r="F575">
        <v>0</v>
      </c>
      <c r="G575" t="s">
        <v>6574</v>
      </c>
      <c r="H575" t="s">
        <v>9924</v>
      </c>
      <c r="I575">
        <v>0</v>
      </c>
    </row>
    <row r="576" spans="4:9" customFormat="1" x14ac:dyDescent="0.25">
      <c r="D576" t="s">
        <v>6530</v>
      </c>
      <c r="E576" t="s">
        <v>9521</v>
      </c>
      <c r="F576">
        <v>0</v>
      </c>
      <c r="G576" t="s">
        <v>6574</v>
      </c>
      <c r="H576" t="s">
        <v>9368</v>
      </c>
      <c r="I576">
        <v>0</v>
      </c>
    </row>
    <row r="577" spans="4:9" customFormat="1" x14ac:dyDescent="0.25">
      <c r="D577" t="s">
        <v>6530</v>
      </c>
      <c r="E577" t="s">
        <v>9430</v>
      </c>
      <c r="F577">
        <v>0.115</v>
      </c>
      <c r="G577" t="s">
        <v>6574</v>
      </c>
      <c r="H577" t="s">
        <v>9481</v>
      </c>
      <c r="I577">
        <v>0</v>
      </c>
    </row>
    <row r="578" spans="4:9" customFormat="1" x14ac:dyDescent="0.25">
      <c r="D578" t="s">
        <v>6530</v>
      </c>
      <c r="E578" t="s">
        <v>9459</v>
      </c>
      <c r="F578">
        <v>3.5999999999999997E-2</v>
      </c>
      <c r="G578" t="s">
        <v>6574</v>
      </c>
      <c r="H578" t="s">
        <v>9378</v>
      </c>
      <c r="I578">
        <v>0</v>
      </c>
    </row>
    <row r="579" spans="4:9" customFormat="1" x14ac:dyDescent="0.25">
      <c r="D579" t="s">
        <v>6530</v>
      </c>
      <c r="E579" t="s">
        <v>9375</v>
      </c>
      <c r="F579">
        <v>0</v>
      </c>
      <c r="G579" t="s">
        <v>6574</v>
      </c>
      <c r="H579" t="s">
        <v>9527</v>
      </c>
      <c r="I579">
        <v>0</v>
      </c>
    </row>
    <row r="580" spans="4:9" customFormat="1" x14ac:dyDescent="0.25">
      <c r="D580" t="s">
        <v>6533</v>
      </c>
      <c r="E580" t="s">
        <v>9344</v>
      </c>
      <c r="F580">
        <v>2.2730000000000001</v>
      </c>
      <c r="G580" t="s">
        <v>6574</v>
      </c>
      <c r="H580" t="s">
        <v>9389</v>
      </c>
      <c r="I580">
        <v>0</v>
      </c>
    </row>
    <row r="581" spans="4:9" customFormat="1" x14ac:dyDescent="0.25">
      <c r="D581" t="s">
        <v>6533</v>
      </c>
      <c r="E581" t="s">
        <v>9361</v>
      </c>
      <c r="F581">
        <v>1.7509999999999999</v>
      </c>
      <c r="G581" t="s">
        <v>6574</v>
      </c>
      <c r="H581" t="s">
        <v>9620</v>
      </c>
      <c r="I581">
        <v>0</v>
      </c>
    </row>
    <row r="582" spans="4:9" customFormat="1" x14ac:dyDescent="0.25">
      <c r="D582" t="s">
        <v>6533</v>
      </c>
      <c r="E582" t="s">
        <v>9315</v>
      </c>
      <c r="F582">
        <v>0</v>
      </c>
      <c r="G582" t="s">
        <v>6574</v>
      </c>
      <c r="H582" t="s">
        <v>9401</v>
      </c>
      <c r="I582">
        <v>0</v>
      </c>
    </row>
    <row r="583" spans="4:9" customFormat="1" x14ac:dyDescent="0.25">
      <c r="D583" t="s">
        <v>6533</v>
      </c>
      <c r="E583" t="s">
        <v>9395</v>
      </c>
      <c r="F583">
        <v>0</v>
      </c>
      <c r="G583" t="s">
        <v>6574</v>
      </c>
      <c r="H583" t="s">
        <v>9528</v>
      </c>
      <c r="I583">
        <v>0</v>
      </c>
    </row>
    <row r="584" spans="4:9" customFormat="1" x14ac:dyDescent="0.25">
      <c r="D584" t="s">
        <v>6533</v>
      </c>
      <c r="E584" t="s">
        <v>9355</v>
      </c>
      <c r="F584">
        <v>0</v>
      </c>
      <c r="G584" t="s">
        <v>6574</v>
      </c>
      <c r="H584" t="s">
        <v>9524</v>
      </c>
      <c r="I584">
        <v>0</v>
      </c>
    </row>
    <row r="585" spans="4:9" customFormat="1" x14ac:dyDescent="0.25">
      <c r="D585" t="s">
        <v>6533</v>
      </c>
      <c r="E585" t="s">
        <v>9351</v>
      </c>
      <c r="F585">
        <v>0</v>
      </c>
      <c r="G585" t="s">
        <v>6574</v>
      </c>
      <c r="H585" t="s">
        <v>9456</v>
      </c>
      <c r="I585">
        <v>0</v>
      </c>
    </row>
    <row r="586" spans="4:9" customFormat="1" x14ac:dyDescent="0.25">
      <c r="D586" t="s">
        <v>6533</v>
      </c>
      <c r="E586" t="s">
        <v>9409</v>
      </c>
      <c r="F586">
        <v>0.85</v>
      </c>
      <c r="G586" t="s">
        <v>6574</v>
      </c>
      <c r="H586" t="s">
        <v>9533</v>
      </c>
      <c r="I586">
        <v>0</v>
      </c>
    </row>
    <row r="587" spans="4:9" customFormat="1" x14ac:dyDescent="0.25">
      <c r="D587" t="s">
        <v>6533</v>
      </c>
      <c r="E587" t="s">
        <v>9492</v>
      </c>
      <c r="F587">
        <v>0.95799999999999996</v>
      </c>
      <c r="G587" t="s">
        <v>6575</v>
      </c>
      <c r="H587" t="s">
        <v>9344</v>
      </c>
      <c r="I587">
        <v>0</v>
      </c>
    </row>
    <row r="588" spans="4:9" customFormat="1" x14ac:dyDescent="0.25">
      <c r="D588" t="s">
        <v>6533</v>
      </c>
      <c r="E588" t="s">
        <v>9364</v>
      </c>
      <c r="F588">
        <v>0.309</v>
      </c>
      <c r="G588" t="s">
        <v>6575</v>
      </c>
      <c r="H588" t="s">
        <v>9361</v>
      </c>
      <c r="I588">
        <v>0</v>
      </c>
    </row>
    <row r="589" spans="4:9" customFormat="1" x14ac:dyDescent="0.25">
      <c r="D589" t="s">
        <v>6533</v>
      </c>
      <c r="E589" t="s">
        <v>9500</v>
      </c>
      <c r="F589">
        <v>0.05</v>
      </c>
      <c r="G589" t="s">
        <v>6575</v>
      </c>
      <c r="H589" t="s">
        <v>9315</v>
      </c>
      <c r="I589">
        <v>0</v>
      </c>
    </row>
    <row r="590" spans="4:9" customFormat="1" x14ac:dyDescent="0.25">
      <c r="D590" t="s">
        <v>6533</v>
      </c>
      <c r="E590" t="s">
        <v>9386</v>
      </c>
      <c r="F590">
        <v>0</v>
      </c>
      <c r="G590" t="s">
        <v>6575</v>
      </c>
      <c r="H590" t="s">
        <v>9395</v>
      </c>
      <c r="I590">
        <v>0</v>
      </c>
    </row>
    <row r="591" spans="4:9" customFormat="1" x14ac:dyDescent="0.25">
      <c r="D591" t="s">
        <v>6533</v>
      </c>
      <c r="E591" t="s">
        <v>9509</v>
      </c>
      <c r="F591">
        <v>0.439</v>
      </c>
      <c r="G591" t="s">
        <v>6575</v>
      </c>
      <c r="H591" t="s">
        <v>9355</v>
      </c>
      <c r="I591">
        <v>0</v>
      </c>
    </row>
    <row r="592" spans="4:9" customFormat="1" x14ac:dyDescent="0.25">
      <c r="D592" t="s">
        <v>6533</v>
      </c>
      <c r="E592" t="s">
        <v>9398</v>
      </c>
      <c r="F592">
        <v>0.38100000000000001</v>
      </c>
      <c r="G592" t="s">
        <v>6575</v>
      </c>
      <c r="H592" t="s">
        <v>9351</v>
      </c>
      <c r="I592">
        <v>0</v>
      </c>
    </row>
    <row r="593" spans="4:9" customFormat="1" x14ac:dyDescent="0.25">
      <c r="D593" t="s">
        <v>6533</v>
      </c>
      <c r="E593" t="s">
        <v>9478</v>
      </c>
      <c r="F593">
        <v>0.28799999999999998</v>
      </c>
      <c r="G593" t="s">
        <v>6575</v>
      </c>
      <c r="H593" t="s">
        <v>9409</v>
      </c>
      <c r="I593">
        <v>0</v>
      </c>
    </row>
    <row r="594" spans="4:9" customFormat="1" x14ac:dyDescent="0.25">
      <c r="D594" t="s">
        <v>6533</v>
      </c>
      <c r="E594" t="s">
        <v>9453</v>
      </c>
      <c r="F594">
        <v>0.73399999999999999</v>
      </c>
      <c r="G594" t="s">
        <v>6575</v>
      </c>
      <c r="H594" t="s">
        <v>9492</v>
      </c>
      <c r="I594">
        <v>0</v>
      </c>
    </row>
    <row r="595" spans="4:9" customFormat="1" x14ac:dyDescent="0.25">
      <c r="D595" t="s">
        <v>6533</v>
      </c>
      <c r="E595" t="s">
        <v>9465</v>
      </c>
      <c r="F595">
        <v>0</v>
      </c>
      <c r="G595" t="s">
        <v>6575</v>
      </c>
      <c r="H595" t="s">
        <v>9364</v>
      </c>
      <c r="I595">
        <v>0</v>
      </c>
    </row>
    <row r="596" spans="4:9" customFormat="1" x14ac:dyDescent="0.25">
      <c r="D596" t="s">
        <v>6533</v>
      </c>
      <c r="E596" t="s">
        <v>9462</v>
      </c>
      <c r="F596">
        <v>0.74099999999999999</v>
      </c>
      <c r="G596" t="s">
        <v>6575</v>
      </c>
      <c r="H596" t="s">
        <v>9500</v>
      </c>
      <c r="I596">
        <v>0</v>
      </c>
    </row>
    <row r="597" spans="4:9" customFormat="1" x14ac:dyDescent="0.25">
      <c r="D597" t="s">
        <v>6533</v>
      </c>
      <c r="E597" t="s">
        <v>9473</v>
      </c>
      <c r="F597">
        <v>0</v>
      </c>
      <c r="G597" t="s">
        <v>6575</v>
      </c>
      <c r="H597" t="s">
        <v>9386</v>
      </c>
      <c r="I597">
        <v>0</v>
      </c>
    </row>
    <row r="598" spans="4:9" customFormat="1" x14ac:dyDescent="0.25">
      <c r="D598" t="s">
        <v>6533</v>
      </c>
      <c r="E598" t="s">
        <v>9486</v>
      </c>
      <c r="F598">
        <v>0</v>
      </c>
      <c r="G598" t="s">
        <v>6575</v>
      </c>
      <c r="H598" t="s">
        <v>9509</v>
      </c>
      <c r="I598">
        <v>0</v>
      </c>
    </row>
    <row r="599" spans="4:9" customFormat="1" x14ac:dyDescent="0.25">
      <c r="D599" t="s">
        <v>6533</v>
      </c>
      <c r="E599" t="s">
        <v>9512</v>
      </c>
      <c r="F599">
        <v>0.122</v>
      </c>
      <c r="G599" t="s">
        <v>6575</v>
      </c>
      <c r="H599" t="s">
        <v>9398</v>
      </c>
      <c r="I599">
        <v>0</v>
      </c>
    </row>
    <row r="600" spans="4:9" customFormat="1" x14ac:dyDescent="0.25">
      <c r="D600" t="s">
        <v>6533</v>
      </c>
      <c r="E600" t="s">
        <v>9489</v>
      </c>
      <c r="F600">
        <v>6.4000000000000001E-2</v>
      </c>
      <c r="G600" t="s">
        <v>6575</v>
      </c>
      <c r="H600" t="s">
        <v>9478</v>
      </c>
      <c r="I600">
        <v>0</v>
      </c>
    </row>
    <row r="601" spans="4:9" customFormat="1" x14ac:dyDescent="0.25">
      <c r="D601" t="s">
        <v>6533</v>
      </c>
      <c r="E601" t="s">
        <v>9547</v>
      </c>
      <c r="F601">
        <v>0.115</v>
      </c>
      <c r="G601" t="s">
        <v>6575</v>
      </c>
      <c r="H601" t="s">
        <v>9453</v>
      </c>
      <c r="I601">
        <v>0</v>
      </c>
    </row>
    <row r="602" spans="4:9" customFormat="1" x14ac:dyDescent="0.25">
      <c r="D602" t="s">
        <v>6533</v>
      </c>
      <c r="E602" t="s">
        <v>9497</v>
      </c>
      <c r="F602">
        <v>0</v>
      </c>
      <c r="G602" t="s">
        <v>6575</v>
      </c>
      <c r="H602" t="s">
        <v>9465</v>
      </c>
      <c r="I602">
        <v>0</v>
      </c>
    </row>
    <row r="603" spans="4:9" customFormat="1" x14ac:dyDescent="0.25">
      <c r="D603" t="s">
        <v>6533</v>
      </c>
      <c r="E603" t="s">
        <v>9554</v>
      </c>
      <c r="F603">
        <v>0.439</v>
      </c>
      <c r="G603" t="s">
        <v>6575</v>
      </c>
      <c r="H603" t="s">
        <v>9462</v>
      </c>
      <c r="I603">
        <v>0</v>
      </c>
    </row>
    <row r="604" spans="4:9" customFormat="1" x14ac:dyDescent="0.25">
      <c r="D604" t="s">
        <v>6533</v>
      </c>
      <c r="E604" t="s">
        <v>9419</v>
      </c>
      <c r="F604">
        <v>9.2999999999999999E-2</v>
      </c>
      <c r="G604" t="s">
        <v>6575</v>
      </c>
      <c r="H604" t="s">
        <v>9473</v>
      </c>
      <c r="I604">
        <v>0</v>
      </c>
    </row>
    <row r="605" spans="4:9" customFormat="1" x14ac:dyDescent="0.25">
      <c r="D605" t="s">
        <v>6533</v>
      </c>
      <c r="E605" t="s">
        <v>9365</v>
      </c>
      <c r="F605">
        <v>0</v>
      </c>
      <c r="G605" t="s">
        <v>6575</v>
      </c>
      <c r="H605" t="s">
        <v>9486</v>
      </c>
      <c r="I605">
        <v>1.268</v>
      </c>
    </row>
    <row r="606" spans="4:9" customFormat="1" x14ac:dyDescent="0.25">
      <c r="D606" t="s">
        <v>6533</v>
      </c>
      <c r="E606" t="s">
        <v>9521</v>
      </c>
      <c r="F606">
        <v>0.32400000000000001</v>
      </c>
      <c r="G606" t="s">
        <v>6575</v>
      </c>
      <c r="H606" t="s">
        <v>9512</v>
      </c>
      <c r="I606">
        <v>0</v>
      </c>
    </row>
    <row r="607" spans="4:9" customFormat="1" x14ac:dyDescent="0.25">
      <c r="D607" t="s">
        <v>6533</v>
      </c>
      <c r="E607" t="s">
        <v>9430</v>
      </c>
      <c r="F607">
        <v>3.5999999999999997E-2</v>
      </c>
      <c r="G607" t="s">
        <v>6575</v>
      </c>
      <c r="H607" t="s">
        <v>9489</v>
      </c>
      <c r="I607">
        <v>0</v>
      </c>
    </row>
    <row r="608" spans="4:9" customFormat="1" x14ac:dyDescent="0.25">
      <c r="D608" t="s">
        <v>6533</v>
      </c>
      <c r="E608" t="s">
        <v>9459</v>
      </c>
      <c r="F608">
        <v>0.48199999999999998</v>
      </c>
      <c r="G608" t="s">
        <v>6575</v>
      </c>
      <c r="H608" t="s">
        <v>9547</v>
      </c>
      <c r="I608">
        <v>0</v>
      </c>
    </row>
    <row r="609" spans="4:9" customFormat="1" x14ac:dyDescent="0.25">
      <c r="D609" t="s">
        <v>6533</v>
      </c>
      <c r="E609" t="s">
        <v>9375</v>
      </c>
      <c r="F609">
        <v>6.4000000000000001E-2</v>
      </c>
      <c r="G609" t="s">
        <v>6575</v>
      </c>
      <c r="H609" t="s">
        <v>9497</v>
      </c>
      <c r="I609">
        <v>0</v>
      </c>
    </row>
    <row r="610" spans="4:9" customFormat="1" x14ac:dyDescent="0.25">
      <c r="D610" t="s">
        <v>6534</v>
      </c>
      <c r="E610" t="s">
        <v>11070</v>
      </c>
      <c r="F610">
        <v>0.126</v>
      </c>
      <c r="G610" t="s">
        <v>6575</v>
      </c>
      <c r="H610" t="s">
        <v>9554</v>
      </c>
      <c r="I610">
        <v>0</v>
      </c>
    </row>
    <row r="611" spans="4:9" customFormat="1" x14ac:dyDescent="0.25">
      <c r="D611" t="s">
        <v>6534</v>
      </c>
      <c r="E611" t="s">
        <v>11072</v>
      </c>
      <c r="F611">
        <v>0.16200000000000001</v>
      </c>
      <c r="G611" t="s">
        <v>6575</v>
      </c>
      <c r="H611" t="s">
        <v>9419</v>
      </c>
      <c r="I611">
        <v>0</v>
      </c>
    </row>
    <row r="612" spans="4:9" customFormat="1" x14ac:dyDescent="0.25">
      <c r="D612" t="s">
        <v>6534</v>
      </c>
      <c r="E612" t="s">
        <v>11073</v>
      </c>
      <c r="F612">
        <v>0</v>
      </c>
      <c r="G612" t="s">
        <v>6575</v>
      </c>
      <c r="H612" t="s">
        <v>9365</v>
      </c>
      <c r="I612">
        <v>0</v>
      </c>
    </row>
    <row r="613" spans="4:9" customFormat="1" x14ac:dyDescent="0.25">
      <c r="D613" t="s">
        <v>6534</v>
      </c>
      <c r="E613" t="s">
        <v>11074</v>
      </c>
      <c r="F613">
        <v>0</v>
      </c>
      <c r="G613" t="s">
        <v>6575</v>
      </c>
      <c r="H613" t="s">
        <v>9521</v>
      </c>
      <c r="I613">
        <v>0</v>
      </c>
    </row>
    <row r="614" spans="4:9" customFormat="1" x14ac:dyDescent="0.25">
      <c r="D614" t="s">
        <v>6534</v>
      </c>
      <c r="E614" t="s">
        <v>11078</v>
      </c>
      <c r="F614">
        <v>0</v>
      </c>
      <c r="G614" t="s">
        <v>6575</v>
      </c>
      <c r="H614" t="s">
        <v>9430</v>
      </c>
      <c r="I614">
        <v>0</v>
      </c>
    </row>
    <row r="615" spans="4:9" customFormat="1" x14ac:dyDescent="0.25">
      <c r="D615" t="s">
        <v>6534</v>
      </c>
      <c r="E615" t="s">
        <v>11079</v>
      </c>
      <c r="F615">
        <v>0</v>
      </c>
      <c r="G615" t="s">
        <v>6575</v>
      </c>
      <c r="H615" t="s">
        <v>9459</v>
      </c>
      <c r="I615">
        <v>0</v>
      </c>
    </row>
    <row r="616" spans="4:9" customFormat="1" x14ac:dyDescent="0.25">
      <c r="D616" t="s">
        <v>6534</v>
      </c>
      <c r="E616" t="s">
        <v>11080</v>
      </c>
      <c r="F616">
        <v>0</v>
      </c>
      <c r="G616" t="s">
        <v>6575</v>
      </c>
      <c r="H616" t="s">
        <v>9375</v>
      </c>
      <c r="I616">
        <v>0</v>
      </c>
    </row>
    <row r="617" spans="4:9" customFormat="1" x14ac:dyDescent="0.25">
      <c r="D617" t="s">
        <v>6534</v>
      </c>
      <c r="E617" t="s">
        <v>11081</v>
      </c>
      <c r="F617">
        <v>0.47199999999999998</v>
      </c>
      <c r="G617" t="s">
        <v>6575</v>
      </c>
      <c r="H617" t="s">
        <v>9443</v>
      </c>
      <c r="I617">
        <v>0</v>
      </c>
    </row>
    <row r="618" spans="4:9" customFormat="1" x14ac:dyDescent="0.25">
      <c r="D618" t="s">
        <v>6534</v>
      </c>
      <c r="E618" t="s">
        <v>11082</v>
      </c>
      <c r="F618">
        <v>1.581</v>
      </c>
      <c r="G618" t="s">
        <v>6575</v>
      </c>
      <c r="H618" t="s">
        <v>9371</v>
      </c>
      <c r="I618">
        <v>0</v>
      </c>
    </row>
    <row r="619" spans="4:9" customFormat="1" x14ac:dyDescent="0.25">
      <c r="D619" t="s">
        <v>6534</v>
      </c>
      <c r="E619" t="s">
        <v>11083</v>
      </c>
      <c r="F619">
        <v>0</v>
      </c>
      <c r="G619" t="s">
        <v>6575</v>
      </c>
      <c r="H619" t="s">
        <v>9571</v>
      </c>
      <c r="I619">
        <v>0</v>
      </c>
    </row>
    <row r="620" spans="4:9" customFormat="1" x14ac:dyDescent="0.25">
      <c r="D620" t="s">
        <v>6534</v>
      </c>
      <c r="E620" t="s">
        <v>11084</v>
      </c>
      <c r="F620">
        <v>0.104</v>
      </c>
      <c r="G620" t="s">
        <v>6575</v>
      </c>
      <c r="H620" t="s">
        <v>9468</v>
      </c>
      <c r="I620">
        <v>0</v>
      </c>
    </row>
    <row r="621" spans="4:9" customFormat="1" x14ac:dyDescent="0.25">
      <c r="D621" t="s">
        <v>6534</v>
      </c>
      <c r="E621" t="s">
        <v>11085</v>
      </c>
      <c r="F621">
        <v>0.223</v>
      </c>
      <c r="G621" t="s">
        <v>6575</v>
      </c>
      <c r="H621" t="s">
        <v>9580</v>
      </c>
      <c r="I621">
        <v>0</v>
      </c>
    </row>
    <row r="622" spans="4:9" customFormat="1" x14ac:dyDescent="0.25">
      <c r="D622" t="s">
        <v>6534</v>
      </c>
      <c r="E622" t="s">
        <v>11102</v>
      </c>
      <c r="F622">
        <v>0</v>
      </c>
      <c r="G622" t="s">
        <v>6575</v>
      </c>
      <c r="H622" t="s">
        <v>9349</v>
      </c>
      <c r="I622">
        <v>0</v>
      </c>
    </row>
    <row r="623" spans="4:9" customFormat="1" x14ac:dyDescent="0.25">
      <c r="D623" t="s">
        <v>6534</v>
      </c>
      <c r="E623" t="s">
        <v>11103</v>
      </c>
      <c r="F623">
        <v>0</v>
      </c>
      <c r="G623" t="s">
        <v>6575</v>
      </c>
      <c r="H623" t="s">
        <v>9381</v>
      </c>
      <c r="I623">
        <v>0</v>
      </c>
    </row>
    <row r="624" spans="4:9" customFormat="1" x14ac:dyDescent="0.25">
      <c r="D624" t="s">
        <v>6534</v>
      </c>
      <c r="E624" t="s">
        <v>11104</v>
      </c>
      <c r="F624">
        <v>0</v>
      </c>
      <c r="G624" t="s">
        <v>6575</v>
      </c>
      <c r="H624" t="s">
        <v>9358</v>
      </c>
      <c r="I624">
        <v>0</v>
      </c>
    </row>
    <row r="625" spans="4:9" customFormat="1" x14ac:dyDescent="0.25">
      <c r="D625" t="s">
        <v>6534</v>
      </c>
      <c r="E625" t="s">
        <v>11105</v>
      </c>
      <c r="F625">
        <v>0</v>
      </c>
      <c r="G625" t="s">
        <v>6575</v>
      </c>
      <c r="H625" t="s">
        <v>9924</v>
      </c>
      <c r="I625">
        <v>0</v>
      </c>
    </row>
    <row r="626" spans="4:9" customFormat="1" x14ac:dyDescent="0.25">
      <c r="D626" t="s">
        <v>6534</v>
      </c>
      <c r="E626" t="s">
        <v>11106</v>
      </c>
      <c r="F626">
        <v>0.115</v>
      </c>
      <c r="G626" t="s">
        <v>6575</v>
      </c>
      <c r="H626" t="s">
        <v>9368</v>
      </c>
      <c r="I626">
        <v>0</v>
      </c>
    </row>
    <row r="627" spans="4:9" customFormat="1" x14ac:dyDescent="0.25">
      <c r="D627" t="s">
        <v>6534</v>
      </c>
      <c r="E627" t="s">
        <v>11107</v>
      </c>
      <c r="F627">
        <v>0</v>
      </c>
      <c r="G627" t="s">
        <v>6575</v>
      </c>
      <c r="H627" t="s">
        <v>9481</v>
      </c>
      <c r="I627">
        <v>0</v>
      </c>
    </row>
    <row r="628" spans="4:9" customFormat="1" x14ac:dyDescent="0.25">
      <c r="D628" t="s">
        <v>6534</v>
      </c>
      <c r="E628" t="s">
        <v>11108</v>
      </c>
      <c r="F628">
        <v>0</v>
      </c>
      <c r="G628" t="s">
        <v>6575</v>
      </c>
      <c r="H628" t="s">
        <v>9378</v>
      </c>
      <c r="I628">
        <v>0</v>
      </c>
    </row>
    <row r="629" spans="4:9" customFormat="1" x14ac:dyDescent="0.25">
      <c r="D629" t="s">
        <v>6534</v>
      </c>
      <c r="E629" t="s">
        <v>11109</v>
      </c>
      <c r="F629">
        <v>0</v>
      </c>
      <c r="G629" t="s">
        <v>6575</v>
      </c>
      <c r="H629" t="s">
        <v>9527</v>
      </c>
      <c r="I629">
        <v>0</v>
      </c>
    </row>
    <row r="630" spans="4:9" customFormat="1" x14ac:dyDescent="0.25">
      <c r="D630" t="s">
        <v>6534</v>
      </c>
      <c r="E630" t="s">
        <v>11110</v>
      </c>
      <c r="F630">
        <v>0</v>
      </c>
      <c r="G630" t="s">
        <v>6575</v>
      </c>
      <c r="H630" t="s">
        <v>9389</v>
      </c>
      <c r="I630">
        <v>0</v>
      </c>
    </row>
    <row r="631" spans="4:9" customFormat="1" x14ac:dyDescent="0.25">
      <c r="D631" t="s">
        <v>6534</v>
      </c>
      <c r="E631" t="s">
        <v>11111</v>
      </c>
      <c r="F631">
        <v>0</v>
      </c>
      <c r="G631" t="s">
        <v>6575</v>
      </c>
      <c r="H631" t="s">
        <v>9620</v>
      </c>
      <c r="I631">
        <v>0</v>
      </c>
    </row>
    <row r="632" spans="4:9" customFormat="1" x14ac:dyDescent="0.25">
      <c r="D632" t="s">
        <v>6534</v>
      </c>
      <c r="E632" t="s">
        <v>11112</v>
      </c>
      <c r="F632">
        <v>0</v>
      </c>
      <c r="G632" t="s">
        <v>6575</v>
      </c>
      <c r="H632" t="s">
        <v>9401</v>
      </c>
      <c r="I632">
        <v>0</v>
      </c>
    </row>
    <row r="633" spans="4:9" customFormat="1" x14ac:dyDescent="0.25">
      <c r="D633" t="s">
        <v>6534</v>
      </c>
      <c r="E633" t="s">
        <v>11113</v>
      </c>
      <c r="F633">
        <v>0</v>
      </c>
      <c r="G633" t="s">
        <v>6575</v>
      </c>
      <c r="H633" t="s">
        <v>9528</v>
      </c>
      <c r="I633">
        <v>0</v>
      </c>
    </row>
    <row r="634" spans="4:9" customFormat="1" x14ac:dyDescent="0.25">
      <c r="D634" t="s">
        <v>6534</v>
      </c>
      <c r="E634" t="s">
        <v>11114</v>
      </c>
      <c r="F634">
        <v>0.34499999999999997</v>
      </c>
      <c r="G634" t="s">
        <v>6575</v>
      </c>
      <c r="H634" t="s">
        <v>9524</v>
      </c>
      <c r="I634">
        <v>0</v>
      </c>
    </row>
    <row r="635" spans="4:9" customFormat="1" x14ac:dyDescent="0.25">
      <c r="D635" t="s">
        <v>6534</v>
      </c>
      <c r="E635" t="s">
        <v>11115</v>
      </c>
      <c r="F635">
        <v>0</v>
      </c>
      <c r="G635" t="s">
        <v>6575</v>
      </c>
      <c r="H635" t="s">
        <v>9456</v>
      </c>
      <c r="I635">
        <v>0</v>
      </c>
    </row>
    <row r="636" spans="4:9" customFormat="1" x14ac:dyDescent="0.25">
      <c r="D636" t="s">
        <v>6534</v>
      </c>
      <c r="E636" t="s">
        <v>11116</v>
      </c>
      <c r="F636">
        <v>0</v>
      </c>
      <c r="G636" t="s">
        <v>6575</v>
      </c>
      <c r="H636" t="s">
        <v>9533</v>
      </c>
      <c r="I636">
        <v>0</v>
      </c>
    </row>
    <row r="637" spans="4:9" customFormat="1" x14ac:dyDescent="0.25">
      <c r="D637" t="s">
        <v>6534</v>
      </c>
      <c r="E637" t="s">
        <v>11117</v>
      </c>
      <c r="F637">
        <v>0</v>
      </c>
      <c r="G637" t="s">
        <v>6570</v>
      </c>
      <c r="H637" t="s">
        <v>9344</v>
      </c>
      <c r="I637">
        <v>0</v>
      </c>
    </row>
    <row r="638" spans="4:9" customFormat="1" x14ac:dyDescent="0.25">
      <c r="D638" t="s">
        <v>6534</v>
      </c>
      <c r="E638" t="s">
        <v>11118</v>
      </c>
      <c r="F638">
        <v>0</v>
      </c>
      <c r="G638" t="s">
        <v>6570</v>
      </c>
      <c r="H638" t="s">
        <v>9361</v>
      </c>
      <c r="I638">
        <v>0</v>
      </c>
    </row>
    <row r="639" spans="4:9" customFormat="1" x14ac:dyDescent="0.25">
      <c r="D639" t="s">
        <v>6534</v>
      </c>
      <c r="E639" t="s">
        <v>11119</v>
      </c>
      <c r="F639">
        <v>0</v>
      </c>
      <c r="G639" t="s">
        <v>6570</v>
      </c>
      <c r="H639" t="s">
        <v>9315</v>
      </c>
      <c r="I639">
        <v>0</v>
      </c>
    </row>
    <row r="640" spans="4:9" customFormat="1" x14ac:dyDescent="0.25">
      <c r="D640" t="s">
        <v>6534</v>
      </c>
      <c r="E640" t="s">
        <v>11120</v>
      </c>
      <c r="F640">
        <v>0</v>
      </c>
      <c r="G640" t="s">
        <v>6570</v>
      </c>
      <c r="H640" t="s">
        <v>9395</v>
      </c>
      <c r="I640">
        <v>0</v>
      </c>
    </row>
    <row r="641" spans="4:9" customFormat="1" x14ac:dyDescent="0.25">
      <c r="D641" t="s">
        <v>6534</v>
      </c>
      <c r="E641" t="s">
        <v>11121</v>
      </c>
      <c r="F641">
        <v>0</v>
      </c>
      <c r="G641" t="s">
        <v>6570</v>
      </c>
      <c r="H641" t="s">
        <v>9355</v>
      </c>
      <c r="I641">
        <v>0</v>
      </c>
    </row>
    <row r="642" spans="4:9" customFormat="1" x14ac:dyDescent="0.25">
      <c r="D642" t="s">
        <v>6534</v>
      </c>
      <c r="E642" t="s">
        <v>11122</v>
      </c>
      <c r="F642">
        <v>0</v>
      </c>
      <c r="G642" t="s">
        <v>6570</v>
      </c>
      <c r="H642" t="s">
        <v>9351</v>
      </c>
      <c r="I642">
        <v>0</v>
      </c>
    </row>
    <row r="643" spans="4:9" customFormat="1" x14ac:dyDescent="0.25">
      <c r="D643" t="s">
        <v>6534</v>
      </c>
      <c r="E643" t="s">
        <v>11123</v>
      </c>
      <c r="F643">
        <v>0</v>
      </c>
      <c r="G643" t="s">
        <v>6570</v>
      </c>
      <c r="H643" t="s">
        <v>9409</v>
      </c>
      <c r="I643">
        <v>0</v>
      </c>
    </row>
    <row r="644" spans="4:9" customFormat="1" x14ac:dyDescent="0.25">
      <c r="D644" t="s">
        <v>6535</v>
      </c>
      <c r="E644" t="s">
        <v>11070</v>
      </c>
      <c r="F644">
        <v>0.17599999999999999</v>
      </c>
      <c r="G644" t="s">
        <v>6570</v>
      </c>
      <c r="H644" t="s">
        <v>9492</v>
      </c>
      <c r="I644">
        <v>0</v>
      </c>
    </row>
    <row r="645" spans="4:9" customFormat="1" x14ac:dyDescent="0.25">
      <c r="D645" t="s">
        <v>6535</v>
      </c>
      <c r="E645" t="s">
        <v>11072</v>
      </c>
      <c r="F645">
        <v>0.154</v>
      </c>
      <c r="G645" t="s">
        <v>6570</v>
      </c>
      <c r="H645" t="s">
        <v>9364</v>
      </c>
      <c r="I645">
        <v>0</v>
      </c>
    </row>
    <row r="646" spans="4:9" customFormat="1" x14ac:dyDescent="0.25">
      <c r="D646" t="s">
        <v>6535</v>
      </c>
      <c r="E646" t="s">
        <v>11073</v>
      </c>
      <c r="F646">
        <v>0</v>
      </c>
      <c r="G646" t="s">
        <v>6570</v>
      </c>
      <c r="H646" t="s">
        <v>9500</v>
      </c>
      <c r="I646">
        <v>0</v>
      </c>
    </row>
    <row r="647" spans="4:9" customFormat="1" x14ac:dyDescent="0.25">
      <c r="D647" t="s">
        <v>6535</v>
      </c>
      <c r="E647" t="s">
        <v>11074</v>
      </c>
      <c r="F647">
        <v>0</v>
      </c>
      <c r="G647" t="s">
        <v>6570</v>
      </c>
      <c r="H647" t="s">
        <v>9386</v>
      </c>
      <c r="I647">
        <v>0</v>
      </c>
    </row>
    <row r="648" spans="4:9" customFormat="1" x14ac:dyDescent="0.25">
      <c r="D648" t="s">
        <v>6535</v>
      </c>
      <c r="E648" t="s">
        <v>11078</v>
      </c>
      <c r="F648">
        <v>0</v>
      </c>
      <c r="G648" t="s">
        <v>6570</v>
      </c>
      <c r="H648" t="s">
        <v>9509</v>
      </c>
      <c r="I648">
        <v>0</v>
      </c>
    </row>
    <row r="649" spans="4:9" customFormat="1" x14ac:dyDescent="0.25">
      <c r="D649" t="s">
        <v>6535</v>
      </c>
      <c r="E649" t="s">
        <v>11079</v>
      </c>
      <c r="F649">
        <v>0</v>
      </c>
      <c r="G649" t="s">
        <v>6570</v>
      </c>
      <c r="H649" t="s">
        <v>9398</v>
      </c>
      <c r="I649">
        <v>0</v>
      </c>
    </row>
    <row r="650" spans="4:9" customFormat="1" x14ac:dyDescent="0.25">
      <c r="D650" t="s">
        <v>6535</v>
      </c>
      <c r="E650" t="s">
        <v>11080</v>
      </c>
      <c r="F650">
        <v>0</v>
      </c>
      <c r="G650" t="s">
        <v>6570</v>
      </c>
      <c r="H650" t="s">
        <v>9478</v>
      </c>
      <c r="I650">
        <v>0</v>
      </c>
    </row>
    <row r="651" spans="4:9" customFormat="1" x14ac:dyDescent="0.25">
      <c r="D651" t="s">
        <v>6535</v>
      </c>
      <c r="E651" t="s">
        <v>11081</v>
      </c>
      <c r="F651">
        <v>0.45</v>
      </c>
      <c r="G651" t="s">
        <v>6570</v>
      </c>
      <c r="H651" t="s">
        <v>9453</v>
      </c>
      <c r="I651">
        <v>0</v>
      </c>
    </row>
    <row r="652" spans="4:9" customFormat="1" x14ac:dyDescent="0.25">
      <c r="D652" t="s">
        <v>6535</v>
      </c>
      <c r="E652" t="s">
        <v>11082</v>
      </c>
      <c r="F652">
        <v>1.0660000000000001</v>
      </c>
      <c r="G652" t="s">
        <v>6570</v>
      </c>
      <c r="H652" t="s">
        <v>9465</v>
      </c>
      <c r="I652">
        <v>0</v>
      </c>
    </row>
    <row r="653" spans="4:9" customFormat="1" x14ac:dyDescent="0.25">
      <c r="D653" t="s">
        <v>6535</v>
      </c>
      <c r="E653" t="s">
        <v>11083</v>
      </c>
      <c r="F653">
        <v>0</v>
      </c>
      <c r="G653" t="s">
        <v>6570</v>
      </c>
      <c r="H653" t="s">
        <v>9462</v>
      </c>
      <c r="I653">
        <v>0</v>
      </c>
    </row>
    <row r="654" spans="4:9" customFormat="1" x14ac:dyDescent="0.25">
      <c r="D654" t="s">
        <v>6535</v>
      </c>
      <c r="E654" t="s">
        <v>11084</v>
      </c>
      <c r="F654">
        <v>8.2000000000000003E-2</v>
      </c>
      <c r="G654" t="s">
        <v>6570</v>
      </c>
      <c r="H654" t="s">
        <v>9473</v>
      </c>
      <c r="I654">
        <v>0</v>
      </c>
    </row>
    <row r="655" spans="4:9" customFormat="1" x14ac:dyDescent="0.25">
      <c r="D655" t="s">
        <v>6535</v>
      </c>
      <c r="E655" t="s">
        <v>11085</v>
      </c>
      <c r="F655">
        <v>0.158</v>
      </c>
      <c r="G655" t="s">
        <v>6570</v>
      </c>
      <c r="H655" t="s">
        <v>9486</v>
      </c>
      <c r="I655">
        <v>0</v>
      </c>
    </row>
    <row r="656" spans="4:9" customFormat="1" x14ac:dyDescent="0.25">
      <c r="D656" t="s">
        <v>6535</v>
      </c>
      <c r="E656" t="s">
        <v>11102</v>
      </c>
      <c r="F656">
        <v>0</v>
      </c>
      <c r="G656" t="s">
        <v>6570</v>
      </c>
      <c r="H656" t="s">
        <v>9512</v>
      </c>
      <c r="I656">
        <v>0</v>
      </c>
    </row>
    <row r="657" spans="4:9" customFormat="1" x14ac:dyDescent="0.25">
      <c r="D657" t="s">
        <v>6535</v>
      </c>
      <c r="E657" t="s">
        <v>11103</v>
      </c>
      <c r="F657">
        <v>0</v>
      </c>
      <c r="G657" t="s">
        <v>6570</v>
      </c>
      <c r="H657" t="s">
        <v>9489</v>
      </c>
      <c r="I657">
        <v>0</v>
      </c>
    </row>
    <row r="658" spans="4:9" customFormat="1" x14ac:dyDescent="0.25">
      <c r="D658" t="s">
        <v>6535</v>
      </c>
      <c r="E658" t="s">
        <v>11104</v>
      </c>
      <c r="F658">
        <v>0</v>
      </c>
      <c r="G658" t="s">
        <v>6570</v>
      </c>
      <c r="H658" t="s">
        <v>9547</v>
      </c>
      <c r="I658">
        <v>0</v>
      </c>
    </row>
    <row r="659" spans="4:9" customFormat="1" x14ac:dyDescent="0.25">
      <c r="D659" t="s">
        <v>6535</v>
      </c>
      <c r="E659" t="s">
        <v>11105</v>
      </c>
      <c r="F659">
        <v>0</v>
      </c>
      <c r="G659" t="s">
        <v>6570</v>
      </c>
      <c r="H659" t="s">
        <v>9497</v>
      </c>
      <c r="I659">
        <v>0</v>
      </c>
    </row>
    <row r="660" spans="4:9" customFormat="1" x14ac:dyDescent="0.25">
      <c r="D660" t="s">
        <v>6535</v>
      </c>
      <c r="E660" t="s">
        <v>11106</v>
      </c>
      <c r="F660">
        <v>0</v>
      </c>
      <c r="G660" t="s">
        <v>6570</v>
      </c>
      <c r="H660" t="s">
        <v>9554</v>
      </c>
      <c r="I660">
        <v>0</v>
      </c>
    </row>
    <row r="661" spans="4:9" customFormat="1" x14ac:dyDescent="0.25">
      <c r="D661" t="s">
        <v>6535</v>
      </c>
      <c r="E661" t="s">
        <v>11107</v>
      </c>
      <c r="F661">
        <v>0</v>
      </c>
      <c r="G661" t="s">
        <v>6570</v>
      </c>
      <c r="H661" t="s">
        <v>9419</v>
      </c>
      <c r="I661">
        <v>0</v>
      </c>
    </row>
    <row r="662" spans="4:9" customFormat="1" x14ac:dyDescent="0.25">
      <c r="D662" t="s">
        <v>6535</v>
      </c>
      <c r="E662" t="s">
        <v>11108</v>
      </c>
      <c r="F662">
        <v>0</v>
      </c>
      <c r="G662" t="s">
        <v>6570</v>
      </c>
      <c r="H662" t="s">
        <v>9365</v>
      </c>
      <c r="I662">
        <v>0</v>
      </c>
    </row>
    <row r="663" spans="4:9" customFormat="1" x14ac:dyDescent="0.25">
      <c r="D663" t="s">
        <v>6535</v>
      </c>
      <c r="E663" t="s">
        <v>11109</v>
      </c>
      <c r="F663">
        <v>0</v>
      </c>
      <c r="G663" t="s">
        <v>6570</v>
      </c>
      <c r="H663" t="s">
        <v>9521</v>
      </c>
      <c r="I663">
        <v>0</v>
      </c>
    </row>
    <row r="664" spans="4:9" customFormat="1" x14ac:dyDescent="0.25">
      <c r="D664" t="s">
        <v>6535</v>
      </c>
      <c r="E664" t="s">
        <v>11110</v>
      </c>
      <c r="F664">
        <v>0</v>
      </c>
      <c r="G664" t="s">
        <v>6570</v>
      </c>
      <c r="H664" t="s">
        <v>9430</v>
      </c>
      <c r="I664">
        <v>0</v>
      </c>
    </row>
    <row r="665" spans="4:9" customFormat="1" x14ac:dyDescent="0.25">
      <c r="D665" t="s">
        <v>6535</v>
      </c>
      <c r="E665" t="s">
        <v>11111</v>
      </c>
      <c r="F665">
        <v>0</v>
      </c>
      <c r="G665" t="s">
        <v>6570</v>
      </c>
      <c r="H665" t="s">
        <v>9459</v>
      </c>
      <c r="I665">
        <v>0</v>
      </c>
    </row>
    <row r="666" spans="4:9" customFormat="1" x14ac:dyDescent="0.25">
      <c r="D666" t="s">
        <v>6535</v>
      </c>
      <c r="E666" t="s">
        <v>11112</v>
      </c>
      <c r="F666">
        <v>0</v>
      </c>
      <c r="G666" t="s">
        <v>6570</v>
      </c>
      <c r="H666" t="s">
        <v>9375</v>
      </c>
      <c r="I666">
        <v>0</v>
      </c>
    </row>
    <row r="667" spans="4:9" customFormat="1" x14ac:dyDescent="0.25">
      <c r="D667" t="s">
        <v>6535</v>
      </c>
      <c r="E667" t="s">
        <v>11113</v>
      </c>
      <c r="F667">
        <v>0</v>
      </c>
      <c r="G667" t="s">
        <v>6570</v>
      </c>
      <c r="H667" t="s">
        <v>9443</v>
      </c>
      <c r="I667">
        <v>0</v>
      </c>
    </row>
    <row r="668" spans="4:9" customFormat="1" x14ac:dyDescent="0.25">
      <c r="D668" t="s">
        <v>6535</v>
      </c>
      <c r="E668" t="s">
        <v>11114</v>
      </c>
      <c r="F668">
        <v>0.108</v>
      </c>
      <c r="G668" t="s">
        <v>6570</v>
      </c>
      <c r="H668" t="s">
        <v>9371</v>
      </c>
      <c r="I668">
        <v>0</v>
      </c>
    </row>
    <row r="669" spans="4:9" customFormat="1" x14ac:dyDescent="0.25">
      <c r="D669" t="s">
        <v>6535</v>
      </c>
      <c r="E669" t="s">
        <v>11115</v>
      </c>
      <c r="F669">
        <v>0</v>
      </c>
      <c r="G669" t="s">
        <v>6570</v>
      </c>
      <c r="H669" t="s">
        <v>9571</v>
      </c>
      <c r="I669">
        <v>0</v>
      </c>
    </row>
    <row r="670" spans="4:9" customFormat="1" x14ac:dyDescent="0.25">
      <c r="D670" t="s">
        <v>6535</v>
      </c>
      <c r="E670" t="s">
        <v>11116</v>
      </c>
      <c r="F670">
        <v>0</v>
      </c>
      <c r="G670" t="s">
        <v>6570</v>
      </c>
      <c r="H670" t="s">
        <v>9468</v>
      </c>
      <c r="I670">
        <v>0</v>
      </c>
    </row>
    <row r="671" spans="4:9" customFormat="1" x14ac:dyDescent="0.25">
      <c r="D671" t="s">
        <v>6535</v>
      </c>
      <c r="E671" t="s">
        <v>11117</v>
      </c>
      <c r="F671">
        <v>0</v>
      </c>
      <c r="G671" t="s">
        <v>6570</v>
      </c>
      <c r="H671" t="s">
        <v>9580</v>
      </c>
      <c r="I671">
        <v>0</v>
      </c>
    </row>
    <row r="672" spans="4:9" customFormat="1" x14ac:dyDescent="0.25">
      <c r="D672" t="s">
        <v>6535</v>
      </c>
      <c r="E672" t="s">
        <v>11118</v>
      </c>
      <c r="F672">
        <v>0</v>
      </c>
      <c r="G672" t="s">
        <v>6570</v>
      </c>
      <c r="H672" t="s">
        <v>9349</v>
      </c>
      <c r="I672">
        <v>0</v>
      </c>
    </row>
    <row r="673" spans="4:9" customFormat="1" x14ac:dyDescent="0.25">
      <c r="D673" t="s">
        <v>6535</v>
      </c>
      <c r="E673" t="s">
        <v>11119</v>
      </c>
      <c r="F673">
        <v>0</v>
      </c>
      <c r="G673" t="s">
        <v>6570</v>
      </c>
      <c r="H673" t="s">
        <v>9381</v>
      </c>
      <c r="I673">
        <v>0</v>
      </c>
    </row>
    <row r="674" spans="4:9" customFormat="1" x14ac:dyDescent="0.25">
      <c r="D674" t="s">
        <v>6535</v>
      </c>
      <c r="E674" t="s">
        <v>11120</v>
      </c>
      <c r="F674">
        <v>0</v>
      </c>
      <c r="G674" t="s">
        <v>6570</v>
      </c>
      <c r="H674" t="s">
        <v>9358</v>
      </c>
      <c r="I674">
        <v>0</v>
      </c>
    </row>
    <row r="675" spans="4:9" customFormat="1" x14ac:dyDescent="0.25">
      <c r="D675" t="s">
        <v>6535</v>
      </c>
      <c r="E675" t="s">
        <v>11121</v>
      </c>
      <c r="F675">
        <v>0</v>
      </c>
      <c r="G675" t="s">
        <v>6570</v>
      </c>
      <c r="H675" t="s">
        <v>9924</v>
      </c>
      <c r="I675">
        <v>0</v>
      </c>
    </row>
    <row r="676" spans="4:9" customFormat="1" x14ac:dyDescent="0.25">
      <c r="D676" t="s">
        <v>6535</v>
      </c>
      <c r="E676" t="s">
        <v>11122</v>
      </c>
      <c r="F676">
        <v>0</v>
      </c>
      <c r="G676" t="s">
        <v>6570</v>
      </c>
      <c r="H676" t="s">
        <v>9368</v>
      </c>
      <c r="I676">
        <v>0</v>
      </c>
    </row>
    <row r="677" spans="4:9" customFormat="1" x14ac:dyDescent="0.25">
      <c r="D677" t="s">
        <v>6535</v>
      </c>
      <c r="E677" t="s">
        <v>11123</v>
      </c>
      <c r="F677">
        <v>0</v>
      </c>
      <c r="G677" t="s">
        <v>6570</v>
      </c>
      <c r="H677" t="s">
        <v>9481</v>
      </c>
      <c r="I677">
        <v>0</v>
      </c>
    </row>
    <row r="678" spans="4:9" customFormat="1" x14ac:dyDescent="0.25">
      <c r="D678" t="s">
        <v>6536</v>
      </c>
      <c r="E678" t="s">
        <v>11070</v>
      </c>
      <c r="F678">
        <v>0.88500000000000001</v>
      </c>
      <c r="G678" t="s">
        <v>6570</v>
      </c>
      <c r="H678" t="s">
        <v>9378</v>
      </c>
      <c r="I678">
        <v>0</v>
      </c>
    </row>
    <row r="679" spans="4:9" customFormat="1" x14ac:dyDescent="0.25">
      <c r="D679" t="s">
        <v>6536</v>
      </c>
      <c r="E679" t="s">
        <v>11072</v>
      </c>
      <c r="F679">
        <v>2.577</v>
      </c>
      <c r="G679" t="s">
        <v>6570</v>
      </c>
      <c r="H679" t="s">
        <v>9527</v>
      </c>
      <c r="I679">
        <v>0</v>
      </c>
    </row>
    <row r="680" spans="4:9" customFormat="1" x14ac:dyDescent="0.25">
      <c r="D680" t="s">
        <v>6536</v>
      </c>
      <c r="E680" t="s">
        <v>11073</v>
      </c>
      <c r="F680">
        <v>1.742</v>
      </c>
      <c r="G680" t="s">
        <v>6570</v>
      </c>
      <c r="H680" t="s">
        <v>9389</v>
      </c>
      <c r="I680">
        <v>0</v>
      </c>
    </row>
    <row r="681" spans="4:9" customFormat="1" x14ac:dyDescent="0.25">
      <c r="D681" t="s">
        <v>6536</v>
      </c>
      <c r="E681" t="s">
        <v>11074</v>
      </c>
      <c r="F681">
        <v>2.3010000000000002</v>
      </c>
      <c r="G681" t="s">
        <v>6570</v>
      </c>
      <c r="H681" t="s">
        <v>9620</v>
      </c>
      <c r="I681">
        <v>0</v>
      </c>
    </row>
    <row r="682" spans="4:9" customFormat="1" x14ac:dyDescent="0.25">
      <c r="D682" t="s">
        <v>6536</v>
      </c>
      <c r="E682" t="s">
        <v>11078</v>
      </c>
      <c r="F682">
        <v>0</v>
      </c>
      <c r="G682" t="s">
        <v>6570</v>
      </c>
      <c r="H682" t="s">
        <v>9401</v>
      </c>
      <c r="I682">
        <v>0</v>
      </c>
    </row>
    <row r="683" spans="4:9" customFormat="1" x14ac:dyDescent="0.25">
      <c r="D683" t="s">
        <v>6536</v>
      </c>
      <c r="E683" t="s">
        <v>11079</v>
      </c>
      <c r="F683">
        <v>0.86799999999999999</v>
      </c>
      <c r="G683" t="s">
        <v>6570</v>
      </c>
      <c r="H683" t="s">
        <v>9528</v>
      </c>
      <c r="I683">
        <v>0</v>
      </c>
    </row>
    <row r="684" spans="4:9" customFormat="1" x14ac:dyDescent="0.25">
      <c r="D684" t="s">
        <v>6536</v>
      </c>
      <c r="E684" t="s">
        <v>11080</v>
      </c>
      <c r="F684">
        <v>2.8050000000000002</v>
      </c>
      <c r="G684" t="s">
        <v>6570</v>
      </c>
      <c r="H684" t="s">
        <v>9524</v>
      </c>
      <c r="I684">
        <v>0</v>
      </c>
    </row>
    <row r="685" spans="4:9" customFormat="1" x14ac:dyDescent="0.25">
      <c r="D685" t="s">
        <v>6536</v>
      </c>
      <c r="E685" t="s">
        <v>11081</v>
      </c>
      <c r="F685">
        <v>1.8460000000000001</v>
      </c>
      <c r="G685" t="s">
        <v>6570</v>
      </c>
      <c r="H685" t="s">
        <v>9456</v>
      </c>
      <c r="I685">
        <v>0</v>
      </c>
    </row>
    <row r="686" spans="4:9" customFormat="1" x14ac:dyDescent="0.25">
      <c r="D686" t="s">
        <v>6536</v>
      </c>
      <c r="E686" t="s">
        <v>11082</v>
      </c>
      <c r="F686">
        <v>2.984</v>
      </c>
      <c r="G686" t="s">
        <v>6570</v>
      </c>
      <c r="H686" t="s">
        <v>9533</v>
      </c>
      <c r="I686">
        <v>0</v>
      </c>
    </row>
    <row r="687" spans="4:9" customFormat="1" x14ac:dyDescent="0.25">
      <c r="D687" t="s">
        <v>6536</v>
      </c>
      <c r="E687" t="s">
        <v>11083</v>
      </c>
      <c r="F687">
        <v>2.3689999999999998</v>
      </c>
      <c r="G687" t="s">
        <v>6570</v>
      </c>
      <c r="H687" t="s">
        <v>9448</v>
      </c>
      <c r="I687">
        <v>0</v>
      </c>
    </row>
    <row r="688" spans="4:9" customFormat="1" x14ac:dyDescent="0.25">
      <c r="D688" t="s">
        <v>6536</v>
      </c>
      <c r="E688" t="s">
        <v>11084</v>
      </c>
      <c r="F688">
        <v>1.9409999999999998</v>
      </c>
      <c r="G688" t="s">
        <v>6570</v>
      </c>
      <c r="H688" t="s">
        <v>9635</v>
      </c>
      <c r="I688">
        <v>0</v>
      </c>
    </row>
    <row r="689" spans="4:9" customFormat="1" x14ac:dyDescent="0.25">
      <c r="D689" t="s">
        <v>6536</v>
      </c>
      <c r="E689" t="s">
        <v>11085</v>
      </c>
      <c r="F689">
        <v>0.79600000000000004</v>
      </c>
      <c r="G689" t="s">
        <v>6570</v>
      </c>
      <c r="H689" t="s">
        <v>9440</v>
      </c>
      <c r="I689">
        <v>0</v>
      </c>
    </row>
    <row r="690" spans="4:9" customFormat="1" x14ac:dyDescent="0.25">
      <c r="D690" t="s">
        <v>6536</v>
      </c>
      <c r="E690" t="s">
        <v>11102</v>
      </c>
      <c r="F690">
        <v>2.7439999999999998</v>
      </c>
      <c r="G690" t="s">
        <v>6570</v>
      </c>
      <c r="H690" t="s">
        <v>9433</v>
      </c>
      <c r="I690">
        <v>0</v>
      </c>
    </row>
    <row r="691" spans="4:9" customFormat="1" x14ac:dyDescent="0.25">
      <c r="D691" t="s">
        <v>6536</v>
      </c>
      <c r="E691" t="s">
        <v>11103</v>
      </c>
      <c r="F691">
        <v>0.33100000000000002</v>
      </c>
      <c r="G691" t="s">
        <v>6571</v>
      </c>
      <c r="H691" t="s">
        <v>9344</v>
      </c>
      <c r="I691">
        <v>0</v>
      </c>
    </row>
    <row r="692" spans="4:9" customFormat="1" x14ac:dyDescent="0.25">
      <c r="D692" t="s">
        <v>6536</v>
      </c>
      <c r="E692" t="s">
        <v>11104</v>
      </c>
      <c r="F692">
        <v>2.2240000000000002</v>
      </c>
      <c r="G692" t="s">
        <v>6571</v>
      </c>
      <c r="H692" t="s">
        <v>9361</v>
      </c>
      <c r="I692">
        <v>0</v>
      </c>
    </row>
    <row r="693" spans="4:9" customFormat="1" x14ac:dyDescent="0.25">
      <c r="D693" t="s">
        <v>6536</v>
      </c>
      <c r="E693" t="s">
        <v>11105</v>
      </c>
      <c r="F693">
        <v>3.38</v>
      </c>
      <c r="G693" t="s">
        <v>6571</v>
      </c>
      <c r="H693" t="s">
        <v>9315</v>
      </c>
      <c r="I693">
        <v>0</v>
      </c>
    </row>
    <row r="694" spans="4:9" customFormat="1" x14ac:dyDescent="0.25">
      <c r="D694" t="s">
        <v>6536</v>
      </c>
      <c r="E694" t="s">
        <v>11106</v>
      </c>
      <c r="F694">
        <v>1.411</v>
      </c>
      <c r="G694" t="s">
        <v>6571</v>
      </c>
      <c r="H694" t="s">
        <v>9395</v>
      </c>
      <c r="I694">
        <v>0</v>
      </c>
    </row>
    <row r="695" spans="4:9" customFormat="1" x14ac:dyDescent="0.25">
      <c r="D695" t="s">
        <v>6536</v>
      </c>
      <c r="E695" t="s">
        <v>11107</v>
      </c>
      <c r="F695">
        <v>1.948</v>
      </c>
      <c r="G695" t="s">
        <v>6571</v>
      </c>
      <c r="H695" t="s">
        <v>9355</v>
      </c>
      <c r="I695">
        <v>0</v>
      </c>
    </row>
    <row r="696" spans="4:9" customFormat="1" x14ac:dyDescent="0.25">
      <c r="D696" t="s">
        <v>6536</v>
      </c>
      <c r="E696" t="s">
        <v>11108</v>
      </c>
      <c r="F696">
        <v>1.649</v>
      </c>
      <c r="G696" t="s">
        <v>6571</v>
      </c>
      <c r="H696" t="s">
        <v>9351</v>
      </c>
      <c r="I696">
        <v>0</v>
      </c>
    </row>
    <row r="697" spans="4:9" customFormat="1" x14ac:dyDescent="0.25">
      <c r="D697" t="s">
        <v>6536</v>
      </c>
      <c r="E697" t="s">
        <v>11109</v>
      </c>
      <c r="F697">
        <v>2.5409999999999999</v>
      </c>
      <c r="G697" t="s">
        <v>6571</v>
      </c>
      <c r="H697" t="s">
        <v>9409</v>
      </c>
      <c r="I697">
        <v>0</v>
      </c>
    </row>
    <row r="698" spans="4:9" customFormat="1" x14ac:dyDescent="0.25">
      <c r="D698" t="s">
        <v>6536</v>
      </c>
      <c r="E698" t="s">
        <v>11110</v>
      </c>
      <c r="F698">
        <v>0</v>
      </c>
      <c r="G698" t="s">
        <v>6571</v>
      </c>
      <c r="H698" t="s">
        <v>9492</v>
      </c>
      <c r="I698">
        <v>0</v>
      </c>
    </row>
    <row r="699" spans="4:9" customFormat="1" x14ac:dyDescent="0.25">
      <c r="D699" t="s">
        <v>6536</v>
      </c>
      <c r="E699" t="s">
        <v>11111</v>
      </c>
      <c r="F699">
        <v>2.5949999999999998</v>
      </c>
      <c r="G699" t="s">
        <v>6571</v>
      </c>
      <c r="H699" t="s">
        <v>9364</v>
      </c>
      <c r="I699">
        <v>0</v>
      </c>
    </row>
    <row r="700" spans="4:9" customFormat="1" x14ac:dyDescent="0.25">
      <c r="D700" t="s">
        <v>6536</v>
      </c>
      <c r="E700" t="s">
        <v>11112</v>
      </c>
      <c r="F700">
        <v>1.397</v>
      </c>
      <c r="G700" t="s">
        <v>6571</v>
      </c>
      <c r="H700" t="s">
        <v>9500</v>
      </c>
      <c r="I700">
        <v>0</v>
      </c>
    </row>
    <row r="701" spans="4:9" customFormat="1" x14ac:dyDescent="0.25">
      <c r="D701" t="s">
        <v>6536</v>
      </c>
      <c r="E701" t="s">
        <v>11113</v>
      </c>
      <c r="F701">
        <v>0</v>
      </c>
      <c r="G701" t="s">
        <v>6571</v>
      </c>
      <c r="H701" t="s">
        <v>9386</v>
      </c>
      <c r="I701">
        <v>0</v>
      </c>
    </row>
    <row r="702" spans="4:9" customFormat="1" x14ac:dyDescent="0.25">
      <c r="D702" t="s">
        <v>6537</v>
      </c>
      <c r="E702" t="s">
        <v>11070</v>
      </c>
      <c r="F702">
        <v>1.173</v>
      </c>
      <c r="G702" t="s">
        <v>6571</v>
      </c>
      <c r="H702" t="s">
        <v>9509</v>
      </c>
      <c r="I702">
        <v>0</v>
      </c>
    </row>
    <row r="703" spans="4:9" customFormat="1" x14ac:dyDescent="0.25">
      <c r="D703" t="s">
        <v>6537</v>
      </c>
      <c r="E703" t="s">
        <v>11072</v>
      </c>
      <c r="F703">
        <v>2.5259999999999998</v>
      </c>
      <c r="G703" t="s">
        <v>6571</v>
      </c>
      <c r="H703" t="s">
        <v>9398</v>
      </c>
      <c r="I703">
        <v>0</v>
      </c>
    </row>
    <row r="704" spans="4:9" customFormat="1" x14ac:dyDescent="0.25">
      <c r="D704" t="s">
        <v>6537</v>
      </c>
      <c r="E704" t="s">
        <v>11073</v>
      </c>
      <c r="F704">
        <v>1.8069999999999999</v>
      </c>
      <c r="G704" t="s">
        <v>6571</v>
      </c>
      <c r="H704" t="s">
        <v>9478</v>
      </c>
      <c r="I704">
        <v>0</v>
      </c>
    </row>
    <row r="705" spans="4:9" customFormat="1" x14ac:dyDescent="0.25">
      <c r="D705" t="s">
        <v>6537</v>
      </c>
      <c r="E705" t="s">
        <v>11074</v>
      </c>
      <c r="F705">
        <v>2.3039999999999998</v>
      </c>
      <c r="G705" t="s">
        <v>6571</v>
      </c>
      <c r="H705" t="s">
        <v>9453</v>
      </c>
      <c r="I705">
        <v>0</v>
      </c>
    </row>
    <row r="706" spans="4:9" customFormat="1" x14ac:dyDescent="0.25">
      <c r="D706" t="s">
        <v>6537</v>
      </c>
      <c r="E706" t="s">
        <v>11078</v>
      </c>
      <c r="F706">
        <v>0</v>
      </c>
      <c r="G706" t="s">
        <v>6571</v>
      </c>
      <c r="H706" t="s">
        <v>9465</v>
      </c>
      <c r="I706">
        <v>0</v>
      </c>
    </row>
    <row r="707" spans="4:9" customFormat="1" x14ac:dyDescent="0.25">
      <c r="D707" t="s">
        <v>6537</v>
      </c>
      <c r="E707" t="s">
        <v>11079</v>
      </c>
      <c r="F707">
        <v>0.78500000000000003</v>
      </c>
      <c r="G707" t="s">
        <v>6571</v>
      </c>
      <c r="H707" t="s">
        <v>9462</v>
      </c>
      <c r="I707">
        <v>0</v>
      </c>
    </row>
    <row r="708" spans="4:9" customFormat="1" x14ac:dyDescent="0.25">
      <c r="D708" t="s">
        <v>6537</v>
      </c>
      <c r="E708" t="s">
        <v>11080</v>
      </c>
      <c r="F708">
        <v>2.7010000000000001</v>
      </c>
      <c r="G708" t="s">
        <v>6571</v>
      </c>
      <c r="H708" t="s">
        <v>9473</v>
      </c>
      <c r="I708">
        <v>0</v>
      </c>
    </row>
    <row r="709" spans="4:9" customFormat="1" x14ac:dyDescent="0.25">
      <c r="D709" t="s">
        <v>6537</v>
      </c>
      <c r="E709" t="s">
        <v>11081</v>
      </c>
      <c r="F709">
        <v>1.915</v>
      </c>
      <c r="G709" t="s">
        <v>6571</v>
      </c>
      <c r="H709" t="s">
        <v>9486</v>
      </c>
      <c r="I709">
        <v>0</v>
      </c>
    </row>
    <row r="710" spans="4:9" customFormat="1" x14ac:dyDescent="0.25">
      <c r="D710" t="s">
        <v>6537</v>
      </c>
      <c r="E710" t="s">
        <v>11082</v>
      </c>
      <c r="F710">
        <v>3.0539999999999998</v>
      </c>
      <c r="G710" t="s">
        <v>6571</v>
      </c>
      <c r="H710" t="s">
        <v>9512</v>
      </c>
      <c r="I710">
        <v>0</v>
      </c>
    </row>
    <row r="711" spans="4:9" customFormat="1" x14ac:dyDescent="0.25">
      <c r="D711" t="s">
        <v>6537</v>
      </c>
      <c r="E711" t="s">
        <v>11083</v>
      </c>
      <c r="F711">
        <v>2.4119999999999999</v>
      </c>
      <c r="G711" t="s">
        <v>6571</v>
      </c>
      <c r="H711" t="s">
        <v>9489</v>
      </c>
      <c r="I711">
        <v>0</v>
      </c>
    </row>
    <row r="712" spans="4:9" customFormat="1" x14ac:dyDescent="0.25">
      <c r="D712" t="s">
        <v>6537</v>
      </c>
      <c r="E712" t="s">
        <v>11084</v>
      </c>
      <c r="F712">
        <v>1.772</v>
      </c>
      <c r="G712" t="s">
        <v>6571</v>
      </c>
      <c r="H712" t="s">
        <v>9547</v>
      </c>
      <c r="I712">
        <v>0</v>
      </c>
    </row>
    <row r="713" spans="4:9" customFormat="1" x14ac:dyDescent="0.25">
      <c r="D713" t="s">
        <v>6537</v>
      </c>
      <c r="E713" t="s">
        <v>11085</v>
      </c>
      <c r="F713">
        <v>0.77100000000000002</v>
      </c>
      <c r="G713" t="s">
        <v>6571</v>
      </c>
      <c r="H713" t="s">
        <v>9497</v>
      </c>
      <c r="I713">
        <v>0</v>
      </c>
    </row>
    <row r="714" spans="4:9" customFormat="1" x14ac:dyDescent="0.25">
      <c r="D714" t="s">
        <v>6537</v>
      </c>
      <c r="E714" t="s">
        <v>11102</v>
      </c>
      <c r="F714">
        <v>2.657</v>
      </c>
      <c r="G714" t="s">
        <v>6571</v>
      </c>
      <c r="H714" t="s">
        <v>9554</v>
      </c>
      <c r="I714">
        <v>0</v>
      </c>
    </row>
    <row r="715" spans="4:9" customFormat="1" x14ac:dyDescent="0.25">
      <c r="D715" t="s">
        <v>6537</v>
      </c>
      <c r="E715" t="s">
        <v>11103</v>
      </c>
      <c r="F715">
        <v>0.309</v>
      </c>
      <c r="G715" t="s">
        <v>6571</v>
      </c>
      <c r="H715" t="s">
        <v>9419</v>
      </c>
      <c r="I715">
        <v>0</v>
      </c>
    </row>
    <row r="716" spans="4:9" customFormat="1" x14ac:dyDescent="0.25">
      <c r="D716" t="s">
        <v>6537</v>
      </c>
      <c r="E716" t="s">
        <v>11104</v>
      </c>
      <c r="F716">
        <v>2.44</v>
      </c>
      <c r="G716" t="s">
        <v>6571</v>
      </c>
      <c r="H716" t="s">
        <v>9365</v>
      </c>
      <c r="I716">
        <v>0</v>
      </c>
    </row>
    <row r="717" spans="4:9" customFormat="1" x14ac:dyDescent="0.25">
      <c r="D717" t="s">
        <v>6537</v>
      </c>
      <c r="E717" t="s">
        <v>11105</v>
      </c>
      <c r="F717">
        <v>3.528</v>
      </c>
      <c r="G717" t="s">
        <v>6571</v>
      </c>
      <c r="H717" t="s">
        <v>9521</v>
      </c>
      <c r="I717">
        <v>0</v>
      </c>
    </row>
    <row r="718" spans="4:9" customFormat="1" x14ac:dyDescent="0.25">
      <c r="D718" t="s">
        <v>6537</v>
      </c>
      <c r="E718" t="s">
        <v>11106</v>
      </c>
      <c r="F718">
        <v>1.4689999999999999</v>
      </c>
      <c r="G718" t="s">
        <v>6571</v>
      </c>
      <c r="H718" t="s">
        <v>9430</v>
      </c>
      <c r="I718">
        <v>0</v>
      </c>
    </row>
    <row r="719" spans="4:9" customFormat="1" x14ac:dyDescent="0.25">
      <c r="D719" t="s">
        <v>6537</v>
      </c>
      <c r="E719" t="s">
        <v>11107</v>
      </c>
      <c r="F719">
        <v>1.8439999999999999</v>
      </c>
      <c r="G719" t="s">
        <v>6571</v>
      </c>
      <c r="H719" t="s">
        <v>9459</v>
      </c>
      <c r="I719">
        <v>0</v>
      </c>
    </row>
    <row r="720" spans="4:9" customFormat="1" x14ac:dyDescent="0.25">
      <c r="D720" t="s">
        <v>6537</v>
      </c>
      <c r="E720" t="s">
        <v>11108</v>
      </c>
      <c r="F720">
        <v>1.7709999999999999</v>
      </c>
      <c r="G720" t="s">
        <v>6571</v>
      </c>
      <c r="H720" t="s">
        <v>9375</v>
      </c>
      <c r="I720">
        <v>0</v>
      </c>
    </row>
    <row r="721" spans="4:9" customFormat="1" x14ac:dyDescent="0.25">
      <c r="D721" t="s">
        <v>6537</v>
      </c>
      <c r="E721" t="s">
        <v>11109</v>
      </c>
      <c r="F721">
        <v>1.3169999999999999</v>
      </c>
      <c r="G721" t="s">
        <v>6571</v>
      </c>
      <c r="H721" t="s">
        <v>9443</v>
      </c>
      <c r="I721">
        <v>0</v>
      </c>
    </row>
    <row r="722" spans="4:9" customFormat="1" x14ac:dyDescent="0.25">
      <c r="D722" t="s">
        <v>6537</v>
      </c>
      <c r="E722" t="s">
        <v>11110</v>
      </c>
      <c r="F722">
        <v>0</v>
      </c>
      <c r="G722" t="s">
        <v>6571</v>
      </c>
      <c r="H722" t="s">
        <v>9371</v>
      </c>
      <c r="I722">
        <v>0</v>
      </c>
    </row>
    <row r="723" spans="4:9" customFormat="1" x14ac:dyDescent="0.25">
      <c r="D723" t="s">
        <v>6537</v>
      </c>
      <c r="E723" t="s">
        <v>11111</v>
      </c>
      <c r="F723">
        <v>0.79200000000000004</v>
      </c>
      <c r="G723" t="s">
        <v>6571</v>
      </c>
      <c r="H723" t="s">
        <v>9571</v>
      </c>
      <c r="I723">
        <v>0</v>
      </c>
    </row>
    <row r="724" spans="4:9" customFormat="1" x14ac:dyDescent="0.25">
      <c r="D724" t="s">
        <v>6537</v>
      </c>
      <c r="E724" t="s">
        <v>11112</v>
      </c>
      <c r="F724">
        <v>1.4470000000000001</v>
      </c>
      <c r="G724" t="s">
        <v>6571</v>
      </c>
      <c r="H724" t="s">
        <v>9468</v>
      </c>
      <c r="I724">
        <v>0</v>
      </c>
    </row>
    <row r="725" spans="4:9" customFormat="1" x14ac:dyDescent="0.25">
      <c r="D725" t="s">
        <v>6537</v>
      </c>
      <c r="E725" t="s">
        <v>11113</v>
      </c>
      <c r="F725">
        <v>0</v>
      </c>
      <c r="G725" t="s">
        <v>6571</v>
      </c>
      <c r="H725" t="s">
        <v>9580</v>
      </c>
      <c r="I725">
        <v>0</v>
      </c>
    </row>
    <row r="726" spans="4:9" customFormat="1" x14ac:dyDescent="0.25">
      <c r="D726" t="s">
        <v>6538</v>
      </c>
      <c r="E726" t="s">
        <v>11070</v>
      </c>
      <c r="F726">
        <v>2.1970000000000001</v>
      </c>
      <c r="G726" t="s">
        <v>6571</v>
      </c>
      <c r="H726" t="s">
        <v>9349</v>
      </c>
      <c r="I726">
        <v>0</v>
      </c>
    </row>
    <row r="727" spans="4:9" customFormat="1" x14ac:dyDescent="0.25">
      <c r="D727" t="s">
        <v>6538</v>
      </c>
      <c r="E727" t="s">
        <v>11072</v>
      </c>
      <c r="F727">
        <v>2.0670000000000002</v>
      </c>
      <c r="G727" t="s">
        <v>6571</v>
      </c>
      <c r="H727" t="s">
        <v>9381</v>
      </c>
      <c r="I727">
        <v>0</v>
      </c>
    </row>
    <row r="728" spans="4:9" customFormat="1" x14ac:dyDescent="0.25">
      <c r="D728" t="s">
        <v>6538</v>
      </c>
      <c r="E728" t="s">
        <v>11073</v>
      </c>
      <c r="F728">
        <v>1.9670000000000001</v>
      </c>
      <c r="G728" t="s">
        <v>6571</v>
      </c>
      <c r="H728" t="s">
        <v>9358</v>
      </c>
      <c r="I728">
        <v>0</v>
      </c>
    </row>
    <row r="729" spans="4:9" customFormat="1" x14ac:dyDescent="0.25">
      <c r="D729" t="s">
        <v>6538</v>
      </c>
      <c r="E729" t="s">
        <v>11074</v>
      </c>
      <c r="F729">
        <v>2.11</v>
      </c>
      <c r="G729" t="s">
        <v>6571</v>
      </c>
      <c r="H729" t="s">
        <v>9924</v>
      </c>
      <c r="I729">
        <v>0</v>
      </c>
    </row>
    <row r="730" spans="4:9" customFormat="1" x14ac:dyDescent="0.25">
      <c r="D730" t="s">
        <v>6538</v>
      </c>
      <c r="E730" t="s">
        <v>11078</v>
      </c>
      <c r="F730">
        <v>0.95799999999999996</v>
      </c>
      <c r="G730" t="s">
        <v>6571</v>
      </c>
      <c r="H730" t="s">
        <v>9368</v>
      </c>
      <c r="I730">
        <v>0</v>
      </c>
    </row>
    <row r="731" spans="4:9" customFormat="1" x14ac:dyDescent="0.25">
      <c r="D731" t="s">
        <v>6538</v>
      </c>
      <c r="E731" t="s">
        <v>11079</v>
      </c>
      <c r="F731">
        <v>1.2310000000000001</v>
      </c>
      <c r="G731" t="s">
        <v>6571</v>
      </c>
      <c r="H731" t="s">
        <v>9481</v>
      </c>
      <c r="I731">
        <v>0</v>
      </c>
    </row>
    <row r="732" spans="4:9" customFormat="1" x14ac:dyDescent="0.25">
      <c r="D732" t="s">
        <v>6538</v>
      </c>
      <c r="E732" t="s">
        <v>11080</v>
      </c>
      <c r="F732">
        <v>2.7869999999999999</v>
      </c>
      <c r="G732" t="s">
        <v>6571</v>
      </c>
      <c r="H732" t="s">
        <v>9378</v>
      </c>
      <c r="I732">
        <v>0</v>
      </c>
    </row>
    <row r="733" spans="4:9" customFormat="1" x14ac:dyDescent="0.25">
      <c r="D733" t="s">
        <v>6538</v>
      </c>
      <c r="E733" t="s">
        <v>11081</v>
      </c>
      <c r="F733">
        <v>1.72</v>
      </c>
      <c r="G733" t="s">
        <v>6571</v>
      </c>
      <c r="H733" t="s">
        <v>9527</v>
      </c>
      <c r="I733">
        <v>0</v>
      </c>
    </row>
    <row r="734" spans="4:9" customFormat="1" x14ac:dyDescent="0.25">
      <c r="D734" t="s">
        <v>6538</v>
      </c>
      <c r="E734" t="s">
        <v>11082</v>
      </c>
      <c r="F734">
        <v>2.9590000000000001</v>
      </c>
      <c r="G734" t="s">
        <v>6571</v>
      </c>
      <c r="H734" t="s">
        <v>9389</v>
      </c>
      <c r="I734">
        <v>0</v>
      </c>
    </row>
    <row r="735" spans="4:9" customFormat="1" x14ac:dyDescent="0.25">
      <c r="D735" t="s">
        <v>6538</v>
      </c>
      <c r="E735" t="s">
        <v>11083</v>
      </c>
      <c r="F735">
        <v>2.411</v>
      </c>
      <c r="G735" t="s">
        <v>6571</v>
      </c>
      <c r="H735" t="s">
        <v>9620</v>
      </c>
      <c r="I735">
        <v>0</v>
      </c>
    </row>
    <row r="736" spans="4:9" customFormat="1" x14ac:dyDescent="0.25">
      <c r="D736" t="s">
        <v>6538</v>
      </c>
      <c r="E736" t="s">
        <v>11084</v>
      </c>
      <c r="F736">
        <v>2.6429999999999998</v>
      </c>
      <c r="G736" t="s">
        <v>6571</v>
      </c>
      <c r="H736" t="s">
        <v>9401</v>
      </c>
      <c r="I736">
        <v>0</v>
      </c>
    </row>
    <row r="737" spans="4:9" customFormat="1" x14ac:dyDescent="0.25">
      <c r="D737" t="s">
        <v>6538</v>
      </c>
      <c r="E737" t="s">
        <v>11085</v>
      </c>
      <c r="F737">
        <v>0.65500000000000003</v>
      </c>
      <c r="G737" t="s">
        <v>6571</v>
      </c>
      <c r="H737" t="s">
        <v>9528</v>
      </c>
      <c r="I737">
        <v>0</v>
      </c>
    </row>
    <row r="738" spans="4:9" customFormat="1" x14ac:dyDescent="0.25">
      <c r="D738" t="s">
        <v>6538</v>
      </c>
      <c r="E738" t="s">
        <v>11102</v>
      </c>
      <c r="F738">
        <v>2.3919999999999999</v>
      </c>
      <c r="G738" t="s">
        <v>6571</v>
      </c>
      <c r="H738" t="s">
        <v>9524</v>
      </c>
      <c r="I738">
        <v>0</v>
      </c>
    </row>
    <row r="739" spans="4:9" customFormat="1" x14ac:dyDescent="0.25">
      <c r="D739" t="s">
        <v>6538</v>
      </c>
      <c r="E739" t="s">
        <v>11103</v>
      </c>
      <c r="F739">
        <v>0.38100000000000001</v>
      </c>
      <c r="G739" t="s">
        <v>6571</v>
      </c>
      <c r="H739" t="s">
        <v>9456</v>
      </c>
      <c r="I739">
        <v>0</v>
      </c>
    </row>
    <row r="740" spans="4:9" customFormat="1" x14ac:dyDescent="0.25">
      <c r="D740" t="s">
        <v>6538</v>
      </c>
      <c r="E740" t="s">
        <v>11104</v>
      </c>
      <c r="F740">
        <v>1.1519999999999999</v>
      </c>
      <c r="G740" t="s">
        <v>6571</v>
      </c>
      <c r="H740" t="s">
        <v>9533</v>
      </c>
      <c r="I740">
        <v>0</v>
      </c>
    </row>
    <row r="741" spans="4:9" customFormat="1" x14ac:dyDescent="0.25">
      <c r="D741" t="s">
        <v>6538</v>
      </c>
      <c r="E741" t="s">
        <v>11105</v>
      </c>
      <c r="F741">
        <v>2.4990000000000001</v>
      </c>
      <c r="G741" t="s">
        <v>6571</v>
      </c>
      <c r="H741" t="s">
        <v>9448</v>
      </c>
      <c r="I741">
        <v>0</v>
      </c>
    </row>
    <row r="742" spans="4:9" customFormat="1" x14ac:dyDescent="0.25">
      <c r="D742" t="s">
        <v>6538</v>
      </c>
      <c r="E742" t="s">
        <v>11106</v>
      </c>
      <c r="F742">
        <v>1.476</v>
      </c>
      <c r="G742" t="s">
        <v>6571</v>
      </c>
      <c r="H742" t="s">
        <v>9635</v>
      </c>
      <c r="I742">
        <v>0</v>
      </c>
    </row>
    <row r="743" spans="4:9" customFormat="1" x14ac:dyDescent="0.25">
      <c r="D743" t="s">
        <v>6538</v>
      </c>
      <c r="E743" t="s">
        <v>11107</v>
      </c>
      <c r="F743">
        <v>2.1960000000000002</v>
      </c>
      <c r="G743" t="s">
        <v>6571</v>
      </c>
      <c r="H743" t="s">
        <v>9440</v>
      </c>
      <c r="I743">
        <v>0</v>
      </c>
    </row>
    <row r="744" spans="4:9" customFormat="1" x14ac:dyDescent="0.25">
      <c r="D744" t="s">
        <v>6538</v>
      </c>
      <c r="E744" t="s">
        <v>11108</v>
      </c>
      <c r="F744">
        <v>1.4179999999999999</v>
      </c>
      <c r="G744" t="s">
        <v>6571</v>
      </c>
      <c r="H744" t="s">
        <v>9433</v>
      </c>
      <c r="I744">
        <v>0</v>
      </c>
    </row>
    <row r="745" spans="4:9" customFormat="1" x14ac:dyDescent="0.25">
      <c r="D745" t="s">
        <v>6538</v>
      </c>
      <c r="E745" t="s">
        <v>11109</v>
      </c>
      <c r="F745">
        <v>2.5339999999999998</v>
      </c>
    </row>
    <row r="746" spans="4:9" customFormat="1" x14ac:dyDescent="0.25">
      <c r="D746" t="s">
        <v>6538</v>
      </c>
      <c r="E746" t="s">
        <v>11110</v>
      </c>
      <c r="F746">
        <v>0</v>
      </c>
    </row>
    <row r="747" spans="4:9" customFormat="1" x14ac:dyDescent="0.25">
      <c r="D747" t="s">
        <v>6538</v>
      </c>
      <c r="E747" t="s">
        <v>11111</v>
      </c>
      <c r="F747">
        <v>1.857</v>
      </c>
    </row>
    <row r="748" spans="4:9" customFormat="1" x14ac:dyDescent="0.25">
      <c r="D748" t="s">
        <v>6538</v>
      </c>
      <c r="E748" t="s">
        <v>11112</v>
      </c>
      <c r="F748">
        <v>1.3820000000000001</v>
      </c>
    </row>
    <row r="749" spans="4:9" customFormat="1" x14ac:dyDescent="0.25">
      <c r="D749" t="s">
        <v>6538</v>
      </c>
      <c r="E749" t="s">
        <v>11113</v>
      </c>
      <c r="F749">
        <v>0</v>
      </c>
    </row>
    <row r="750" spans="4:9" customFormat="1" x14ac:dyDescent="0.25">
      <c r="D750" t="s">
        <v>6539</v>
      </c>
      <c r="E750" t="s">
        <v>11070</v>
      </c>
      <c r="F750">
        <v>2.4260000000000002</v>
      </c>
    </row>
    <row r="751" spans="4:9" customFormat="1" x14ac:dyDescent="0.25">
      <c r="D751" t="s">
        <v>6539</v>
      </c>
      <c r="E751" t="s">
        <v>11072</v>
      </c>
      <c r="F751">
        <v>2.0819999999999999</v>
      </c>
    </row>
    <row r="752" spans="4:9" customFormat="1" x14ac:dyDescent="0.25">
      <c r="D752" t="s">
        <v>6539</v>
      </c>
      <c r="E752" t="s">
        <v>11073</v>
      </c>
      <c r="F752">
        <v>2.044</v>
      </c>
    </row>
    <row r="753" spans="4:6" customFormat="1" x14ac:dyDescent="0.25">
      <c r="D753" t="s">
        <v>6539</v>
      </c>
      <c r="E753" t="s">
        <v>11074</v>
      </c>
      <c r="F753">
        <v>2.125</v>
      </c>
    </row>
    <row r="754" spans="4:6" customFormat="1" x14ac:dyDescent="0.25">
      <c r="D754" t="s">
        <v>6539</v>
      </c>
      <c r="E754" t="s">
        <v>11078</v>
      </c>
      <c r="F754">
        <v>0.92900000000000005</v>
      </c>
    </row>
    <row r="755" spans="4:6" customFormat="1" x14ac:dyDescent="0.25">
      <c r="D755" t="s">
        <v>6539</v>
      </c>
      <c r="E755" t="s">
        <v>11079</v>
      </c>
      <c r="F755">
        <v>1.0069999999999999</v>
      </c>
    </row>
    <row r="756" spans="4:6" customFormat="1" x14ac:dyDescent="0.25">
      <c r="D756" t="s">
        <v>6539</v>
      </c>
      <c r="E756" t="s">
        <v>11080</v>
      </c>
      <c r="F756">
        <v>2.7640000000000002</v>
      </c>
    </row>
    <row r="757" spans="4:6" customFormat="1" x14ac:dyDescent="0.25">
      <c r="D757" t="s">
        <v>6539</v>
      </c>
      <c r="E757" t="s">
        <v>11081</v>
      </c>
      <c r="F757">
        <v>2.2250000000000001</v>
      </c>
    </row>
    <row r="758" spans="4:6" customFormat="1" x14ac:dyDescent="0.25">
      <c r="D758" t="s">
        <v>6539</v>
      </c>
      <c r="E758" t="s">
        <v>11082</v>
      </c>
      <c r="F758">
        <v>2.9609999999999999</v>
      </c>
    </row>
    <row r="759" spans="4:6" customFormat="1" x14ac:dyDescent="0.25">
      <c r="D759" t="s">
        <v>6539</v>
      </c>
      <c r="E759" t="s">
        <v>11083</v>
      </c>
      <c r="F759">
        <v>2.3180000000000001</v>
      </c>
    </row>
    <row r="760" spans="4:6" customFormat="1" x14ac:dyDescent="0.25">
      <c r="D760" t="s">
        <v>6539</v>
      </c>
      <c r="E760" t="s">
        <v>11084</v>
      </c>
      <c r="F760">
        <v>2.7789999999999999</v>
      </c>
    </row>
    <row r="761" spans="4:6" customFormat="1" x14ac:dyDescent="0.25">
      <c r="D761" t="s">
        <v>6539</v>
      </c>
      <c r="E761" t="s">
        <v>11085</v>
      </c>
      <c r="F761">
        <v>0.68400000000000005</v>
      </c>
    </row>
    <row r="762" spans="4:6" customFormat="1" x14ac:dyDescent="0.25">
      <c r="D762" t="s">
        <v>6539</v>
      </c>
      <c r="E762" t="s">
        <v>11102</v>
      </c>
      <c r="F762">
        <v>2.2480000000000002</v>
      </c>
    </row>
    <row r="763" spans="4:6" customFormat="1" x14ac:dyDescent="0.25">
      <c r="D763" t="s">
        <v>6539</v>
      </c>
      <c r="E763" t="s">
        <v>11103</v>
      </c>
      <c r="F763">
        <v>0.38100000000000001</v>
      </c>
    </row>
    <row r="764" spans="4:6" customFormat="1" x14ac:dyDescent="0.25">
      <c r="D764" t="s">
        <v>6539</v>
      </c>
      <c r="E764" t="s">
        <v>11104</v>
      </c>
      <c r="F764">
        <v>1.2509999999999999</v>
      </c>
    </row>
    <row r="765" spans="4:6" customFormat="1" x14ac:dyDescent="0.25">
      <c r="D765" t="s">
        <v>6539</v>
      </c>
      <c r="E765" t="s">
        <v>11105</v>
      </c>
      <c r="F765">
        <v>2.5840000000000001</v>
      </c>
    </row>
    <row r="766" spans="4:6" customFormat="1" x14ac:dyDescent="0.25">
      <c r="D766" t="s">
        <v>6539</v>
      </c>
      <c r="E766" t="s">
        <v>11106</v>
      </c>
      <c r="F766">
        <v>1.425</v>
      </c>
    </row>
    <row r="767" spans="4:6" customFormat="1" x14ac:dyDescent="0.25">
      <c r="D767" t="s">
        <v>6539</v>
      </c>
      <c r="E767" t="s">
        <v>11107</v>
      </c>
      <c r="F767">
        <v>2.153</v>
      </c>
    </row>
    <row r="768" spans="4:6" customFormat="1" x14ac:dyDescent="0.25">
      <c r="D768" t="s">
        <v>6539</v>
      </c>
      <c r="E768" t="s">
        <v>11108</v>
      </c>
      <c r="F768">
        <v>1.4259999999999999</v>
      </c>
    </row>
    <row r="769" spans="4:6" customFormat="1" x14ac:dyDescent="0.25">
      <c r="D769" t="s">
        <v>6539</v>
      </c>
      <c r="E769" t="s">
        <v>11109</v>
      </c>
      <c r="F769">
        <v>0.98699999999999999</v>
      </c>
    </row>
    <row r="770" spans="4:6" customFormat="1" x14ac:dyDescent="0.25">
      <c r="D770" t="s">
        <v>6539</v>
      </c>
      <c r="E770" t="s">
        <v>11110</v>
      </c>
      <c r="F770">
        <v>0</v>
      </c>
    </row>
    <row r="771" spans="4:6" customFormat="1" x14ac:dyDescent="0.25">
      <c r="D771" t="s">
        <v>6539</v>
      </c>
      <c r="E771" t="s">
        <v>11111</v>
      </c>
      <c r="F771">
        <v>0.69099999999999995</v>
      </c>
    </row>
    <row r="772" spans="4:6" customFormat="1" x14ac:dyDescent="0.25">
      <c r="D772" t="s">
        <v>6539</v>
      </c>
      <c r="E772" t="s">
        <v>11112</v>
      </c>
      <c r="F772">
        <v>1.425</v>
      </c>
    </row>
    <row r="773" spans="4:6" customFormat="1" x14ac:dyDescent="0.25">
      <c r="D773" t="s">
        <v>6539</v>
      </c>
      <c r="E773" t="s">
        <v>11113</v>
      </c>
      <c r="F773">
        <v>0</v>
      </c>
    </row>
    <row r="774" spans="4:6" customFormat="1" x14ac:dyDescent="0.25"/>
    <row r="775" spans="4:6" customFormat="1" x14ac:dyDescent="0.25"/>
    <row r="776" spans="4:6" customFormat="1" x14ac:dyDescent="0.25"/>
    <row r="777" spans="4:6" customFormat="1" x14ac:dyDescent="0.25"/>
    <row r="778" spans="4:6" customFormat="1" x14ac:dyDescent="0.25"/>
    <row r="779" spans="4:6" customFormat="1" x14ac:dyDescent="0.25"/>
    <row r="780" spans="4:6" customFormat="1" x14ac:dyDescent="0.25"/>
    <row r="781" spans="4:6" customFormat="1" x14ac:dyDescent="0.25"/>
    <row r="782" spans="4:6" customFormat="1" x14ac:dyDescent="0.25"/>
    <row r="783" spans="4:6" customFormat="1" x14ac:dyDescent="0.25"/>
    <row r="784" spans="4:6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85" zoomScaleNormal="85" workbookViewId="0">
      <selection activeCell="E17" sqref="E17"/>
    </sheetView>
  </sheetViews>
  <sheetFormatPr defaultRowHeight="14.4" x14ac:dyDescent="0.25"/>
  <cols>
    <col min="1" max="1" width="20.3984375" bestFit="1" customWidth="1"/>
    <col min="2" max="3" width="29.69921875" style="2552" customWidth="1"/>
    <col min="4" max="4" width="20.3984375" bestFit="1" customWidth="1"/>
    <col min="5" max="6" width="31.8984375" style="2552" customWidth="1"/>
    <col min="7" max="7" width="20.3984375" bestFit="1" customWidth="1"/>
    <col min="8" max="9" width="28.09765625" style="2552" customWidth="1"/>
    <col min="10" max="10" width="20.3984375" bestFit="1" customWidth="1"/>
    <col min="11" max="11" width="27.8984375" style="2552" customWidth="1"/>
    <col min="12" max="12" width="28.09765625" style="2552" customWidth="1"/>
  </cols>
  <sheetData>
    <row r="1" spans="1:12" x14ac:dyDescent="0.25">
      <c r="A1" s="2553"/>
      <c r="B1" s="2551"/>
      <c r="C1" s="2551"/>
    </row>
    <row r="2" spans="1:12" x14ac:dyDescent="0.25">
      <c r="A2" s="3966" t="s">
        <v>6634</v>
      </c>
      <c r="B2" s="3964" t="s">
        <v>8716</v>
      </c>
      <c r="C2" s="3964" t="s">
        <v>6633</v>
      </c>
      <c r="D2" s="3966" t="s">
        <v>6635</v>
      </c>
      <c r="E2" s="3964" t="s">
        <v>8716</v>
      </c>
      <c r="F2" s="3964" t="s">
        <v>6633</v>
      </c>
      <c r="G2" s="3966" t="s">
        <v>7539</v>
      </c>
      <c r="H2" s="3964" t="s">
        <v>8716</v>
      </c>
      <c r="I2" s="3964" t="s">
        <v>6633</v>
      </c>
      <c r="J2" s="3966" t="s">
        <v>7540</v>
      </c>
      <c r="K2" s="3964" t="s">
        <v>8716</v>
      </c>
      <c r="L2" s="3964" t="s">
        <v>6633</v>
      </c>
    </row>
    <row r="3" spans="1:12" x14ac:dyDescent="0.25">
      <c r="A3" s="3966"/>
      <c r="B3" s="3964"/>
      <c r="C3" s="3964"/>
      <c r="D3" s="3966"/>
      <c r="E3" s="3964"/>
      <c r="F3" s="3964"/>
      <c r="G3" s="3966"/>
      <c r="H3" s="3964"/>
      <c r="I3" s="3964"/>
      <c r="J3" s="3966"/>
      <c r="K3" s="3964"/>
      <c r="L3" s="3964"/>
    </row>
    <row r="4" spans="1:12" x14ac:dyDescent="0.25">
      <c r="B4"/>
      <c r="C4"/>
      <c r="E4"/>
      <c r="F4"/>
      <c r="H4"/>
      <c r="I4"/>
      <c r="K4"/>
      <c r="L4"/>
    </row>
    <row r="5" spans="1:12" x14ac:dyDescent="0.25">
      <c r="B5"/>
      <c r="C5"/>
      <c r="E5"/>
      <c r="F5"/>
      <c r="H5"/>
      <c r="I5"/>
      <c r="K5"/>
      <c r="L5"/>
    </row>
    <row r="6" spans="1:12" x14ac:dyDescent="0.25">
      <c r="B6"/>
      <c r="C6"/>
      <c r="E6"/>
      <c r="F6"/>
      <c r="H6"/>
      <c r="I6"/>
      <c r="K6"/>
      <c r="L6"/>
    </row>
    <row r="7" spans="1:12" x14ac:dyDescent="0.25">
      <c r="B7"/>
      <c r="C7"/>
      <c r="E7"/>
      <c r="F7"/>
      <c r="H7"/>
      <c r="I7"/>
      <c r="K7"/>
      <c r="L7"/>
    </row>
    <row r="8" spans="1:12" x14ac:dyDescent="0.25">
      <c r="B8"/>
      <c r="C8"/>
      <c r="E8"/>
      <c r="F8"/>
      <c r="H8"/>
      <c r="I8"/>
      <c r="K8"/>
      <c r="L8"/>
    </row>
    <row r="9" spans="1:12" x14ac:dyDescent="0.25">
      <c r="B9"/>
      <c r="C9"/>
      <c r="E9"/>
      <c r="F9"/>
      <c r="H9"/>
      <c r="I9"/>
      <c r="K9"/>
      <c r="L9"/>
    </row>
    <row r="10" spans="1:12" x14ac:dyDescent="0.25">
      <c r="B10"/>
      <c r="C10"/>
      <c r="E10"/>
      <c r="F10"/>
      <c r="H10"/>
      <c r="I10"/>
      <c r="K10"/>
      <c r="L10"/>
    </row>
    <row r="11" spans="1:12" x14ac:dyDescent="0.25">
      <c r="B11"/>
      <c r="C11"/>
      <c r="E11"/>
      <c r="F11"/>
      <c r="H11"/>
      <c r="I11"/>
      <c r="K11"/>
      <c r="L11"/>
    </row>
    <row r="12" spans="1:12" x14ac:dyDescent="0.25">
      <c r="B12"/>
      <c r="C12"/>
      <c r="E12"/>
      <c r="F12"/>
      <c r="H12"/>
      <c r="I12"/>
      <c r="K12"/>
      <c r="L12"/>
    </row>
    <row r="13" spans="1:12" x14ac:dyDescent="0.25">
      <c r="B13"/>
      <c r="C13"/>
      <c r="E13"/>
      <c r="F13"/>
      <c r="H13"/>
      <c r="I13"/>
      <c r="K13"/>
      <c r="L13"/>
    </row>
    <row r="14" spans="1:12" x14ac:dyDescent="0.25">
      <c r="B14"/>
      <c r="C14"/>
      <c r="E14"/>
      <c r="F14"/>
      <c r="H14"/>
      <c r="I14"/>
      <c r="K14"/>
      <c r="L14"/>
    </row>
    <row r="15" spans="1:12" x14ac:dyDescent="0.25">
      <c r="B15"/>
      <c r="C15"/>
      <c r="E15"/>
      <c r="F15"/>
      <c r="H15"/>
      <c r="I15"/>
      <c r="K15"/>
      <c r="L15"/>
    </row>
    <row r="16" spans="1:12" x14ac:dyDescent="0.25">
      <c r="B16"/>
      <c r="C16"/>
      <c r="E16"/>
      <c r="F16"/>
      <c r="H16"/>
      <c r="I16"/>
      <c r="K16"/>
      <c r="L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4133</v>
      </c>
    </row>
    <row r="3" spans="1:18" x14ac:dyDescent="0.25">
      <c r="I3" s="3967" t="s">
        <v>4134</v>
      </c>
      <c r="J3" s="3968"/>
    </row>
    <row r="4" spans="1:18" x14ac:dyDescent="0.25">
      <c r="A4" s="53" t="s">
        <v>4135</v>
      </c>
    </row>
    <row r="6" spans="1:18" ht="21.6" x14ac:dyDescent="0.25">
      <c r="K6" s="1342" t="s">
        <v>4136</v>
      </c>
      <c r="L6" s="1339">
        <v>3.1</v>
      </c>
      <c r="M6" s="1340">
        <v>2.7</v>
      </c>
      <c r="N6" s="1341">
        <v>7.7</v>
      </c>
      <c r="O6" s="502" t="s">
        <v>4137</v>
      </c>
    </row>
    <row r="7" spans="1:18" x14ac:dyDescent="0.25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 x14ac:dyDescent="0.25">
      <c r="A8" s="263" t="s">
        <v>4147</v>
      </c>
      <c r="B8" s="141" t="s">
        <v>4148</v>
      </c>
      <c r="C8" s="281" t="s">
        <v>4149</v>
      </c>
      <c r="D8" s="2296">
        <v>1.5</v>
      </c>
      <c r="E8" s="143"/>
      <c r="F8" s="143"/>
      <c r="G8" s="143"/>
      <c r="H8" s="141" t="s">
        <v>4150</v>
      </c>
      <c r="I8" s="2291" t="s">
        <v>4151</v>
      </c>
      <c r="J8" s="2292" t="s">
        <v>4152</v>
      </c>
      <c r="K8" s="141" t="s">
        <v>4150</v>
      </c>
      <c r="L8" s="2296">
        <v>1.6</v>
      </c>
      <c r="M8" s="143"/>
      <c r="N8" s="143"/>
      <c r="O8" s="143"/>
      <c r="P8" s="141" t="s">
        <v>4153</v>
      </c>
      <c r="Q8" s="281" t="s">
        <v>4149</v>
      </c>
      <c r="R8" s="2304" t="s">
        <v>4154</v>
      </c>
    </row>
    <row r="9" spans="1:18" ht="17.399999999999999" x14ac:dyDescent="0.25">
      <c r="A9" s="263" t="s">
        <v>4155</v>
      </c>
      <c r="B9" s="142" t="s">
        <v>4148</v>
      </c>
      <c r="C9" s="281" t="s">
        <v>4149</v>
      </c>
      <c r="D9" s="148"/>
      <c r="E9" s="2297">
        <v>1.2</v>
      </c>
      <c r="F9" s="148"/>
      <c r="G9" s="148"/>
      <c r="H9" s="142" t="s">
        <v>4150</v>
      </c>
      <c r="I9" s="2293" t="s">
        <v>4156</v>
      </c>
      <c r="J9" s="2294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05" t="s">
        <v>4159</v>
      </c>
    </row>
    <row r="10" spans="1:18" ht="17.399999999999999" x14ac:dyDescent="0.25">
      <c r="A10" s="263" t="s">
        <v>4160</v>
      </c>
      <c r="B10" s="142" t="s">
        <v>4148</v>
      </c>
      <c r="C10" s="281" t="s">
        <v>4149</v>
      </c>
      <c r="D10" s="156"/>
      <c r="E10" s="156"/>
      <c r="F10" s="2298">
        <v>2.2000000000000002</v>
      </c>
      <c r="G10" s="156"/>
      <c r="H10" s="142" t="s">
        <v>4150</v>
      </c>
      <c r="I10" s="2293" t="s">
        <v>4161</v>
      </c>
      <c r="J10" s="2294" t="s">
        <v>4162</v>
      </c>
      <c r="K10" s="142" t="s">
        <v>4150</v>
      </c>
      <c r="L10" s="156"/>
      <c r="M10" s="156"/>
      <c r="N10" s="2298">
        <v>3</v>
      </c>
      <c r="O10" s="156"/>
      <c r="P10" s="142" t="s">
        <v>4153</v>
      </c>
      <c r="Q10" s="281" t="s">
        <v>4149</v>
      </c>
      <c r="R10" s="2305" t="s">
        <v>4163</v>
      </c>
    </row>
    <row r="11" spans="1:18" ht="17.399999999999999" x14ac:dyDescent="0.25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293" t="s">
        <v>4166</v>
      </c>
      <c r="J11" s="2294" t="s">
        <v>4167</v>
      </c>
      <c r="K11" s="142" t="s">
        <v>4150</v>
      </c>
      <c r="L11" s="2298">
        <v>0</v>
      </c>
      <c r="M11" s="156"/>
      <c r="N11" s="156"/>
      <c r="O11" s="156"/>
      <c r="P11" s="142" t="s">
        <v>4148</v>
      </c>
      <c r="Q11" s="281" t="s">
        <v>4149</v>
      </c>
      <c r="R11" s="2305" t="s">
        <v>4168</v>
      </c>
    </row>
    <row r="12" spans="1:18" x14ac:dyDescent="0.25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293" t="s">
        <v>4169</v>
      </c>
      <c r="J12" s="2294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05"/>
    </row>
    <row r="13" spans="1:18" x14ac:dyDescent="0.25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293" t="s">
        <v>4172</v>
      </c>
      <c r="J13" s="2294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05"/>
    </row>
    <row r="14" spans="1:18" x14ac:dyDescent="0.25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293" t="s">
        <v>4174</v>
      </c>
      <c r="J14" s="2294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05"/>
    </row>
    <row r="15" spans="1:18" x14ac:dyDescent="0.25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293" t="s">
        <v>4176</v>
      </c>
      <c r="J15" s="2294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05"/>
    </row>
    <row r="16" spans="1:18" x14ac:dyDescent="0.25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293" t="s">
        <v>4178</v>
      </c>
      <c r="J16" s="2294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05" t="s">
        <v>4180</v>
      </c>
    </row>
    <row r="17" spans="1:18" ht="17.399999999999999" x14ac:dyDescent="0.25">
      <c r="A17" s="256" t="s">
        <v>4181</v>
      </c>
      <c r="B17" s="142" t="s">
        <v>4148</v>
      </c>
      <c r="C17" s="281" t="s">
        <v>4149</v>
      </c>
      <c r="D17" s="2297">
        <v>0</v>
      </c>
      <c r="E17" s="148"/>
      <c r="F17" s="148"/>
      <c r="G17" s="156"/>
      <c r="H17" s="142" t="s">
        <v>4171</v>
      </c>
      <c r="I17" s="2293" t="s">
        <v>4182</v>
      </c>
      <c r="J17" s="2295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05" t="s">
        <v>4184</v>
      </c>
    </row>
    <row r="18" spans="1:18" ht="17.399999999999999" x14ac:dyDescent="0.25">
      <c r="A18" s="256" t="s">
        <v>4185</v>
      </c>
      <c r="B18" s="142" t="s">
        <v>4148</v>
      </c>
      <c r="C18" s="281" t="s">
        <v>4149</v>
      </c>
      <c r="D18" s="156"/>
      <c r="E18" s="2298">
        <v>1.7</v>
      </c>
      <c r="F18" s="156"/>
      <c r="G18" s="156"/>
      <c r="H18" s="142" t="s">
        <v>4171</v>
      </c>
      <c r="I18" s="2293" t="s">
        <v>4186</v>
      </c>
      <c r="J18" s="2295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05" t="s">
        <v>4188</v>
      </c>
    </row>
    <row r="19" spans="1:18" ht="17.399999999999999" x14ac:dyDescent="0.25">
      <c r="A19" s="256" t="s">
        <v>4189</v>
      </c>
      <c r="B19" s="142" t="s">
        <v>4148</v>
      </c>
      <c r="C19" s="281" t="s">
        <v>4149</v>
      </c>
      <c r="D19" s="156"/>
      <c r="E19" s="156"/>
      <c r="F19" s="2298">
        <v>2.6</v>
      </c>
      <c r="G19" s="156"/>
      <c r="H19" s="142" t="s">
        <v>4171</v>
      </c>
      <c r="I19" s="2293" t="s">
        <v>4186</v>
      </c>
      <c r="J19" s="2295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05" t="s">
        <v>4190</v>
      </c>
    </row>
    <row r="20" spans="1:18" x14ac:dyDescent="0.25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967" t="s">
        <v>4134</v>
      </c>
      <c r="J25" s="3968"/>
    </row>
    <row r="26" spans="1:18" x14ac:dyDescent="0.25">
      <c r="A26" s="53" t="s">
        <v>4192</v>
      </c>
    </row>
    <row r="28" spans="1:18" ht="21.6" x14ac:dyDescent="0.25">
      <c r="K28" s="1342" t="s">
        <v>4136</v>
      </c>
      <c r="L28" s="1339">
        <v>2.2999999999999998</v>
      </c>
      <c r="M28" s="1340">
        <v>2.2000000000000002</v>
      </c>
      <c r="N28" s="1341">
        <v>7.3</v>
      </c>
      <c r="O28" s="502" t="s">
        <v>4137</v>
      </c>
    </row>
    <row r="29" spans="1:18" x14ac:dyDescent="0.25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 x14ac:dyDescent="0.25">
      <c r="A30" s="2299" t="s">
        <v>4193</v>
      </c>
      <c r="B30" s="141" t="s">
        <v>4148</v>
      </c>
      <c r="C30" s="281" t="s">
        <v>4149</v>
      </c>
      <c r="D30" s="2296">
        <v>0.3</v>
      </c>
      <c r="E30" s="2296">
        <v>0.3</v>
      </c>
      <c r="F30" s="2296">
        <v>0.3</v>
      </c>
      <c r="G30" s="2296">
        <v>0.1</v>
      </c>
      <c r="H30" s="141" t="s">
        <v>4194</v>
      </c>
      <c r="I30" s="2291" t="s">
        <v>4151</v>
      </c>
      <c r="J30" s="2292" t="s">
        <v>4152</v>
      </c>
      <c r="K30" s="141" t="s">
        <v>4194</v>
      </c>
      <c r="L30" s="2296">
        <v>2.6</v>
      </c>
      <c r="M30" s="2296">
        <v>2.6</v>
      </c>
      <c r="N30" s="2296">
        <v>2.7</v>
      </c>
      <c r="O30" s="2296">
        <v>0.1</v>
      </c>
      <c r="P30" s="141" t="s">
        <v>4153</v>
      </c>
      <c r="Q30" s="281" t="s">
        <v>4149</v>
      </c>
      <c r="R30" s="2302" t="s">
        <v>4195</v>
      </c>
    </row>
    <row r="31" spans="1:18" ht="17.399999999999999" x14ac:dyDescent="0.25">
      <c r="A31" s="2300" t="s">
        <v>4196</v>
      </c>
      <c r="B31" s="142" t="s">
        <v>4148</v>
      </c>
      <c r="C31" s="281" t="s">
        <v>4149</v>
      </c>
      <c r="D31" s="2297">
        <v>0.2</v>
      </c>
      <c r="E31" s="148"/>
      <c r="F31" s="148"/>
      <c r="G31" s="148"/>
      <c r="H31" s="142" t="s">
        <v>4150</v>
      </c>
      <c r="I31" s="2293" t="s">
        <v>4156</v>
      </c>
      <c r="J31" s="2294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03"/>
    </row>
    <row r="32" spans="1:18" ht="17.399999999999999" x14ac:dyDescent="0.25">
      <c r="A32" s="2300" t="s">
        <v>4197</v>
      </c>
      <c r="B32" s="142" t="s">
        <v>4148</v>
      </c>
      <c r="C32" s="281" t="s">
        <v>4149</v>
      </c>
      <c r="D32" s="156"/>
      <c r="E32" s="2298">
        <v>0</v>
      </c>
      <c r="F32" s="156"/>
      <c r="G32" s="156"/>
      <c r="H32" s="142" t="s">
        <v>4150</v>
      </c>
      <c r="I32" s="2293" t="s">
        <v>4161</v>
      </c>
      <c r="J32" s="2294" t="s">
        <v>4162</v>
      </c>
      <c r="K32" s="142" t="s">
        <v>4150</v>
      </c>
      <c r="L32" s="156"/>
      <c r="M32" s="2298">
        <v>0.3</v>
      </c>
      <c r="N32" s="156"/>
      <c r="O32" s="156"/>
      <c r="P32" s="142" t="s">
        <v>4153</v>
      </c>
      <c r="Q32" s="281" t="s">
        <v>4149</v>
      </c>
      <c r="R32" s="2303" t="s">
        <v>4198</v>
      </c>
    </row>
    <row r="33" spans="1:18" ht="17.399999999999999" x14ac:dyDescent="0.25">
      <c r="A33" s="2301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293" t="s">
        <v>4166</v>
      </c>
      <c r="J33" s="2294" t="s">
        <v>4167</v>
      </c>
      <c r="K33" s="142" t="s">
        <v>4150</v>
      </c>
      <c r="L33" s="156"/>
      <c r="M33" s="156"/>
      <c r="N33" s="2298">
        <v>5.4</v>
      </c>
      <c r="O33" s="156"/>
      <c r="P33" s="142" t="s">
        <v>4148</v>
      </c>
      <c r="Q33" s="281" t="s">
        <v>4149</v>
      </c>
      <c r="R33" s="2303" t="s">
        <v>4199</v>
      </c>
    </row>
    <row r="34" spans="1:18" x14ac:dyDescent="0.25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5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.6" thickTop="1" thickBot="1" x14ac:dyDescent="0.3">
      <c r="A3" s="53" t="s">
        <v>6591</v>
      </c>
      <c r="D3" s="3969" t="s">
        <v>8552</v>
      </c>
      <c r="E3" s="3969"/>
      <c r="F3" s="3969"/>
      <c r="G3" s="3969"/>
      <c r="H3" s="489"/>
      <c r="I3" s="123"/>
      <c r="J3" s="3970" t="s">
        <v>4201</v>
      </c>
      <c r="K3" s="397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13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3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14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4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15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5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15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5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15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5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15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5" cm="1">
        <f t="array" ref="P11">INDEX('7층_부하량'!E3:E3000,MATCH(1,("7-DaHall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15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5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15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5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16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23" t="s">
        <v>4240</v>
      </c>
      <c r="L14" s="475" t="s">
        <v>4179</v>
      </c>
      <c r="M14" s="535" t="s">
        <v>4171</v>
      </c>
      <c r="N14" s="156"/>
      <c r="O14" s="156"/>
      <c r="P14" s="2515" cm="1">
        <f t="array" ref="P14">INDEX('7층_부하량'!E3:E3000,MATCH(1,("7-DaHall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15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5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15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5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15" cm="1">
        <f t="array" ref="F17">INDEX('7층_부하량'!E3:E3000,MATCH(1,("7-DaHall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5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15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5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15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5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17" cm="1">
        <f t="array" ref="F20">INDEX('7층_부하량'!E3:E3000,MATCH(1,("7-DaHall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7" cm="1">
        <f t="array" ref="P20">INDEX('7층_부하량'!E3:E3000,MATCH(1,("7-DaHall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15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5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15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5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15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5" cm="1">
        <f t="array" ref="P23">INDEX('7층_부하량'!E3:E3000,MATCH(1,("7-DaHall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15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5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18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8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969" t="s">
        <v>8553</v>
      </c>
      <c r="E28" s="3969"/>
      <c r="F28" s="3969"/>
      <c r="G28" s="3969"/>
      <c r="H28" s="498"/>
      <c r="I28" s="132"/>
      <c r="J28" s="3972" t="s">
        <v>4288</v>
      </c>
      <c r="K28" s="397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13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3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19" cm="1">
        <f t="array" ref="F32">INDEX('7층_부하량'!E3:E3000,MATCH(1,("7-DaHall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4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15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5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15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5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15" cm="1">
        <f t="array" ref="F35">INDEX('7층_부하량'!E3:E3000,MATCH(1,("7-DaHall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5" cm="1">
        <f t="array" ref="P35">INDEX('7층_부하량'!E3:E3000,MATCH(1,("7-DaHall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15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5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15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5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15" cm="1">
        <f t="array" ref="F38">INDEX('7층_부하량'!E3:E3000,MATCH(1,("7-DaHall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5" cm="1">
        <f t="array" ref="P38">INDEX('7층_부하량'!E3:E3000,MATCH(1,("7-DaHall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15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5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15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5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15" cm="1">
        <f t="array" ref="F41">INDEX('7층_부하량'!E3:E3000,MATCH(1,("7-DaHall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5" cm="1">
        <f t="array" ref="P41">INDEX('7층_부하량'!E3:E3000,MATCH(1,("7-DaHall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15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5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15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5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20" cm="1">
        <f t="array" ref="F44">INDEX('7층_부하량'!E3:E3000,MATCH(1,("7-DaHall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20" cm="1">
        <f t="array" ref="P44">INDEX('7층_부하량'!E3:E3000,MATCH(1,("7-DaHall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21" t="s">
        <v>4149</v>
      </c>
      <c r="D45" s="2515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22" t="s">
        <v>4240</v>
      </c>
      <c r="K45" s="518" t="s">
        <v>4331</v>
      </c>
      <c r="L45" s="484" t="s">
        <v>4265</v>
      </c>
      <c r="M45" s="536" t="s">
        <v>4171</v>
      </c>
      <c r="N45" s="2515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15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5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15" cm="1">
        <f t="array" ref="F47">INDEX('7층_부하량'!E3:E3000,MATCH(1,("7-DaHall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5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15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5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15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5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15" cm="1">
        <f t="array" ref="F50">INDEX('7층_부하량'!E3:E3000,MATCH(1,("7-DaHall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5" cm="1">
        <f t="array" ref="P50">INDEX('7층_부하량'!E3:E3000,MATCH(1,("7-DaHall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15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5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15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5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15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5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15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5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28" t="s">
        <v>1116</v>
      </c>
      <c r="B55" s="156" t="s">
        <v>4153</v>
      </c>
      <c r="C55" s="281" t="s">
        <v>4149</v>
      </c>
      <c r="D55" s="156"/>
      <c r="E55" s="2515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4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28" t="s">
        <v>1118</v>
      </c>
      <c r="B56" s="156" t="s">
        <v>4153</v>
      </c>
      <c r="C56" s="281" t="s">
        <v>4149</v>
      </c>
      <c r="D56" s="156"/>
      <c r="E56" s="156"/>
      <c r="F56" s="2515" cm="1">
        <f t="array" ref="F56">INDEX('7층_부하량'!E3:E3000,MATCH(1,("7-DaHall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4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18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8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969" t="s">
        <v>8554</v>
      </c>
      <c r="E60" s="3969"/>
      <c r="F60" s="3969"/>
      <c r="G60" s="3969"/>
      <c r="H60" s="498"/>
      <c r="I60" s="132"/>
      <c r="J60" s="3972" t="s">
        <v>4288</v>
      </c>
      <c r="K60" s="397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13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3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19" cm="1">
        <f t="array" ref="F64">INDEX('7층_부하량'!E3:E3000,MATCH(1,("7-DaHall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4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15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5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15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5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15" cm="1">
        <f t="array" ref="F67">INDEX('7층_부하량'!E3:E3000,MATCH(1,("7-DaHall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5" cm="1">
        <f t="array" ref="P67">INDEX('7층_부하량'!E3:E3000,MATCH(1,("7-DaHall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15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5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15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5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15" cm="1">
        <f t="array" ref="F70">INDEX('7층_부하량'!E3:E3000,MATCH(1,("7-DaHall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5" cm="1">
        <f t="array" ref="P70">INDEX('7층_부하량'!E3:E3000,MATCH(1,("7-DaHall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15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5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15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5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15" cm="1">
        <f t="array" ref="F73">INDEX('7층_부하량'!E3:E3000,MATCH(1,("7-DaHall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5" cm="1">
        <f t="array" ref="P73">INDEX('7층_부하량'!E3:E3000,MATCH(1,("7-DaHall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15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5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15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5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20" cm="1">
        <f t="array" ref="F76">INDEX('7층_부하량'!E3:E3000,MATCH(1,("7-DaHall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20" cm="1">
        <f t="array" ref="P76">INDEX('7층_부하량'!E3:E3000,MATCH(1,("7-DaHall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15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5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15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5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15" cm="1">
        <f t="array" ref="F79">INDEX('7층_부하량'!E3:E3000,MATCH(1,("7-DaHall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5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15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5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15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5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15" cm="1">
        <f t="array" ref="F82">INDEX('7층_부하량'!E3:E3000,MATCH(1,("7-DaHall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5" cm="1">
        <f t="array" ref="P82">INDEX('7층_부하량'!E3:E3000,MATCH(1,("7-DaHall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15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5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15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5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15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5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15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5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15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4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15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4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18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8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969" t="s">
        <v>8555</v>
      </c>
      <c r="E92" s="3969"/>
      <c r="F92" s="3969"/>
      <c r="G92" s="3969"/>
      <c r="H92" s="489"/>
      <c r="I92" s="123"/>
      <c r="J92" s="3970" t="s">
        <v>4201</v>
      </c>
      <c r="K92" s="397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13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3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14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4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15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5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15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5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15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5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15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5" cm="1">
        <f t="array" ref="P100">INDEX('7층_부하량'!E3:E3000,MATCH(1,("7-DaHall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15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5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15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5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15" cm="1">
        <f t="array" ref="F103">INDEX('7층_부하량'!E3:E3000,MATCH(1,("7-DaHall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5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15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5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15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5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15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5" cm="1">
        <f t="array" ref="P106">INDEX('7층_부하량'!E3:E3000,MATCH(1,("7-DaHall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15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5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15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5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17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7" cm="1">
        <f t="array" ref="P109">INDEX('7층_부하량'!E3:E3000,MATCH(1,("7-DaHall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15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5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15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5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15" cm="1">
        <f t="array" ref="F112">INDEX('7층_부하량'!E3:E3000,MATCH(1,("7-DaHall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5" cm="1">
        <f t="array" ref="P112">INDEX('7층_부하량'!E3:E3000,MATCH(1,("7-DaHall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15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5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18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8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6590</v>
      </c>
      <c r="D117" s="3969" t="s">
        <v>8556</v>
      </c>
      <c r="E117" s="3969"/>
      <c r="F117" s="3969"/>
      <c r="G117" s="3969"/>
      <c r="H117" s="489"/>
      <c r="I117" s="123"/>
      <c r="J117" s="3970" t="s">
        <v>4507</v>
      </c>
      <c r="K117" s="397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13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3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14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4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15" cm="1">
        <f t="array" ref="F122">INDEX('7층_부하량'!E3:E3000,MATCH(1,("7-DaHall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5" cm="1">
        <f t="array" ref="P122">INDEX('7층_부하량'!E3:E3000,MATCH(1,("7-DaHall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15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5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15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5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30" t="s">
        <v>6588</v>
      </c>
      <c r="B126" s="132"/>
      <c r="C126" s="195"/>
      <c r="D126" s="3969" t="s">
        <v>8559</v>
      </c>
      <c r="E126" s="3969"/>
      <c r="F126" s="3969"/>
      <c r="G126" s="396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970" t="s">
        <v>4507</v>
      </c>
      <c r="K127" s="3971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13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3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14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4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15" cm="1">
        <f t="array" ref="F130">INDEX('7층_부하량'!E3:E3000,MATCH(1,("7-DaHall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5" cm="1">
        <f t="array" ref="P130">INDEX('7층_부하량'!E3:E3000,MATCH(1,("7-DaHall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15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5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15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5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6589</v>
      </c>
      <c r="D135" s="3969" t="s">
        <v>8557</v>
      </c>
      <c r="E135" s="3969"/>
      <c r="F135" s="3969"/>
      <c r="G135" s="3969"/>
      <c r="H135" s="489"/>
      <c r="I135" s="123"/>
      <c r="J135" s="3970" t="s">
        <v>4201</v>
      </c>
      <c r="K135" s="397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21" cm="1">
        <f t="array" ref="D138">INDEX('7층_부하량'!C3:C3000,MATCH(1,("7-DaHall 1-PDU-03"='7층_부하량'!A3:A3000)*(1='7층_부하량'!B3:B3000),0))</f>
        <v>0</v>
      </c>
      <c r="E138" s="2521" cm="1">
        <f t="array" ref="E138">INDEX('7층_부하량'!D3:D3000,MATCH(1,("7-DaHall 1-PDU-03"='7층_부하량'!A3:A3000)*(1='7층_부하량'!B3:B3000),0))</f>
        <v>0</v>
      </c>
      <c r="F138" s="2521" cm="1">
        <f t="array" ref="F138">INDEX('7층_부하량'!E3:E3000,MATCH(1,("7-DaHall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1" cm="1">
        <f t="array" ref="N138">INDEX('7층_부하량'!C3:C3000,MATCH(1,("7-DaHall 1-PDU-03"='7층_부하량'!A3:A3000)*(2='7층_부하량'!B3:B3000),0))</f>
        <v>0</v>
      </c>
      <c r="O138" s="2521" cm="1">
        <f t="array" ref="O138">INDEX('7층_부하량'!D3:D3000,MATCH(1,("7-DaHall 1-PDU-03"='7층_부하량'!A3:A3000)*(2='7층_부하량'!B3:B3000),0))</f>
        <v>0</v>
      </c>
      <c r="P138" s="2521" cm="1">
        <f t="array" ref="P138">INDEX('7층_부하량'!E3:E3000,MATCH(1,("7-DaHall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14" cm="1">
        <f t="array" ref="D139">INDEX('7층_부하량'!C3:C3000,MATCH(1,("7-DaHall 1-PDU-03"='7층_부하량'!A3:A3000)*(3='7층_부하량'!B3:B3000),0))</f>
        <v>0</v>
      </c>
      <c r="E139" s="2514" cm="1">
        <f t="array" ref="E139">INDEX('7층_부하량'!D3:D3000,MATCH(1,("7-DaHall 1-PDU-03"='7층_부하량'!A3:A3000)*(3='7층_부하량'!B3:B3000),0))</f>
        <v>0</v>
      </c>
      <c r="F139" s="2514" cm="1">
        <f t="array" ref="F139">INDEX('7층_부하량'!E3:E3000,MATCH(1,("7-DaHall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4" cm="1">
        <f t="array" ref="N139">INDEX('7층_부하량'!C3:C3000,MATCH(1,("7-DaHall 1-PDU-03"='7층_부하량'!A3:A3000)*(4='7층_부하량'!B3:B3000),0))</f>
        <v>0</v>
      </c>
      <c r="O139" s="2522" cm="1">
        <f t="array" ref="O139">INDEX('7층_부하량'!D3:D3000,MATCH(1,("7-DaHall 1-PDU-03"='7층_부하량'!A3:A3000)*(4='7층_부하량'!B3:B3000),0))</f>
        <v>0</v>
      </c>
      <c r="P139" s="2522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15" cm="1">
        <f t="array" ref="D140">INDEX('7층_부하량'!C3:C3000,MATCH(1,("7-DaHall 1-PDU-03"='7층_부하량'!A3:A3000)*(5='7층_부하량'!B3:B3000),0))</f>
        <v>0</v>
      </c>
      <c r="E140" s="2515" cm="1">
        <f t="array" ref="E140">INDEX('7층_부하량'!D3:D3000,MATCH(1,("7-DaHall 1-PDU-03"='7층_부하량'!A3:A3000)*(5='7층_부하량'!B3:B3000),0))</f>
        <v>0</v>
      </c>
      <c r="F140" s="2515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3" cm="1">
        <f t="array" ref="N140">INDEX('7층_부하량'!C3:C3000,MATCH(1,("7-DaHall 1-PDU-03"='7층_부하량'!A3:A3000)*(6='7층_부하량'!B3:B3000),0))</f>
        <v>0</v>
      </c>
      <c r="O140" s="2523" cm="1">
        <f t="array" ref="O140">INDEX('7층_부하량'!D3:D3000,MATCH(1,("7-DaHall 1-PDU-03"='7층_부하량'!A3:A3000)*(6='7층_부하량'!B3:B3000),0))</f>
        <v>0</v>
      </c>
      <c r="P140" s="2523" cm="1">
        <f t="array" ref="P140">INDEX('7층_부하량'!E3:E3000,MATCH(1,("7-DaHall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15" cm="1">
        <f t="array" ref="D141">INDEX('7층_부하량'!C3:C3000,MATCH(1,("7-DaHall 1-PDU-03"='7층_부하량'!A3:A3000)*(7='7층_부하량'!B3:B3000),0))</f>
        <v>0</v>
      </c>
      <c r="E141" s="2515" cm="1">
        <f t="array" ref="E141">INDEX('7층_부하량'!D3:D3000,MATCH(1,("7-DaHall 1-PDU-03"='7층_부하량'!A3:A3000)*(7='7층_부하량'!B3:B3000),0))</f>
        <v>0</v>
      </c>
      <c r="F141" s="2515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5" cm="1">
        <f t="array" ref="N141">INDEX('7층_부하량'!C3:C3000,MATCH(1,("7-DaHall 1-PDU-03"='7층_부하량'!A3:A3000)*(8='7층_부하량'!B3:B3000),0))</f>
        <v>0</v>
      </c>
      <c r="O141" s="2515" cm="1">
        <f t="array" ref="O141">INDEX('7층_부하량'!D3:D3000,MATCH(1,("7-DaHall 1-PDU-03"='7층_부하량'!A3:A3000)*(8='7층_부하량'!B3:B3000),0))</f>
        <v>0</v>
      </c>
      <c r="P141" s="2515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15" cm="1">
        <f t="array" ref="D142">INDEX('7층_부하량'!C3:C3000,MATCH(1,("7-DaHall 1-PDU-03"='7층_부하량'!A3:A3000)*(9='7층_부하량'!B3:B3000),0))</f>
        <v>0</v>
      </c>
      <c r="E142" s="2515" cm="1">
        <f t="array" ref="E142">INDEX('7층_부하량'!D3:D3000,MATCH(1,("7-DaHall 1-PDU-03"='7층_부하량'!A3:A3000)*(9='7층_부하량'!B3:B3000),0))</f>
        <v>0</v>
      </c>
      <c r="F142" s="2515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5" cm="1">
        <f t="array" ref="N142">INDEX('7층_부하량'!C3:C3000,MATCH(1,("7-DaHall 1-PDU-03"='7층_부하량'!A3:A3000)*(10='7층_부하량'!B3:B3000),0))</f>
        <v>0</v>
      </c>
      <c r="O142" s="2515" cm="1">
        <f t="array" ref="O142">INDEX('7층_부하량'!D3:D3000,MATCH(1,("7-DaHall 1-PDU-03"='7층_부하량'!A3:A3000)*(10='7층_부하량'!B3:B3000),0))</f>
        <v>0</v>
      </c>
      <c r="P142" s="2515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6586</v>
      </c>
      <c r="D150" s="3969" t="s">
        <v>8558</v>
      </c>
      <c r="E150" s="3969"/>
      <c r="F150" s="3969"/>
      <c r="G150" s="3969"/>
      <c r="H150" s="489"/>
      <c r="I150" s="123"/>
      <c r="J150" s="3970" t="s">
        <v>4201</v>
      </c>
      <c r="K150" s="397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13" cm="1">
        <f t="array" ref="D153">INDEX('7층_부하량'!C3:C3000,MATCH(1,("7-DaHall 1-PDU-04"='7층_부하량'!A3:A3000)*(1='7층_부하량'!B3:B3000),0))</f>
        <v>0</v>
      </c>
      <c r="E153" s="2513" cm="1">
        <f t="array" ref="E153">INDEX('7층_부하량'!D3:D3000,MATCH(1,("7-DaHall 1-PDU-04"='7층_부하량'!A3:A3000)*(1='7층_부하량'!B3:B3000),0))</f>
        <v>0</v>
      </c>
      <c r="F153" s="2513" cm="1">
        <f t="array" ref="F153">INDEX('7층_부하량'!E3:E3000,MATCH(1,("7-DaHall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1" cm="1">
        <f t="array" ref="N153">INDEX('7층_부하량'!C3:C3000,MATCH(1,("7-DaHall 1-PDU-04"='7층_부하량'!A3:A3000)*(2='7층_부하량'!B3:B3000),0))</f>
        <v>0</v>
      </c>
      <c r="O153" s="2521" cm="1">
        <f t="array" ref="O153">INDEX('7층_부하량'!D3:D3000,MATCH(1,("7-DaHall 1-PDU-04"='7층_부하량'!A3:A3000)*(2='7층_부하량'!B3:B3000),0))</f>
        <v>0</v>
      </c>
      <c r="P153" s="2521" cm="1">
        <f t="array" ref="P153">INDEX('7층_부하량'!E3:E3000,MATCH(1,("7-DaHall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22" cm="1">
        <f t="array" ref="D154">INDEX('7층_부하량'!C3:C3000,MATCH(1,("7-DaHall 1-PDU-04"='7층_부하량'!A3:A3000)*(3='7층_부하량'!B3:B3000),0))</f>
        <v>0</v>
      </c>
      <c r="E154" s="2522" cm="1">
        <f t="array" ref="E154">INDEX('7층_부하량'!D3:D3000,MATCH(1,("7-DaHall 1-PDU-04"='7층_부하량'!A3:A3000)*(3='7층_부하량'!B3:B3000),0))</f>
        <v>0</v>
      </c>
      <c r="F154" s="2522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2" cm="1">
        <f t="array" ref="N154">INDEX('7층_부하량'!C3:C3000,MATCH(1,("7-DaHall 1-PDU-04"='7층_부하량'!A3:A3000)*(4='7층_부하량'!B3:B3000),0))</f>
        <v>0</v>
      </c>
      <c r="O154" s="2522" cm="1">
        <f t="array" ref="O154">INDEX('7층_부하량'!D3:D3000,MATCH(1,("7-DaHall 1-PDU-04"='7층_부하량'!A3:A3000)*(4='7층_부하량'!B3:B3000),0))</f>
        <v>0</v>
      </c>
      <c r="P154" s="2514" cm="1">
        <f t="array" ref="P154">INDEX('7층_부하량'!E3:E3000,MATCH(1,("7-DaHall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22" cm="1">
        <f t="array" ref="D155">INDEX('7층_부하량'!C3:C3000,MATCH(1,("7-DaHall 1-PDU-04"='7층_부하량'!A3:A3000)*(5='7층_부하량'!B3:B3000),0))</f>
        <v>0</v>
      </c>
      <c r="E155" s="2522" cm="1">
        <f t="array" ref="E155">INDEX('7층_부하량'!D3:D3000,MATCH(1,("7-DaHall 1-PDU-04"='7층_부하량'!A3:A3000)*(5='7층_부하량'!B3:B3000),0))</f>
        <v>0</v>
      </c>
      <c r="F155" s="2522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5" cm="1">
        <f t="array" ref="N155">INDEX('7층_부하량'!C3:C3000,MATCH(1,("7-DaHall 1-PDU-04"='7층_부하량'!A3:A3000)*(6='7층_부하량'!B3:B3000),0))</f>
        <v>0</v>
      </c>
      <c r="O155" s="2515" cm="1">
        <f t="array" ref="O155">INDEX('7층_부하량'!D3:D3000,MATCH(1,("7-DaHall 1-PDU-04"='7층_부하량'!A3:A3000)*(6='7층_부하량'!B3:B3000),0))</f>
        <v>0</v>
      </c>
      <c r="P155" s="2515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15" cm="1">
        <f t="array" ref="D156">INDEX('7층_부하량'!C3:C3000,MATCH(1,("7-DaHall 1-PDU-04"='7층_부하량'!A3:A3000)*(7='7층_부하량'!B3:B3000),0))</f>
        <v>0</v>
      </c>
      <c r="E156" s="2515" cm="1">
        <f t="array" ref="E156">INDEX('7층_부하량'!D3:D3000,MATCH(1,("7-DaHall 1-PDU-04"='7층_부하량'!A3:A3000)*(7='7층_부하량'!B3:B3000),0))</f>
        <v>0</v>
      </c>
      <c r="F156" s="2515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5" cm="1">
        <f t="array" ref="N156">INDEX('7층_부하량'!C3:C3000,MATCH(1,("7-DaHall 1-PDU-04"='7층_부하량'!A3:A3000)*(8='7층_부하량'!B3:B3000),0))</f>
        <v>0</v>
      </c>
      <c r="O156" s="2515" cm="1">
        <f t="array" ref="O156">INDEX('7층_부하량'!D3:D3000,MATCH(1,("7-DaHall 1-PDU-04"='7층_부하량'!A3:A3000)*(8='7층_부하량'!B3:B3000),0))</f>
        <v>0</v>
      </c>
      <c r="P156" s="2515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15" cm="1">
        <f t="array" ref="D157">INDEX('7층_부하량'!C3:C3000,MATCH(1,("7-DaHall 1-PDU-04"='7층_부하량'!A3:A3000)*(9='7층_부하량'!B3:B3000),0))</f>
        <v>0</v>
      </c>
      <c r="E157" s="2515" cm="1">
        <f t="array" ref="E157">INDEX('7층_부하량'!D3:D3000,MATCH(1,("7-DaHall 1-PDU-04"='7층_부하량'!A3:A3000)*(9='7층_부하량'!B3:B3000),0))</f>
        <v>0</v>
      </c>
      <c r="F157" s="2515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5" cm="1">
        <f t="array" ref="N157">INDEX('7층_부하량'!C3:C3000,MATCH(1,("7-DaHall 1-PDU-04"='7층_부하량'!A3:A3000)*(10='7층_부하량'!B3:B3000),0))</f>
        <v>0</v>
      </c>
      <c r="O157" s="2515" cm="1">
        <f t="array" ref="O157">INDEX('7층_부하량'!D3:D3000,MATCH(1,("7-DaHall 1-PDU-04"='7층_부하량'!A3:A3000)*(10='7층_부하량'!B3:B3000),0))</f>
        <v>0</v>
      </c>
      <c r="P157" s="2515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198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4547</v>
      </c>
      <c r="C166" s="50" t="s">
        <v>4548</v>
      </c>
      <c r="D166" s="2199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4207</v>
      </c>
      <c r="C167" s="50" t="s">
        <v>4207</v>
      </c>
      <c r="D167" s="2200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4207</v>
      </c>
      <c r="C168" s="50" t="s">
        <v>4551</v>
      </c>
      <c r="D168" s="2201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2" t="s">
        <v>4553</v>
      </c>
      <c r="C169" s="50" t="s">
        <v>4554</v>
      </c>
      <c r="D169" s="2202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2" t="s">
        <v>4556</v>
      </c>
      <c r="C170" s="50"/>
      <c r="D170" s="2202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4558</v>
      </c>
      <c r="D171" s="2344">
        <f>SUM(D165:D170)</f>
        <v>0</v>
      </c>
      <c r="E171" s="2343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4561</v>
      </c>
      <c r="N173" s="2344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5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.6" thickTop="1" thickBot="1" x14ac:dyDescent="0.3">
      <c r="A3" s="53" t="s">
        <v>6591</v>
      </c>
      <c r="D3" s="3969" t="s">
        <v>8552</v>
      </c>
      <c r="E3" s="3969"/>
      <c r="F3" s="3969"/>
      <c r="G3" s="3969"/>
      <c r="H3" s="489"/>
      <c r="I3" s="123"/>
      <c r="J3" s="3970" t="s">
        <v>4201</v>
      </c>
      <c r="K3" s="397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13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3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14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4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15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5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15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5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15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5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15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5" cm="1">
        <f t="array" ref="P11">INDEX('7층_부하량'!H3:H3000,MATCH(1,("7-DaHall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15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5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15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5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16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23" t="s">
        <v>4240</v>
      </c>
      <c r="L14" s="475" t="s">
        <v>4179</v>
      </c>
      <c r="M14" s="535" t="s">
        <v>4171</v>
      </c>
      <c r="N14" s="156"/>
      <c r="O14" s="156"/>
      <c r="P14" s="2515" cm="1">
        <f t="array" ref="P14">INDEX('7층_부하량'!H3:H3000,MATCH(1,("7-DaHall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15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5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15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5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15" cm="1">
        <f t="array" ref="F17">INDEX('7층_부하량'!H3:H3000,MATCH(1,("7-DaHall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5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15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5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15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5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17" cm="1">
        <f t="array" ref="F20">INDEX('7층_부하량'!H3:H3000,MATCH(1,("7-DaHall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7" cm="1">
        <f t="array" ref="P20">INDEX('7층_부하량'!H3:H3000,MATCH(1,("7-DaHall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15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5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15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5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15" cm="1">
        <f t="array" ref="F23">INDEX('7층_부하량'!H3:H3000,MATCH(1,("7-DaHall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5" cm="1">
        <f t="array" ref="P23">INDEX('7층_부하량'!H3:H3000,MATCH(1,("7-DaHall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15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5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18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8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969" t="s">
        <v>8553</v>
      </c>
      <c r="E28" s="3969"/>
      <c r="F28" s="3969"/>
      <c r="G28" s="3969"/>
      <c r="H28" s="498"/>
      <c r="I28" s="132"/>
      <c r="J28" s="3972" t="s">
        <v>4288</v>
      </c>
      <c r="K28" s="397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13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3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19" cm="1">
        <f t="array" ref="F32">INDEX('7층_부하량'!H3:H3000,MATCH(1,("7-DaHall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4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15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5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15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5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15" cm="1">
        <f t="array" ref="F35">INDEX('7층_부하량'!H3:H3000,MATCH(1,("7-DaHall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5" cm="1">
        <f t="array" ref="P35">INDEX('7층_부하량'!H3:H3000,MATCH(1,("7-DaHall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15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5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15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5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15" cm="1">
        <f t="array" ref="F38">INDEX('7층_부하량'!H3:H3000,MATCH(1,("7-DaHall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5" cm="1">
        <f t="array" ref="P38">INDEX('7층_부하량'!H3:H3000,MATCH(1,("7-DaHall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15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5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15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5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15" cm="1">
        <f t="array" ref="F41">INDEX('7층_부하량'!H3:H3000,MATCH(1,("7-DaHall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5" cm="1">
        <f t="array" ref="P41">INDEX('7층_부하량'!H3:H3000,MATCH(1,("7-DaHall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15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5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15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5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20" cm="1">
        <f t="array" ref="F44">INDEX('7층_부하량'!H3:H3000,MATCH(1,("7-DaHall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20" cm="1">
        <f t="array" ref="P44">INDEX('7층_부하량'!H3:H3000,MATCH(1,("7-DaHall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21" t="s">
        <v>4149</v>
      </c>
      <c r="D45" s="2515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22" t="s">
        <v>4240</v>
      </c>
      <c r="K45" s="518" t="s">
        <v>4331</v>
      </c>
      <c r="L45" s="484" t="s">
        <v>4265</v>
      </c>
      <c r="M45" s="536" t="s">
        <v>4171</v>
      </c>
      <c r="N45" s="2515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15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5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15" cm="1">
        <f t="array" ref="F47">INDEX('7층_부하량'!H3:H3000,MATCH(1,("7-DaHall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5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15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5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15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5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15" cm="1">
        <f t="array" ref="F50">INDEX('7층_부하량'!H3:H3000,MATCH(1,("7-DaHall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5" cm="1">
        <f t="array" ref="P50">INDEX('7층_부하량'!H3:H3000,MATCH(1,("7-DaHall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15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5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15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5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15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5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15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5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28" t="s">
        <v>1116</v>
      </c>
      <c r="B55" s="156" t="s">
        <v>4153</v>
      </c>
      <c r="C55" s="281" t="s">
        <v>4149</v>
      </c>
      <c r="D55" s="156"/>
      <c r="E55" s="2515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4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28" t="s">
        <v>1118</v>
      </c>
      <c r="B56" s="156" t="s">
        <v>4153</v>
      </c>
      <c r="C56" s="281" t="s">
        <v>4149</v>
      </c>
      <c r="D56" s="156"/>
      <c r="E56" s="156"/>
      <c r="F56" s="2515" cm="1">
        <f t="array" ref="F56">INDEX('7층_부하량'!H3:H3000,MATCH(1,("7-DaHall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4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18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8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969" t="s">
        <v>8554</v>
      </c>
      <c r="E60" s="3969"/>
      <c r="F60" s="3969"/>
      <c r="G60" s="3969"/>
      <c r="H60" s="498"/>
      <c r="I60" s="132"/>
      <c r="J60" s="3972" t="s">
        <v>4288</v>
      </c>
      <c r="K60" s="397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13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3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19" cm="1">
        <f t="array" ref="F64">INDEX('7층_부하량'!H3:H3000,MATCH(1,("7-DaHall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4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15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5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15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5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15" cm="1">
        <f t="array" ref="F67">INDEX('7층_부하량'!H3:H3000,MATCH(1,("7-DaHall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5" cm="1">
        <f t="array" ref="P67">INDEX('7층_부하량'!H3:H3000,MATCH(1,("7-DaHall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15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5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15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5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15" cm="1">
        <f t="array" ref="F70">INDEX('7층_부하량'!H3:H3000,MATCH(1,("7-DaHall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5" cm="1">
        <f t="array" ref="P70">INDEX('7층_부하량'!H3:H3000,MATCH(1,("7-DaHall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15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5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15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5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15" cm="1">
        <f t="array" ref="F73">INDEX('7층_부하량'!H3:H3000,MATCH(1,("7-DaHall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5" cm="1">
        <f t="array" ref="P73">INDEX('7층_부하량'!H3:H3000,MATCH(1,("7-DaHall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15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5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15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5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20" cm="1">
        <f t="array" ref="F76">INDEX('7층_부하량'!H3:H3000,MATCH(1,("7-DaHall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20" cm="1">
        <f t="array" ref="P76">INDEX('7층_부하량'!H3:H3000,MATCH(1,("7-DaHall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15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5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15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5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15" cm="1">
        <f t="array" ref="F79">INDEX('7층_부하량'!H3:H3000,MATCH(1,("7-DaHall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5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15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5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15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5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15" cm="1">
        <f t="array" ref="F82">INDEX('7층_부하량'!H3:H3000,MATCH(1,("7-DaHall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5" cm="1">
        <f t="array" ref="P82">INDEX('7층_부하량'!H3:H3000,MATCH(1,("7-DaHall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15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5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15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5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15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5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15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5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15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4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15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4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18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8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969" t="s">
        <v>8555</v>
      </c>
      <c r="E92" s="3969"/>
      <c r="F92" s="3969"/>
      <c r="G92" s="3969"/>
      <c r="H92" s="489"/>
      <c r="I92" s="123"/>
      <c r="J92" s="3970" t="s">
        <v>4201</v>
      </c>
      <c r="K92" s="397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13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3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14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4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15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5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15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5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15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5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15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5" cm="1">
        <f t="array" ref="P100">INDEX('7층_부하량'!H3:H3000,MATCH(1,("7-DaHall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15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5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15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5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15" cm="1">
        <f t="array" ref="F103">INDEX('7층_부하량'!H3:H3000,MATCH(1,("7-DaHall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5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15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5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15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5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15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5" cm="1">
        <f t="array" ref="P106">INDEX('7층_부하량'!H3:H3000,MATCH(1,("7-DaHall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15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5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15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5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17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7" cm="1">
        <f t="array" ref="P109">INDEX('7층_부하량'!H3:H3000,MATCH(1,("7-DaHall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15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5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15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5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15" cm="1">
        <f t="array" ref="F112">INDEX('7층_부하량'!H3:H3000,MATCH(1,("7-DaHall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5" cm="1">
        <f t="array" ref="P112">INDEX('7층_부하량'!H3:H3000,MATCH(1,("7-DaHall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15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5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18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8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6590</v>
      </c>
      <c r="D117" s="3969" t="s">
        <v>8556</v>
      </c>
      <c r="E117" s="3969"/>
      <c r="F117" s="3969"/>
      <c r="G117" s="3969"/>
      <c r="H117" s="489"/>
      <c r="I117" s="123"/>
      <c r="J117" s="3970" t="s">
        <v>4507</v>
      </c>
      <c r="K117" s="397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13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3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14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4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15" cm="1">
        <f t="array" ref="F122">INDEX('7층_부하량'!H3:H3000,MATCH(1,("7-DaHall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5" cm="1">
        <f t="array" ref="P122">INDEX('7층_부하량'!H3:H3000,MATCH(1,("7-DaHall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15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5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15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5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30" t="s">
        <v>6588</v>
      </c>
      <c r="B126" s="132"/>
      <c r="C126" s="195"/>
      <c r="D126" s="3969" t="s">
        <v>8559</v>
      </c>
      <c r="E126" s="3969"/>
      <c r="F126" s="3969"/>
      <c r="G126" s="396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970" t="s">
        <v>4507</v>
      </c>
      <c r="K127" s="3971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13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3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14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4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15" cm="1">
        <f t="array" ref="F130">INDEX('7층_부하량'!H3:H3000,MATCH(1,("7-DaHall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5" cm="1">
        <f t="array" ref="P130">INDEX('7층_부하량'!H3:H3000,MATCH(1,("7-DaHall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15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5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15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5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6589</v>
      </c>
      <c r="D135" s="3969" t="s">
        <v>8557</v>
      </c>
      <c r="E135" s="3969"/>
      <c r="F135" s="3969"/>
      <c r="G135" s="3969"/>
      <c r="H135" s="489"/>
      <c r="I135" s="123"/>
      <c r="J135" s="3970" t="s">
        <v>4201</v>
      </c>
      <c r="K135" s="397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21" cm="1">
        <f t="array" ref="D138">INDEX('7층_부하량'!F3:F3000,MATCH(1,("7-DaHall 1-PDU-03"='7층_부하량'!A3:A3000)*(1='7층_부하량'!B3:B3000),0))</f>
        <v>0</v>
      </c>
      <c r="E138" s="2521" cm="1">
        <f t="array" ref="E138">INDEX('7층_부하량'!G3:G3000,MATCH(1,("7-DaHall 1-PDU-03"='7층_부하량'!A3:A3000)*(1='7층_부하량'!B3:B3000),0))</f>
        <v>0</v>
      </c>
      <c r="F138" s="2521" cm="1">
        <f t="array" ref="F138">INDEX('7층_부하량'!H3:H3000,MATCH(1,("7-DaHall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1" cm="1">
        <f t="array" ref="N138">INDEX('7층_부하량'!F3:F3000,MATCH(1,("7-DaHall 1-PDU-03"='7층_부하량'!A3:A3000)*(2='7층_부하량'!B3:B3000),0))</f>
        <v>0</v>
      </c>
      <c r="O138" s="2521" cm="1">
        <f t="array" ref="O138">INDEX('7층_부하량'!G3:G3000,MATCH(1,("7-DaHall 1-PDU-03"='7층_부하량'!A3:A3000)*(2='7층_부하량'!B3:B3000),0))</f>
        <v>0</v>
      </c>
      <c r="P138" s="2521" cm="1">
        <f t="array" ref="P138">INDEX('7층_부하량'!H3:H3000,MATCH(1,("7-DaHall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14" cm="1">
        <f t="array" ref="D139">INDEX('7층_부하량'!F3:F3000,MATCH(1,("7-DaHall 1-PDU-03"='7층_부하량'!A3:A3000)*(3='7층_부하량'!B3:B3000),0))</f>
        <v>0</v>
      </c>
      <c r="E139" s="2514" cm="1">
        <f t="array" ref="E139">INDEX('7층_부하량'!G3:G3000,MATCH(1,("7-DaHall 1-PDU-03"='7층_부하량'!A3:A3000)*(3='7층_부하량'!B3:B3000),0))</f>
        <v>0</v>
      </c>
      <c r="F139" s="2514" cm="1">
        <f t="array" ref="F139">INDEX('7층_부하량'!H3:H3000,MATCH(1,("7-DaHall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4" cm="1">
        <f t="array" ref="N139">INDEX('7층_부하량'!F3:F3000,MATCH(1,("7-DaHall 1-PDU-03"='7층_부하량'!A3:A3000)*(4='7층_부하량'!B3:B3000),0))</f>
        <v>0</v>
      </c>
      <c r="O139" s="2522" cm="1">
        <f t="array" ref="O139">INDEX('7층_부하량'!G3:G3000,MATCH(1,("7-DaHall 1-PDU-03"='7층_부하량'!A3:A3000)*(4='7층_부하량'!B3:B3000),0))</f>
        <v>0</v>
      </c>
      <c r="P139" s="2522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15" cm="1">
        <f t="array" ref="D140">INDEX('7층_부하량'!F3:F3000,MATCH(1,("7-DaHall 1-PDU-03"='7층_부하량'!A3:A3000)*(5='7층_부하량'!B3:B3000),0))</f>
        <v>0</v>
      </c>
      <c r="E140" s="2515" cm="1">
        <f t="array" ref="E140">INDEX('7층_부하량'!G3:G3000,MATCH(1,("7-DaHall 1-PDU-03"='7층_부하량'!A3:A3000)*(5='7층_부하량'!B3:B3000),0))</f>
        <v>0</v>
      </c>
      <c r="F140" s="2515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3" cm="1">
        <f t="array" ref="N140">INDEX('7층_부하량'!F3:F3000,MATCH(1,("7-DaHall 1-PDU-03"='7층_부하량'!A3:A3000)*(6='7층_부하량'!B3:B3000),0))</f>
        <v>0</v>
      </c>
      <c r="O140" s="2523" cm="1">
        <f t="array" ref="O140">INDEX('7층_부하량'!G3:G3000,MATCH(1,("7-DaHall 1-PDU-03"='7층_부하량'!A3:A3000)*(6='7층_부하량'!B3:B3000),0))</f>
        <v>0</v>
      </c>
      <c r="P140" s="2523" cm="1">
        <f t="array" ref="P140">INDEX('7층_부하량'!H3:H3000,MATCH(1,("7-DaHall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15" cm="1">
        <f t="array" ref="D141">INDEX('7층_부하량'!F3:F3000,MATCH(1,("7-DaHall 1-PDU-03"='7층_부하량'!A3:A3000)*(7='7층_부하량'!B3:B3000),0))</f>
        <v>0</v>
      </c>
      <c r="E141" s="2515" cm="1">
        <f t="array" ref="E141">INDEX('7층_부하량'!G3:G3000,MATCH(1,("7-DaHall 1-PDU-03"='7층_부하량'!A3:A3000)*(7='7층_부하량'!B3:B3000),0))</f>
        <v>0</v>
      </c>
      <c r="F141" s="2515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5" cm="1">
        <f t="array" ref="N141">INDEX('7층_부하량'!F3:F3000,MATCH(1,("7-DaHall 1-PDU-03"='7층_부하량'!A3:A3000)*(8='7층_부하량'!B3:B3000),0))</f>
        <v>0</v>
      </c>
      <c r="O141" s="2515" cm="1">
        <f t="array" ref="O141">INDEX('7층_부하량'!G3:G3000,MATCH(1,("7-DaHall 1-PDU-03"='7층_부하량'!A3:A3000)*(8='7층_부하량'!B3:B3000),0))</f>
        <v>0</v>
      </c>
      <c r="P141" s="2515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15" cm="1">
        <f t="array" ref="D142">INDEX('7층_부하량'!F3:F3000,MATCH(1,("7-DaHall 1-PDU-03"='7층_부하량'!A3:A3000)*(9='7층_부하량'!B3:B3000),0))</f>
        <v>0</v>
      </c>
      <c r="E142" s="2515" cm="1">
        <f t="array" ref="E142">INDEX('7층_부하량'!G3:G3000,MATCH(1,("7-DaHall 1-PDU-03"='7층_부하량'!A3:A3000)*(9='7층_부하량'!B3:B3000),0))</f>
        <v>0</v>
      </c>
      <c r="F142" s="2515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5" cm="1">
        <f t="array" ref="N142">INDEX('7층_부하량'!F3:F3000,MATCH(1,("7-DaHall 1-PDU-03"='7층_부하량'!A3:A3000)*(10='7층_부하량'!B3:B3000),0))</f>
        <v>0</v>
      </c>
      <c r="O142" s="2515" cm="1">
        <f t="array" ref="O142">INDEX('7층_부하량'!G3:G3000,MATCH(1,("7-DaHall 1-PDU-03"='7층_부하량'!A3:A3000)*(10='7층_부하량'!B3:B3000),0))</f>
        <v>0</v>
      </c>
      <c r="P142" s="2515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6586</v>
      </c>
      <c r="D150" s="3969" t="s">
        <v>8558</v>
      </c>
      <c r="E150" s="3969"/>
      <c r="F150" s="3969"/>
      <c r="G150" s="3969"/>
      <c r="H150" s="489"/>
      <c r="I150" s="123"/>
      <c r="J150" s="3970" t="s">
        <v>4201</v>
      </c>
      <c r="K150" s="397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13" cm="1">
        <f t="array" ref="D153">INDEX('7층_부하량'!F3:F3000,MATCH(1,("7-DaHall 1-PDU-04"='7층_부하량'!A3:A3000)*(1='7층_부하량'!B3:B3000),0))</f>
        <v>0</v>
      </c>
      <c r="E153" s="2513" cm="1">
        <f t="array" ref="E153">INDEX('7층_부하량'!G3:G3000,MATCH(1,("7-DaHall 1-PDU-04"='7층_부하량'!A3:A3000)*(1='7층_부하량'!B3:B3000),0))</f>
        <v>0</v>
      </c>
      <c r="F153" s="2513" cm="1">
        <f t="array" ref="F153">INDEX('7층_부하량'!H3:H3000,MATCH(1,("7-DaHall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1" cm="1">
        <f t="array" ref="N153">INDEX('7층_부하량'!F3:F3000,MATCH(1,("7-DaHall 1-PDU-04"='7층_부하량'!A3:A3000)*(2='7층_부하량'!B3:B3000),0))</f>
        <v>0</v>
      </c>
      <c r="O153" s="2521" cm="1">
        <f t="array" ref="O153">INDEX('7층_부하량'!G3:G3000,MATCH(1,("7-DaHall 1-PDU-04"='7층_부하량'!A3:A3000)*(2='7층_부하량'!B3:B3000),0))</f>
        <v>0</v>
      </c>
      <c r="P153" s="2521" cm="1">
        <f t="array" ref="P153">INDEX('7층_부하량'!H3:H3000,MATCH(1,("7-DaHall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22" cm="1">
        <f t="array" ref="D154">INDEX('7층_부하량'!F3:F3000,MATCH(1,("7-DaHall 1-PDU-04"='7층_부하량'!A3:A3000)*(3='7층_부하량'!B3:B3000),0))</f>
        <v>0</v>
      </c>
      <c r="E154" s="2522" cm="1">
        <f t="array" ref="E154">INDEX('7층_부하량'!G3:G3000,MATCH(1,("7-DaHall 1-PDU-04"='7층_부하량'!A3:A3000)*(3='7층_부하량'!B3:B3000),0))</f>
        <v>0</v>
      </c>
      <c r="F154" s="2522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2" cm="1">
        <f t="array" ref="N154">INDEX('7층_부하량'!F3:F3000,MATCH(1,("7-DaHall 1-PDU-04"='7층_부하량'!A3:A3000)*(4='7층_부하량'!B3:B3000),0))</f>
        <v>0</v>
      </c>
      <c r="O154" s="2522" cm="1">
        <f t="array" ref="O154">INDEX('7층_부하량'!G3:G3000,MATCH(1,("7-DaHall 1-PDU-04"='7층_부하량'!A3:A3000)*(4='7층_부하량'!B3:B3000),0))</f>
        <v>0</v>
      </c>
      <c r="P154" s="2514" cm="1">
        <f t="array" ref="P154">INDEX('7층_부하량'!H3:H3000,MATCH(1,("7-DaHall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22" cm="1">
        <f t="array" ref="D155">INDEX('7층_부하량'!F3:F3000,MATCH(1,("7-DaHall 1-PDU-04"='7층_부하량'!A3:A3000)*(5='7층_부하량'!B3:B3000),0))</f>
        <v>0</v>
      </c>
      <c r="E155" s="2522" cm="1">
        <f t="array" ref="E155">INDEX('7층_부하량'!G3:G3000,MATCH(1,("7-DaHall 1-PDU-04"='7층_부하량'!A3:A3000)*(5='7층_부하량'!B3:B3000),0))</f>
        <v>0</v>
      </c>
      <c r="F155" s="2522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5" cm="1">
        <f t="array" ref="N155">INDEX('7층_부하량'!F3:F3000,MATCH(1,("7-DaHall 1-PDU-04"='7층_부하량'!A3:A3000)*(6='7층_부하량'!B3:B3000),0))</f>
        <v>0</v>
      </c>
      <c r="O155" s="2515" cm="1">
        <f t="array" ref="O155">INDEX('7층_부하량'!G3:G3000,MATCH(1,("7-DaHall 1-PDU-04"='7층_부하량'!A3:A3000)*(6='7층_부하량'!B3:B3000),0))</f>
        <v>0</v>
      </c>
      <c r="P155" s="2515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15" cm="1">
        <f t="array" ref="D156">INDEX('7층_부하량'!F3:F3000,MATCH(1,("7-DaHall 1-PDU-04"='7층_부하량'!A3:A3000)*(7='7층_부하량'!B3:B3000),0))</f>
        <v>0</v>
      </c>
      <c r="E156" s="2515" cm="1">
        <f t="array" ref="E156">INDEX('7층_부하량'!G3:G3000,MATCH(1,("7-DaHall 1-PDU-04"='7층_부하량'!A3:A3000)*(7='7층_부하량'!B3:B3000),0))</f>
        <v>0</v>
      </c>
      <c r="F156" s="2515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5" cm="1">
        <f t="array" ref="N156">INDEX('7층_부하량'!F3:F3000,MATCH(1,("7-DaHall 1-PDU-04"='7층_부하량'!A3:A3000)*(8='7층_부하량'!B3:B3000),0))</f>
        <v>0</v>
      </c>
      <c r="O156" s="2515" cm="1">
        <f t="array" ref="O156">INDEX('7층_부하량'!G3:G3000,MATCH(1,("7-DaHall 1-PDU-04"='7층_부하량'!A3:A3000)*(8='7층_부하량'!B3:B3000),0))</f>
        <v>0</v>
      </c>
      <c r="P156" s="2515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15" cm="1">
        <f t="array" ref="D157">INDEX('7층_부하량'!F3:F3000,MATCH(1,("7-DaHall 1-PDU-04"='7층_부하량'!A3:A3000)*(9='7층_부하량'!B3:B3000),0))</f>
        <v>0</v>
      </c>
      <c r="E157" s="2515" cm="1">
        <f t="array" ref="E157">INDEX('7층_부하량'!G3:G3000,MATCH(1,("7-DaHall 1-PDU-04"='7층_부하량'!A3:A3000)*(9='7층_부하량'!B3:B3000),0))</f>
        <v>0</v>
      </c>
      <c r="F157" s="2515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5" cm="1">
        <f t="array" ref="N157">INDEX('7층_부하량'!F3:F3000,MATCH(1,("7-DaHall 1-PDU-04"='7층_부하량'!A3:A3000)*(10='7층_부하량'!B3:B3000),0))</f>
        <v>0</v>
      </c>
      <c r="O157" s="2515" cm="1">
        <f t="array" ref="O157">INDEX('7층_부하량'!G3:G3000,MATCH(1,("7-DaHall 1-PDU-04"='7층_부하량'!A3:A3000)*(10='7층_부하량'!B3:B3000),0))</f>
        <v>0</v>
      </c>
      <c r="P157" s="2515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198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4547</v>
      </c>
      <c r="C166" s="50" t="s">
        <v>4548</v>
      </c>
      <c r="D166" s="2199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4207</v>
      </c>
      <c r="C167" s="50" t="s">
        <v>4207</v>
      </c>
      <c r="D167" s="2200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4207</v>
      </c>
      <c r="C168" s="50" t="s">
        <v>4551</v>
      </c>
      <c r="D168" s="2201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2" t="s">
        <v>4553</v>
      </c>
      <c r="C169" s="50" t="s">
        <v>4554</v>
      </c>
      <c r="D169" s="2202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2" t="s">
        <v>4556</v>
      </c>
      <c r="C170" s="50"/>
      <c r="D170" s="2202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4558</v>
      </c>
      <c r="D171" s="2344">
        <f>SUM(D165:D170)</f>
        <v>0</v>
      </c>
      <c r="E171" s="2343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4561</v>
      </c>
      <c r="N173" s="2344">
        <f>SUM(N165:P172)</f>
        <v>0</v>
      </c>
    </row>
    <row r="175" spans="1:20" x14ac:dyDescent="0.25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5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.6" thickTop="1" thickBot="1" x14ac:dyDescent="0.3">
      <c r="A3" s="53" t="s">
        <v>6591</v>
      </c>
      <c r="D3" s="3969" t="s">
        <v>8552</v>
      </c>
      <c r="E3" s="3969"/>
      <c r="F3" s="3969"/>
      <c r="G3" s="3969"/>
      <c r="H3" s="489"/>
      <c r="I3" s="123"/>
      <c r="J3" s="3970" t="s">
        <v>4201</v>
      </c>
      <c r="K3" s="3971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13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3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14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4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15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5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15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5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15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5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15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5" cm="1">
        <f t="array" ref="P11">INDEX('7층_부하량'!K3:K3000,MATCH(1,("7-DaHall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15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5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15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5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16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23" t="s">
        <v>4240</v>
      </c>
      <c r="L14" s="475" t="s">
        <v>4179</v>
      </c>
      <c r="M14" s="535" t="s">
        <v>4171</v>
      </c>
      <c r="N14" s="156"/>
      <c r="O14" s="156"/>
      <c r="P14" s="2515" cm="1">
        <f t="array" ref="P14">INDEX('7층_부하량'!K3:K3000,MATCH(1,("7-DaHall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15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5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15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5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15" cm="1">
        <f t="array" ref="F17">INDEX('7층_부하량'!K3:K3000,MATCH(1,("7-DaHall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5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15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5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15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5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17" cm="1">
        <f t="array" ref="F20">INDEX('7층_부하량'!K3:K3000,MATCH(1,("7-DaHall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7" cm="1">
        <f t="array" ref="P20">INDEX('7층_부하량'!K3:K3000,MATCH(1,("7-DaHall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15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5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15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5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15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5" cm="1">
        <f t="array" ref="P23">INDEX('7층_부하량'!K3:K3000,MATCH(1,("7-DaHall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15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5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18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8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969" t="s">
        <v>8553</v>
      </c>
      <c r="E28" s="3969"/>
      <c r="F28" s="3969"/>
      <c r="G28" s="3969"/>
      <c r="H28" s="498"/>
      <c r="I28" s="132"/>
      <c r="J28" s="3972" t="s">
        <v>4288</v>
      </c>
      <c r="K28" s="3973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13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3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19" cm="1">
        <f t="array" ref="F32">INDEX('7층_부하량'!K3:K3000,MATCH(1,("7-DaHall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4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15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5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15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5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15" cm="1">
        <f t="array" ref="F35">INDEX('7층_부하량'!K3:K3000,MATCH(1,("7-DaHall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5" cm="1">
        <f t="array" ref="P35">INDEX('7층_부하량'!K3:K3000,MATCH(1,("7-DaHall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15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5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15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5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15" cm="1">
        <f t="array" ref="F38">INDEX('7층_부하량'!K3:K3000,MATCH(1,("7-DaHall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5" cm="1">
        <f t="array" ref="P38">INDEX('7층_부하량'!K3:K3000,MATCH(1,("7-DaHall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15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5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15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5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15" cm="1">
        <f t="array" ref="F41">INDEX('7층_부하량'!K3:K3000,MATCH(1,("7-DaHall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5" cm="1">
        <f t="array" ref="P41">INDEX('7층_부하량'!K3:K3000,MATCH(1,("7-DaHall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15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5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15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5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20" cm="1">
        <f t="array" ref="F44">INDEX('7층_부하량'!K3:K3000,MATCH(1,("7-DaHall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20" cm="1">
        <f t="array" ref="P44">INDEX('7층_부하량'!K3:K3000,MATCH(1,("7-DaHall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21" t="s">
        <v>4149</v>
      </c>
      <c r="D45" s="2515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22" t="s">
        <v>4240</v>
      </c>
      <c r="K45" s="518" t="s">
        <v>4331</v>
      </c>
      <c r="L45" s="484" t="s">
        <v>4265</v>
      </c>
      <c r="M45" s="536" t="s">
        <v>4171</v>
      </c>
      <c r="N45" s="2515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15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5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15" cm="1">
        <f t="array" ref="F47">INDEX('7층_부하량'!K3:K3000,MATCH(1,("7-DaHall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5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15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5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15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5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15" cm="1">
        <f t="array" ref="F50">INDEX('7층_부하량'!K3:K3000,MATCH(1,("7-DaHall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5" cm="1">
        <f t="array" ref="P50">INDEX('7층_부하량'!K3:K3000,MATCH(1,("7-DaHall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15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5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15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5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15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5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15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5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28" t="s">
        <v>1116</v>
      </c>
      <c r="B55" s="156" t="s">
        <v>4153</v>
      </c>
      <c r="C55" s="281" t="s">
        <v>4149</v>
      </c>
      <c r="D55" s="156"/>
      <c r="E55" s="2515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4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28" t="s">
        <v>1118</v>
      </c>
      <c r="B56" s="156" t="s">
        <v>4153</v>
      </c>
      <c r="C56" s="281" t="s">
        <v>4149</v>
      </c>
      <c r="D56" s="156"/>
      <c r="E56" s="156"/>
      <c r="F56" s="2515" cm="1">
        <f t="array" ref="F56">INDEX('7층_부하량'!K3:K3000,MATCH(1,("7-DaHall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4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18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8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969" t="s">
        <v>8554</v>
      </c>
      <c r="E60" s="3969"/>
      <c r="F60" s="3969"/>
      <c r="G60" s="3969"/>
      <c r="H60" s="498"/>
      <c r="I60" s="132"/>
      <c r="J60" s="3972" t="s">
        <v>4288</v>
      </c>
      <c r="K60" s="3973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13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3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19" cm="1">
        <f t="array" ref="F64">INDEX('7층_부하량'!K3:K3000,MATCH(1,("7-DaHall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4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15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5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15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5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15" cm="1">
        <f t="array" ref="F67">INDEX('7층_부하량'!K3:K3000,MATCH(1,("7-DaHall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5" cm="1">
        <f t="array" ref="P67">INDEX('7층_부하량'!K3:K3000,MATCH(1,("7-DaHall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15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5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15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5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15" cm="1">
        <f t="array" ref="F70">INDEX('7층_부하량'!K3:K3000,MATCH(1,("7-DaHall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5" cm="1">
        <f t="array" ref="P70">INDEX('7층_부하량'!K3:K3000,MATCH(1,("7-DaHall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15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5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15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5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15" cm="1">
        <f t="array" ref="F73">INDEX('7층_부하량'!K3:K3000,MATCH(1,("7-DaHall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5" cm="1">
        <f t="array" ref="P73">INDEX('7층_부하량'!K3:K3000,MATCH(1,("7-DaHall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15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5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15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5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20" cm="1">
        <f t="array" ref="F76">INDEX('7층_부하량'!K3:K3000,MATCH(1,("7-DaHall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20" cm="1">
        <f t="array" ref="P76">INDEX('7층_부하량'!K3:K3000,MATCH(1,("7-DaHall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15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5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15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5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15" cm="1">
        <f t="array" ref="F79">INDEX('7층_부하량'!K3:K3000,MATCH(1,("7-DaHall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5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15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5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15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5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15" cm="1">
        <f t="array" ref="F82">INDEX('7층_부하량'!K3:K3000,MATCH(1,("7-DaHall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5" cm="1">
        <f t="array" ref="P82">INDEX('7층_부하량'!K3:K3000,MATCH(1,("7-DaHall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15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5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15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5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15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5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15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5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15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4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15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4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18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8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969" t="s">
        <v>8555</v>
      </c>
      <c r="E92" s="3969"/>
      <c r="F92" s="3969"/>
      <c r="G92" s="3969"/>
      <c r="H92" s="489"/>
      <c r="I92" s="123"/>
      <c r="J92" s="3970" t="s">
        <v>4201</v>
      </c>
      <c r="K92" s="3971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13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3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14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4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15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5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15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5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15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5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15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5" cm="1">
        <f t="array" ref="P100">INDEX('7층_부하량'!K3:K3000,MATCH(1,("7-DaHall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15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5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15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5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15" cm="1">
        <f t="array" ref="F103">INDEX('7층_부하량'!K3:K3000,MATCH(1,("7-DaHall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5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15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5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15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5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15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5" cm="1">
        <f t="array" ref="P106">INDEX('7층_부하량'!K3:K3000,MATCH(1,("7-DaHall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15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5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15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5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17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7" cm="1">
        <f t="array" ref="P109">INDEX('7층_부하량'!K3:K3000,MATCH(1,("7-DaHall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15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5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15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5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15" cm="1">
        <f t="array" ref="F112">INDEX('7층_부하량'!K3:K3000,MATCH(1,("7-DaHall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5" cm="1">
        <f t="array" ref="P112">INDEX('7층_부하량'!K3:K3000,MATCH(1,("7-DaHall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15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5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18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8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6590</v>
      </c>
      <c r="D117" s="3969" t="s">
        <v>8556</v>
      </c>
      <c r="E117" s="3969"/>
      <c r="F117" s="3969"/>
      <c r="G117" s="3969"/>
      <c r="H117" s="489"/>
      <c r="I117" s="123"/>
      <c r="J117" s="3970" t="s">
        <v>4507</v>
      </c>
      <c r="K117" s="3971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13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3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14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4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15" cm="1">
        <f t="array" ref="F122">INDEX('7층_부하량'!K3:K3000,MATCH(1,("7-DaHall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5" cm="1">
        <f t="array" ref="P122">INDEX('7층_부하량'!K3:K3000,MATCH(1,("7-DaHall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15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5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15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5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30" t="s">
        <v>6588</v>
      </c>
      <c r="B126" s="132"/>
      <c r="C126" s="195"/>
      <c r="D126" s="3969" t="s">
        <v>8559</v>
      </c>
      <c r="E126" s="3969"/>
      <c r="F126" s="3969"/>
      <c r="G126" s="3969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970" t="s">
        <v>4507</v>
      </c>
      <c r="K127" s="3971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13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3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14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4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15" cm="1">
        <f t="array" ref="F130">INDEX('7층_부하량'!K3:K3000,MATCH(1,("7-DaHall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5" cm="1">
        <f t="array" ref="P130">INDEX('7층_부하량'!K3:K3000,MATCH(1,("7-DaHall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15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5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15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5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6589</v>
      </c>
      <c r="D135" s="3969" t="s">
        <v>8557</v>
      </c>
      <c r="E135" s="3969"/>
      <c r="F135" s="3969"/>
      <c r="G135" s="3969"/>
      <c r="H135" s="489"/>
      <c r="I135" s="123"/>
      <c r="J135" s="3970" t="s">
        <v>4201</v>
      </c>
      <c r="K135" s="3971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21" cm="1">
        <f t="array" ref="D138">INDEX('7층_부하량'!I3:I3000,MATCH(1,("7-DaHall 1-PDU-03"='7층_부하량'!A3:A3000)*(1='7층_부하량'!B3:B3000),0))</f>
        <v>0</v>
      </c>
      <c r="E138" s="2521" cm="1">
        <f t="array" ref="E138">INDEX('7층_부하량'!J3:J3000,MATCH(1,("7-DaHall 1-PDU-03"='7층_부하량'!A3:A3000)*(1='7층_부하량'!B3:B3000),0))</f>
        <v>0</v>
      </c>
      <c r="F138" s="2521" cm="1">
        <f t="array" ref="F138">INDEX('7층_부하량'!K3:K3000,MATCH(1,("7-DaHall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1" cm="1">
        <f t="array" ref="N138">INDEX('7층_부하량'!I3:I3000,MATCH(1,("7-DaHall 1-PDU-03"='7층_부하량'!A3:A3000)*(2='7층_부하량'!B3:B3000),0))</f>
        <v>0</v>
      </c>
      <c r="O138" s="2521" cm="1">
        <f t="array" ref="O138">INDEX('7층_부하량'!J3:J3000,MATCH(1,("7-DaHall 1-PDU-03"='7층_부하량'!A3:A3000)*(2='7층_부하량'!B3:B3000),0))</f>
        <v>0</v>
      </c>
      <c r="P138" s="2521" cm="1">
        <f t="array" ref="P138">INDEX('7층_부하량'!K3:K3000,MATCH(1,("7-DaHall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14" cm="1">
        <f t="array" ref="D139">INDEX('7층_부하량'!I3:I3000,MATCH(1,("7-DaHall 1-PDU-03"='7층_부하량'!A3:A3000)*(3='7층_부하량'!B3:B3000),0))</f>
        <v>0</v>
      </c>
      <c r="E139" s="2514" cm="1">
        <f t="array" ref="E139">INDEX('7층_부하량'!J3:J3000,MATCH(1,("7-DaHall 1-PDU-03"='7층_부하량'!A3:A3000)*(3='7층_부하량'!B3:B3000),0))</f>
        <v>0</v>
      </c>
      <c r="F139" s="2514" cm="1">
        <f t="array" ref="F139">INDEX('7층_부하량'!K3:K3000,MATCH(1,("7-DaHall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4" cm="1">
        <f t="array" ref="N139">INDEX('7층_부하량'!I3:I3000,MATCH(1,("7-DaHall 1-PDU-03"='7층_부하량'!A3:A3000)*(4='7층_부하량'!B3:B3000),0))</f>
        <v>0</v>
      </c>
      <c r="O139" s="2522" cm="1">
        <f t="array" ref="O139">INDEX('7층_부하량'!J3:J3000,MATCH(1,("7-DaHall 1-PDU-03"='7층_부하량'!A3:A3000)*(4='7층_부하량'!B3:B3000),0))</f>
        <v>0</v>
      </c>
      <c r="P139" s="2522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15" cm="1">
        <f t="array" ref="D140">INDEX('7층_부하량'!I3:I3000,MATCH(1,("7-DaHall 1-PDU-03"='7층_부하량'!A3:A3000)*(5='7층_부하량'!B3:B3000),0))</f>
        <v>0</v>
      </c>
      <c r="E140" s="2515" cm="1">
        <f t="array" ref="E140">INDEX('7층_부하량'!J3:J3000,MATCH(1,("7-DaHall 1-PDU-03"='7층_부하량'!A3:A3000)*(5='7층_부하량'!B3:B3000),0))</f>
        <v>0</v>
      </c>
      <c r="F140" s="2515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3" cm="1">
        <f t="array" ref="N140">INDEX('7층_부하량'!I3:I3000,MATCH(1,("7-DaHall 1-PDU-03"='7층_부하량'!A3:A3000)*(6='7층_부하량'!B3:B3000),0))</f>
        <v>0</v>
      </c>
      <c r="O140" s="2523" cm="1">
        <f t="array" ref="O140">INDEX('7층_부하량'!J3:J3000,MATCH(1,("7-DaHall 1-PDU-03"='7층_부하량'!A3:A3000)*(6='7층_부하량'!B3:B3000),0))</f>
        <v>0</v>
      </c>
      <c r="P140" s="2523" cm="1">
        <f t="array" ref="P140">INDEX('7층_부하량'!K3:K3000,MATCH(1,("7-DaHall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15" cm="1">
        <f t="array" ref="D141">INDEX('7층_부하량'!I3:I3000,MATCH(1,("7-DaHall 1-PDU-03"='7층_부하량'!A3:A3000)*(7='7층_부하량'!B3:B3000),0))</f>
        <v>0</v>
      </c>
      <c r="E141" s="2515" cm="1">
        <f t="array" ref="E141">INDEX('7층_부하량'!J3:J3000,MATCH(1,("7-DaHall 1-PDU-03"='7층_부하량'!A3:A3000)*(7='7층_부하량'!B3:B3000),0))</f>
        <v>0</v>
      </c>
      <c r="F141" s="2515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5" cm="1">
        <f t="array" ref="N141">INDEX('7층_부하량'!I3:I3000,MATCH(1,("7-DaHall 1-PDU-03"='7층_부하량'!A3:A3000)*(8='7층_부하량'!B3:B3000),0))</f>
        <v>0</v>
      </c>
      <c r="O141" s="2515" cm="1">
        <f t="array" ref="O141">INDEX('7층_부하량'!J3:J3000,MATCH(1,("7-DaHall 1-PDU-03"='7층_부하량'!A3:A3000)*(8='7층_부하량'!B3:B3000),0))</f>
        <v>0</v>
      </c>
      <c r="P141" s="2515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15" cm="1">
        <f t="array" ref="D142">INDEX('7층_부하량'!I3:I3000,MATCH(1,("7-DaHall 1-PDU-03"='7층_부하량'!A3:A3000)*(9='7층_부하량'!B3:B3000),0))</f>
        <v>0</v>
      </c>
      <c r="E142" s="2515" cm="1">
        <f t="array" ref="E142">INDEX('7층_부하량'!J3:J3000,MATCH(1,("7-DaHall 1-PDU-03"='7층_부하량'!A3:A3000)*(9='7층_부하량'!B3:B3000),0))</f>
        <v>0</v>
      </c>
      <c r="F142" s="2515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5" cm="1">
        <f t="array" ref="N142">INDEX('7층_부하량'!I3:I3000,MATCH(1,("7-DaHall 1-PDU-03"='7층_부하량'!A3:A3000)*(10='7층_부하량'!B3:B3000),0))</f>
        <v>0</v>
      </c>
      <c r="O142" s="2515" cm="1">
        <f t="array" ref="O142">INDEX('7층_부하량'!J3:J3000,MATCH(1,("7-DaHall 1-PDU-03"='7층_부하량'!A3:A3000)*(10='7층_부하량'!B3:B3000),0))</f>
        <v>0</v>
      </c>
      <c r="P142" s="2515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6586</v>
      </c>
      <c r="D150" s="3969" t="s">
        <v>8558</v>
      </c>
      <c r="E150" s="3969"/>
      <c r="F150" s="3969"/>
      <c r="G150" s="3969"/>
      <c r="H150" s="489"/>
      <c r="I150" s="123"/>
      <c r="J150" s="3970" t="s">
        <v>4201</v>
      </c>
      <c r="K150" s="3971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13" cm="1">
        <f t="array" ref="D153">INDEX('7층_부하량'!I3:I3000,MATCH(1,("7-DaHall 1-PDU-04"='7층_부하량'!A3:A3000)*(1='7층_부하량'!B3:B3000),0))</f>
        <v>0</v>
      </c>
      <c r="E153" s="2513" cm="1">
        <f t="array" ref="E153">INDEX('7층_부하량'!J3:J3000,MATCH(1,("7-DaHall 1-PDU-04"='7층_부하량'!A3:A3000)*(1='7층_부하량'!B3:B3000),0))</f>
        <v>0</v>
      </c>
      <c r="F153" s="2513" cm="1">
        <f t="array" ref="F153">INDEX('7층_부하량'!K3:K3000,MATCH(1,("7-DaHall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1" cm="1">
        <f t="array" ref="N153">INDEX('7층_부하량'!I3:I3000,MATCH(1,("7-DaHall 1-PDU-04"='7층_부하량'!A3:A3000)*(2='7층_부하량'!B3:B3000),0))</f>
        <v>0</v>
      </c>
      <c r="O153" s="2521" cm="1">
        <f t="array" ref="O153">INDEX('7층_부하량'!J3:J3000,MATCH(1,("7-DaHall 1-PDU-04"='7층_부하량'!A3:A3000)*(2='7층_부하량'!B3:B3000),0))</f>
        <v>0</v>
      </c>
      <c r="P153" s="2521" cm="1">
        <f t="array" ref="P153">INDEX('7층_부하량'!K3:K3000,MATCH(1,("7-DaHall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22" cm="1">
        <f t="array" ref="D154">INDEX('7층_부하량'!I3:I3000,MATCH(1,("7-DaHall 1-PDU-04"='7층_부하량'!A3:A3000)*(3='7층_부하량'!B3:B3000),0))</f>
        <v>0</v>
      </c>
      <c r="E154" s="2522" cm="1">
        <f t="array" ref="E154">INDEX('7층_부하량'!J3:J3000,MATCH(1,("7-DaHall 1-PDU-04"='7층_부하량'!A3:A3000)*(3='7층_부하량'!B3:B3000),0))</f>
        <v>0</v>
      </c>
      <c r="F154" s="2522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2" cm="1">
        <f t="array" ref="N154">INDEX('7층_부하량'!I3:I3000,MATCH(1,("7-DaHall 1-PDU-04"='7층_부하량'!A3:A3000)*(4='7층_부하량'!B3:B3000),0))</f>
        <v>0</v>
      </c>
      <c r="O154" s="2522" cm="1">
        <f t="array" ref="O154">INDEX('7층_부하량'!J3:J3000,MATCH(1,("7-DaHall 1-PDU-04"='7층_부하량'!A3:A3000)*(4='7층_부하량'!B3:B3000),0))</f>
        <v>0</v>
      </c>
      <c r="P154" s="2514" cm="1">
        <f t="array" ref="P154">INDEX('7층_부하량'!K3:K3000,MATCH(1,("7-DaHall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22" cm="1">
        <f t="array" ref="D155">INDEX('7층_부하량'!I3:I3000,MATCH(1,("7-DaHall 1-PDU-04"='7층_부하량'!A3:A3000)*(5='7층_부하량'!B3:B3000),0))</f>
        <v>0</v>
      </c>
      <c r="E155" s="2522" cm="1">
        <f t="array" ref="E155">INDEX('7층_부하량'!J3:J3000,MATCH(1,("7-DaHall 1-PDU-04"='7층_부하량'!A3:A3000)*(5='7층_부하량'!B3:B3000),0))</f>
        <v>0</v>
      </c>
      <c r="F155" s="2522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5" cm="1">
        <f t="array" ref="N155">INDEX('7층_부하량'!I3:I3000,MATCH(1,("7-DaHall 1-PDU-04"='7층_부하량'!A3:A3000)*(6='7층_부하량'!B3:B3000),0))</f>
        <v>0</v>
      </c>
      <c r="O155" s="2515" cm="1">
        <f t="array" ref="O155">INDEX('7층_부하량'!J3:J3000,MATCH(1,("7-DaHall 1-PDU-04"='7층_부하량'!A3:A3000)*(6='7층_부하량'!B3:B3000),0))</f>
        <v>0</v>
      </c>
      <c r="P155" s="2515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15" cm="1">
        <f t="array" ref="D156">INDEX('7층_부하량'!I3:I3000,MATCH(1,("7-DaHall 1-PDU-04"='7층_부하량'!A3:A3000)*(7='7층_부하량'!B3:B3000),0))</f>
        <v>0</v>
      </c>
      <c r="E156" s="2515" cm="1">
        <f t="array" ref="E156">INDEX('7층_부하량'!J3:J3000,MATCH(1,("7-DaHall 1-PDU-04"='7층_부하량'!A3:A3000)*(7='7층_부하량'!B3:B3000),0))</f>
        <v>0</v>
      </c>
      <c r="F156" s="2515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5" cm="1">
        <f t="array" ref="N156">INDEX('7층_부하량'!I3:I3000,MATCH(1,("7-DaHall 1-PDU-04"='7층_부하량'!A3:A3000)*(8='7층_부하량'!B3:B3000),0))</f>
        <v>0</v>
      </c>
      <c r="O156" s="2515" cm="1">
        <f t="array" ref="O156">INDEX('7층_부하량'!J3:J3000,MATCH(1,("7-DaHall 1-PDU-04"='7층_부하량'!A3:A3000)*(8='7층_부하량'!B3:B3000),0))</f>
        <v>0</v>
      </c>
      <c r="P156" s="2515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15" cm="1">
        <f t="array" ref="D157">INDEX('7층_부하량'!I3:I3000,MATCH(1,("7-DaHall 1-PDU-04"='7층_부하량'!A3:A3000)*(9='7층_부하량'!B3:B3000),0))</f>
        <v>0</v>
      </c>
      <c r="E157" s="2515" cm="1">
        <f t="array" ref="E157">INDEX('7층_부하량'!J3:J3000,MATCH(1,("7-DaHall 1-PDU-04"='7층_부하량'!A3:A3000)*(9='7층_부하량'!B3:B3000),0))</f>
        <v>0</v>
      </c>
      <c r="F157" s="2515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5" cm="1">
        <f t="array" ref="N157">INDEX('7층_부하량'!I3:I3000,MATCH(1,("7-DaHall 1-PDU-04"='7층_부하량'!A3:A3000)*(10='7층_부하량'!B3:B3000),0))</f>
        <v>0</v>
      </c>
      <c r="O157" s="2515" cm="1">
        <f t="array" ref="O157">INDEX('7층_부하량'!J3:J3000,MATCH(1,("7-DaHall 1-PDU-04"='7층_부하량'!A3:A3000)*(10='7층_부하량'!B3:B3000),0))</f>
        <v>0</v>
      </c>
      <c r="P157" s="2515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198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4547</v>
      </c>
      <c r="C166" s="50" t="s">
        <v>4548</v>
      </c>
      <c r="D166" s="2199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4207</v>
      </c>
      <c r="C167" s="50" t="s">
        <v>4207</v>
      </c>
      <c r="D167" s="2200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4207</v>
      </c>
      <c r="C168" s="50" t="s">
        <v>4551</v>
      </c>
      <c r="D168" s="2201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2" t="s">
        <v>4553</v>
      </c>
      <c r="C169" s="50" t="s">
        <v>4554</v>
      </c>
      <c r="D169" s="2202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2" t="s">
        <v>4556</v>
      </c>
      <c r="C170" s="50"/>
      <c r="D170" s="2202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4558</v>
      </c>
      <c r="D171" s="2344">
        <f>SUM(D165:D170)</f>
        <v>0</v>
      </c>
      <c r="E171" s="2343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4561</v>
      </c>
      <c r="N173" s="2344">
        <f>SUM(N165:P172)</f>
        <v>0</v>
      </c>
    </row>
    <row r="175" spans="1:20" x14ac:dyDescent="0.25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12" bestFit="1" customWidth="1"/>
    <col min="5" max="16384" width="8.8984375" style="2512"/>
  </cols>
  <sheetData>
    <row r="1" spans="1:2" x14ac:dyDescent="0.25">
      <c r="A1" s="3966" t="s">
        <v>7540</v>
      </c>
      <c r="B1" s="3966" t="s">
        <v>8496</v>
      </c>
    </row>
    <row r="2" spans="1:2" x14ac:dyDescent="0.25">
      <c r="A2" s="3966"/>
      <c r="B2" s="3966"/>
    </row>
    <row r="3" spans="1:2" x14ac:dyDescent="0.25">
      <c r="A3" s="2511" t="s">
        <v>7534</v>
      </c>
      <c r="B3" s="2510" t="s">
        <v>8498</v>
      </c>
    </row>
    <row r="4" spans="1:2" x14ac:dyDescent="0.25">
      <c r="A4" t="s">
        <v>8261</v>
      </c>
      <c r="B4" s="2510" t="s">
        <v>8499</v>
      </c>
    </row>
    <row r="5" spans="1:2" x14ac:dyDescent="0.25">
      <c r="A5" t="s">
        <v>8262</v>
      </c>
      <c r="B5" s="2510" t="s">
        <v>8500</v>
      </c>
    </row>
    <row r="6" spans="1:2" x14ac:dyDescent="0.25">
      <c r="A6" t="s">
        <v>8263</v>
      </c>
      <c r="B6" s="2510" t="s">
        <v>8501</v>
      </c>
    </row>
    <row r="7" spans="1:2" x14ac:dyDescent="0.25">
      <c r="A7" t="s">
        <v>8264</v>
      </c>
      <c r="B7" s="2510" t="s">
        <v>8502</v>
      </c>
    </row>
    <row r="8" spans="1:2" x14ac:dyDescent="0.25">
      <c r="A8" t="s">
        <v>8265</v>
      </c>
      <c r="B8" s="2510" t="s">
        <v>8503</v>
      </c>
    </row>
    <row r="9" spans="1:2" x14ac:dyDescent="0.25">
      <c r="A9" t="s">
        <v>8266</v>
      </c>
      <c r="B9" s="2510" t="s">
        <v>8504</v>
      </c>
    </row>
    <row r="10" spans="1:2" x14ac:dyDescent="0.25">
      <c r="A10" t="s">
        <v>8267</v>
      </c>
      <c r="B10" s="2510" t="s">
        <v>8505</v>
      </c>
    </row>
    <row r="11" spans="1:2" x14ac:dyDescent="0.25">
      <c r="A11" t="s">
        <v>8268</v>
      </c>
      <c r="B11" s="2510" t="s">
        <v>8506</v>
      </c>
    </row>
    <row r="12" spans="1:2" x14ac:dyDescent="0.25">
      <c r="A12" t="s">
        <v>8269</v>
      </c>
      <c r="B12" s="2510" t="s">
        <v>8507</v>
      </c>
    </row>
    <row r="13" spans="1:2" x14ac:dyDescent="0.25">
      <c r="A13" t="s">
        <v>8270</v>
      </c>
      <c r="B13" s="2510" t="s">
        <v>8508</v>
      </c>
    </row>
    <row r="14" spans="1:2" x14ac:dyDescent="0.25">
      <c r="A14" t="s">
        <v>8271</v>
      </c>
      <c r="B14" s="2510" t="s">
        <v>8509</v>
      </c>
    </row>
    <row r="15" spans="1:2" x14ac:dyDescent="0.25">
      <c r="A15" t="s">
        <v>8272</v>
      </c>
      <c r="B15" s="2510" t="s">
        <v>8510</v>
      </c>
    </row>
    <row r="16" spans="1:2" x14ac:dyDescent="0.25">
      <c r="A16" t="s">
        <v>8273</v>
      </c>
      <c r="B16" s="2510" t="s">
        <v>8511</v>
      </c>
    </row>
    <row r="17" spans="1:2" x14ac:dyDescent="0.25">
      <c r="A17" t="s">
        <v>8274</v>
      </c>
      <c r="B17" s="2510" t="s">
        <v>8512</v>
      </c>
    </row>
    <row r="18" spans="1:2" x14ac:dyDescent="0.25">
      <c r="A18" t="s">
        <v>8275</v>
      </c>
      <c r="B18" s="2510" t="s">
        <v>8513</v>
      </c>
    </row>
    <row r="19" spans="1:2" x14ac:dyDescent="0.25">
      <c r="A19" t="s">
        <v>8276</v>
      </c>
      <c r="B19" s="2510" t="s">
        <v>8514</v>
      </c>
    </row>
    <row r="20" spans="1:2" x14ac:dyDescent="0.25">
      <c r="A20" t="s">
        <v>8277</v>
      </c>
      <c r="B20" s="2510" t="s">
        <v>8515</v>
      </c>
    </row>
    <row r="21" spans="1:2" x14ac:dyDescent="0.25">
      <c r="A21" t="s">
        <v>8278</v>
      </c>
      <c r="B21" s="2510" t="s">
        <v>8516</v>
      </c>
    </row>
    <row r="22" spans="1:2" x14ac:dyDescent="0.25">
      <c r="A22" t="s">
        <v>8279</v>
      </c>
      <c r="B22" s="2510" t="s">
        <v>8517</v>
      </c>
    </row>
    <row r="23" spans="1:2" x14ac:dyDescent="0.25">
      <c r="A23" t="s">
        <v>8280</v>
      </c>
      <c r="B23" s="2510" t="s">
        <v>8518</v>
      </c>
    </row>
    <row r="24" spans="1:2" x14ac:dyDescent="0.25">
      <c r="A24" t="s">
        <v>8281</v>
      </c>
      <c r="B24" s="2510" t="s">
        <v>8519</v>
      </c>
    </row>
    <row r="25" spans="1:2" x14ac:dyDescent="0.25">
      <c r="A25" t="s">
        <v>8282</v>
      </c>
      <c r="B25" s="2510" t="s">
        <v>8520</v>
      </c>
    </row>
    <row r="26" spans="1:2" x14ac:dyDescent="0.25">
      <c r="A26" t="s">
        <v>8283</v>
      </c>
      <c r="B26" s="2510" t="s">
        <v>8521</v>
      </c>
    </row>
    <row r="27" spans="1:2" x14ac:dyDescent="0.25">
      <c r="A27" t="s">
        <v>8284</v>
      </c>
      <c r="B27" s="2510" t="s">
        <v>8522</v>
      </c>
    </row>
    <row r="28" spans="1:2" x14ac:dyDescent="0.25">
      <c r="A28" t="s">
        <v>8285</v>
      </c>
      <c r="B28" s="2510" t="s">
        <v>8523</v>
      </c>
    </row>
    <row r="29" spans="1:2" x14ac:dyDescent="0.25">
      <c r="A29" t="s">
        <v>8286</v>
      </c>
      <c r="B29" s="2510" t="s">
        <v>8524</v>
      </c>
    </row>
    <row r="30" spans="1:2" x14ac:dyDescent="0.25">
      <c r="A30" t="s">
        <v>8287</v>
      </c>
      <c r="B30" s="2510" t="s">
        <v>8525</v>
      </c>
    </row>
    <row r="31" spans="1:2" x14ac:dyDescent="0.25">
      <c r="A31" t="s">
        <v>8288</v>
      </c>
      <c r="B31" s="2510" t="s">
        <v>8526</v>
      </c>
    </row>
    <row r="32" spans="1:2" x14ac:dyDescent="0.25">
      <c r="A32" t="s">
        <v>8289</v>
      </c>
      <c r="B32" s="2510" t="s">
        <v>8527</v>
      </c>
    </row>
    <row r="33" spans="1:2" x14ac:dyDescent="0.25">
      <c r="A33" t="s">
        <v>8290</v>
      </c>
      <c r="B33" s="2510" t="s">
        <v>8528</v>
      </c>
    </row>
    <row r="34" spans="1:2" x14ac:dyDescent="0.25">
      <c r="A34" t="s">
        <v>8291</v>
      </c>
      <c r="B34" s="2510" t="s">
        <v>8529</v>
      </c>
    </row>
    <row r="35" spans="1:2" x14ac:dyDescent="0.25">
      <c r="A35" t="s">
        <v>8292</v>
      </c>
      <c r="B35" s="2510" t="s">
        <v>8530</v>
      </c>
    </row>
    <row r="36" spans="1:2" x14ac:dyDescent="0.25">
      <c r="A36" t="s">
        <v>8293</v>
      </c>
      <c r="B36" s="2510" t="s">
        <v>8531</v>
      </c>
    </row>
    <row r="37" spans="1:2" x14ac:dyDescent="0.25">
      <c r="A37" t="s">
        <v>8294</v>
      </c>
      <c r="B37" s="2510" t="s">
        <v>8532</v>
      </c>
    </row>
    <row r="38" spans="1:2" x14ac:dyDescent="0.25">
      <c r="A38" t="s">
        <v>8295</v>
      </c>
      <c r="B38" s="2510" t="s">
        <v>8533</v>
      </c>
    </row>
    <row r="39" spans="1:2" x14ac:dyDescent="0.25">
      <c r="A39" t="s">
        <v>8296</v>
      </c>
      <c r="B39" s="2510" t="s">
        <v>8534</v>
      </c>
    </row>
    <row r="40" spans="1:2" x14ac:dyDescent="0.25">
      <c r="A40" t="s">
        <v>8297</v>
      </c>
      <c r="B40" s="2510" t="s">
        <v>8535</v>
      </c>
    </row>
    <row r="41" spans="1:2" x14ac:dyDescent="0.25">
      <c r="A41" t="s">
        <v>8298</v>
      </c>
      <c r="B41" s="2510" t="s">
        <v>8536</v>
      </c>
    </row>
    <row r="42" spans="1:2" x14ac:dyDescent="0.25">
      <c r="A42" t="s">
        <v>8299</v>
      </c>
      <c r="B42" s="2510" t="s">
        <v>8537</v>
      </c>
    </row>
    <row r="43" spans="1:2" x14ac:dyDescent="0.25">
      <c r="A43" t="s">
        <v>8300</v>
      </c>
      <c r="B43" s="2510" t="s">
        <v>8538</v>
      </c>
    </row>
    <row r="44" spans="1:2" x14ac:dyDescent="0.25">
      <c r="A44" t="s">
        <v>8301</v>
      </c>
      <c r="B44" s="2510" t="s">
        <v>8539</v>
      </c>
    </row>
    <row r="45" spans="1:2" x14ac:dyDescent="0.25">
      <c r="A45" t="s">
        <v>8302</v>
      </c>
      <c r="B45" s="2510" t="s">
        <v>8540</v>
      </c>
    </row>
    <row r="46" spans="1:2" x14ac:dyDescent="0.25">
      <c r="A46" t="s">
        <v>8303</v>
      </c>
      <c r="B46" s="2510" t="s">
        <v>8541</v>
      </c>
    </row>
    <row r="47" spans="1:2" x14ac:dyDescent="0.25">
      <c r="A47" t="s">
        <v>8304</v>
      </c>
      <c r="B47" s="2510" t="s">
        <v>8542</v>
      </c>
    </row>
    <row r="48" spans="1:2" x14ac:dyDescent="0.25">
      <c r="A48" t="s">
        <v>8305</v>
      </c>
      <c r="B48" s="2510" t="s">
        <v>8543</v>
      </c>
    </row>
    <row r="49" spans="1:2" x14ac:dyDescent="0.25">
      <c r="A49" t="s">
        <v>8306</v>
      </c>
      <c r="B49" s="2510" t="s">
        <v>8544</v>
      </c>
    </row>
    <row r="50" spans="1:2" x14ac:dyDescent="0.25">
      <c r="A50" t="s">
        <v>8307</v>
      </c>
      <c r="B50" s="2510" t="s">
        <v>8545</v>
      </c>
    </row>
    <row r="51" spans="1:2" x14ac:dyDescent="0.25">
      <c r="A51" t="s">
        <v>8308</v>
      </c>
      <c r="B51" s="2510" t="s">
        <v>8546</v>
      </c>
    </row>
    <row r="52" spans="1:2" x14ac:dyDescent="0.25">
      <c r="A52" t="s">
        <v>8309</v>
      </c>
      <c r="B52" s="2510" t="s">
        <v>8547</v>
      </c>
    </row>
    <row r="53" spans="1:2" x14ac:dyDescent="0.25">
      <c r="A53" t="s">
        <v>8310</v>
      </c>
      <c r="B53" s="2510" t="s">
        <v>8548</v>
      </c>
    </row>
    <row r="54" spans="1:2" x14ac:dyDescent="0.25">
      <c r="A54" t="s">
        <v>8311</v>
      </c>
      <c r="B54" s="2510" t="s">
        <v>8549</v>
      </c>
    </row>
    <row r="55" spans="1:2" x14ac:dyDescent="0.25">
      <c r="A55" t="s">
        <v>8312</v>
      </c>
      <c r="B55" s="2510" t="s">
        <v>8550</v>
      </c>
    </row>
    <row r="56" spans="1:2" x14ac:dyDescent="0.25">
      <c r="A56" t="s">
        <v>8313</v>
      </c>
      <c r="B56" s="2510" t="s">
        <v>8551</v>
      </c>
    </row>
    <row r="57" spans="1:2" x14ac:dyDescent="0.25">
      <c r="A57" s="2511" t="s">
        <v>8314</v>
      </c>
      <c r="B57" s="2510" t="s">
        <v>8497</v>
      </c>
    </row>
    <row r="58" spans="1:2" x14ac:dyDescent="0.25">
      <c r="A58" t="s">
        <v>8315</v>
      </c>
      <c r="B58" s="2510" t="s">
        <v>8499</v>
      </c>
    </row>
    <row r="59" spans="1:2" x14ac:dyDescent="0.25">
      <c r="A59" t="s">
        <v>8316</v>
      </c>
      <c r="B59" s="2510" t="s">
        <v>8500</v>
      </c>
    </row>
    <row r="60" spans="1:2" x14ac:dyDescent="0.25">
      <c r="A60" t="s">
        <v>8317</v>
      </c>
      <c r="B60" s="2510" t="s">
        <v>8501</v>
      </c>
    </row>
    <row r="61" spans="1:2" x14ac:dyDescent="0.25">
      <c r="A61" t="s">
        <v>8318</v>
      </c>
      <c r="B61" s="2510" t="s">
        <v>8502</v>
      </c>
    </row>
    <row r="62" spans="1:2" x14ac:dyDescent="0.25">
      <c r="A62" t="s">
        <v>8319</v>
      </c>
      <c r="B62" s="2510" t="s">
        <v>8503</v>
      </c>
    </row>
    <row r="63" spans="1:2" x14ac:dyDescent="0.25">
      <c r="A63" t="s">
        <v>8320</v>
      </c>
      <c r="B63" s="2510" t="s">
        <v>8504</v>
      </c>
    </row>
    <row r="64" spans="1:2" x14ac:dyDescent="0.25">
      <c r="A64" t="s">
        <v>8321</v>
      </c>
      <c r="B64" s="2510" t="s">
        <v>8505</v>
      </c>
    </row>
    <row r="65" spans="1:2" x14ac:dyDescent="0.25">
      <c r="A65" t="s">
        <v>8322</v>
      </c>
      <c r="B65" s="2510" t="s">
        <v>8506</v>
      </c>
    </row>
    <row r="66" spans="1:2" x14ac:dyDescent="0.25">
      <c r="A66" t="s">
        <v>8323</v>
      </c>
      <c r="B66" s="2510" t="s">
        <v>8507</v>
      </c>
    </row>
    <row r="67" spans="1:2" x14ac:dyDescent="0.25">
      <c r="A67" t="s">
        <v>8324</v>
      </c>
      <c r="B67" s="2510" t="s">
        <v>8508</v>
      </c>
    </row>
    <row r="68" spans="1:2" x14ac:dyDescent="0.25">
      <c r="A68" t="s">
        <v>8325</v>
      </c>
      <c r="B68" s="2510" t="s">
        <v>8509</v>
      </c>
    </row>
    <row r="69" spans="1:2" x14ac:dyDescent="0.25">
      <c r="A69" t="s">
        <v>8326</v>
      </c>
      <c r="B69" s="2510" t="s">
        <v>8510</v>
      </c>
    </row>
    <row r="70" spans="1:2" x14ac:dyDescent="0.25">
      <c r="A70" t="s">
        <v>8327</v>
      </c>
      <c r="B70" s="2510" t="s">
        <v>8511</v>
      </c>
    </row>
    <row r="71" spans="1:2" x14ac:dyDescent="0.25">
      <c r="A71" t="s">
        <v>8328</v>
      </c>
      <c r="B71" s="2510" t="s">
        <v>8512</v>
      </c>
    </row>
    <row r="72" spans="1:2" x14ac:dyDescent="0.25">
      <c r="A72" t="s">
        <v>8329</v>
      </c>
      <c r="B72" s="2510" t="s">
        <v>8513</v>
      </c>
    </row>
    <row r="73" spans="1:2" x14ac:dyDescent="0.25">
      <c r="A73" t="s">
        <v>8330</v>
      </c>
      <c r="B73" s="2510" t="s">
        <v>8514</v>
      </c>
    </row>
    <row r="74" spans="1:2" x14ac:dyDescent="0.25">
      <c r="A74" t="s">
        <v>8331</v>
      </c>
      <c r="B74" s="2510" t="s">
        <v>8515</v>
      </c>
    </row>
    <row r="75" spans="1:2" x14ac:dyDescent="0.25">
      <c r="A75" t="s">
        <v>8332</v>
      </c>
      <c r="B75" s="2510" t="s">
        <v>8516</v>
      </c>
    </row>
    <row r="76" spans="1:2" x14ac:dyDescent="0.25">
      <c r="A76" t="s">
        <v>8333</v>
      </c>
      <c r="B76" s="2510" t="s">
        <v>8517</v>
      </c>
    </row>
    <row r="77" spans="1:2" x14ac:dyDescent="0.25">
      <c r="A77" t="s">
        <v>8334</v>
      </c>
      <c r="B77" s="2510" t="s">
        <v>8518</v>
      </c>
    </row>
    <row r="78" spans="1:2" x14ac:dyDescent="0.25">
      <c r="A78" t="s">
        <v>8335</v>
      </c>
      <c r="B78" s="2510" t="s">
        <v>8519</v>
      </c>
    </row>
    <row r="79" spans="1:2" x14ac:dyDescent="0.25">
      <c r="A79" t="s">
        <v>8336</v>
      </c>
      <c r="B79" s="2510" t="s">
        <v>8520</v>
      </c>
    </row>
    <row r="80" spans="1:2" x14ac:dyDescent="0.25">
      <c r="A80" t="s">
        <v>8337</v>
      </c>
      <c r="B80" s="2510" t="s">
        <v>8521</v>
      </c>
    </row>
    <row r="81" spans="1:2" x14ac:dyDescent="0.25">
      <c r="A81" t="s">
        <v>8338</v>
      </c>
      <c r="B81" s="2510" t="s">
        <v>8522</v>
      </c>
    </row>
    <row r="82" spans="1:2" x14ac:dyDescent="0.25">
      <c r="A82" t="s">
        <v>8339</v>
      </c>
      <c r="B82" s="2510" t="s">
        <v>8523</v>
      </c>
    </row>
    <row r="83" spans="1:2" x14ac:dyDescent="0.25">
      <c r="A83" t="s">
        <v>8340</v>
      </c>
      <c r="B83" s="2510" t="s">
        <v>8524</v>
      </c>
    </row>
    <row r="84" spans="1:2" x14ac:dyDescent="0.25">
      <c r="A84" t="s">
        <v>8341</v>
      </c>
      <c r="B84" s="2510" t="s">
        <v>8525</v>
      </c>
    </row>
    <row r="85" spans="1:2" x14ac:dyDescent="0.25">
      <c r="A85" t="s">
        <v>8342</v>
      </c>
      <c r="B85" s="2510" t="s">
        <v>8526</v>
      </c>
    </row>
    <row r="86" spans="1:2" x14ac:dyDescent="0.25">
      <c r="A86" t="s">
        <v>8343</v>
      </c>
      <c r="B86" s="2510" t="s">
        <v>8527</v>
      </c>
    </row>
    <row r="87" spans="1:2" x14ac:dyDescent="0.25">
      <c r="A87" t="s">
        <v>8344</v>
      </c>
      <c r="B87" s="2510" t="s">
        <v>8528</v>
      </c>
    </row>
    <row r="88" spans="1:2" x14ac:dyDescent="0.25">
      <c r="A88" t="s">
        <v>8345</v>
      </c>
      <c r="B88" s="2510" t="s">
        <v>8529</v>
      </c>
    </row>
    <row r="89" spans="1:2" x14ac:dyDescent="0.25">
      <c r="A89" t="s">
        <v>8346</v>
      </c>
      <c r="B89" s="2510" t="s">
        <v>8530</v>
      </c>
    </row>
    <row r="90" spans="1:2" x14ac:dyDescent="0.25">
      <c r="A90" t="s">
        <v>8347</v>
      </c>
      <c r="B90" s="2510" t="s">
        <v>8531</v>
      </c>
    </row>
    <row r="91" spans="1:2" x14ac:dyDescent="0.25">
      <c r="A91" t="s">
        <v>8348</v>
      </c>
      <c r="B91" s="2510" t="s">
        <v>8532</v>
      </c>
    </row>
    <row r="92" spans="1:2" x14ac:dyDescent="0.25">
      <c r="A92" t="s">
        <v>8349</v>
      </c>
      <c r="B92" s="2510" t="s">
        <v>8533</v>
      </c>
    </row>
    <row r="93" spans="1:2" x14ac:dyDescent="0.25">
      <c r="A93" t="s">
        <v>8350</v>
      </c>
      <c r="B93" s="2510" t="s">
        <v>8534</v>
      </c>
    </row>
    <row r="94" spans="1:2" x14ac:dyDescent="0.25">
      <c r="A94" t="s">
        <v>8351</v>
      </c>
      <c r="B94" s="2510" t="s">
        <v>8535</v>
      </c>
    </row>
    <row r="95" spans="1:2" x14ac:dyDescent="0.25">
      <c r="A95" t="s">
        <v>8352</v>
      </c>
      <c r="B95" s="2510" t="s">
        <v>8536</v>
      </c>
    </row>
    <row r="96" spans="1:2" x14ac:dyDescent="0.25">
      <c r="A96" t="s">
        <v>8353</v>
      </c>
      <c r="B96" s="2510" t="s">
        <v>8537</v>
      </c>
    </row>
    <row r="97" spans="1:4" x14ac:dyDescent="0.25">
      <c r="A97" t="s">
        <v>8354</v>
      </c>
      <c r="B97" s="2510" t="s">
        <v>8538</v>
      </c>
    </row>
    <row r="98" spans="1:4" x14ac:dyDescent="0.25">
      <c r="A98" t="s">
        <v>8355</v>
      </c>
      <c r="B98" s="2510" t="s">
        <v>8539</v>
      </c>
    </row>
    <row r="99" spans="1:4" x14ac:dyDescent="0.25">
      <c r="A99" t="s">
        <v>8356</v>
      </c>
      <c r="B99" s="2510" t="s">
        <v>8540</v>
      </c>
    </row>
    <row r="100" spans="1:4" x14ac:dyDescent="0.25">
      <c r="A100" t="s">
        <v>8357</v>
      </c>
      <c r="B100" s="2510" t="s">
        <v>8541</v>
      </c>
    </row>
    <row r="101" spans="1:4" x14ac:dyDescent="0.25">
      <c r="A101" t="s">
        <v>8358</v>
      </c>
      <c r="B101" s="2510" t="s">
        <v>8542</v>
      </c>
    </row>
    <row r="102" spans="1:4" x14ac:dyDescent="0.25">
      <c r="A102" t="s">
        <v>8359</v>
      </c>
      <c r="B102" s="2510" t="s">
        <v>8543</v>
      </c>
    </row>
    <row r="103" spans="1:4" x14ac:dyDescent="0.25">
      <c r="A103" t="s">
        <v>8360</v>
      </c>
      <c r="B103" s="2510" t="s">
        <v>8544</v>
      </c>
    </row>
    <row r="104" spans="1:4" x14ac:dyDescent="0.25">
      <c r="A104" t="s">
        <v>8361</v>
      </c>
      <c r="B104" s="2510" t="s">
        <v>8545</v>
      </c>
    </row>
    <row r="105" spans="1:4" x14ac:dyDescent="0.25">
      <c r="A105" t="s">
        <v>8362</v>
      </c>
      <c r="B105" s="2510" t="s">
        <v>8546</v>
      </c>
    </row>
    <row r="106" spans="1:4" x14ac:dyDescent="0.25">
      <c r="A106" t="s">
        <v>8363</v>
      </c>
      <c r="B106" s="2510" t="s">
        <v>8547</v>
      </c>
    </row>
    <row r="107" spans="1:4" x14ac:dyDescent="0.25">
      <c r="A107" t="s">
        <v>8364</v>
      </c>
      <c r="B107" s="2510" t="s">
        <v>8548</v>
      </c>
    </row>
    <row r="108" spans="1:4" x14ac:dyDescent="0.25">
      <c r="A108" t="s">
        <v>8365</v>
      </c>
      <c r="B108" s="2510" t="s">
        <v>8549</v>
      </c>
    </row>
    <row r="109" spans="1:4" x14ac:dyDescent="0.25">
      <c r="A109" t="s">
        <v>8366</v>
      </c>
      <c r="B109" s="2510" t="s">
        <v>8550</v>
      </c>
    </row>
    <row r="110" spans="1:4" x14ac:dyDescent="0.25">
      <c r="A110" t="s">
        <v>8367</v>
      </c>
      <c r="B110" s="2510" t="s">
        <v>8551</v>
      </c>
    </row>
    <row r="111" spans="1:4" x14ac:dyDescent="0.25">
      <c r="A111" s="2511" t="s">
        <v>8368</v>
      </c>
      <c r="B111" s="2510" t="s">
        <v>8621</v>
      </c>
      <c r="C111" s="2534" t="s">
        <v>8623</v>
      </c>
      <c r="D111" s="2534" t="s">
        <v>8625</v>
      </c>
    </row>
    <row r="112" spans="1:4" x14ac:dyDescent="0.25">
      <c r="A112" t="s">
        <v>8369</v>
      </c>
      <c r="B112" s="2510" t="s">
        <v>8626</v>
      </c>
      <c r="C112" s="2510" t="s">
        <v>8635</v>
      </c>
      <c r="D112" s="2510" t="s">
        <v>8644</v>
      </c>
    </row>
    <row r="113" spans="1:4" x14ac:dyDescent="0.25">
      <c r="A113" t="s">
        <v>8370</v>
      </c>
      <c r="B113" s="2510" t="s">
        <v>8627</v>
      </c>
      <c r="C113" s="2510" t="s">
        <v>8636</v>
      </c>
      <c r="D113" s="2510" t="s">
        <v>8645</v>
      </c>
    </row>
    <row r="114" spans="1:4" x14ac:dyDescent="0.25">
      <c r="A114" t="s">
        <v>8371</v>
      </c>
      <c r="B114" s="2510" t="s">
        <v>8628</v>
      </c>
      <c r="C114" s="2510" t="s">
        <v>8637</v>
      </c>
      <c r="D114" s="2510" t="s">
        <v>8646</v>
      </c>
    </row>
    <row r="115" spans="1:4" x14ac:dyDescent="0.25">
      <c r="A115" t="s">
        <v>8372</v>
      </c>
      <c r="B115" s="2510" t="s">
        <v>8629</v>
      </c>
      <c r="C115" s="2510" t="s">
        <v>8638</v>
      </c>
      <c r="D115" s="2510" t="s">
        <v>8647</v>
      </c>
    </row>
    <row r="116" spans="1:4" x14ac:dyDescent="0.25">
      <c r="A116" t="s">
        <v>8373</v>
      </c>
      <c r="B116" s="2510" t="s">
        <v>8630</v>
      </c>
      <c r="C116" s="2510" t="s">
        <v>8639</v>
      </c>
      <c r="D116" s="2510" t="s">
        <v>8648</v>
      </c>
    </row>
    <row r="117" spans="1:4" x14ac:dyDescent="0.25">
      <c r="A117" t="s">
        <v>8374</v>
      </c>
      <c r="B117" s="2510" t="s">
        <v>8631</v>
      </c>
      <c r="C117" s="2510" t="s">
        <v>8640</v>
      </c>
      <c r="D117" s="2510" t="s">
        <v>8649</v>
      </c>
    </row>
    <row r="118" spans="1:4" x14ac:dyDescent="0.25">
      <c r="A118" t="s">
        <v>8375</v>
      </c>
      <c r="B118" s="2510" t="s">
        <v>8632</v>
      </c>
      <c r="C118" s="2510" t="s">
        <v>8641</v>
      </c>
      <c r="D118" s="2510" t="s">
        <v>8650</v>
      </c>
    </row>
    <row r="119" spans="1:4" x14ac:dyDescent="0.25">
      <c r="A119" t="s">
        <v>8376</v>
      </c>
      <c r="B119" s="2510" t="s">
        <v>8633</v>
      </c>
      <c r="C119" s="2510" t="s">
        <v>8642</v>
      </c>
      <c r="D119" s="2510" t="s">
        <v>8651</v>
      </c>
    </row>
    <row r="120" spans="1:4" x14ac:dyDescent="0.25">
      <c r="A120" t="s">
        <v>8377</v>
      </c>
      <c r="B120" s="2510" t="s">
        <v>8634</v>
      </c>
      <c r="C120" s="2510" t="s">
        <v>8643</v>
      </c>
      <c r="D120" s="2510" t="s">
        <v>8652</v>
      </c>
    </row>
    <row r="121" spans="1:4" x14ac:dyDescent="0.25">
      <c r="A121" s="2511" t="s">
        <v>8378</v>
      </c>
      <c r="B121" s="2510" t="s">
        <v>8620</v>
      </c>
      <c r="C121" s="2510" t="s">
        <v>8622</v>
      </c>
      <c r="D121" s="2510" t="s">
        <v>8624</v>
      </c>
    </row>
    <row r="122" spans="1:4" x14ac:dyDescent="0.25">
      <c r="A122" t="s">
        <v>8379</v>
      </c>
      <c r="B122" s="2510" t="s">
        <v>8626</v>
      </c>
      <c r="C122" s="2510" t="s">
        <v>8635</v>
      </c>
      <c r="D122" s="2510" t="s">
        <v>8644</v>
      </c>
    </row>
    <row r="123" spans="1:4" x14ac:dyDescent="0.25">
      <c r="A123" t="s">
        <v>8380</v>
      </c>
      <c r="B123" s="2510" t="s">
        <v>8627</v>
      </c>
      <c r="C123" s="2510" t="s">
        <v>8636</v>
      </c>
      <c r="D123" s="2510" t="s">
        <v>8645</v>
      </c>
    </row>
    <row r="124" spans="1:4" x14ac:dyDescent="0.25">
      <c r="A124" t="s">
        <v>8381</v>
      </c>
      <c r="B124" s="2510" t="s">
        <v>8628</v>
      </c>
      <c r="C124" s="2510" t="s">
        <v>8637</v>
      </c>
      <c r="D124" s="2510" t="s">
        <v>8646</v>
      </c>
    </row>
    <row r="125" spans="1:4" x14ac:dyDescent="0.25">
      <c r="A125" t="s">
        <v>8382</v>
      </c>
      <c r="B125" s="2510" t="s">
        <v>8629</v>
      </c>
      <c r="C125" s="2510" t="s">
        <v>8638</v>
      </c>
      <c r="D125" s="2510" t="s">
        <v>8647</v>
      </c>
    </row>
    <row r="126" spans="1:4" x14ac:dyDescent="0.25">
      <c r="A126" t="s">
        <v>8383</v>
      </c>
      <c r="B126" s="2510" t="s">
        <v>8630</v>
      </c>
      <c r="C126" s="2510" t="s">
        <v>8639</v>
      </c>
      <c r="D126" s="2510" t="s">
        <v>8648</v>
      </c>
    </row>
    <row r="127" spans="1:4" x14ac:dyDescent="0.25">
      <c r="A127" t="s">
        <v>8384</v>
      </c>
      <c r="B127" s="2510" t="s">
        <v>8631</v>
      </c>
      <c r="C127" s="2510" t="s">
        <v>8640</v>
      </c>
      <c r="D127" s="2510" t="s">
        <v>8649</v>
      </c>
    </row>
    <row r="128" spans="1:4" x14ac:dyDescent="0.25">
      <c r="A128" t="s">
        <v>8385</v>
      </c>
      <c r="B128" s="2510" t="s">
        <v>8632</v>
      </c>
      <c r="C128" s="2510" t="s">
        <v>8641</v>
      </c>
      <c r="D128" s="2510" t="s">
        <v>8650</v>
      </c>
    </row>
    <row r="129" spans="1:4" x14ac:dyDescent="0.25">
      <c r="A129" t="s">
        <v>8386</v>
      </c>
      <c r="B129" s="2510" t="s">
        <v>8633</v>
      </c>
      <c r="C129" s="2510" t="s">
        <v>8642</v>
      </c>
      <c r="D129" s="2510" t="s">
        <v>8651</v>
      </c>
    </row>
    <row r="130" spans="1:4" x14ac:dyDescent="0.25">
      <c r="A130" t="s">
        <v>8387</v>
      </c>
      <c r="B130" s="2510" t="s">
        <v>8634</v>
      </c>
      <c r="C130" s="2510" t="s">
        <v>8643</v>
      </c>
      <c r="D130" s="2510" t="s">
        <v>8652</v>
      </c>
    </row>
    <row r="131" spans="1:4" x14ac:dyDescent="0.25">
      <c r="A131" s="2511" t="s">
        <v>8389</v>
      </c>
      <c r="B131" s="2510" t="s">
        <v>8497</v>
      </c>
    </row>
    <row r="132" spans="1:4" x14ac:dyDescent="0.25">
      <c r="A132" t="s">
        <v>8390</v>
      </c>
      <c r="B132" s="2510" t="s">
        <v>8499</v>
      </c>
    </row>
    <row r="133" spans="1:4" x14ac:dyDescent="0.25">
      <c r="A133" t="s">
        <v>8391</v>
      </c>
      <c r="B133" s="2510" t="s">
        <v>8500</v>
      </c>
    </row>
    <row r="134" spans="1:4" x14ac:dyDescent="0.25">
      <c r="A134" t="s">
        <v>8392</v>
      </c>
      <c r="B134" s="2510" t="s">
        <v>8501</v>
      </c>
    </row>
    <row r="135" spans="1:4" x14ac:dyDescent="0.25">
      <c r="A135" t="s">
        <v>8393</v>
      </c>
      <c r="B135" s="2510" t="s">
        <v>8502</v>
      </c>
    </row>
    <row r="136" spans="1:4" x14ac:dyDescent="0.25">
      <c r="A136" t="s">
        <v>8394</v>
      </c>
      <c r="B136" s="2510" t="s">
        <v>8503</v>
      </c>
    </row>
    <row r="137" spans="1:4" x14ac:dyDescent="0.25">
      <c r="A137" t="s">
        <v>8395</v>
      </c>
      <c r="B137" s="2510" t="s">
        <v>8504</v>
      </c>
    </row>
    <row r="138" spans="1:4" x14ac:dyDescent="0.25">
      <c r="A138" t="s">
        <v>8396</v>
      </c>
      <c r="B138" s="2510" t="s">
        <v>8505</v>
      </c>
    </row>
    <row r="139" spans="1:4" x14ac:dyDescent="0.25">
      <c r="A139" t="s">
        <v>8397</v>
      </c>
      <c r="B139" s="2510" t="s">
        <v>8506</v>
      </c>
    </row>
    <row r="140" spans="1:4" x14ac:dyDescent="0.25">
      <c r="A140" t="s">
        <v>8398</v>
      </c>
      <c r="B140" s="2510" t="s">
        <v>8507</v>
      </c>
    </row>
    <row r="141" spans="1:4" x14ac:dyDescent="0.25">
      <c r="A141" t="s">
        <v>8399</v>
      </c>
      <c r="B141" s="2510" t="s">
        <v>8508</v>
      </c>
    </row>
    <row r="142" spans="1:4" x14ac:dyDescent="0.25">
      <c r="A142" t="s">
        <v>8400</v>
      </c>
      <c r="B142" s="2510" t="s">
        <v>8509</v>
      </c>
    </row>
    <row r="143" spans="1:4" x14ac:dyDescent="0.25">
      <c r="A143" t="s">
        <v>8401</v>
      </c>
      <c r="B143" s="2510" t="s">
        <v>8510</v>
      </c>
    </row>
    <row r="144" spans="1:4" x14ac:dyDescent="0.25">
      <c r="A144" t="s">
        <v>8402</v>
      </c>
      <c r="B144" s="2510" t="s">
        <v>8511</v>
      </c>
    </row>
    <row r="145" spans="1:2" x14ac:dyDescent="0.25">
      <c r="A145" t="s">
        <v>8403</v>
      </c>
      <c r="B145" s="2510" t="s">
        <v>8512</v>
      </c>
    </row>
    <row r="146" spans="1:2" x14ac:dyDescent="0.25">
      <c r="A146" t="s">
        <v>8404</v>
      </c>
      <c r="B146" s="2510" t="s">
        <v>8513</v>
      </c>
    </row>
    <row r="147" spans="1:2" x14ac:dyDescent="0.25">
      <c r="A147" t="s">
        <v>8405</v>
      </c>
      <c r="B147" s="2510" t="s">
        <v>8514</v>
      </c>
    </row>
    <row r="148" spans="1:2" x14ac:dyDescent="0.25">
      <c r="A148" t="s">
        <v>8406</v>
      </c>
      <c r="B148" s="2510" t="s">
        <v>8515</v>
      </c>
    </row>
    <row r="149" spans="1:2" x14ac:dyDescent="0.25">
      <c r="A149" t="s">
        <v>8407</v>
      </c>
      <c r="B149" s="2510" t="s">
        <v>8516</v>
      </c>
    </row>
    <row r="150" spans="1:2" x14ac:dyDescent="0.25">
      <c r="A150" t="s">
        <v>8408</v>
      </c>
      <c r="B150" s="2510" t="s">
        <v>8517</v>
      </c>
    </row>
    <row r="151" spans="1:2" x14ac:dyDescent="0.25">
      <c r="A151" t="s">
        <v>8409</v>
      </c>
      <c r="B151" s="2510" t="s">
        <v>8518</v>
      </c>
    </row>
    <row r="152" spans="1:2" x14ac:dyDescent="0.25">
      <c r="A152" t="s">
        <v>8410</v>
      </c>
      <c r="B152" s="2510" t="s">
        <v>8519</v>
      </c>
    </row>
    <row r="153" spans="1:2" x14ac:dyDescent="0.25">
      <c r="A153" t="s">
        <v>8411</v>
      </c>
      <c r="B153" s="2510" t="s">
        <v>8520</v>
      </c>
    </row>
    <row r="154" spans="1:2" x14ac:dyDescent="0.25">
      <c r="A154" t="s">
        <v>8412</v>
      </c>
      <c r="B154" s="2510" t="s">
        <v>8521</v>
      </c>
    </row>
    <row r="155" spans="1:2" x14ac:dyDescent="0.25">
      <c r="A155" t="s">
        <v>8413</v>
      </c>
      <c r="B155" s="2510" t="s">
        <v>8522</v>
      </c>
    </row>
    <row r="156" spans="1:2" x14ac:dyDescent="0.25">
      <c r="A156" t="s">
        <v>8414</v>
      </c>
      <c r="B156" s="2510" t="s">
        <v>8523</v>
      </c>
    </row>
    <row r="157" spans="1:2" x14ac:dyDescent="0.25">
      <c r="A157" t="s">
        <v>8415</v>
      </c>
      <c r="B157" s="2510" t="s">
        <v>8524</v>
      </c>
    </row>
    <row r="158" spans="1:2" x14ac:dyDescent="0.25">
      <c r="A158" t="s">
        <v>8416</v>
      </c>
      <c r="B158" s="2510" t="s">
        <v>8525</v>
      </c>
    </row>
    <row r="159" spans="1:2" x14ac:dyDescent="0.25">
      <c r="A159" t="s">
        <v>8417</v>
      </c>
      <c r="B159" s="2510" t="s">
        <v>8526</v>
      </c>
    </row>
    <row r="160" spans="1:2" x14ac:dyDescent="0.25">
      <c r="A160" t="s">
        <v>8418</v>
      </c>
      <c r="B160" s="2510" t="s">
        <v>8527</v>
      </c>
    </row>
    <row r="161" spans="1:2" x14ac:dyDescent="0.25">
      <c r="A161" t="s">
        <v>8419</v>
      </c>
      <c r="B161" s="2510" t="s">
        <v>8528</v>
      </c>
    </row>
    <row r="162" spans="1:2" x14ac:dyDescent="0.25">
      <c r="A162" t="s">
        <v>8420</v>
      </c>
      <c r="B162" s="2510" t="s">
        <v>8529</v>
      </c>
    </row>
    <row r="163" spans="1:2" x14ac:dyDescent="0.25">
      <c r="A163" t="s">
        <v>8421</v>
      </c>
      <c r="B163" s="2510" t="s">
        <v>8530</v>
      </c>
    </row>
    <row r="164" spans="1:2" x14ac:dyDescent="0.25">
      <c r="A164" t="s">
        <v>8422</v>
      </c>
      <c r="B164" s="2510" t="s">
        <v>8531</v>
      </c>
    </row>
    <row r="165" spans="1:2" x14ac:dyDescent="0.25">
      <c r="A165" t="s">
        <v>8423</v>
      </c>
      <c r="B165" s="2510" t="s">
        <v>8532</v>
      </c>
    </row>
    <row r="166" spans="1:2" x14ac:dyDescent="0.25">
      <c r="A166" t="s">
        <v>8424</v>
      </c>
      <c r="B166" s="2510" t="s">
        <v>8533</v>
      </c>
    </row>
    <row r="167" spans="1:2" x14ac:dyDescent="0.25">
      <c r="A167" t="s">
        <v>8425</v>
      </c>
      <c r="B167" s="2510" t="s">
        <v>8534</v>
      </c>
    </row>
    <row r="168" spans="1:2" x14ac:dyDescent="0.25">
      <c r="A168" t="s">
        <v>8426</v>
      </c>
      <c r="B168" s="2510" t="s">
        <v>8535</v>
      </c>
    </row>
    <row r="169" spans="1:2" x14ac:dyDescent="0.25">
      <c r="A169" t="s">
        <v>8427</v>
      </c>
      <c r="B169" s="2510" t="s">
        <v>8536</v>
      </c>
    </row>
    <row r="170" spans="1:2" x14ac:dyDescent="0.25">
      <c r="A170" t="s">
        <v>8428</v>
      </c>
      <c r="B170" s="2510" t="s">
        <v>8537</v>
      </c>
    </row>
    <row r="171" spans="1:2" x14ac:dyDescent="0.25">
      <c r="A171" s="2511" t="s">
        <v>8429</v>
      </c>
      <c r="B171" s="2510" t="s">
        <v>8497</v>
      </c>
    </row>
    <row r="172" spans="1:2" x14ac:dyDescent="0.25">
      <c r="A172" t="s">
        <v>8430</v>
      </c>
      <c r="B172" s="2510" t="s">
        <v>8499</v>
      </c>
    </row>
    <row r="173" spans="1:2" x14ac:dyDescent="0.25">
      <c r="A173" t="s">
        <v>8431</v>
      </c>
      <c r="B173" s="2510" t="s">
        <v>8500</v>
      </c>
    </row>
    <row r="174" spans="1:2" x14ac:dyDescent="0.25">
      <c r="A174" t="s">
        <v>8432</v>
      </c>
      <c r="B174" s="2510" t="s">
        <v>8501</v>
      </c>
    </row>
    <row r="175" spans="1:2" x14ac:dyDescent="0.25">
      <c r="A175" t="s">
        <v>8433</v>
      </c>
      <c r="B175" s="2510" t="s">
        <v>8502</v>
      </c>
    </row>
    <row r="176" spans="1:2" x14ac:dyDescent="0.25">
      <c r="A176" t="s">
        <v>8434</v>
      </c>
      <c r="B176" s="2510" t="s">
        <v>8503</v>
      </c>
    </row>
    <row r="177" spans="1:2" x14ac:dyDescent="0.25">
      <c r="A177" t="s">
        <v>8435</v>
      </c>
      <c r="B177" s="2510" t="s">
        <v>8504</v>
      </c>
    </row>
    <row r="178" spans="1:2" x14ac:dyDescent="0.25">
      <c r="A178" t="s">
        <v>8436</v>
      </c>
      <c r="B178" s="2510" t="s">
        <v>8505</v>
      </c>
    </row>
    <row r="179" spans="1:2" x14ac:dyDescent="0.25">
      <c r="A179" t="s">
        <v>8437</v>
      </c>
      <c r="B179" s="2510" t="s">
        <v>8506</v>
      </c>
    </row>
    <row r="180" spans="1:2" x14ac:dyDescent="0.25">
      <c r="A180" t="s">
        <v>8438</v>
      </c>
      <c r="B180" s="2510" t="s">
        <v>8507</v>
      </c>
    </row>
    <row r="181" spans="1:2" x14ac:dyDescent="0.25">
      <c r="A181" t="s">
        <v>8439</v>
      </c>
      <c r="B181" s="2510" t="s">
        <v>8508</v>
      </c>
    </row>
    <row r="182" spans="1:2" x14ac:dyDescent="0.25">
      <c r="A182" t="s">
        <v>8440</v>
      </c>
      <c r="B182" s="2510" t="s">
        <v>8509</v>
      </c>
    </row>
    <row r="183" spans="1:2" x14ac:dyDescent="0.25">
      <c r="A183" t="s">
        <v>8441</v>
      </c>
      <c r="B183" s="2510" t="s">
        <v>8510</v>
      </c>
    </row>
    <row r="184" spans="1:2" x14ac:dyDescent="0.25">
      <c r="A184" t="s">
        <v>8442</v>
      </c>
      <c r="B184" s="2510" t="s">
        <v>8511</v>
      </c>
    </row>
    <row r="185" spans="1:2" x14ac:dyDescent="0.25">
      <c r="A185" t="s">
        <v>8443</v>
      </c>
      <c r="B185" s="2510" t="s">
        <v>8512</v>
      </c>
    </row>
    <row r="186" spans="1:2" x14ac:dyDescent="0.25">
      <c r="A186" t="s">
        <v>8444</v>
      </c>
      <c r="B186" s="2510" t="s">
        <v>8513</v>
      </c>
    </row>
    <row r="187" spans="1:2" x14ac:dyDescent="0.25">
      <c r="A187" t="s">
        <v>8445</v>
      </c>
      <c r="B187" s="2510" t="s">
        <v>8514</v>
      </c>
    </row>
    <row r="188" spans="1:2" x14ac:dyDescent="0.25">
      <c r="A188" t="s">
        <v>8446</v>
      </c>
      <c r="B188" s="2510" t="s">
        <v>8515</v>
      </c>
    </row>
    <row r="189" spans="1:2" x14ac:dyDescent="0.25">
      <c r="A189" t="s">
        <v>8447</v>
      </c>
      <c r="B189" s="2510" t="s">
        <v>8516</v>
      </c>
    </row>
    <row r="190" spans="1:2" x14ac:dyDescent="0.25">
      <c r="A190" t="s">
        <v>8448</v>
      </c>
      <c r="B190" s="2510" t="s">
        <v>8517</v>
      </c>
    </row>
    <row r="191" spans="1:2" x14ac:dyDescent="0.25">
      <c r="A191" t="s">
        <v>8449</v>
      </c>
      <c r="B191" s="2510" t="s">
        <v>8518</v>
      </c>
    </row>
    <row r="192" spans="1:2" x14ac:dyDescent="0.25">
      <c r="A192" t="s">
        <v>8450</v>
      </c>
      <c r="B192" s="2510" t="s">
        <v>8519</v>
      </c>
    </row>
    <row r="193" spans="1:2" x14ac:dyDescent="0.25">
      <c r="A193" t="s">
        <v>8451</v>
      </c>
      <c r="B193" s="2510" t="s">
        <v>8520</v>
      </c>
    </row>
    <row r="194" spans="1:2" x14ac:dyDescent="0.25">
      <c r="A194" t="s">
        <v>8452</v>
      </c>
      <c r="B194" s="2510" t="s">
        <v>8521</v>
      </c>
    </row>
    <row r="195" spans="1:2" x14ac:dyDescent="0.25">
      <c r="A195" t="s">
        <v>8453</v>
      </c>
      <c r="B195" s="2510" t="s">
        <v>8522</v>
      </c>
    </row>
    <row r="196" spans="1:2" x14ac:dyDescent="0.25">
      <c r="A196" t="s">
        <v>8454</v>
      </c>
      <c r="B196" s="2510" t="s">
        <v>8523</v>
      </c>
    </row>
    <row r="197" spans="1:2" x14ac:dyDescent="0.25">
      <c r="A197" t="s">
        <v>8455</v>
      </c>
      <c r="B197" s="2510" t="s">
        <v>8524</v>
      </c>
    </row>
    <row r="198" spans="1:2" x14ac:dyDescent="0.25">
      <c r="A198" t="s">
        <v>8456</v>
      </c>
      <c r="B198" s="2510" t="s">
        <v>8525</v>
      </c>
    </row>
    <row r="199" spans="1:2" x14ac:dyDescent="0.25">
      <c r="A199" t="s">
        <v>8457</v>
      </c>
      <c r="B199" s="2510" t="s">
        <v>8526</v>
      </c>
    </row>
    <row r="200" spans="1:2" x14ac:dyDescent="0.25">
      <c r="A200" t="s">
        <v>8458</v>
      </c>
      <c r="B200" s="2510" t="s">
        <v>8527</v>
      </c>
    </row>
    <row r="201" spans="1:2" x14ac:dyDescent="0.25">
      <c r="A201" t="s">
        <v>8459</v>
      </c>
      <c r="B201" s="2510" t="s">
        <v>8528</v>
      </c>
    </row>
    <row r="202" spans="1:2" x14ac:dyDescent="0.25">
      <c r="A202" t="s">
        <v>8460</v>
      </c>
      <c r="B202" s="2510" t="s">
        <v>8529</v>
      </c>
    </row>
    <row r="203" spans="1:2" x14ac:dyDescent="0.25">
      <c r="A203" t="s">
        <v>8461</v>
      </c>
      <c r="B203" s="2510" t="s">
        <v>8530</v>
      </c>
    </row>
    <row r="204" spans="1:2" x14ac:dyDescent="0.25">
      <c r="A204" t="s">
        <v>8462</v>
      </c>
      <c r="B204" s="2510" t="s">
        <v>8531</v>
      </c>
    </row>
    <row r="205" spans="1:2" x14ac:dyDescent="0.25">
      <c r="A205" t="s">
        <v>8463</v>
      </c>
      <c r="B205" s="2510" t="s">
        <v>8532</v>
      </c>
    </row>
    <row r="206" spans="1:2" x14ac:dyDescent="0.25">
      <c r="A206" t="s">
        <v>8464</v>
      </c>
      <c r="B206" s="2510" t="s">
        <v>8533</v>
      </c>
    </row>
    <row r="207" spans="1:2" x14ac:dyDescent="0.25">
      <c r="A207" t="s">
        <v>8465</v>
      </c>
      <c r="B207" s="2510" t="s">
        <v>8534</v>
      </c>
    </row>
    <row r="208" spans="1:2" x14ac:dyDescent="0.25">
      <c r="A208" t="s">
        <v>8466</v>
      </c>
      <c r="B208" s="2510" t="s">
        <v>8535</v>
      </c>
    </row>
    <row r="209" spans="1:2" x14ac:dyDescent="0.25">
      <c r="A209" t="s">
        <v>8467</v>
      </c>
      <c r="B209" s="2510" t="s">
        <v>8536</v>
      </c>
    </row>
    <row r="210" spans="1:2" x14ac:dyDescent="0.25">
      <c r="A210" t="s">
        <v>8468</v>
      </c>
      <c r="B210" s="2510" t="s">
        <v>8537</v>
      </c>
    </row>
    <row r="211" spans="1:2" x14ac:dyDescent="0.25">
      <c r="A211" s="2511" t="s">
        <v>8469</v>
      </c>
      <c r="B211" s="2510" t="s">
        <v>8497</v>
      </c>
    </row>
    <row r="212" spans="1:2" x14ac:dyDescent="0.25">
      <c r="A212" t="s">
        <v>8470</v>
      </c>
      <c r="B212" s="2510" t="s">
        <v>8499</v>
      </c>
    </row>
    <row r="213" spans="1:2" x14ac:dyDescent="0.25">
      <c r="A213" t="s">
        <v>8471</v>
      </c>
      <c r="B213" s="2510" t="s">
        <v>8500</v>
      </c>
    </row>
    <row r="214" spans="1:2" x14ac:dyDescent="0.25">
      <c r="A214" t="s">
        <v>8472</v>
      </c>
      <c r="B214" s="2510" t="s">
        <v>8501</v>
      </c>
    </row>
    <row r="215" spans="1:2" x14ac:dyDescent="0.25">
      <c r="A215" t="s">
        <v>8473</v>
      </c>
      <c r="B215" s="2510" t="s">
        <v>8502</v>
      </c>
    </row>
    <row r="216" spans="1:2" x14ac:dyDescent="0.25">
      <c r="A216" t="s">
        <v>8474</v>
      </c>
      <c r="B216" s="2510" t="s">
        <v>8503</v>
      </c>
    </row>
    <row r="217" spans="1:2" x14ac:dyDescent="0.25">
      <c r="A217" t="s">
        <v>8475</v>
      </c>
      <c r="B217" s="2510" t="s">
        <v>8504</v>
      </c>
    </row>
    <row r="218" spans="1:2" x14ac:dyDescent="0.25">
      <c r="A218" t="s">
        <v>8476</v>
      </c>
      <c r="B218" s="2510" t="s">
        <v>8505</v>
      </c>
    </row>
    <row r="219" spans="1:2" x14ac:dyDescent="0.25">
      <c r="A219" t="s">
        <v>8477</v>
      </c>
      <c r="B219" s="2510" t="s">
        <v>8506</v>
      </c>
    </row>
    <row r="220" spans="1:2" x14ac:dyDescent="0.25">
      <c r="A220" t="s">
        <v>8478</v>
      </c>
      <c r="B220" s="2510" t="s">
        <v>8507</v>
      </c>
    </row>
    <row r="221" spans="1:2" x14ac:dyDescent="0.25">
      <c r="A221" s="2511" t="s">
        <v>8388</v>
      </c>
      <c r="B221" s="2510" t="s">
        <v>8497</v>
      </c>
    </row>
    <row r="222" spans="1:2" x14ac:dyDescent="0.25">
      <c r="A222" t="s">
        <v>8479</v>
      </c>
      <c r="B222" s="2510" t="s">
        <v>8499</v>
      </c>
    </row>
    <row r="223" spans="1:2" x14ac:dyDescent="0.25">
      <c r="A223" t="s">
        <v>8480</v>
      </c>
      <c r="B223" s="2510" t="s">
        <v>8500</v>
      </c>
    </row>
    <row r="224" spans="1:2" x14ac:dyDescent="0.25">
      <c r="A224" t="s">
        <v>8481</v>
      </c>
      <c r="B224" s="2510" t="s">
        <v>8501</v>
      </c>
    </row>
    <row r="225" spans="1:2" x14ac:dyDescent="0.25">
      <c r="A225" t="s">
        <v>8482</v>
      </c>
      <c r="B225" s="2510" t="s">
        <v>8502</v>
      </c>
    </row>
    <row r="226" spans="1:2" x14ac:dyDescent="0.25">
      <c r="A226" t="s">
        <v>8483</v>
      </c>
      <c r="B226" s="2510" t="s">
        <v>8503</v>
      </c>
    </row>
    <row r="227" spans="1:2" x14ac:dyDescent="0.25">
      <c r="A227" t="s">
        <v>8484</v>
      </c>
      <c r="B227" s="2510" t="s">
        <v>8504</v>
      </c>
    </row>
    <row r="228" spans="1:2" x14ac:dyDescent="0.25">
      <c r="A228" t="s">
        <v>8485</v>
      </c>
      <c r="B228" s="2510" t="s">
        <v>8505</v>
      </c>
    </row>
    <row r="229" spans="1:2" x14ac:dyDescent="0.25">
      <c r="A229" t="s">
        <v>8486</v>
      </c>
      <c r="B229" s="2510" t="s">
        <v>8506</v>
      </c>
    </row>
    <row r="230" spans="1:2" x14ac:dyDescent="0.25">
      <c r="A230" t="s">
        <v>8487</v>
      </c>
      <c r="B230" s="2510" t="s">
        <v>8507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5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970" t="s">
        <v>4562</v>
      </c>
      <c r="J3" s="397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50"/>
      <c r="U5" s="2550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13" cm="1">
        <f t="array" ref="D6">INDEX('6층_부하량'!C3:C3000,MATCH(1,("6-DaHall 1-CEP-05"='6층_부하량'!A3:A3000)*(1='6층_부하량'!B3:B3000),0))</f>
        <v>0</v>
      </c>
      <c r="E6" s="2513" cm="1">
        <f t="array" ref="E6">INDEX('6층_부하량'!D3:D3000,MATCH(1,("6-DaHall 1-CEP-05"='6층_부하량'!A3:A3000)*(1='6층_부하량'!B3:B3000),0))</f>
        <v>0</v>
      </c>
      <c r="F6" s="2513" cm="1">
        <f t="array" ref="F6">INDEX('6층_부하량'!E3:E3000,MATCH(1,("6-DaHall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 x14ac:dyDescent="0.25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4" cm="1">
        <f t="array" ref="L7">INDEX('6층_부하량'!C3:C3000,MATCH(1,("6-DaHall 1-CEP-05"='6층_부하량'!A3:A3000)*(3='6층_부하량'!B3:B3000),0))</f>
        <v>0</v>
      </c>
      <c r="M7" s="2514" cm="1">
        <f t="array" ref="M7">INDEX('6층_부하량'!D3:D3000,MATCH(1,("6-DaHall 1-CEP-05"='6층_부하량'!A3:A3000)*(3='6층_부하량'!B3:B3000),0))</f>
        <v>0</v>
      </c>
      <c r="N7" s="2514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17" t="s">
        <v>6552</v>
      </c>
      <c r="B8" s="142" t="s">
        <v>4204</v>
      </c>
      <c r="C8" s="188" t="s">
        <v>4149</v>
      </c>
      <c r="D8" s="2515" cm="1">
        <f t="array" ref="D8">INDEX('6층_부하량'!C3:C3000,MATCH(1,("6-DaHall 1-CEP-05"='6층_부하량'!A3:A3000)*(4='6층_부하량'!B3:B3000),0))</f>
        <v>0</v>
      </c>
      <c r="E8" s="2515" cm="1">
        <f t="array" ref="E8">INDEX('6층_부하량'!D3:D3000,MATCH(1,("6-DaHall 1-CEP-05"='6층_부하량'!A3:A3000)*(4='6층_부하량'!B3:B3000),0))</f>
        <v>0</v>
      </c>
      <c r="F8" s="2515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5" cm="1">
        <f t="array" ref="L8">INDEX('6층_부하량'!C3:C3000,MATCH(1,("6-DaHall 1-CEP-05"='6층_부하량'!A3:A3000)*(5='6층_부하량'!B3:B3000),0))</f>
        <v>0</v>
      </c>
      <c r="M8" s="2515" cm="1">
        <f t="array" ref="M8">INDEX('6층_부하량'!D3:D3000,MATCH(1,("6-DaHall 1-CEP-05"='6층_부하량'!A3:A3000)*(5='6층_부하량'!B3:B3000),0))</f>
        <v>0</v>
      </c>
      <c r="N8" s="2515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15" cm="1">
        <f t="array" ref="D9">INDEX('6층_부하량'!C3:C3000,MATCH(1,("6-DaHall 1-CEP-05"='6층_부하량'!A3:A3000)*(6='6층_부하량'!B3:B3000),0))</f>
        <v>0</v>
      </c>
      <c r="E9" s="2515" cm="1">
        <f t="array" ref="E9">INDEX('6층_부하량'!D3:D3000,MATCH(1,("6-DaHall 1-CEP-05"='6층_부하량'!A3:A3000)*(6='6층_부하량'!B3:B3000),0))</f>
        <v>0</v>
      </c>
      <c r="F9" s="2515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5" cm="1">
        <f t="array" ref="L9">INDEX('6층_부하량'!C3:C3000,MATCH(1,("6-DaHall 1-CEP-05"='6층_부하량'!A3:A3000)*(7='6층_부하량'!B3:B3000),0))</f>
        <v>0</v>
      </c>
      <c r="M9" s="2515" cm="1">
        <f t="array" ref="M9">INDEX('6층_부하량'!D3:D3000,MATCH(1,("6-DaHall 1-CEP-05"='6층_부하량'!A3:A3000)*(7='6층_부하량'!B3:B3000),0))</f>
        <v>0</v>
      </c>
      <c r="N9" s="2515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15" cm="1">
        <f t="array" ref="D10">INDEX('6층_부하량'!C3:C3000,MATCH(1,("6-DaHall 1-CEP-05"='6층_부하량'!A3:A3000)*(8='6층_부하량'!B3:B3000),0))</f>
        <v>0</v>
      </c>
      <c r="E10" s="2515" cm="1">
        <f t="array" ref="E10">INDEX('6층_부하량'!D3:D3000,MATCH(1,("6-DaHall 1-CEP-05"='6층_부하량'!A3:A3000)*(8='6층_부하량'!B3:B3000),0))</f>
        <v>0</v>
      </c>
      <c r="F10" s="2515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5" cm="1">
        <f t="array" ref="L10">INDEX('6층_부하량'!C3:C3000,MATCH(1,("6-DaHall 1-CEP-05"='6층_부하량'!A3:A3000)*(9='6층_부하량'!B3:B3000),0))</f>
        <v>0</v>
      </c>
      <c r="M10" s="2515" cm="1">
        <f t="array" ref="M10">INDEX('6층_부하량'!D3:D3000,MATCH(1,("6-DaHall 1-CEP-05"='6층_부하량'!A3:A3000)*(9='6층_부하량'!B3:B3000),0))</f>
        <v>0</v>
      </c>
      <c r="N10" s="2515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24" cm="1">
        <f t="array" ref="D11">INDEX('6층_부하량'!C3:C3000,MATCH(1,("6-DaHall 1-CEP-05"='6층_부하량'!A3:A3000)*(10='6층_부하량'!B3:B3000),0))</f>
        <v>0</v>
      </c>
      <c r="E11" s="2524" cm="1">
        <f t="array" ref="E11">INDEX('6층_부하량'!D3:D3000,MATCH(1,("6-DaHall 1-CEP-05"='6층_부하량'!A3:A3000)*(10='6층_부하량'!B3:B3000),0))</f>
        <v>0</v>
      </c>
      <c r="F11" s="2524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4" cm="1">
        <f t="array" ref="L11">INDEX('6층_부하량'!C3:C3000,MATCH(1,("6-DaHall 1-CEP-05"='6층_부하량'!A3:A3000)*(11='6층_부하량'!B3:B3000),0))</f>
        <v>0</v>
      </c>
      <c r="M11" s="2525" cm="1">
        <f t="array" ref="M11">INDEX('6층_부하량'!D3:D3000,MATCH(1,("6-DaHall 1-CEP-05"='6층_부하량'!A3:A3000)*(11='6층_부하량'!B3:B3000),0))</f>
        <v>0</v>
      </c>
      <c r="N11" s="2525" cm="1">
        <f t="array" ref="N11">INDEX('6층_부하량'!E3:E3000,MATCH(1,("6-DaHall 1-CEP-05"='6층_부하량'!A3:A3000)*(11='6층_부하량'!B3:B3000),0))</f>
        <v>0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33" t="s">
        <v>4296</v>
      </c>
      <c r="D12" s="2526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6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6"/>
      <c r="B13" s="142" t="s">
        <v>4153</v>
      </c>
      <c r="C13" s="142" t="s">
        <v>4158</v>
      </c>
      <c r="D13" s="156"/>
      <c r="E13" s="2515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5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18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8" cm="1">
        <f t="array" ref="N14">INDEX('6층_부하량'!E3:E3000,MATCH(1,("6-DaHall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969" t="s">
        <v>4575</v>
      </c>
      <c r="D17" s="3969"/>
      <c r="E17" s="3969"/>
      <c r="F17" s="172"/>
      <c r="G17" s="172"/>
      <c r="H17" s="132"/>
      <c r="I17" s="3974" t="s">
        <v>4576</v>
      </c>
      <c r="J17" s="397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13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3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14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4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15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5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15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5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15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5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15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5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14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4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15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5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15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5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14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4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15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5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15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5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14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4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24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4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26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6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14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4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15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5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15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5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14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4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15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5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15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5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14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4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15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5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15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5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14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4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15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5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18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8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969" t="s">
        <v>4603</v>
      </c>
      <c r="D49" s="3969"/>
      <c r="E49" s="3969"/>
      <c r="F49" s="172"/>
      <c r="G49" s="172"/>
      <c r="H49" s="132"/>
      <c r="I49" s="3974" t="s">
        <v>4288</v>
      </c>
      <c r="J49" s="397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13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3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14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4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15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5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15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5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15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5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15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5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14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4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15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5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15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5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14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4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15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5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15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5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14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4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24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4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26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6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14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4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15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5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15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5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14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4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15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5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15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5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14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4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15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5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15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5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14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4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15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5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18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8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969" t="s">
        <v>4635</v>
      </c>
      <c r="D81" s="3969"/>
      <c r="E81" s="3969"/>
      <c r="F81" s="172"/>
      <c r="G81" s="172"/>
      <c r="H81" s="132"/>
      <c r="I81" s="3974" t="s">
        <v>4636</v>
      </c>
      <c r="J81" s="397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13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3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14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4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15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5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15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5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15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5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15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5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15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5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15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5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20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20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17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7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15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5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15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5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15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5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15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5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15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5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15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5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15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5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15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5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15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5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15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5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15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5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15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5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15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5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15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5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18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8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969" t="s">
        <v>4687</v>
      </c>
      <c r="D111" s="3969"/>
      <c r="E111" s="3969"/>
      <c r="F111" s="172"/>
      <c r="G111" s="172"/>
      <c r="H111" s="132"/>
      <c r="I111" s="3974" t="s">
        <v>4636</v>
      </c>
      <c r="J111" s="397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13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3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14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4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15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5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15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5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15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5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15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5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15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5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15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5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20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20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17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7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15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5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15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5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15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5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15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5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15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5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15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5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15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5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15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5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15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5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15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5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15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5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15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5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15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5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15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5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18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8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969" t="s">
        <v>4736</v>
      </c>
      <c r="D141" s="3969"/>
      <c r="E141" s="3969"/>
      <c r="F141" s="172"/>
      <c r="G141" s="172"/>
      <c r="H141" s="132"/>
      <c r="I141" s="3974" t="s">
        <v>4636</v>
      </c>
      <c r="J141" s="397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13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3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14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4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15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5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15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5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15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5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15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5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15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5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15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5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20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20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17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7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6" t="s">
        <v>4756</v>
      </c>
      <c r="B154" s="155" t="s">
        <v>4208</v>
      </c>
      <c r="C154" s="188" t="s">
        <v>4149</v>
      </c>
      <c r="D154" s="156"/>
      <c r="E154" s="2515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5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15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5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15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5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15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5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15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5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15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5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15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5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15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5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15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5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15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5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15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5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15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5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15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5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7" t="s">
        <v>4781</v>
      </c>
      <c r="B167" s="142" t="s">
        <v>4208</v>
      </c>
      <c r="C167" s="163" t="s">
        <v>4149</v>
      </c>
      <c r="D167" s="156"/>
      <c r="E167" s="156"/>
      <c r="F167" s="2515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5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998" t="s">
        <v>4782</v>
      </c>
      <c r="B168" s="165" t="s">
        <v>4208</v>
      </c>
      <c r="C168" s="183" t="s">
        <v>4149</v>
      </c>
      <c r="D168" s="2518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8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969" t="s">
        <v>4783</v>
      </c>
      <c r="D170" s="3969"/>
      <c r="E170" s="3969"/>
      <c r="F170" s="172"/>
      <c r="G170" s="172"/>
      <c r="H170" s="132"/>
      <c r="I170" s="3974" t="s">
        <v>4636</v>
      </c>
      <c r="J170" s="397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13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3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14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4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15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5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15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5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15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5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15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5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15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5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15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5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20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20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17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7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6" t="s">
        <v>4803</v>
      </c>
      <c r="B183" s="155" t="s">
        <v>4208</v>
      </c>
      <c r="C183" s="188" t="s">
        <v>4149</v>
      </c>
      <c r="D183" s="156"/>
      <c r="E183" s="2515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5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15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5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15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5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15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5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15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5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15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5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15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5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15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5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15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5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15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5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15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5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15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5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15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5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7" t="s">
        <v>4781</v>
      </c>
      <c r="B196" s="142" t="s">
        <v>4208</v>
      </c>
      <c r="C196" s="163" t="s">
        <v>4149</v>
      </c>
      <c r="D196" s="156"/>
      <c r="E196" s="156"/>
      <c r="F196" s="2515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5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998" t="s">
        <v>4782</v>
      </c>
      <c r="B197" s="165" t="s">
        <v>4208</v>
      </c>
      <c r="C197" s="183" t="s">
        <v>4149</v>
      </c>
      <c r="D197" s="2518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8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969" t="s">
        <v>4830</v>
      </c>
      <c r="D199" s="3969"/>
      <c r="E199" s="3969"/>
      <c r="F199" s="172"/>
      <c r="G199" s="172"/>
      <c r="H199" s="132"/>
      <c r="I199" s="3974" t="s">
        <v>4636</v>
      </c>
      <c r="J199" s="397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13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3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14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4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15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5" cm="1">
        <f t="array" ref="N204">INDEX('6층_부하량'!E3:E3000,MATCH(1,("6-DaHall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88" t="s">
        <v>4837</v>
      </c>
      <c r="B205" s="142" t="s">
        <v>4208</v>
      </c>
      <c r="C205" s="1145" t="s">
        <v>4149</v>
      </c>
      <c r="D205" s="2515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5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89" t="s">
        <v>4839</v>
      </c>
      <c r="B206" s="142" t="s">
        <v>4208</v>
      </c>
      <c r="C206" s="1145" t="s">
        <v>4149</v>
      </c>
      <c r="D206" s="156"/>
      <c r="E206" s="2515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5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88" t="s">
        <v>4841</v>
      </c>
      <c r="B207" s="142" t="s">
        <v>4208</v>
      </c>
      <c r="C207" s="1145" t="s">
        <v>4149</v>
      </c>
      <c r="D207" s="156"/>
      <c r="E207" s="156"/>
      <c r="F207" s="2515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5" cm="1">
        <f t="array" ref="N207">INDEX('6층_부하량'!E3:E3000,MATCH(1,("6-DaHall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89" t="s">
        <v>4843</v>
      </c>
      <c r="B208" s="142" t="s">
        <v>4208</v>
      </c>
      <c r="C208" s="1145" t="s">
        <v>4149</v>
      </c>
      <c r="D208" s="2515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5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88" t="s">
        <v>4845</v>
      </c>
      <c r="B209" s="142" t="s">
        <v>4208</v>
      </c>
      <c r="C209" s="1145" t="s">
        <v>4149</v>
      </c>
      <c r="D209" s="156"/>
      <c r="E209" s="2515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5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0" t="s">
        <v>4847</v>
      </c>
      <c r="B210" s="158" t="s">
        <v>4208</v>
      </c>
      <c r="C210" s="1146" t="s">
        <v>4149</v>
      </c>
      <c r="D210" s="176"/>
      <c r="E210" s="176"/>
      <c r="F210" s="2520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20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17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7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15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5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15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5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15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5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15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5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15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5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15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5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15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5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15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5" cm="1">
        <f t="array" ref="N219">INDEX('6층_부하량'!E3:E3000,MATCH(1,("6-DaHall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15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5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15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5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15" cm="1">
        <f t="array" ref="F222">INDEX('6층_부하량'!E3:E3000,MATCH(1,("6-DaHall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5" cm="1">
        <f t="array" ref="N222">INDEX('6층_부하량'!E3:E3000,MATCH(1,("6-DaHall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15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5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15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5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15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5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18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8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969" t="s">
        <v>4879</v>
      </c>
      <c r="D229" s="3969"/>
      <c r="E229" s="3969"/>
      <c r="F229" s="172"/>
      <c r="G229" s="172"/>
      <c r="H229" s="132"/>
      <c r="I229" s="3974" t="s">
        <v>4636</v>
      </c>
      <c r="J229" s="397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13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3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14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4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15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5" cm="1">
        <f t="array" ref="N234">INDEX('6층_부하량'!E3:E3000,MATCH(1,("6-DaHall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88" t="s">
        <v>4886</v>
      </c>
      <c r="B235" s="142" t="s">
        <v>4208</v>
      </c>
      <c r="C235" s="1145" t="s">
        <v>4149</v>
      </c>
      <c r="D235" s="2515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5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89" t="s">
        <v>4888</v>
      </c>
      <c r="B236" s="142" t="s">
        <v>4208</v>
      </c>
      <c r="C236" s="1145" t="s">
        <v>4149</v>
      </c>
      <c r="D236" s="156"/>
      <c r="E236" s="2515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5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88" t="s">
        <v>4890</v>
      </c>
      <c r="B237" s="142" t="s">
        <v>4208</v>
      </c>
      <c r="C237" s="1145" t="s">
        <v>4149</v>
      </c>
      <c r="D237" s="156"/>
      <c r="E237" s="156"/>
      <c r="F237" s="2515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5" cm="1">
        <f t="array" ref="N237">INDEX('6층_부하량'!E3:E3000,MATCH(1,("6-DaHall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89" t="s">
        <v>4892</v>
      </c>
      <c r="B238" s="142" t="s">
        <v>4208</v>
      </c>
      <c r="C238" s="1145" t="s">
        <v>4149</v>
      </c>
      <c r="D238" s="2515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5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88" t="s">
        <v>4894</v>
      </c>
      <c r="B239" s="142" t="s">
        <v>4208</v>
      </c>
      <c r="C239" s="1145" t="s">
        <v>4149</v>
      </c>
      <c r="D239" s="156"/>
      <c r="E239" s="2515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5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0" t="s">
        <v>4896</v>
      </c>
      <c r="B240" s="158" t="s">
        <v>4208</v>
      </c>
      <c r="C240" s="1146" t="s">
        <v>4149</v>
      </c>
      <c r="D240" s="176"/>
      <c r="E240" s="176"/>
      <c r="F240" s="2520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20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17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7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15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5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15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5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15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5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15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5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15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5" cm="1">
        <f t="array" ref="N246">INDEX('6층_부하량'!E3:E3000,MATCH(1,("6-DaHall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15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5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15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5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15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5" cm="1">
        <f t="array" ref="N249">INDEX('6층_부하량'!E3:E3000,MATCH(1,("6-DaHall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15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5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15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5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15" cm="1">
        <f t="array" ref="F252">INDEX('6층_부하량'!E3:E3000,MATCH(1,("6-DaHall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5" cm="1">
        <f t="array" ref="N252">INDEX('6층_부하량'!E3:E3000,MATCH(1,("6-DaHall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15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5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15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5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15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5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18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8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969" t="s">
        <v>4927</v>
      </c>
      <c r="D259" s="3969"/>
      <c r="E259" s="3969"/>
      <c r="F259" s="172"/>
      <c r="G259" s="172"/>
      <c r="H259" s="132"/>
      <c r="I259" s="3974" t="s">
        <v>4636</v>
      </c>
      <c r="J259" s="397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13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3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14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4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15" cm="1">
        <f t="array" ref="F264">INDEX('6층_부하량'!E3:E3000,MATCH(1,("6-DaHall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5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15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5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15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5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15" cm="1">
        <f t="array" ref="F267">INDEX('6층_부하량'!E3:E3000,MATCH(1,("6-DaHall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5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15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5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15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5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20" cm="1">
        <f t="array" ref="F270">INDEX('6층_부하량'!E3:E3000,MATCH(1,("6-DaHall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20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17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7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15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5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15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5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15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5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15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5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15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5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15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5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15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5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15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5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15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5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15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5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15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5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15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5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15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5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15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5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18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8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969" t="s">
        <v>4970</v>
      </c>
      <c r="D289" s="3969"/>
      <c r="E289" s="3969"/>
      <c r="F289" s="172"/>
      <c r="G289" s="172"/>
      <c r="H289" s="132"/>
      <c r="I289" s="3974" t="s">
        <v>4636</v>
      </c>
      <c r="J289" s="397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13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3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14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4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15" cm="1">
        <f t="array" ref="F294">INDEX('6층_부하량'!E3:E3000,MATCH(1,("6-DaHall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5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15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5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15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5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15" cm="1">
        <f t="array" ref="F297">INDEX('6층_부하량'!E3:E3000,MATCH(1,("6-DaHall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5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15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5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15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5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20" cm="1">
        <f t="array" ref="F300">INDEX('6층_부하량'!E3:E3000,MATCH(1,("6-DaHall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20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17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7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15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5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15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5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15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5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15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5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15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5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15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5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15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5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15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5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15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5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15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5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15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5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15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5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15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5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15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5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18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8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969" t="s">
        <v>5011</v>
      </c>
      <c r="D319" s="3969"/>
      <c r="E319" s="3969"/>
      <c r="F319" s="172"/>
      <c r="G319" s="172"/>
      <c r="H319" s="132"/>
      <c r="I319" s="3974" t="s">
        <v>4288</v>
      </c>
      <c r="J319" s="397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13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3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14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4" cm="1">
        <f t="array" ref="N323">INDEX('6층_부하량'!E3:E3000,MATCH(1,("6-DaHall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15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5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15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5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15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5" cm="1">
        <f t="array" ref="N326">INDEX('6층_부하량'!E3:E3000,MATCH(1,("6-DaHall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15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5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15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5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15" cm="1">
        <f t="array" ref="F329">INDEX('6층_부하량'!E3:E3000,MATCH(1,("6-DaHall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5" cm="1">
        <f t="array" ref="N329">INDEX('6층_부하량'!E3:E3000,MATCH(1,("6-DaHall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15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5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15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5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15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5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22" t="s">
        <v>5034</v>
      </c>
      <c r="B333" s="142" t="s">
        <v>4208</v>
      </c>
      <c r="C333" s="163" t="s">
        <v>4149</v>
      </c>
      <c r="D333" s="2515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5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15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5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20" cm="1">
        <f t="array" ref="F335">INDEX('6층_부하량'!E3:E3000,MATCH(1,("6-DaHall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20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17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7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15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5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15" cm="1">
        <f t="array" ref="F338">INDEX('6층_부하량'!E3:E3000,MATCH(1,("6-DaHall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5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15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5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23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3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15" cm="1">
        <f t="array" ref="F341">INDEX('6층_부하량'!E3:E3000,MATCH(1,("6-DaHall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5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15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5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15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5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15" cm="1">
        <f t="array" ref="F344">INDEX('6층_부하량'!E3:E3000,MATCH(1,("6-DaHall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5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23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3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15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5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23" cm="1">
        <f t="array" ref="F347">INDEX('6층_부하량'!E3:E3000,MATCH(1,("6-DaHall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3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27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7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969" t="s">
        <v>5066</v>
      </c>
      <c r="D351" s="3969"/>
      <c r="E351" s="3969"/>
      <c r="F351" s="172"/>
      <c r="G351" s="172"/>
      <c r="H351" s="132"/>
      <c r="I351" s="3974" t="s">
        <v>4288</v>
      </c>
      <c r="J351" s="397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13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3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14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4" cm="1">
        <f t="array" ref="N355">INDEX('6층_부하량'!E3:E3000,MATCH(1,("6-DaHall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15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5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15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5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15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5" cm="1">
        <f t="array" ref="N358">INDEX('6층_부하량'!E3:E3000,MATCH(1,("6-DaHall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15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5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15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5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15" cm="1">
        <f t="array" ref="F361">INDEX('6층_부하량'!E3:E3000,MATCH(1,("6-DaHall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5" cm="1">
        <f t="array" ref="N361">INDEX('6층_부하량'!E3:E3000,MATCH(1,("6-DaHall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15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5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15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5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15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5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22" t="s">
        <v>5088</v>
      </c>
      <c r="B365" s="142" t="s">
        <v>4208</v>
      </c>
      <c r="C365" s="163" t="s">
        <v>4149</v>
      </c>
      <c r="D365" s="2515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5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15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5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20" cm="1">
        <f t="array" ref="F367">INDEX('6층_부하량'!E3:E3000,MATCH(1,("6-DaHall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20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17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7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15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5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15" cm="1">
        <f t="array" ref="F370">INDEX('6층_부하량'!E3:E3000,MATCH(1,("6-DaHall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5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15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5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23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3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15" cm="1">
        <f t="array" ref="F373">INDEX('6층_부하량'!E3:E3000,MATCH(1,("6-DaHall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5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15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5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15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5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15" cm="1">
        <f t="array" ref="F376">INDEX('6층_부하량'!E3:E3000,MATCH(1,("6-DaHall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5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23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3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15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5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23" cm="1">
        <f t="array" ref="F379">INDEX('6층_부하량'!E3:E3000,MATCH(1,("6-DaHall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3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27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7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969" t="s">
        <v>5114</v>
      </c>
      <c r="D383" s="3969"/>
      <c r="E383" s="3969"/>
      <c r="F383" s="172"/>
      <c r="G383" s="172"/>
      <c r="H383" s="132"/>
      <c r="I383" s="3974" t="s">
        <v>4288</v>
      </c>
      <c r="J383" s="397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13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3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14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4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15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5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15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5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15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5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15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5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15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5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15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5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15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5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15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5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15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5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15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5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15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5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20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20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17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7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15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5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15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5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15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5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23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3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15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5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15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5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15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5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15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5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23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3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15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5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23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3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27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7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969" t="s">
        <v>5170</v>
      </c>
      <c r="D415" s="3969"/>
      <c r="E415" s="3969"/>
      <c r="F415" s="172"/>
      <c r="G415" s="172"/>
      <c r="H415" s="132"/>
      <c r="I415" s="3974" t="s">
        <v>4288</v>
      </c>
      <c r="J415" s="397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13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3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14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4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15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5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15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5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15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5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15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5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15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5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15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5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15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5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15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5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15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5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15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5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15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5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20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20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17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7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15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5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15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5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15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5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23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3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15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5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15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5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15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5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15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5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23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3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15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5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23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3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27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7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966" t="s">
        <v>7539</v>
      </c>
      <c r="B1" s="3966" t="s">
        <v>8496</v>
      </c>
    </row>
    <row r="2" spans="1:2" x14ac:dyDescent="0.25">
      <c r="A2" s="3966"/>
      <c r="B2" s="3966"/>
    </row>
    <row r="3" spans="1:2" x14ac:dyDescent="0.25">
      <c r="A3" s="2511" t="s">
        <v>7535</v>
      </c>
      <c r="B3" s="2510" t="s">
        <v>8497</v>
      </c>
    </row>
    <row r="4" spans="1:2" x14ac:dyDescent="0.25">
      <c r="A4" t="s">
        <v>7541</v>
      </c>
      <c r="B4" s="2510" t="s">
        <v>8499</v>
      </c>
    </row>
    <row r="5" spans="1:2" x14ac:dyDescent="0.25">
      <c r="A5" t="s">
        <v>7542</v>
      </c>
      <c r="B5" s="2510" t="s">
        <v>8500</v>
      </c>
    </row>
    <row r="6" spans="1:2" x14ac:dyDescent="0.25">
      <c r="A6" t="s">
        <v>7543</v>
      </c>
      <c r="B6" s="2510" t="s">
        <v>8501</v>
      </c>
    </row>
    <row r="7" spans="1:2" x14ac:dyDescent="0.25">
      <c r="A7" t="s">
        <v>7544</v>
      </c>
      <c r="B7" s="2510" t="s">
        <v>8502</v>
      </c>
    </row>
    <row r="8" spans="1:2" x14ac:dyDescent="0.25">
      <c r="A8" t="s">
        <v>7545</v>
      </c>
      <c r="B8" s="2510" t="s">
        <v>8503</v>
      </c>
    </row>
    <row r="9" spans="1:2" x14ac:dyDescent="0.25">
      <c r="A9" t="s">
        <v>7546</v>
      </c>
      <c r="B9" s="2510" t="s">
        <v>8504</v>
      </c>
    </row>
    <row r="10" spans="1:2" x14ac:dyDescent="0.25">
      <c r="A10" t="s">
        <v>7547</v>
      </c>
      <c r="B10" s="2510" t="s">
        <v>8505</v>
      </c>
    </row>
    <row r="11" spans="1:2" x14ac:dyDescent="0.25">
      <c r="A11" t="s">
        <v>7548</v>
      </c>
      <c r="B11" s="2510" t="s">
        <v>8506</v>
      </c>
    </row>
    <row r="12" spans="1:2" x14ac:dyDescent="0.25">
      <c r="A12" t="s">
        <v>7549</v>
      </c>
      <c r="B12" s="2510" t="s">
        <v>8507</v>
      </c>
    </row>
    <row r="13" spans="1:2" x14ac:dyDescent="0.25">
      <c r="A13" t="s">
        <v>7550</v>
      </c>
      <c r="B13" s="2510" t="s">
        <v>8508</v>
      </c>
    </row>
    <row r="14" spans="1:2" x14ac:dyDescent="0.25">
      <c r="A14" t="s">
        <v>7551</v>
      </c>
      <c r="B14" s="2510" t="s">
        <v>8509</v>
      </c>
    </row>
    <row r="15" spans="1:2" x14ac:dyDescent="0.25">
      <c r="A15" t="s">
        <v>7552</v>
      </c>
      <c r="B15" s="2510" t="s">
        <v>8510</v>
      </c>
    </row>
    <row r="16" spans="1:2" x14ac:dyDescent="0.25">
      <c r="A16" t="s">
        <v>7553</v>
      </c>
      <c r="B16" s="2510" t="s">
        <v>8511</v>
      </c>
    </row>
    <row r="17" spans="1:2" x14ac:dyDescent="0.25">
      <c r="A17" t="s">
        <v>7554</v>
      </c>
      <c r="B17" s="2510" t="s">
        <v>8512</v>
      </c>
    </row>
    <row r="18" spans="1:2" x14ac:dyDescent="0.25">
      <c r="A18" t="s">
        <v>7555</v>
      </c>
      <c r="B18" s="2510" t="s">
        <v>8513</v>
      </c>
    </row>
    <row r="19" spans="1:2" x14ac:dyDescent="0.25">
      <c r="A19" t="s">
        <v>7556</v>
      </c>
      <c r="B19" s="2510" t="s">
        <v>8514</v>
      </c>
    </row>
    <row r="20" spans="1:2" x14ac:dyDescent="0.25">
      <c r="A20" t="s">
        <v>7557</v>
      </c>
      <c r="B20" s="2510" t="s">
        <v>8515</v>
      </c>
    </row>
    <row r="21" spans="1:2" x14ac:dyDescent="0.25">
      <c r="A21" t="s">
        <v>7558</v>
      </c>
      <c r="B21" s="2510" t="s">
        <v>8516</v>
      </c>
    </row>
    <row r="22" spans="1:2" x14ac:dyDescent="0.25">
      <c r="A22" t="s">
        <v>7559</v>
      </c>
      <c r="B22" s="2510" t="s">
        <v>8517</v>
      </c>
    </row>
    <row r="23" spans="1:2" x14ac:dyDescent="0.25">
      <c r="A23" t="s">
        <v>7560</v>
      </c>
      <c r="B23" s="2510" t="s">
        <v>8518</v>
      </c>
    </row>
    <row r="24" spans="1:2" x14ac:dyDescent="0.25">
      <c r="A24" t="s">
        <v>7561</v>
      </c>
      <c r="B24" s="2510" t="s">
        <v>8519</v>
      </c>
    </row>
    <row r="25" spans="1:2" x14ac:dyDescent="0.25">
      <c r="A25" t="s">
        <v>7562</v>
      </c>
      <c r="B25" s="2510" t="s">
        <v>8520</v>
      </c>
    </row>
    <row r="26" spans="1:2" x14ac:dyDescent="0.25">
      <c r="A26" t="s">
        <v>7563</v>
      </c>
      <c r="B26" s="2510" t="s">
        <v>8521</v>
      </c>
    </row>
    <row r="27" spans="1:2" x14ac:dyDescent="0.25">
      <c r="A27" t="s">
        <v>7564</v>
      </c>
      <c r="B27" s="2510" t="s">
        <v>8522</v>
      </c>
    </row>
    <row r="28" spans="1:2" x14ac:dyDescent="0.25">
      <c r="A28" t="s">
        <v>7565</v>
      </c>
      <c r="B28" s="2510" t="s">
        <v>8523</v>
      </c>
    </row>
    <row r="29" spans="1:2" x14ac:dyDescent="0.25">
      <c r="A29" t="s">
        <v>7566</v>
      </c>
      <c r="B29" s="2510" t="s">
        <v>8524</v>
      </c>
    </row>
    <row r="30" spans="1:2" x14ac:dyDescent="0.25">
      <c r="A30" t="s">
        <v>7567</v>
      </c>
      <c r="B30" s="2510" t="s">
        <v>8525</v>
      </c>
    </row>
    <row r="31" spans="1:2" x14ac:dyDescent="0.25">
      <c r="A31" t="s">
        <v>7568</v>
      </c>
      <c r="B31" s="2510" t="s">
        <v>8526</v>
      </c>
    </row>
    <row r="32" spans="1:2" x14ac:dyDescent="0.25">
      <c r="A32" t="s">
        <v>7569</v>
      </c>
      <c r="B32" s="2510" t="s">
        <v>8527</v>
      </c>
    </row>
    <row r="33" spans="1:2" x14ac:dyDescent="0.25">
      <c r="A33" t="s">
        <v>7570</v>
      </c>
      <c r="B33" s="2510" t="s">
        <v>8528</v>
      </c>
    </row>
    <row r="34" spans="1:2" x14ac:dyDescent="0.25">
      <c r="A34" t="s">
        <v>7571</v>
      </c>
      <c r="B34" s="2510" t="s">
        <v>8529</v>
      </c>
    </row>
    <row r="35" spans="1:2" x14ac:dyDescent="0.25">
      <c r="A35" t="s">
        <v>7572</v>
      </c>
      <c r="B35" s="2510" t="s">
        <v>8530</v>
      </c>
    </row>
    <row r="36" spans="1:2" x14ac:dyDescent="0.25">
      <c r="A36" t="s">
        <v>7573</v>
      </c>
      <c r="B36" s="2510" t="s">
        <v>8531</v>
      </c>
    </row>
    <row r="37" spans="1:2" x14ac:dyDescent="0.25">
      <c r="A37" t="s">
        <v>7574</v>
      </c>
      <c r="B37" s="2510" t="s">
        <v>8532</v>
      </c>
    </row>
    <row r="38" spans="1:2" x14ac:dyDescent="0.25">
      <c r="A38" t="s">
        <v>7575</v>
      </c>
      <c r="B38" s="2510" t="s">
        <v>8533</v>
      </c>
    </row>
    <row r="39" spans="1:2" x14ac:dyDescent="0.25">
      <c r="A39" t="s">
        <v>7576</v>
      </c>
      <c r="B39" s="2510" t="s">
        <v>8534</v>
      </c>
    </row>
    <row r="40" spans="1:2" x14ac:dyDescent="0.25">
      <c r="A40" t="s">
        <v>7577</v>
      </c>
      <c r="B40" s="2510" t="s">
        <v>8535</v>
      </c>
    </row>
    <row r="41" spans="1:2" x14ac:dyDescent="0.25">
      <c r="A41" t="s">
        <v>7578</v>
      </c>
      <c r="B41" s="2510" t="s">
        <v>8536</v>
      </c>
    </row>
    <row r="42" spans="1:2" x14ac:dyDescent="0.25">
      <c r="A42" t="s">
        <v>7579</v>
      </c>
      <c r="B42" s="2510" t="s">
        <v>8537</v>
      </c>
    </row>
    <row r="43" spans="1:2" x14ac:dyDescent="0.25">
      <c r="A43" t="s">
        <v>7580</v>
      </c>
      <c r="B43" s="2510" t="s">
        <v>8538</v>
      </c>
    </row>
    <row r="44" spans="1:2" x14ac:dyDescent="0.25">
      <c r="A44" t="s">
        <v>7581</v>
      </c>
      <c r="B44" s="2510" t="s">
        <v>8539</v>
      </c>
    </row>
    <row r="45" spans="1:2" x14ac:dyDescent="0.25">
      <c r="A45" t="s">
        <v>7582</v>
      </c>
      <c r="B45" s="2510" t="s">
        <v>8540</v>
      </c>
    </row>
    <row r="46" spans="1:2" x14ac:dyDescent="0.25">
      <c r="A46" t="s">
        <v>7583</v>
      </c>
      <c r="B46" s="2510" t="s">
        <v>8541</v>
      </c>
    </row>
    <row r="47" spans="1:2" x14ac:dyDescent="0.25">
      <c r="A47" t="s">
        <v>7584</v>
      </c>
      <c r="B47" s="2510" t="s">
        <v>8542</v>
      </c>
    </row>
    <row r="48" spans="1:2" x14ac:dyDescent="0.25">
      <c r="A48" t="s">
        <v>7585</v>
      </c>
      <c r="B48" s="2510" t="s">
        <v>8543</v>
      </c>
    </row>
    <row r="49" spans="1:2" x14ac:dyDescent="0.25">
      <c r="A49" t="s">
        <v>7586</v>
      </c>
      <c r="B49" s="2510" t="s">
        <v>8544</v>
      </c>
    </row>
    <row r="50" spans="1:2" x14ac:dyDescent="0.25">
      <c r="A50" t="s">
        <v>7587</v>
      </c>
      <c r="B50" s="2510" t="s">
        <v>8545</v>
      </c>
    </row>
    <row r="51" spans="1:2" x14ac:dyDescent="0.25">
      <c r="A51" t="s">
        <v>7588</v>
      </c>
      <c r="B51" s="2510" t="s">
        <v>8546</v>
      </c>
    </row>
    <row r="52" spans="1:2" x14ac:dyDescent="0.25">
      <c r="A52" t="s">
        <v>7589</v>
      </c>
      <c r="B52" s="2510" t="s">
        <v>8547</v>
      </c>
    </row>
    <row r="53" spans="1:2" x14ac:dyDescent="0.25">
      <c r="A53" s="2511" t="s">
        <v>7536</v>
      </c>
      <c r="B53" s="2510" t="s">
        <v>8497</v>
      </c>
    </row>
    <row r="54" spans="1:2" x14ac:dyDescent="0.25">
      <c r="A54" t="s">
        <v>7590</v>
      </c>
      <c r="B54" s="2510" t="s">
        <v>8499</v>
      </c>
    </row>
    <row r="55" spans="1:2" x14ac:dyDescent="0.25">
      <c r="A55" t="s">
        <v>7591</v>
      </c>
      <c r="B55" s="2510" t="s">
        <v>8500</v>
      </c>
    </row>
    <row r="56" spans="1:2" x14ac:dyDescent="0.25">
      <c r="A56" t="s">
        <v>7592</v>
      </c>
      <c r="B56" s="2510" t="s">
        <v>8501</v>
      </c>
    </row>
    <row r="57" spans="1:2" x14ac:dyDescent="0.25">
      <c r="A57" t="s">
        <v>7593</v>
      </c>
      <c r="B57" s="2510" t="s">
        <v>8502</v>
      </c>
    </row>
    <row r="58" spans="1:2" x14ac:dyDescent="0.25">
      <c r="A58" t="s">
        <v>7594</v>
      </c>
      <c r="B58" s="2510" t="s">
        <v>8503</v>
      </c>
    </row>
    <row r="59" spans="1:2" x14ac:dyDescent="0.25">
      <c r="A59" t="s">
        <v>7595</v>
      </c>
      <c r="B59" s="2510" t="s">
        <v>8504</v>
      </c>
    </row>
    <row r="60" spans="1:2" x14ac:dyDescent="0.25">
      <c r="A60" t="s">
        <v>7596</v>
      </c>
      <c r="B60" s="2510" t="s">
        <v>8505</v>
      </c>
    </row>
    <row r="61" spans="1:2" x14ac:dyDescent="0.25">
      <c r="A61" t="s">
        <v>7597</v>
      </c>
      <c r="B61" s="2510" t="s">
        <v>8506</v>
      </c>
    </row>
    <row r="62" spans="1:2" x14ac:dyDescent="0.25">
      <c r="A62" t="s">
        <v>7598</v>
      </c>
      <c r="B62" s="2510" t="s">
        <v>8507</v>
      </c>
    </row>
    <row r="63" spans="1:2" x14ac:dyDescent="0.25">
      <c r="A63" t="s">
        <v>7599</v>
      </c>
      <c r="B63" s="2510" t="s">
        <v>8508</v>
      </c>
    </row>
    <row r="64" spans="1:2" x14ac:dyDescent="0.25">
      <c r="A64" t="s">
        <v>7600</v>
      </c>
      <c r="B64" s="2510" t="s">
        <v>8509</v>
      </c>
    </row>
    <row r="65" spans="1:2" x14ac:dyDescent="0.25">
      <c r="A65" t="s">
        <v>7601</v>
      </c>
      <c r="B65" s="2510" t="s">
        <v>8510</v>
      </c>
    </row>
    <row r="66" spans="1:2" x14ac:dyDescent="0.25">
      <c r="A66" t="s">
        <v>7602</v>
      </c>
      <c r="B66" s="2510" t="s">
        <v>8511</v>
      </c>
    </row>
    <row r="67" spans="1:2" x14ac:dyDescent="0.25">
      <c r="A67" t="s">
        <v>7603</v>
      </c>
      <c r="B67" s="2510" t="s">
        <v>8512</v>
      </c>
    </row>
    <row r="68" spans="1:2" x14ac:dyDescent="0.25">
      <c r="A68" t="s">
        <v>7604</v>
      </c>
      <c r="B68" s="2510" t="s">
        <v>8513</v>
      </c>
    </row>
    <row r="69" spans="1:2" x14ac:dyDescent="0.25">
      <c r="A69" t="s">
        <v>7605</v>
      </c>
      <c r="B69" s="2510" t="s">
        <v>8514</v>
      </c>
    </row>
    <row r="70" spans="1:2" x14ac:dyDescent="0.25">
      <c r="A70" t="s">
        <v>7606</v>
      </c>
      <c r="B70" s="2510" t="s">
        <v>8515</v>
      </c>
    </row>
    <row r="71" spans="1:2" x14ac:dyDescent="0.25">
      <c r="A71" t="s">
        <v>7607</v>
      </c>
      <c r="B71" s="2510" t="s">
        <v>8516</v>
      </c>
    </row>
    <row r="72" spans="1:2" x14ac:dyDescent="0.25">
      <c r="A72" t="s">
        <v>7608</v>
      </c>
      <c r="B72" s="2510" t="s">
        <v>8517</v>
      </c>
    </row>
    <row r="73" spans="1:2" x14ac:dyDescent="0.25">
      <c r="A73" t="s">
        <v>7609</v>
      </c>
      <c r="B73" s="2510" t="s">
        <v>8518</v>
      </c>
    </row>
    <row r="74" spans="1:2" x14ac:dyDescent="0.25">
      <c r="A74" t="s">
        <v>7610</v>
      </c>
      <c r="B74" s="2510" t="s">
        <v>8519</v>
      </c>
    </row>
    <row r="75" spans="1:2" x14ac:dyDescent="0.25">
      <c r="A75" t="s">
        <v>7611</v>
      </c>
      <c r="B75" s="2510" t="s">
        <v>8520</v>
      </c>
    </row>
    <row r="76" spans="1:2" x14ac:dyDescent="0.25">
      <c r="A76" t="s">
        <v>7612</v>
      </c>
      <c r="B76" s="2510" t="s">
        <v>8521</v>
      </c>
    </row>
    <row r="77" spans="1:2" x14ac:dyDescent="0.25">
      <c r="A77" t="s">
        <v>7613</v>
      </c>
      <c r="B77" s="2510" t="s">
        <v>8522</v>
      </c>
    </row>
    <row r="78" spans="1:2" x14ac:dyDescent="0.25">
      <c r="A78" t="s">
        <v>7614</v>
      </c>
      <c r="B78" s="2510" t="s">
        <v>8523</v>
      </c>
    </row>
    <row r="79" spans="1:2" x14ac:dyDescent="0.25">
      <c r="A79" t="s">
        <v>7615</v>
      </c>
      <c r="B79" s="2510" t="s">
        <v>8524</v>
      </c>
    </row>
    <row r="80" spans="1:2" x14ac:dyDescent="0.25">
      <c r="A80" t="s">
        <v>7616</v>
      </c>
      <c r="B80" s="2510" t="s">
        <v>8525</v>
      </c>
    </row>
    <row r="81" spans="1:2" x14ac:dyDescent="0.25">
      <c r="A81" t="s">
        <v>7617</v>
      </c>
      <c r="B81" s="2510" t="s">
        <v>8526</v>
      </c>
    </row>
    <row r="82" spans="1:2" x14ac:dyDescent="0.25">
      <c r="A82" t="s">
        <v>7618</v>
      </c>
      <c r="B82" s="2510" t="s">
        <v>8527</v>
      </c>
    </row>
    <row r="83" spans="1:2" x14ac:dyDescent="0.25">
      <c r="A83" t="s">
        <v>7619</v>
      </c>
      <c r="B83" s="2510" t="s">
        <v>8528</v>
      </c>
    </row>
    <row r="84" spans="1:2" x14ac:dyDescent="0.25">
      <c r="A84" t="s">
        <v>7620</v>
      </c>
      <c r="B84" s="2510" t="s">
        <v>8529</v>
      </c>
    </row>
    <row r="85" spans="1:2" x14ac:dyDescent="0.25">
      <c r="A85" t="s">
        <v>7621</v>
      </c>
      <c r="B85" s="2510" t="s">
        <v>8530</v>
      </c>
    </row>
    <row r="86" spans="1:2" x14ac:dyDescent="0.25">
      <c r="A86" t="s">
        <v>7622</v>
      </c>
      <c r="B86" s="2510" t="s">
        <v>8531</v>
      </c>
    </row>
    <row r="87" spans="1:2" x14ac:dyDescent="0.25">
      <c r="A87" t="s">
        <v>7623</v>
      </c>
      <c r="B87" s="2510" t="s">
        <v>8532</v>
      </c>
    </row>
    <row r="88" spans="1:2" x14ac:dyDescent="0.25">
      <c r="A88" t="s">
        <v>7624</v>
      </c>
      <c r="B88" s="2510" t="s">
        <v>8533</v>
      </c>
    </row>
    <row r="89" spans="1:2" x14ac:dyDescent="0.25">
      <c r="A89" t="s">
        <v>7625</v>
      </c>
      <c r="B89" s="2510" t="s">
        <v>8534</v>
      </c>
    </row>
    <row r="90" spans="1:2" x14ac:dyDescent="0.25">
      <c r="A90" t="s">
        <v>7626</v>
      </c>
      <c r="B90" s="2510" t="s">
        <v>8535</v>
      </c>
    </row>
    <row r="91" spans="1:2" x14ac:dyDescent="0.25">
      <c r="A91" t="s">
        <v>7627</v>
      </c>
      <c r="B91" s="2510" t="s">
        <v>8536</v>
      </c>
    </row>
    <row r="92" spans="1:2" x14ac:dyDescent="0.25">
      <c r="A92" t="s">
        <v>7628</v>
      </c>
      <c r="B92" s="2510" t="s">
        <v>8537</v>
      </c>
    </row>
    <row r="93" spans="1:2" x14ac:dyDescent="0.25">
      <c r="A93" t="s">
        <v>7629</v>
      </c>
      <c r="B93" s="2510" t="s">
        <v>8538</v>
      </c>
    </row>
    <row r="94" spans="1:2" x14ac:dyDescent="0.25">
      <c r="A94" t="s">
        <v>7630</v>
      </c>
      <c r="B94" s="2510" t="s">
        <v>8539</v>
      </c>
    </row>
    <row r="95" spans="1:2" x14ac:dyDescent="0.25">
      <c r="A95" t="s">
        <v>7631</v>
      </c>
      <c r="B95" s="2510" t="s">
        <v>8540</v>
      </c>
    </row>
    <row r="96" spans="1:2" x14ac:dyDescent="0.25">
      <c r="A96" t="s">
        <v>7632</v>
      </c>
      <c r="B96" s="2510" t="s">
        <v>8541</v>
      </c>
    </row>
    <row r="97" spans="1:2" x14ac:dyDescent="0.25">
      <c r="A97" t="s">
        <v>7633</v>
      </c>
      <c r="B97" s="2510" t="s">
        <v>8542</v>
      </c>
    </row>
    <row r="98" spans="1:2" x14ac:dyDescent="0.25">
      <c r="A98" t="s">
        <v>7634</v>
      </c>
      <c r="B98" s="2510" t="s">
        <v>8543</v>
      </c>
    </row>
    <row r="99" spans="1:2" x14ac:dyDescent="0.25">
      <c r="A99" t="s">
        <v>7635</v>
      </c>
      <c r="B99" s="2510" t="s">
        <v>8544</v>
      </c>
    </row>
    <row r="100" spans="1:2" x14ac:dyDescent="0.25">
      <c r="A100" t="s">
        <v>7636</v>
      </c>
      <c r="B100" s="2510" t="s">
        <v>8545</v>
      </c>
    </row>
    <row r="101" spans="1:2" x14ac:dyDescent="0.25">
      <c r="A101" t="s">
        <v>7637</v>
      </c>
      <c r="B101" s="2510" t="s">
        <v>8546</v>
      </c>
    </row>
    <row r="102" spans="1:2" x14ac:dyDescent="0.25">
      <c r="A102" t="s">
        <v>7638</v>
      </c>
      <c r="B102" s="2510" t="s">
        <v>8547</v>
      </c>
    </row>
    <row r="103" spans="1:2" x14ac:dyDescent="0.25">
      <c r="A103" s="2511" t="s">
        <v>7537</v>
      </c>
      <c r="B103" s="2510" t="s">
        <v>8497</v>
      </c>
    </row>
    <row r="104" spans="1:2" x14ac:dyDescent="0.25">
      <c r="A104" t="s">
        <v>7639</v>
      </c>
      <c r="B104" s="2510" t="s">
        <v>8499</v>
      </c>
    </row>
    <row r="105" spans="1:2" x14ac:dyDescent="0.25">
      <c r="A105" t="s">
        <v>7640</v>
      </c>
      <c r="B105" s="2510" t="s">
        <v>8500</v>
      </c>
    </row>
    <row r="106" spans="1:2" x14ac:dyDescent="0.25">
      <c r="A106" t="s">
        <v>7641</v>
      </c>
      <c r="B106" s="2510" t="s">
        <v>8501</v>
      </c>
    </row>
    <row r="107" spans="1:2" x14ac:dyDescent="0.25">
      <c r="A107" t="s">
        <v>7642</v>
      </c>
      <c r="B107" s="2510" t="s">
        <v>8502</v>
      </c>
    </row>
    <row r="108" spans="1:2" x14ac:dyDescent="0.25">
      <c r="A108" t="s">
        <v>7643</v>
      </c>
      <c r="B108" s="2510" t="s">
        <v>8503</v>
      </c>
    </row>
    <row r="109" spans="1:2" x14ac:dyDescent="0.25">
      <c r="A109" t="s">
        <v>7644</v>
      </c>
      <c r="B109" s="2510" t="s">
        <v>8504</v>
      </c>
    </row>
    <row r="110" spans="1:2" x14ac:dyDescent="0.25">
      <c r="A110" t="s">
        <v>7645</v>
      </c>
      <c r="B110" s="2510" t="s">
        <v>8505</v>
      </c>
    </row>
    <row r="111" spans="1:2" x14ac:dyDescent="0.25">
      <c r="A111" t="s">
        <v>7646</v>
      </c>
      <c r="B111" s="2510" t="s">
        <v>8506</v>
      </c>
    </row>
    <row r="112" spans="1:2" x14ac:dyDescent="0.25">
      <c r="A112" t="s">
        <v>7647</v>
      </c>
      <c r="B112" s="2510" t="s">
        <v>8507</v>
      </c>
    </row>
    <row r="113" spans="1:2" x14ac:dyDescent="0.25">
      <c r="A113" t="s">
        <v>7648</v>
      </c>
      <c r="B113" s="2510" t="s">
        <v>8508</v>
      </c>
    </row>
    <row r="114" spans="1:2" x14ac:dyDescent="0.25">
      <c r="A114" t="s">
        <v>7649</v>
      </c>
      <c r="B114" s="2510" t="s">
        <v>8509</v>
      </c>
    </row>
    <row r="115" spans="1:2" x14ac:dyDescent="0.25">
      <c r="A115" t="s">
        <v>7650</v>
      </c>
      <c r="B115" s="2510" t="s">
        <v>8510</v>
      </c>
    </row>
    <row r="116" spans="1:2" x14ac:dyDescent="0.25">
      <c r="A116" t="s">
        <v>7651</v>
      </c>
      <c r="B116" s="2510" t="s">
        <v>8511</v>
      </c>
    </row>
    <row r="117" spans="1:2" x14ac:dyDescent="0.25">
      <c r="A117" t="s">
        <v>7652</v>
      </c>
      <c r="B117" s="2510" t="s">
        <v>8512</v>
      </c>
    </row>
    <row r="118" spans="1:2" x14ac:dyDescent="0.25">
      <c r="A118" t="s">
        <v>7653</v>
      </c>
      <c r="B118" s="2510" t="s">
        <v>8513</v>
      </c>
    </row>
    <row r="119" spans="1:2" x14ac:dyDescent="0.25">
      <c r="A119" t="s">
        <v>7654</v>
      </c>
      <c r="B119" s="2510" t="s">
        <v>8514</v>
      </c>
    </row>
    <row r="120" spans="1:2" x14ac:dyDescent="0.25">
      <c r="A120" t="s">
        <v>7655</v>
      </c>
      <c r="B120" s="2510" t="s">
        <v>8515</v>
      </c>
    </row>
    <row r="121" spans="1:2" x14ac:dyDescent="0.25">
      <c r="A121" t="s">
        <v>7656</v>
      </c>
      <c r="B121" s="2510" t="s">
        <v>8516</v>
      </c>
    </row>
    <row r="122" spans="1:2" x14ac:dyDescent="0.25">
      <c r="A122" t="s">
        <v>7657</v>
      </c>
      <c r="B122" s="2510" t="s">
        <v>8517</v>
      </c>
    </row>
    <row r="123" spans="1:2" x14ac:dyDescent="0.25">
      <c r="A123" t="s">
        <v>7658</v>
      </c>
      <c r="B123" s="2510" t="s">
        <v>8518</v>
      </c>
    </row>
    <row r="124" spans="1:2" x14ac:dyDescent="0.25">
      <c r="A124" t="s">
        <v>7659</v>
      </c>
      <c r="B124" s="2510" t="s">
        <v>8519</v>
      </c>
    </row>
    <row r="125" spans="1:2" x14ac:dyDescent="0.25">
      <c r="A125" t="s">
        <v>7660</v>
      </c>
      <c r="B125" s="2510" t="s">
        <v>8520</v>
      </c>
    </row>
    <row r="126" spans="1:2" x14ac:dyDescent="0.25">
      <c r="A126" t="s">
        <v>7661</v>
      </c>
      <c r="B126" s="2510" t="s">
        <v>8521</v>
      </c>
    </row>
    <row r="127" spans="1:2" x14ac:dyDescent="0.25">
      <c r="A127" t="s">
        <v>7662</v>
      </c>
      <c r="B127" s="2510" t="s">
        <v>8522</v>
      </c>
    </row>
    <row r="128" spans="1:2" x14ac:dyDescent="0.25">
      <c r="A128" t="s">
        <v>7663</v>
      </c>
      <c r="B128" s="2510" t="s">
        <v>8523</v>
      </c>
    </row>
    <row r="129" spans="1:2" x14ac:dyDescent="0.25">
      <c r="A129" t="s">
        <v>7664</v>
      </c>
      <c r="B129" s="2510" t="s">
        <v>8524</v>
      </c>
    </row>
    <row r="130" spans="1:2" x14ac:dyDescent="0.25">
      <c r="A130" t="s">
        <v>7665</v>
      </c>
      <c r="B130" s="2510" t="s">
        <v>8525</v>
      </c>
    </row>
    <row r="131" spans="1:2" x14ac:dyDescent="0.25">
      <c r="A131" t="s">
        <v>7666</v>
      </c>
      <c r="B131" s="2510" t="s">
        <v>8526</v>
      </c>
    </row>
    <row r="132" spans="1:2" x14ac:dyDescent="0.25">
      <c r="A132" t="s">
        <v>7667</v>
      </c>
      <c r="B132" s="2510" t="s">
        <v>8527</v>
      </c>
    </row>
    <row r="133" spans="1:2" x14ac:dyDescent="0.25">
      <c r="A133" t="s">
        <v>7668</v>
      </c>
      <c r="B133" s="2510" t="s">
        <v>8528</v>
      </c>
    </row>
    <row r="134" spans="1:2" x14ac:dyDescent="0.25">
      <c r="A134" t="s">
        <v>7669</v>
      </c>
      <c r="B134" s="2510" t="s">
        <v>8529</v>
      </c>
    </row>
    <row r="135" spans="1:2" x14ac:dyDescent="0.25">
      <c r="A135" t="s">
        <v>7670</v>
      </c>
      <c r="B135" s="2510" t="s">
        <v>8530</v>
      </c>
    </row>
    <row r="136" spans="1:2" x14ac:dyDescent="0.25">
      <c r="A136" t="s">
        <v>7671</v>
      </c>
      <c r="B136" s="2510" t="s">
        <v>8531</v>
      </c>
    </row>
    <row r="137" spans="1:2" x14ac:dyDescent="0.25">
      <c r="A137" t="s">
        <v>7672</v>
      </c>
      <c r="B137" s="2510" t="s">
        <v>8532</v>
      </c>
    </row>
    <row r="138" spans="1:2" x14ac:dyDescent="0.25">
      <c r="A138" t="s">
        <v>7673</v>
      </c>
      <c r="B138" s="2510" t="s">
        <v>8533</v>
      </c>
    </row>
    <row r="139" spans="1:2" x14ac:dyDescent="0.25">
      <c r="A139" t="s">
        <v>7674</v>
      </c>
      <c r="B139" s="2510" t="s">
        <v>8534</v>
      </c>
    </row>
    <row r="140" spans="1:2" x14ac:dyDescent="0.25">
      <c r="A140" t="s">
        <v>7675</v>
      </c>
      <c r="B140" s="2510" t="s">
        <v>8535</v>
      </c>
    </row>
    <row r="141" spans="1:2" x14ac:dyDescent="0.25">
      <c r="A141" t="s">
        <v>7676</v>
      </c>
      <c r="B141" s="2510" t="s">
        <v>8536</v>
      </c>
    </row>
    <row r="142" spans="1:2" x14ac:dyDescent="0.25">
      <c r="A142" t="s">
        <v>7677</v>
      </c>
      <c r="B142" s="2510" t="s">
        <v>8537</v>
      </c>
    </row>
    <row r="143" spans="1:2" x14ac:dyDescent="0.25">
      <c r="A143" t="s">
        <v>7678</v>
      </c>
      <c r="B143" s="2510" t="s">
        <v>8538</v>
      </c>
    </row>
    <row r="144" spans="1:2" x14ac:dyDescent="0.25">
      <c r="A144" t="s">
        <v>7679</v>
      </c>
      <c r="B144" s="2510" t="s">
        <v>8539</v>
      </c>
    </row>
    <row r="145" spans="1:2" x14ac:dyDescent="0.25">
      <c r="A145" t="s">
        <v>7680</v>
      </c>
      <c r="B145" s="2510" t="s">
        <v>8540</v>
      </c>
    </row>
    <row r="146" spans="1:2" x14ac:dyDescent="0.25">
      <c r="A146" t="s">
        <v>7681</v>
      </c>
      <c r="B146" s="2510" t="s">
        <v>8541</v>
      </c>
    </row>
    <row r="147" spans="1:2" x14ac:dyDescent="0.25">
      <c r="A147" t="s">
        <v>7682</v>
      </c>
      <c r="B147" s="2510" t="s">
        <v>8542</v>
      </c>
    </row>
    <row r="148" spans="1:2" x14ac:dyDescent="0.25">
      <c r="A148" t="s">
        <v>7683</v>
      </c>
      <c r="B148" s="2510" t="s">
        <v>8543</v>
      </c>
    </row>
    <row r="149" spans="1:2" x14ac:dyDescent="0.25">
      <c r="A149" t="s">
        <v>7684</v>
      </c>
      <c r="B149" s="2510" t="s">
        <v>8544</v>
      </c>
    </row>
    <row r="150" spans="1:2" x14ac:dyDescent="0.25">
      <c r="A150" t="s">
        <v>7685</v>
      </c>
      <c r="B150" s="2510" t="s">
        <v>8545</v>
      </c>
    </row>
    <row r="151" spans="1:2" x14ac:dyDescent="0.25">
      <c r="A151" t="s">
        <v>7686</v>
      </c>
      <c r="B151" s="2510" t="s">
        <v>8546</v>
      </c>
    </row>
    <row r="152" spans="1:2" x14ac:dyDescent="0.25">
      <c r="A152" t="s">
        <v>7687</v>
      </c>
      <c r="B152" s="2510" t="s">
        <v>8547</v>
      </c>
    </row>
    <row r="153" spans="1:2" x14ac:dyDescent="0.25">
      <c r="A153" s="2511" t="s">
        <v>7538</v>
      </c>
      <c r="B153" s="2510" t="s">
        <v>8497</v>
      </c>
    </row>
    <row r="154" spans="1:2" x14ac:dyDescent="0.25">
      <c r="A154" t="s">
        <v>7688</v>
      </c>
      <c r="B154" s="2510" t="s">
        <v>8499</v>
      </c>
    </row>
    <row r="155" spans="1:2" x14ac:dyDescent="0.25">
      <c r="A155" t="s">
        <v>7689</v>
      </c>
      <c r="B155" s="2510" t="s">
        <v>8500</v>
      </c>
    </row>
    <row r="156" spans="1:2" x14ac:dyDescent="0.25">
      <c r="A156" t="s">
        <v>7690</v>
      </c>
      <c r="B156" s="2510" t="s">
        <v>8501</v>
      </c>
    </row>
    <row r="157" spans="1:2" x14ac:dyDescent="0.25">
      <c r="A157" t="s">
        <v>7691</v>
      </c>
      <c r="B157" s="2510" t="s">
        <v>8502</v>
      </c>
    </row>
    <row r="158" spans="1:2" x14ac:dyDescent="0.25">
      <c r="A158" t="s">
        <v>7692</v>
      </c>
      <c r="B158" s="2510" t="s">
        <v>8503</v>
      </c>
    </row>
    <row r="159" spans="1:2" x14ac:dyDescent="0.25">
      <c r="A159" t="s">
        <v>7693</v>
      </c>
      <c r="B159" s="2510" t="s">
        <v>8504</v>
      </c>
    </row>
    <row r="160" spans="1:2" x14ac:dyDescent="0.25">
      <c r="A160" t="s">
        <v>7694</v>
      </c>
      <c r="B160" s="2510" t="s">
        <v>8505</v>
      </c>
    </row>
    <row r="161" spans="1:2" x14ac:dyDescent="0.25">
      <c r="A161" t="s">
        <v>7695</v>
      </c>
      <c r="B161" s="2510" t="s">
        <v>8506</v>
      </c>
    </row>
    <row r="162" spans="1:2" x14ac:dyDescent="0.25">
      <c r="A162" t="s">
        <v>7696</v>
      </c>
      <c r="B162" s="2510" t="s">
        <v>8507</v>
      </c>
    </row>
    <row r="163" spans="1:2" x14ac:dyDescent="0.25">
      <c r="A163" t="s">
        <v>7697</v>
      </c>
      <c r="B163" s="2510" t="s">
        <v>8508</v>
      </c>
    </row>
    <row r="164" spans="1:2" x14ac:dyDescent="0.25">
      <c r="A164" t="s">
        <v>7698</v>
      </c>
      <c r="B164" s="2510" t="s">
        <v>8509</v>
      </c>
    </row>
    <row r="165" spans="1:2" x14ac:dyDescent="0.25">
      <c r="A165" t="s">
        <v>7699</v>
      </c>
      <c r="B165" s="2510" t="s">
        <v>8510</v>
      </c>
    </row>
    <row r="166" spans="1:2" x14ac:dyDescent="0.25">
      <c r="A166" t="s">
        <v>7700</v>
      </c>
      <c r="B166" s="2510" t="s">
        <v>8511</v>
      </c>
    </row>
    <row r="167" spans="1:2" x14ac:dyDescent="0.25">
      <c r="A167" t="s">
        <v>7701</v>
      </c>
      <c r="B167" s="2510" t="s">
        <v>8512</v>
      </c>
    </row>
    <row r="168" spans="1:2" x14ac:dyDescent="0.25">
      <c r="A168" t="s">
        <v>7702</v>
      </c>
      <c r="B168" s="2510" t="s">
        <v>8513</v>
      </c>
    </row>
    <row r="169" spans="1:2" x14ac:dyDescent="0.25">
      <c r="A169" t="s">
        <v>7703</v>
      </c>
      <c r="B169" s="2510" t="s">
        <v>8514</v>
      </c>
    </row>
    <row r="170" spans="1:2" x14ac:dyDescent="0.25">
      <c r="A170" t="s">
        <v>7704</v>
      </c>
      <c r="B170" s="2510" t="s">
        <v>8515</v>
      </c>
    </row>
    <row r="171" spans="1:2" x14ac:dyDescent="0.25">
      <c r="A171" t="s">
        <v>7705</v>
      </c>
      <c r="B171" s="2510" t="s">
        <v>8516</v>
      </c>
    </row>
    <row r="172" spans="1:2" x14ac:dyDescent="0.25">
      <c r="A172" t="s">
        <v>7706</v>
      </c>
      <c r="B172" s="2510" t="s">
        <v>8517</v>
      </c>
    </row>
    <row r="173" spans="1:2" x14ac:dyDescent="0.25">
      <c r="A173" t="s">
        <v>7707</v>
      </c>
      <c r="B173" s="2510" t="s">
        <v>8518</v>
      </c>
    </row>
    <row r="174" spans="1:2" x14ac:dyDescent="0.25">
      <c r="A174" t="s">
        <v>7708</v>
      </c>
      <c r="B174" s="2510" t="s">
        <v>8519</v>
      </c>
    </row>
    <row r="175" spans="1:2" x14ac:dyDescent="0.25">
      <c r="A175" t="s">
        <v>7709</v>
      </c>
      <c r="B175" s="2510" t="s">
        <v>8520</v>
      </c>
    </row>
    <row r="176" spans="1:2" x14ac:dyDescent="0.25">
      <c r="A176" t="s">
        <v>7710</v>
      </c>
      <c r="B176" s="2510" t="s">
        <v>8521</v>
      </c>
    </row>
    <row r="177" spans="1:2" x14ac:dyDescent="0.25">
      <c r="A177" t="s">
        <v>7711</v>
      </c>
      <c r="B177" s="2510" t="s">
        <v>8522</v>
      </c>
    </row>
    <row r="178" spans="1:2" x14ac:dyDescent="0.25">
      <c r="A178" t="s">
        <v>7712</v>
      </c>
      <c r="B178" s="2510" t="s">
        <v>8523</v>
      </c>
    </row>
    <row r="179" spans="1:2" x14ac:dyDescent="0.25">
      <c r="A179" t="s">
        <v>7713</v>
      </c>
      <c r="B179" s="2510" t="s">
        <v>8524</v>
      </c>
    </row>
    <row r="180" spans="1:2" x14ac:dyDescent="0.25">
      <c r="A180" t="s">
        <v>7714</v>
      </c>
      <c r="B180" s="2510" t="s">
        <v>8525</v>
      </c>
    </row>
    <row r="181" spans="1:2" x14ac:dyDescent="0.25">
      <c r="A181" t="s">
        <v>7715</v>
      </c>
      <c r="B181" s="2510" t="s">
        <v>8526</v>
      </c>
    </row>
    <row r="182" spans="1:2" x14ac:dyDescent="0.25">
      <c r="A182" t="s">
        <v>7716</v>
      </c>
      <c r="B182" s="2510" t="s">
        <v>8527</v>
      </c>
    </row>
    <row r="183" spans="1:2" x14ac:dyDescent="0.25">
      <c r="A183" t="s">
        <v>7717</v>
      </c>
      <c r="B183" s="2510" t="s">
        <v>8528</v>
      </c>
    </row>
    <row r="184" spans="1:2" x14ac:dyDescent="0.25">
      <c r="A184" t="s">
        <v>7718</v>
      </c>
      <c r="B184" s="2510" t="s">
        <v>8529</v>
      </c>
    </row>
    <row r="185" spans="1:2" x14ac:dyDescent="0.25">
      <c r="A185" t="s">
        <v>7719</v>
      </c>
      <c r="B185" s="2510" t="s">
        <v>8530</v>
      </c>
    </row>
    <row r="186" spans="1:2" x14ac:dyDescent="0.25">
      <c r="A186" t="s">
        <v>7720</v>
      </c>
      <c r="B186" s="2510" t="s">
        <v>8531</v>
      </c>
    </row>
    <row r="187" spans="1:2" x14ac:dyDescent="0.25">
      <c r="A187" t="s">
        <v>7721</v>
      </c>
      <c r="B187" s="2510" t="s">
        <v>8532</v>
      </c>
    </row>
    <row r="188" spans="1:2" x14ac:dyDescent="0.25">
      <c r="A188" t="s">
        <v>7722</v>
      </c>
      <c r="B188" s="2510" t="s">
        <v>8533</v>
      </c>
    </row>
    <row r="189" spans="1:2" x14ac:dyDescent="0.25">
      <c r="A189" t="s">
        <v>7723</v>
      </c>
      <c r="B189" s="2510" t="s">
        <v>8534</v>
      </c>
    </row>
    <row r="190" spans="1:2" x14ac:dyDescent="0.25">
      <c r="A190" t="s">
        <v>7724</v>
      </c>
      <c r="B190" s="2510" t="s">
        <v>8535</v>
      </c>
    </row>
    <row r="191" spans="1:2" x14ac:dyDescent="0.25">
      <c r="A191" t="s">
        <v>7725</v>
      </c>
      <c r="B191" s="2510" t="s">
        <v>8536</v>
      </c>
    </row>
    <row r="192" spans="1:2" x14ac:dyDescent="0.25">
      <c r="A192" t="s">
        <v>7726</v>
      </c>
      <c r="B192" s="2510" t="s">
        <v>8537</v>
      </c>
    </row>
    <row r="193" spans="1:2" x14ac:dyDescent="0.25">
      <c r="A193" t="s">
        <v>7727</v>
      </c>
      <c r="B193" s="2510" t="s">
        <v>8538</v>
      </c>
    </row>
    <row r="194" spans="1:2" x14ac:dyDescent="0.25">
      <c r="A194" t="s">
        <v>7728</v>
      </c>
      <c r="B194" s="2510" t="s">
        <v>8539</v>
      </c>
    </row>
    <row r="195" spans="1:2" x14ac:dyDescent="0.25">
      <c r="A195" t="s">
        <v>7729</v>
      </c>
      <c r="B195" s="2510" t="s">
        <v>8540</v>
      </c>
    </row>
    <row r="196" spans="1:2" x14ac:dyDescent="0.25">
      <c r="A196" t="s">
        <v>7730</v>
      </c>
      <c r="B196" s="2510" t="s">
        <v>8541</v>
      </c>
    </row>
    <row r="197" spans="1:2" x14ac:dyDescent="0.25">
      <c r="A197" t="s">
        <v>7731</v>
      </c>
      <c r="B197" s="2510" t="s">
        <v>8542</v>
      </c>
    </row>
    <row r="198" spans="1:2" x14ac:dyDescent="0.25">
      <c r="A198" t="s">
        <v>7732</v>
      </c>
      <c r="B198" s="2510" t="s">
        <v>8543</v>
      </c>
    </row>
    <row r="199" spans="1:2" x14ac:dyDescent="0.25">
      <c r="A199" t="s">
        <v>7733</v>
      </c>
      <c r="B199" s="2510" t="s">
        <v>8544</v>
      </c>
    </row>
    <row r="200" spans="1:2" x14ac:dyDescent="0.25">
      <c r="A200" t="s">
        <v>7734</v>
      </c>
      <c r="B200" s="2510" t="s">
        <v>8545</v>
      </c>
    </row>
    <row r="201" spans="1:2" x14ac:dyDescent="0.25">
      <c r="A201" t="s">
        <v>7735</v>
      </c>
      <c r="B201" s="2510" t="s">
        <v>8546</v>
      </c>
    </row>
    <row r="202" spans="1:2" x14ac:dyDescent="0.25">
      <c r="A202" t="s">
        <v>7736</v>
      </c>
      <c r="B202" s="2510" t="s">
        <v>8547</v>
      </c>
    </row>
    <row r="203" spans="1:2" x14ac:dyDescent="0.25">
      <c r="A203" s="2511" t="s">
        <v>7737</v>
      </c>
      <c r="B203" s="2510" t="s">
        <v>8497</v>
      </c>
    </row>
    <row r="204" spans="1:2" x14ac:dyDescent="0.25">
      <c r="A204" t="s">
        <v>7738</v>
      </c>
      <c r="B204" s="2510" t="s">
        <v>8499</v>
      </c>
    </row>
    <row r="205" spans="1:2" x14ac:dyDescent="0.25">
      <c r="A205" t="s">
        <v>7739</v>
      </c>
      <c r="B205" s="2510" t="s">
        <v>8500</v>
      </c>
    </row>
    <row r="206" spans="1:2" x14ac:dyDescent="0.25">
      <c r="A206" t="s">
        <v>7740</v>
      </c>
      <c r="B206" s="2510" t="s">
        <v>8501</v>
      </c>
    </row>
    <row r="207" spans="1:2" x14ac:dyDescent="0.25">
      <c r="A207" t="s">
        <v>7741</v>
      </c>
      <c r="B207" s="2510" t="s">
        <v>8502</v>
      </c>
    </row>
    <row r="208" spans="1:2" x14ac:dyDescent="0.25">
      <c r="A208" t="s">
        <v>7742</v>
      </c>
      <c r="B208" s="2510" t="s">
        <v>8503</v>
      </c>
    </row>
    <row r="209" spans="1:2" x14ac:dyDescent="0.25">
      <c r="A209" t="s">
        <v>7743</v>
      </c>
      <c r="B209" s="2510" t="s">
        <v>8504</v>
      </c>
    </row>
    <row r="210" spans="1:2" x14ac:dyDescent="0.25">
      <c r="A210" t="s">
        <v>7744</v>
      </c>
      <c r="B210" s="2510" t="s">
        <v>8505</v>
      </c>
    </row>
    <row r="211" spans="1:2" x14ac:dyDescent="0.25">
      <c r="A211" t="s">
        <v>7745</v>
      </c>
      <c r="B211" s="2510" t="s">
        <v>8506</v>
      </c>
    </row>
    <row r="212" spans="1:2" x14ac:dyDescent="0.25">
      <c r="A212" t="s">
        <v>7746</v>
      </c>
      <c r="B212" s="2510" t="s">
        <v>8507</v>
      </c>
    </row>
    <row r="213" spans="1:2" x14ac:dyDescent="0.25">
      <c r="A213" t="s">
        <v>7747</v>
      </c>
      <c r="B213" s="2510" t="s">
        <v>8508</v>
      </c>
    </row>
    <row r="214" spans="1:2" x14ac:dyDescent="0.25">
      <c r="A214" t="s">
        <v>7748</v>
      </c>
      <c r="B214" s="2510" t="s">
        <v>8509</v>
      </c>
    </row>
    <row r="215" spans="1:2" x14ac:dyDescent="0.25">
      <c r="A215" t="s">
        <v>7749</v>
      </c>
      <c r="B215" s="2510" t="s">
        <v>8510</v>
      </c>
    </row>
    <row r="216" spans="1:2" x14ac:dyDescent="0.25">
      <c r="A216" t="s">
        <v>7750</v>
      </c>
      <c r="B216" s="2510" t="s">
        <v>8511</v>
      </c>
    </row>
    <row r="217" spans="1:2" x14ac:dyDescent="0.25">
      <c r="A217" t="s">
        <v>7751</v>
      </c>
      <c r="B217" s="2510" t="s">
        <v>8512</v>
      </c>
    </row>
    <row r="218" spans="1:2" x14ac:dyDescent="0.25">
      <c r="A218" t="s">
        <v>7752</v>
      </c>
      <c r="B218" s="2510" t="s">
        <v>8513</v>
      </c>
    </row>
    <row r="219" spans="1:2" x14ac:dyDescent="0.25">
      <c r="A219" t="s">
        <v>7753</v>
      </c>
      <c r="B219" s="2510" t="s">
        <v>8514</v>
      </c>
    </row>
    <row r="220" spans="1:2" x14ac:dyDescent="0.25">
      <c r="A220" t="s">
        <v>7754</v>
      </c>
      <c r="B220" s="2510" t="s">
        <v>8515</v>
      </c>
    </row>
    <row r="221" spans="1:2" x14ac:dyDescent="0.25">
      <c r="A221" t="s">
        <v>7755</v>
      </c>
      <c r="B221" s="2510" t="s">
        <v>8516</v>
      </c>
    </row>
    <row r="222" spans="1:2" x14ac:dyDescent="0.25">
      <c r="A222" t="s">
        <v>7756</v>
      </c>
      <c r="B222" s="2510" t="s">
        <v>8517</v>
      </c>
    </row>
    <row r="223" spans="1:2" x14ac:dyDescent="0.25">
      <c r="A223" t="s">
        <v>7757</v>
      </c>
      <c r="B223" s="2510" t="s">
        <v>8518</v>
      </c>
    </row>
    <row r="224" spans="1:2" x14ac:dyDescent="0.25">
      <c r="A224" t="s">
        <v>7758</v>
      </c>
      <c r="B224" s="2510" t="s">
        <v>8519</v>
      </c>
    </row>
    <row r="225" spans="1:2" x14ac:dyDescent="0.25">
      <c r="A225" t="s">
        <v>7759</v>
      </c>
      <c r="B225" s="2510" t="s">
        <v>8520</v>
      </c>
    </row>
    <row r="226" spans="1:2" x14ac:dyDescent="0.25">
      <c r="A226" t="s">
        <v>7760</v>
      </c>
      <c r="B226" s="2510" t="s">
        <v>8521</v>
      </c>
    </row>
    <row r="227" spans="1:2" x14ac:dyDescent="0.25">
      <c r="A227" t="s">
        <v>7761</v>
      </c>
      <c r="B227" s="2510" t="s">
        <v>8522</v>
      </c>
    </row>
    <row r="228" spans="1:2" x14ac:dyDescent="0.25">
      <c r="A228" t="s">
        <v>7762</v>
      </c>
      <c r="B228" s="2510" t="s">
        <v>8523</v>
      </c>
    </row>
    <row r="229" spans="1:2" x14ac:dyDescent="0.25">
      <c r="A229" t="s">
        <v>7763</v>
      </c>
      <c r="B229" s="2510" t="s">
        <v>8524</v>
      </c>
    </row>
    <row r="230" spans="1:2" x14ac:dyDescent="0.25">
      <c r="A230" t="s">
        <v>7764</v>
      </c>
      <c r="B230" s="2510" t="s">
        <v>8525</v>
      </c>
    </row>
    <row r="231" spans="1:2" x14ac:dyDescent="0.25">
      <c r="A231" t="s">
        <v>7765</v>
      </c>
      <c r="B231" s="2510" t="s">
        <v>8526</v>
      </c>
    </row>
    <row r="232" spans="1:2" x14ac:dyDescent="0.25">
      <c r="A232" t="s">
        <v>7766</v>
      </c>
      <c r="B232" s="2510" t="s">
        <v>8527</v>
      </c>
    </row>
    <row r="233" spans="1:2" x14ac:dyDescent="0.25">
      <c r="A233" t="s">
        <v>7767</v>
      </c>
      <c r="B233" s="2510" t="s">
        <v>8528</v>
      </c>
    </row>
    <row r="234" spans="1:2" x14ac:dyDescent="0.25">
      <c r="A234" t="s">
        <v>7768</v>
      </c>
      <c r="B234" s="2510" t="s">
        <v>8529</v>
      </c>
    </row>
    <row r="235" spans="1:2" x14ac:dyDescent="0.25">
      <c r="A235" t="s">
        <v>7769</v>
      </c>
      <c r="B235" s="2510" t="s">
        <v>8530</v>
      </c>
    </row>
    <row r="236" spans="1:2" x14ac:dyDescent="0.25">
      <c r="A236" t="s">
        <v>7770</v>
      </c>
      <c r="B236" s="2510" t="s">
        <v>8531</v>
      </c>
    </row>
    <row r="237" spans="1:2" x14ac:dyDescent="0.25">
      <c r="A237" t="s">
        <v>7771</v>
      </c>
      <c r="B237" s="2510" t="s">
        <v>8532</v>
      </c>
    </row>
    <row r="238" spans="1:2" x14ac:dyDescent="0.25">
      <c r="A238" t="s">
        <v>7772</v>
      </c>
      <c r="B238" s="2510" t="s">
        <v>8533</v>
      </c>
    </row>
    <row r="239" spans="1:2" x14ac:dyDescent="0.25">
      <c r="A239" t="s">
        <v>7773</v>
      </c>
      <c r="B239" s="2510" t="s">
        <v>8534</v>
      </c>
    </row>
    <row r="240" spans="1:2" x14ac:dyDescent="0.25">
      <c r="A240" t="s">
        <v>7774</v>
      </c>
      <c r="B240" s="2510" t="s">
        <v>8535</v>
      </c>
    </row>
    <row r="241" spans="1:2" x14ac:dyDescent="0.25">
      <c r="A241" t="s">
        <v>7775</v>
      </c>
      <c r="B241" s="2510" t="s">
        <v>8536</v>
      </c>
    </row>
    <row r="242" spans="1:2" x14ac:dyDescent="0.25">
      <c r="A242" t="s">
        <v>7776</v>
      </c>
      <c r="B242" s="2510" t="s">
        <v>8537</v>
      </c>
    </row>
    <row r="243" spans="1:2" x14ac:dyDescent="0.25">
      <c r="A243" t="s">
        <v>7777</v>
      </c>
      <c r="B243" s="2510" t="s">
        <v>8538</v>
      </c>
    </row>
    <row r="244" spans="1:2" x14ac:dyDescent="0.25">
      <c r="A244" t="s">
        <v>7778</v>
      </c>
      <c r="B244" s="2510" t="s">
        <v>8539</v>
      </c>
    </row>
    <row r="245" spans="1:2" x14ac:dyDescent="0.25">
      <c r="A245" t="s">
        <v>7779</v>
      </c>
      <c r="B245" s="2510" t="s">
        <v>8540</v>
      </c>
    </row>
    <row r="246" spans="1:2" x14ac:dyDescent="0.25">
      <c r="A246" t="s">
        <v>7780</v>
      </c>
      <c r="B246" s="2510" t="s">
        <v>8541</v>
      </c>
    </row>
    <row r="247" spans="1:2" x14ac:dyDescent="0.25">
      <c r="A247" t="s">
        <v>7781</v>
      </c>
      <c r="B247" s="2510" t="s">
        <v>8542</v>
      </c>
    </row>
    <row r="248" spans="1:2" x14ac:dyDescent="0.25">
      <c r="A248" t="s">
        <v>7782</v>
      </c>
      <c r="B248" s="2510" t="s">
        <v>8543</v>
      </c>
    </row>
    <row r="249" spans="1:2" x14ac:dyDescent="0.25">
      <c r="A249" t="s">
        <v>7783</v>
      </c>
      <c r="B249" s="2510" t="s">
        <v>8544</v>
      </c>
    </row>
    <row r="250" spans="1:2" x14ac:dyDescent="0.25">
      <c r="A250" t="s">
        <v>7784</v>
      </c>
      <c r="B250" s="2510" t="s">
        <v>8545</v>
      </c>
    </row>
    <row r="251" spans="1:2" x14ac:dyDescent="0.25">
      <c r="A251" t="s">
        <v>7785</v>
      </c>
      <c r="B251" s="2510" t="s">
        <v>8546</v>
      </c>
    </row>
    <row r="252" spans="1:2" x14ac:dyDescent="0.25">
      <c r="A252" t="s">
        <v>7786</v>
      </c>
      <c r="B252" s="2510" t="s">
        <v>8547</v>
      </c>
    </row>
    <row r="253" spans="1:2" x14ac:dyDescent="0.25">
      <c r="A253" t="s">
        <v>7787</v>
      </c>
      <c r="B253" s="2510" t="s">
        <v>8548</v>
      </c>
    </row>
    <row r="254" spans="1:2" x14ac:dyDescent="0.25">
      <c r="A254" t="s">
        <v>7788</v>
      </c>
      <c r="B254" s="2510" t="s">
        <v>8549</v>
      </c>
    </row>
    <row r="255" spans="1:2" x14ac:dyDescent="0.25">
      <c r="A255" t="s">
        <v>7789</v>
      </c>
      <c r="B255" s="2510" t="s">
        <v>8550</v>
      </c>
    </row>
    <row r="256" spans="1:2" x14ac:dyDescent="0.25">
      <c r="A256" t="s">
        <v>7790</v>
      </c>
      <c r="B256" s="2510" t="s">
        <v>8551</v>
      </c>
    </row>
    <row r="257" spans="1:2" x14ac:dyDescent="0.25">
      <c r="A257" s="2511" t="s">
        <v>7791</v>
      </c>
      <c r="B257" s="2510" t="s">
        <v>8497</v>
      </c>
    </row>
    <row r="258" spans="1:2" x14ac:dyDescent="0.25">
      <c r="A258" t="s">
        <v>7792</v>
      </c>
      <c r="B258" s="2510" t="s">
        <v>8499</v>
      </c>
    </row>
    <row r="259" spans="1:2" x14ac:dyDescent="0.25">
      <c r="A259" t="s">
        <v>7793</v>
      </c>
      <c r="B259" s="2510" t="s">
        <v>8500</v>
      </c>
    </row>
    <row r="260" spans="1:2" x14ac:dyDescent="0.25">
      <c r="A260" t="s">
        <v>7794</v>
      </c>
      <c r="B260" s="2510" t="s">
        <v>8501</v>
      </c>
    </row>
    <row r="261" spans="1:2" x14ac:dyDescent="0.25">
      <c r="A261" t="s">
        <v>7795</v>
      </c>
      <c r="B261" s="2510" t="s">
        <v>8502</v>
      </c>
    </row>
    <row r="262" spans="1:2" x14ac:dyDescent="0.25">
      <c r="A262" t="s">
        <v>7796</v>
      </c>
      <c r="B262" s="2510" t="s">
        <v>8503</v>
      </c>
    </row>
    <row r="263" spans="1:2" x14ac:dyDescent="0.25">
      <c r="A263" t="s">
        <v>7797</v>
      </c>
      <c r="B263" s="2510" t="s">
        <v>8504</v>
      </c>
    </row>
    <row r="264" spans="1:2" x14ac:dyDescent="0.25">
      <c r="A264" t="s">
        <v>7798</v>
      </c>
      <c r="B264" s="2510" t="s">
        <v>8505</v>
      </c>
    </row>
    <row r="265" spans="1:2" x14ac:dyDescent="0.25">
      <c r="A265" t="s">
        <v>7799</v>
      </c>
      <c r="B265" s="2510" t="s">
        <v>8506</v>
      </c>
    </row>
    <row r="266" spans="1:2" x14ac:dyDescent="0.25">
      <c r="A266" t="s">
        <v>7800</v>
      </c>
      <c r="B266" s="2510" t="s">
        <v>8507</v>
      </c>
    </row>
    <row r="267" spans="1:2" x14ac:dyDescent="0.25">
      <c r="A267" t="s">
        <v>7801</v>
      </c>
      <c r="B267" s="2510" t="s">
        <v>8508</v>
      </c>
    </row>
    <row r="268" spans="1:2" x14ac:dyDescent="0.25">
      <c r="A268" t="s">
        <v>7802</v>
      </c>
      <c r="B268" s="2510" t="s">
        <v>8509</v>
      </c>
    </row>
    <row r="269" spans="1:2" x14ac:dyDescent="0.25">
      <c r="A269" t="s">
        <v>7803</v>
      </c>
      <c r="B269" s="2510" t="s">
        <v>8510</v>
      </c>
    </row>
    <row r="270" spans="1:2" x14ac:dyDescent="0.25">
      <c r="A270" t="s">
        <v>7804</v>
      </c>
      <c r="B270" s="2510" t="s">
        <v>8511</v>
      </c>
    </row>
    <row r="271" spans="1:2" x14ac:dyDescent="0.25">
      <c r="A271" t="s">
        <v>7805</v>
      </c>
      <c r="B271" s="2510" t="s">
        <v>8512</v>
      </c>
    </row>
    <row r="272" spans="1:2" x14ac:dyDescent="0.25">
      <c r="A272" t="s">
        <v>7806</v>
      </c>
      <c r="B272" s="2510" t="s">
        <v>8513</v>
      </c>
    </row>
    <row r="273" spans="1:2" x14ac:dyDescent="0.25">
      <c r="A273" t="s">
        <v>7807</v>
      </c>
      <c r="B273" s="2510" t="s">
        <v>8514</v>
      </c>
    </row>
    <row r="274" spans="1:2" x14ac:dyDescent="0.25">
      <c r="A274" t="s">
        <v>7808</v>
      </c>
      <c r="B274" s="2510" t="s">
        <v>8515</v>
      </c>
    </row>
    <row r="275" spans="1:2" x14ac:dyDescent="0.25">
      <c r="A275" t="s">
        <v>7809</v>
      </c>
      <c r="B275" s="2510" t="s">
        <v>8516</v>
      </c>
    </row>
    <row r="276" spans="1:2" x14ac:dyDescent="0.25">
      <c r="A276" t="s">
        <v>7810</v>
      </c>
      <c r="B276" s="2510" t="s">
        <v>8517</v>
      </c>
    </row>
    <row r="277" spans="1:2" x14ac:dyDescent="0.25">
      <c r="A277" t="s">
        <v>7811</v>
      </c>
      <c r="B277" s="2510" t="s">
        <v>8518</v>
      </c>
    </row>
    <row r="278" spans="1:2" x14ac:dyDescent="0.25">
      <c r="A278" t="s">
        <v>7812</v>
      </c>
      <c r="B278" s="2510" t="s">
        <v>8519</v>
      </c>
    </row>
    <row r="279" spans="1:2" x14ac:dyDescent="0.25">
      <c r="A279" t="s">
        <v>7813</v>
      </c>
      <c r="B279" s="2510" t="s">
        <v>8520</v>
      </c>
    </row>
    <row r="280" spans="1:2" x14ac:dyDescent="0.25">
      <c r="A280" t="s">
        <v>7814</v>
      </c>
      <c r="B280" s="2510" t="s">
        <v>8521</v>
      </c>
    </row>
    <row r="281" spans="1:2" x14ac:dyDescent="0.25">
      <c r="A281" t="s">
        <v>7815</v>
      </c>
      <c r="B281" s="2510" t="s">
        <v>8522</v>
      </c>
    </row>
    <row r="282" spans="1:2" x14ac:dyDescent="0.25">
      <c r="A282" t="s">
        <v>7816</v>
      </c>
      <c r="B282" s="2510" t="s">
        <v>8523</v>
      </c>
    </row>
    <row r="283" spans="1:2" x14ac:dyDescent="0.25">
      <c r="A283" t="s">
        <v>7817</v>
      </c>
      <c r="B283" s="2510" t="s">
        <v>8524</v>
      </c>
    </row>
    <row r="284" spans="1:2" x14ac:dyDescent="0.25">
      <c r="A284" t="s">
        <v>7818</v>
      </c>
      <c r="B284" s="2510" t="s">
        <v>8525</v>
      </c>
    </row>
    <row r="285" spans="1:2" x14ac:dyDescent="0.25">
      <c r="A285" t="s">
        <v>7819</v>
      </c>
      <c r="B285" s="2510" t="s">
        <v>8526</v>
      </c>
    </row>
    <row r="286" spans="1:2" x14ac:dyDescent="0.25">
      <c r="A286" t="s">
        <v>7820</v>
      </c>
      <c r="B286" s="2510" t="s">
        <v>8527</v>
      </c>
    </row>
    <row r="287" spans="1:2" x14ac:dyDescent="0.25">
      <c r="A287" t="s">
        <v>7821</v>
      </c>
      <c r="B287" s="2510" t="s">
        <v>8528</v>
      </c>
    </row>
    <row r="288" spans="1:2" x14ac:dyDescent="0.25">
      <c r="A288" t="s">
        <v>7822</v>
      </c>
      <c r="B288" s="2510" t="s">
        <v>8529</v>
      </c>
    </row>
    <row r="289" spans="1:2" x14ac:dyDescent="0.25">
      <c r="A289" t="s">
        <v>7823</v>
      </c>
      <c r="B289" s="2510" t="s">
        <v>8530</v>
      </c>
    </row>
    <row r="290" spans="1:2" x14ac:dyDescent="0.25">
      <c r="A290" t="s">
        <v>7824</v>
      </c>
      <c r="B290" s="2510" t="s">
        <v>8531</v>
      </c>
    </row>
    <row r="291" spans="1:2" x14ac:dyDescent="0.25">
      <c r="A291" t="s">
        <v>7825</v>
      </c>
      <c r="B291" s="2510" t="s">
        <v>8532</v>
      </c>
    </row>
    <row r="292" spans="1:2" x14ac:dyDescent="0.25">
      <c r="A292" t="s">
        <v>7826</v>
      </c>
      <c r="B292" s="2510" t="s">
        <v>8533</v>
      </c>
    </row>
    <row r="293" spans="1:2" x14ac:dyDescent="0.25">
      <c r="A293" t="s">
        <v>7827</v>
      </c>
      <c r="B293" s="2510" t="s">
        <v>8534</v>
      </c>
    </row>
    <row r="294" spans="1:2" x14ac:dyDescent="0.25">
      <c r="A294" t="s">
        <v>7828</v>
      </c>
      <c r="B294" s="2510" t="s">
        <v>8535</v>
      </c>
    </row>
    <row r="295" spans="1:2" x14ac:dyDescent="0.25">
      <c r="A295" t="s">
        <v>7829</v>
      </c>
      <c r="B295" s="2510" t="s">
        <v>8536</v>
      </c>
    </row>
    <row r="296" spans="1:2" x14ac:dyDescent="0.25">
      <c r="A296" t="s">
        <v>7830</v>
      </c>
      <c r="B296" s="2510" t="s">
        <v>8537</v>
      </c>
    </row>
    <row r="297" spans="1:2" x14ac:dyDescent="0.25">
      <c r="A297" t="s">
        <v>7831</v>
      </c>
      <c r="B297" s="2510" t="s">
        <v>8538</v>
      </c>
    </row>
    <row r="298" spans="1:2" x14ac:dyDescent="0.25">
      <c r="A298" t="s">
        <v>7832</v>
      </c>
      <c r="B298" s="2510" t="s">
        <v>8539</v>
      </c>
    </row>
    <row r="299" spans="1:2" x14ac:dyDescent="0.25">
      <c r="A299" t="s">
        <v>7833</v>
      </c>
      <c r="B299" s="2510" t="s">
        <v>8540</v>
      </c>
    </row>
    <row r="300" spans="1:2" x14ac:dyDescent="0.25">
      <c r="A300" t="s">
        <v>7834</v>
      </c>
      <c r="B300" s="2510" t="s">
        <v>8541</v>
      </c>
    </row>
    <row r="301" spans="1:2" x14ac:dyDescent="0.25">
      <c r="A301" t="s">
        <v>7835</v>
      </c>
      <c r="B301" s="2510" t="s">
        <v>8542</v>
      </c>
    </row>
    <row r="302" spans="1:2" x14ac:dyDescent="0.25">
      <c r="A302" t="s">
        <v>7836</v>
      </c>
      <c r="B302" s="2510" t="s">
        <v>8543</v>
      </c>
    </row>
    <row r="303" spans="1:2" x14ac:dyDescent="0.25">
      <c r="A303" t="s">
        <v>7837</v>
      </c>
      <c r="B303" s="2510" t="s">
        <v>8544</v>
      </c>
    </row>
    <row r="304" spans="1:2" x14ac:dyDescent="0.25">
      <c r="A304" t="s">
        <v>7838</v>
      </c>
      <c r="B304" s="2510" t="s">
        <v>8545</v>
      </c>
    </row>
    <row r="305" spans="1:2" x14ac:dyDescent="0.25">
      <c r="A305" t="s">
        <v>7839</v>
      </c>
      <c r="B305" s="2510" t="s">
        <v>8546</v>
      </c>
    </row>
    <row r="306" spans="1:2" x14ac:dyDescent="0.25">
      <c r="A306" t="s">
        <v>7840</v>
      </c>
      <c r="B306" s="2510" t="s">
        <v>8547</v>
      </c>
    </row>
    <row r="307" spans="1:2" x14ac:dyDescent="0.25">
      <c r="A307" t="s">
        <v>7841</v>
      </c>
      <c r="B307" s="2510" t="s">
        <v>8548</v>
      </c>
    </row>
    <row r="308" spans="1:2" x14ac:dyDescent="0.25">
      <c r="A308" t="s">
        <v>7842</v>
      </c>
      <c r="B308" s="2510" t="s">
        <v>8549</v>
      </c>
    </row>
    <row r="309" spans="1:2" x14ac:dyDescent="0.25">
      <c r="A309" t="s">
        <v>7843</v>
      </c>
      <c r="B309" s="2510" t="s">
        <v>8550</v>
      </c>
    </row>
    <row r="310" spans="1:2" x14ac:dyDescent="0.25">
      <c r="A310" t="s">
        <v>7844</v>
      </c>
      <c r="B310" s="2510" t="s">
        <v>8551</v>
      </c>
    </row>
    <row r="311" spans="1:2" x14ac:dyDescent="0.25">
      <c r="A311" s="2511" t="s">
        <v>7845</v>
      </c>
      <c r="B311" s="2510" t="s">
        <v>8497</v>
      </c>
    </row>
    <row r="312" spans="1:2" x14ac:dyDescent="0.25">
      <c r="A312" t="s">
        <v>7846</v>
      </c>
      <c r="B312" s="2510" t="s">
        <v>8499</v>
      </c>
    </row>
    <row r="313" spans="1:2" x14ac:dyDescent="0.25">
      <c r="A313" t="s">
        <v>7847</v>
      </c>
      <c r="B313" s="2510" t="s">
        <v>8500</v>
      </c>
    </row>
    <row r="314" spans="1:2" x14ac:dyDescent="0.25">
      <c r="A314" t="s">
        <v>7848</v>
      </c>
      <c r="B314" s="2510" t="s">
        <v>8501</v>
      </c>
    </row>
    <row r="315" spans="1:2" x14ac:dyDescent="0.25">
      <c r="A315" t="s">
        <v>7849</v>
      </c>
      <c r="B315" s="2510" t="s">
        <v>8502</v>
      </c>
    </row>
    <row r="316" spans="1:2" x14ac:dyDescent="0.25">
      <c r="A316" t="s">
        <v>7850</v>
      </c>
      <c r="B316" s="2510" t="s">
        <v>8503</v>
      </c>
    </row>
    <row r="317" spans="1:2" x14ac:dyDescent="0.25">
      <c r="A317" t="s">
        <v>7851</v>
      </c>
      <c r="B317" s="2510" t="s">
        <v>8504</v>
      </c>
    </row>
    <row r="318" spans="1:2" x14ac:dyDescent="0.25">
      <c r="A318" t="s">
        <v>7852</v>
      </c>
      <c r="B318" s="2510" t="s">
        <v>8505</v>
      </c>
    </row>
    <row r="319" spans="1:2" x14ac:dyDescent="0.25">
      <c r="A319" t="s">
        <v>7853</v>
      </c>
      <c r="B319" s="2510" t="s">
        <v>8506</v>
      </c>
    </row>
    <row r="320" spans="1:2" x14ac:dyDescent="0.25">
      <c r="A320" t="s">
        <v>7854</v>
      </c>
      <c r="B320" s="2510" t="s">
        <v>8507</v>
      </c>
    </row>
    <row r="321" spans="1:2" x14ac:dyDescent="0.25">
      <c r="A321" t="s">
        <v>7855</v>
      </c>
      <c r="B321" s="2510" t="s">
        <v>8508</v>
      </c>
    </row>
    <row r="322" spans="1:2" x14ac:dyDescent="0.25">
      <c r="A322" t="s">
        <v>7856</v>
      </c>
      <c r="B322" s="2510" t="s">
        <v>8509</v>
      </c>
    </row>
    <row r="323" spans="1:2" x14ac:dyDescent="0.25">
      <c r="A323" t="s">
        <v>7857</v>
      </c>
      <c r="B323" s="2510" t="s">
        <v>8510</v>
      </c>
    </row>
    <row r="324" spans="1:2" x14ac:dyDescent="0.25">
      <c r="A324" t="s">
        <v>7858</v>
      </c>
      <c r="B324" s="2510" t="s">
        <v>8511</v>
      </c>
    </row>
    <row r="325" spans="1:2" x14ac:dyDescent="0.25">
      <c r="A325" t="s">
        <v>7859</v>
      </c>
      <c r="B325" s="2510" t="s">
        <v>8512</v>
      </c>
    </row>
    <row r="326" spans="1:2" x14ac:dyDescent="0.25">
      <c r="A326" t="s">
        <v>7860</v>
      </c>
      <c r="B326" s="2510" t="s">
        <v>8513</v>
      </c>
    </row>
    <row r="327" spans="1:2" x14ac:dyDescent="0.25">
      <c r="A327" t="s">
        <v>7861</v>
      </c>
      <c r="B327" s="2510" t="s">
        <v>8514</v>
      </c>
    </row>
    <row r="328" spans="1:2" x14ac:dyDescent="0.25">
      <c r="A328" t="s">
        <v>7862</v>
      </c>
      <c r="B328" s="2510" t="s">
        <v>8515</v>
      </c>
    </row>
    <row r="329" spans="1:2" x14ac:dyDescent="0.25">
      <c r="A329" t="s">
        <v>7863</v>
      </c>
      <c r="B329" s="2510" t="s">
        <v>8516</v>
      </c>
    </row>
    <row r="330" spans="1:2" x14ac:dyDescent="0.25">
      <c r="A330" t="s">
        <v>7864</v>
      </c>
      <c r="B330" s="2510" t="s">
        <v>8517</v>
      </c>
    </row>
    <row r="331" spans="1:2" x14ac:dyDescent="0.25">
      <c r="A331" t="s">
        <v>7865</v>
      </c>
      <c r="B331" s="2510" t="s">
        <v>8518</v>
      </c>
    </row>
    <row r="332" spans="1:2" x14ac:dyDescent="0.25">
      <c r="A332" t="s">
        <v>7866</v>
      </c>
      <c r="B332" s="2510" t="s">
        <v>8519</v>
      </c>
    </row>
    <row r="333" spans="1:2" x14ac:dyDescent="0.25">
      <c r="A333" t="s">
        <v>7867</v>
      </c>
      <c r="B333" s="2510" t="s">
        <v>8520</v>
      </c>
    </row>
    <row r="334" spans="1:2" x14ac:dyDescent="0.25">
      <c r="A334" t="s">
        <v>7868</v>
      </c>
      <c r="B334" s="2510" t="s">
        <v>8521</v>
      </c>
    </row>
    <row r="335" spans="1:2" x14ac:dyDescent="0.25">
      <c r="A335" t="s">
        <v>7869</v>
      </c>
      <c r="B335" s="2510" t="s">
        <v>8522</v>
      </c>
    </row>
    <row r="336" spans="1:2" x14ac:dyDescent="0.25">
      <c r="A336" t="s">
        <v>7870</v>
      </c>
      <c r="B336" s="2510" t="s">
        <v>8523</v>
      </c>
    </row>
    <row r="337" spans="1:2" x14ac:dyDescent="0.25">
      <c r="A337" t="s">
        <v>7871</v>
      </c>
      <c r="B337" s="2510" t="s">
        <v>8524</v>
      </c>
    </row>
    <row r="338" spans="1:2" x14ac:dyDescent="0.25">
      <c r="A338" t="s">
        <v>7872</v>
      </c>
      <c r="B338" s="2510" t="s">
        <v>8525</v>
      </c>
    </row>
    <row r="339" spans="1:2" x14ac:dyDescent="0.25">
      <c r="A339" t="s">
        <v>7873</v>
      </c>
      <c r="B339" s="2510" t="s">
        <v>8526</v>
      </c>
    </row>
    <row r="340" spans="1:2" x14ac:dyDescent="0.25">
      <c r="A340" t="s">
        <v>7874</v>
      </c>
      <c r="B340" s="2510" t="s">
        <v>8527</v>
      </c>
    </row>
    <row r="341" spans="1:2" x14ac:dyDescent="0.25">
      <c r="A341" t="s">
        <v>7875</v>
      </c>
      <c r="B341" s="2510" t="s">
        <v>8528</v>
      </c>
    </row>
    <row r="342" spans="1:2" x14ac:dyDescent="0.25">
      <c r="A342" t="s">
        <v>7876</v>
      </c>
      <c r="B342" s="2510" t="s">
        <v>8529</v>
      </c>
    </row>
    <row r="343" spans="1:2" x14ac:dyDescent="0.25">
      <c r="A343" t="s">
        <v>7877</v>
      </c>
      <c r="B343" s="2510" t="s">
        <v>8530</v>
      </c>
    </row>
    <row r="344" spans="1:2" x14ac:dyDescent="0.25">
      <c r="A344" t="s">
        <v>7878</v>
      </c>
      <c r="B344" s="2510" t="s">
        <v>8531</v>
      </c>
    </row>
    <row r="345" spans="1:2" x14ac:dyDescent="0.25">
      <c r="A345" t="s">
        <v>7879</v>
      </c>
      <c r="B345" s="2510" t="s">
        <v>8532</v>
      </c>
    </row>
    <row r="346" spans="1:2" x14ac:dyDescent="0.25">
      <c r="A346" t="s">
        <v>7880</v>
      </c>
      <c r="B346" s="2510" t="s">
        <v>8533</v>
      </c>
    </row>
    <row r="347" spans="1:2" x14ac:dyDescent="0.25">
      <c r="A347" t="s">
        <v>7881</v>
      </c>
      <c r="B347" s="2510" t="s">
        <v>8534</v>
      </c>
    </row>
    <row r="348" spans="1:2" x14ac:dyDescent="0.25">
      <c r="A348" t="s">
        <v>7882</v>
      </c>
      <c r="B348" s="2510" t="s">
        <v>8535</v>
      </c>
    </row>
    <row r="349" spans="1:2" x14ac:dyDescent="0.25">
      <c r="A349" t="s">
        <v>7883</v>
      </c>
      <c r="B349" s="2510" t="s">
        <v>8536</v>
      </c>
    </row>
    <row r="350" spans="1:2" x14ac:dyDescent="0.25">
      <c r="A350" t="s">
        <v>7884</v>
      </c>
      <c r="B350" s="2510" t="s">
        <v>8537</v>
      </c>
    </row>
    <row r="351" spans="1:2" x14ac:dyDescent="0.25">
      <c r="A351" t="s">
        <v>7885</v>
      </c>
      <c r="B351" s="2510" t="s">
        <v>8538</v>
      </c>
    </row>
    <row r="352" spans="1:2" x14ac:dyDescent="0.25">
      <c r="A352" t="s">
        <v>7886</v>
      </c>
      <c r="B352" s="2510" t="s">
        <v>8539</v>
      </c>
    </row>
    <row r="353" spans="1:2" x14ac:dyDescent="0.25">
      <c r="A353" t="s">
        <v>7887</v>
      </c>
      <c r="B353" s="2510" t="s">
        <v>8540</v>
      </c>
    </row>
    <row r="354" spans="1:2" x14ac:dyDescent="0.25">
      <c r="A354" t="s">
        <v>7888</v>
      </c>
      <c r="B354" s="2510" t="s">
        <v>8541</v>
      </c>
    </row>
    <row r="355" spans="1:2" x14ac:dyDescent="0.25">
      <c r="A355" t="s">
        <v>7889</v>
      </c>
      <c r="B355" s="2510" t="s">
        <v>8542</v>
      </c>
    </row>
    <row r="356" spans="1:2" x14ac:dyDescent="0.25">
      <c r="A356" t="s">
        <v>7890</v>
      </c>
      <c r="B356" s="2510" t="s">
        <v>8543</v>
      </c>
    </row>
    <row r="357" spans="1:2" x14ac:dyDescent="0.25">
      <c r="A357" t="s">
        <v>7891</v>
      </c>
      <c r="B357" s="2510" t="s">
        <v>8544</v>
      </c>
    </row>
    <row r="358" spans="1:2" x14ac:dyDescent="0.25">
      <c r="A358" t="s">
        <v>7892</v>
      </c>
      <c r="B358" s="2510" t="s">
        <v>8545</v>
      </c>
    </row>
    <row r="359" spans="1:2" x14ac:dyDescent="0.25">
      <c r="A359" t="s">
        <v>7893</v>
      </c>
      <c r="B359" s="2510" t="s">
        <v>8546</v>
      </c>
    </row>
    <row r="360" spans="1:2" x14ac:dyDescent="0.25">
      <c r="A360" t="s">
        <v>7894</v>
      </c>
      <c r="B360" s="2510" t="s">
        <v>8547</v>
      </c>
    </row>
    <row r="361" spans="1:2" x14ac:dyDescent="0.25">
      <c r="A361" t="s">
        <v>7895</v>
      </c>
      <c r="B361" s="2510" t="s">
        <v>8548</v>
      </c>
    </row>
    <row r="362" spans="1:2" x14ac:dyDescent="0.25">
      <c r="A362" t="s">
        <v>7896</v>
      </c>
      <c r="B362" s="2510" t="s">
        <v>8549</v>
      </c>
    </row>
    <row r="363" spans="1:2" x14ac:dyDescent="0.25">
      <c r="A363" t="s">
        <v>7897</v>
      </c>
      <c r="B363" s="2510" t="s">
        <v>8550</v>
      </c>
    </row>
    <row r="364" spans="1:2" x14ac:dyDescent="0.25">
      <c r="A364" t="s">
        <v>7898</v>
      </c>
      <c r="B364" s="2510" t="s">
        <v>8551</v>
      </c>
    </row>
    <row r="365" spans="1:2" x14ac:dyDescent="0.25">
      <c r="A365" s="2511" t="s">
        <v>7899</v>
      </c>
      <c r="B365" s="2510" t="s">
        <v>8497</v>
      </c>
    </row>
    <row r="366" spans="1:2" x14ac:dyDescent="0.25">
      <c r="A366" t="s">
        <v>7900</v>
      </c>
      <c r="B366" s="2510" t="s">
        <v>8499</v>
      </c>
    </row>
    <row r="367" spans="1:2" x14ac:dyDescent="0.25">
      <c r="A367" t="s">
        <v>7901</v>
      </c>
      <c r="B367" s="2510" t="s">
        <v>8500</v>
      </c>
    </row>
    <row r="368" spans="1:2" x14ac:dyDescent="0.25">
      <c r="A368" t="s">
        <v>7902</v>
      </c>
      <c r="B368" s="2510" t="s">
        <v>8501</v>
      </c>
    </row>
    <row r="369" spans="1:2" x14ac:dyDescent="0.25">
      <c r="A369" t="s">
        <v>7903</v>
      </c>
      <c r="B369" s="2510" t="s">
        <v>8502</v>
      </c>
    </row>
    <row r="370" spans="1:2" x14ac:dyDescent="0.25">
      <c r="A370" t="s">
        <v>7904</v>
      </c>
      <c r="B370" s="2510" t="s">
        <v>8503</v>
      </c>
    </row>
    <row r="371" spans="1:2" x14ac:dyDescent="0.25">
      <c r="A371" t="s">
        <v>7905</v>
      </c>
      <c r="B371" s="2510" t="s">
        <v>8504</v>
      </c>
    </row>
    <row r="372" spans="1:2" x14ac:dyDescent="0.25">
      <c r="A372" t="s">
        <v>7906</v>
      </c>
      <c r="B372" s="2510" t="s">
        <v>8505</v>
      </c>
    </row>
    <row r="373" spans="1:2" x14ac:dyDescent="0.25">
      <c r="A373" t="s">
        <v>7907</v>
      </c>
      <c r="B373" s="2510" t="s">
        <v>8506</v>
      </c>
    </row>
    <row r="374" spans="1:2" x14ac:dyDescent="0.25">
      <c r="A374" t="s">
        <v>7908</v>
      </c>
      <c r="B374" s="2510" t="s">
        <v>8507</v>
      </c>
    </row>
    <row r="375" spans="1:2" x14ac:dyDescent="0.25">
      <c r="A375" t="s">
        <v>7909</v>
      </c>
      <c r="B375" s="2510" t="s">
        <v>8508</v>
      </c>
    </row>
    <row r="376" spans="1:2" x14ac:dyDescent="0.25">
      <c r="A376" t="s">
        <v>7910</v>
      </c>
      <c r="B376" s="2510" t="s">
        <v>8509</v>
      </c>
    </row>
    <row r="377" spans="1:2" x14ac:dyDescent="0.25">
      <c r="A377" t="s">
        <v>7911</v>
      </c>
      <c r="B377" s="2510" t="s">
        <v>8510</v>
      </c>
    </row>
    <row r="378" spans="1:2" x14ac:dyDescent="0.25">
      <c r="A378" t="s">
        <v>7912</v>
      </c>
      <c r="B378" s="2510" t="s">
        <v>8511</v>
      </c>
    </row>
    <row r="379" spans="1:2" x14ac:dyDescent="0.25">
      <c r="A379" t="s">
        <v>7913</v>
      </c>
      <c r="B379" s="2510" t="s">
        <v>8512</v>
      </c>
    </row>
    <row r="380" spans="1:2" x14ac:dyDescent="0.25">
      <c r="A380" t="s">
        <v>7914</v>
      </c>
      <c r="B380" s="2510" t="s">
        <v>8513</v>
      </c>
    </row>
    <row r="381" spans="1:2" x14ac:dyDescent="0.25">
      <c r="A381" t="s">
        <v>7915</v>
      </c>
      <c r="B381" s="2510" t="s">
        <v>8514</v>
      </c>
    </row>
    <row r="382" spans="1:2" x14ac:dyDescent="0.25">
      <c r="A382" t="s">
        <v>7916</v>
      </c>
      <c r="B382" s="2510" t="s">
        <v>8515</v>
      </c>
    </row>
    <row r="383" spans="1:2" x14ac:dyDescent="0.25">
      <c r="A383" t="s">
        <v>7917</v>
      </c>
      <c r="B383" s="2510" t="s">
        <v>8516</v>
      </c>
    </row>
    <row r="384" spans="1:2" x14ac:dyDescent="0.25">
      <c r="A384" t="s">
        <v>7918</v>
      </c>
      <c r="B384" s="2510" t="s">
        <v>8517</v>
      </c>
    </row>
    <row r="385" spans="1:2" x14ac:dyDescent="0.25">
      <c r="A385" t="s">
        <v>7919</v>
      </c>
      <c r="B385" s="2510" t="s">
        <v>8518</v>
      </c>
    </row>
    <row r="386" spans="1:2" x14ac:dyDescent="0.25">
      <c r="A386" t="s">
        <v>7920</v>
      </c>
      <c r="B386" s="2510" t="s">
        <v>8519</v>
      </c>
    </row>
    <row r="387" spans="1:2" x14ac:dyDescent="0.25">
      <c r="A387" t="s">
        <v>7921</v>
      </c>
      <c r="B387" s="2510" t="s">
        <v>8520</v>
      </c>
    </row>
    <row r="388" spans="1:2" x14ac:dyDescent="0.25">
      <c r="A388" t="s">
        <v>7922</v>
      </c>
      <c r="B388" s="2510" t="s">
        <v>8521</v>
      </c>
    </row>
    <row r="389" spans="1:2" x14ac:dyDescent="0.25">
      <c r="A389" t="s">
        <v>7923</v>
      </c>
      <c r="B389" s="2510" t="s">
        <v>8522</v>
      </c>
    </row>
    <row r="390" spans="1:2" x14ac:dyDescent="0.25">
      <c r="A390" t="s">
        <v>7924</v>
      </c>
      <c r="B390" s="2510" t="s">
        <v>8523</v>
      </c>
    </row>
    <row r="391" spans="1:2" x14ac:dyDescent="0.25">
      <c r="A391" t="s">
        <v>7925</v>
      </c>
      <c r="B391" s="2510" t="s">
        <v>8524</v>
      </c>
    </row>
    <row r="392" spans="1:2" x14ac:dyDescent="0.25">
      <c r="A392" t="s">
        <v>7926</v>
      </c>
      <c r="B392" s="2510" t="s">
        <v>8525</v>
      </c>
    </row>
    <row r="393" spans="1:2" x14ac:dyDescent="0.25">
      <c r="A393" t="s">
        <v>7927</v>
      </c>
      <c r="B393" s="2510" t="s">
        <v>8526</v>
      </c>
    </row>
    <row r="394" spans="1:2" x14ac:dyDescent="0.25">
      <c r="A394" t="s">
        <v>7928</v>
      </c>
      <c r="B394" s="2510" t="s">
        <v>8527</v>
      </c>
    </row>
    <row r="395" spans="1:2" x14ac:dyDescent="0.25">
      <c r="A395" t="s">
        <v>7929</v>
      </c>
      <c r="B395" s="2510" t="s">
        <v>8528</v>
      </c>
    </row>
    <row r="396" spans="1:2" x14ac:dyDescent="0.25">
      <c r="A396" t="s">
        <v>7930</v>
      </c>
      <c r="B396" s="2510" t="s">
        <v>8529</v>
      </c>
    </row>
    <row r="397" spans="1:2" x14ac:dyDescent="0.25">
      <c r="A397" t="s">
        <v>7931</v>
      </c>
      <c r="B397" s="2510" t="s">
        <v>8530</v>
      </c>
    </row>
    <row r="398" spans="1:2" x14ac:dyDescent="0.25">
      <c r="A398" t="s">
        <v>7932</v>
      </c>
      <c r="B398" s="2510" t="s">
        <v>8531</v>
      </c>
    </row>
    <row r="399" spans="1:2" x14ac:dyDescent="0.25">
      <c r="A399" t="s">
        <v>7933</v>
      </c>
      <c r="B399" s="2510" t="s">
        <v>8532</v>
      </c>
    </row>
    <row r="400" spans="1:2" x14ac:dyDescent="0.25">
      <c r="A400" t="s">
        <v>7934</v>
      </c>
      <c r="B400" s="2510" t="s">
        <v>8533</v>
      </c>
    </row>
    <row r="401" spans="1:2" x14ac:dyDescent="0.25">
      <c r="A401" t="s">
        <v>7935</v>
      </c>
      <c r="B401" s="2510" t="s">
        <v>8534</v>
      </c>
    </row>
    <row r="402" spans="1:2" x14ac:dyDescent="0.25">
      <c r="A402" t="s">
        <v>7936</v>
      </c>
      <c r="B402" s="2510" t="s">
        <v>8535</v>
      </c>
    </row>
    <row r="403" spans="1:2" x14ac:dyDescent="0.25">
      <c r="A403" t="s">
        <v>7937</v>
      </c>
      <c r="B403" s="2510" t="s">
        <v>8536</v>
      </c>
    </row>
    <row r="404" spans="1:2" x14ac:dyDescent="0.25">
      <c r="A404" t="s">
        <v>7938</v>
      </c>
      <c r="B404" s="2510" t="s">
        <v>8537</v>
      </c>
    </row>
    <row r="405" spans="1:2" x14ac:dyDescent="0.25">
      <c r="A405" t="s">
        <v>7939</v>
      </c>
      <c r="B405" s="2510" t="s">
        <v>8538</v>
      </c>
    </row>
    <row r="406" spans="1:2" x14ac:dyDescent="0.25">
      <c r="A406" t="s">
        <v>7940</v>
      </c>
      <c r="B406" s="2510" t="s">
        <v>8539</v>
      </c>
    </row>
    <row r="407" spans="1:2" x14ac:dyDescent="0.25">
      <c r="A407" t="s">
        <v>7941</v>
      </c>
      <c r="B407" s="2510" t="s">
        <v>8540</v>
      </c>
    </row>
    <row r="408" spans="1:2" x14ac:dyDescent="0.25">
      <c r="A408" t="s">
        <v>7942</v>
      </c>
      <c r="B408" s="2510" t="s">
        <v>8541</v>
      </c>
    </row>
    <row r="409" spans="1:2" x14ac:dyDescent="0.25">
      <c r="A409" t="s">
        <v>7943</v>
      </c>
      <c r="B409" s="2510" t="s">
        <v>8542</v>
      </c>
    </row>
    <row r="410" spans="1:2" x14ac:dyDescent="0.25">
      <c r="A410" t="s">
        <v>7944</v>
      </c>
      <c r="B410" s="2510" t="s">
        <v>8543</v>
      </c>
    </row>
    <row r="411" spans="1:2" x14ac:dyDescent="0.25">
      <c r="A411" t="s">
        <v>7945</v>
      </c>
      <c r="B411" s="2510" t="s">
        <v>8544</v>
      </c>
    </row>
    <row r="412" spans="1:2" x14ac:dyDescent="0.25">
      <c r="A412" t="s">
        <v>7946</v>
      </c>
      <c r="B412" s="2510" t="s">
        <v>8545</v>
      </c>
    </row>
    <row r="413" spans="1:2" x14ac:dyDescent="0.25">
      <c r="A413" t="s">
        <v>7947</v>
      </c>
      <c r="B413" s="2510" t="s">
        <v>8546</v>
      </c>
    </row>
    <row r="414" spans="1:2" x14ac:dyDescent="0.25">
      <c r="A414" t="s">
        <v>7948</v>
      </c>
      <c r="B414" s="2510" t="s">
        <v>8547</v>
      </c>
    </row>
    <row r="415" spans="1:2" x14ac:dyDescent="0.25">
      <c r="A415" t="s">
        <v>7949</v>
      </c>
      <c r="B415" s="2510" t="s">
        <v>8548</v>
      </c>
    </row>
    <row r="416" spans="1:2" x14ac:dyDescent="0.25">
      <c r="A416" t="s">
        <v>7950</v>
      </c>
      <c r="B416" s="2510" t="s">
        <v>8549</v>
      </c>
    </row>
    <row r="417" spans="1:2" x14ac:dyDescent="0.25">
      <c r="A417" t="s">
        <v>7951</v>
      </c>
      <c r="B417" s="2510" t="s">
        <v>8550</v>
      </c>
    </row>
    <row r="418" spans="1:2" x14ac:dyDescent="0.25">
      <c r="A418" t="s">
        <v>7952</v>
      </c>
      <c r="B418" s="2510" t="s">
        <v>8551</v>
      </c>
    </row>
    <row r="419" spans="1:2" x14ac:dyDescent="0.25">
      <c r="A419" s="2511" t="s">
        <v>7953</v>
      </c>
      <c r="B419" s="2510" t="s">
        <v>8497</v>
      </c>
    </row>
    <row r="420" spans="1:2" x14ac:dyDescent="0.25">
      <c r="A420" t="s">
        <v>7955</v>
      </c>
      <c r="B420" s="2510" t="s">
        <v>8499</v>
      </c>
    </row>
    <row r="421" spans="1:2" x14ac:dyDescent="0.25">
      <c r="A421" t="s">
        <v>7956</v>
      </c>
      <c r="B421" s="2510" t="s">
        <v>8500</v>
      </c>
    </row>
    <row r="422" spans="1:2" x14ac:dyDescent="0.25">
      <c r="A422" t="s">
        <v>7957</v>
      </c>
      <c r="B422" s="2510" t="s">
        <v>8501</v>
      </c>
    </row>
    <row r="423" spans="1:2" x14ac:dyDescent="0.25">
      <c r="A423" t="s">
        <v>7958</v>
      </c>
      <c r="B423" s="2510" t="s">
        <v>8502</v>
      </c>
    </row>
    <row r="424" spans="1:2" x14ac:dyDescent="0.25">
      <c r="A424" t="s">
        <v>7959</v>
      </c>
      <c r="B424" s="2510" t="s">
        <v>8503</v>
      </c>
    </row>
    <row r="425" spans="1:2" x14ac:dyDescent="0.25">
      <c r="A425" t="s">
        <v>7960</v>
      </c>
      <c r="B425" s="2510" t="s">
        <v>8504</v>
      </c>
    </row>
    <row r="426" spans="1:2" x14ac:dyDescent="0.25">
      <c r="A426" t="s">
        <v>7961</v>
      </c>
      <c r="B426" s="2510" t="s">
        <v>8505</v>
      </c>
    </row>
    <row r="427" spans="1:2" x14ac:dyDescent="0.25">
      <c r="A427" t="s">
        <v>7962</v>
      </c>
      <c r="B427" s="2510" t="s">
        <v>8506</v>
      </c>
    </row>
    <row r="428" spans="1:2" x14ac:dyDescent="0.25">
      <c r="A428" t="s">
        <v>7963</v>
      </c>
      <c r="B428" s="2510" t="s">
        <v>8507</v>
      </c>
    </row>
    <row r="429" spans="1:2" x14ac:dyDescent="0.25">
      <c r="A429" t="s">
        <v>7964</v>
      </c>
      <c r="B429" s="2510" t="s">
        <v>8508</v>
      </c>
    </row>
    <row r="430" spans="1:2" x14ac:dyDescent="0.25">
      <c r="A430" t="s">
        <v>7965</v>
      </c>
      <c r="B430" s="2510" t="s">
        <v>8509</v>
      </c>
    </row>
    <row r="431" spans="1:2" x14ac:dyDescent="0.25">
      <c r="A431" t="s">
        <v>7966</v>
      </c>
      <c r="B431" s="2510" t="s">
        <v>8510</v>
      </c>
    </row>
    <row r="432" spans="1:2" x14ac:dyDescent="0.25">
      <c r="A432" t="s">
        <v>7967</v>
      </c>
      <c r="B432" s="2510" t="s">
        <v>8511</v>
      </c>
    </row>
    <row r="433" spans="1:2" x14ac:dyDescent="0.25">
      <c r="A433" t="s">
        <v>7968</v>
      </c>
      <c r="B433" s="2510" t="s">
        <v>8512</v>
      </c>
    </row>
    <row r="434" spans="1:2" x14ac:dyDescent="0.25">
      <c r="A434" t="s">
        <v>7969</v>
      </c>
      <c r="B434" s="2510" t="s">
        <v>8513</v>
      </c>
    </row>
    <row r="435" spans="1:2" x14ac:dyDescent="0.25">
      <c r="A435" t="s">
        <v>7970</v>
      </c>
      <c r="B435" s="2510" t="s">
        <v>8514</v>
      </c>
    </row>
    <row r="436" spans="1:2" x14ac:dyDescent="0.25">
      <c r="A436" t="s">
        <v>7971</v>
      </c>
      <c r="B436" s="2510" t="s">
        <v>8515</v>
      </c>
    </row>
    <row r="437" spans="1:2" x14ac:dyDescent="0.25">
      <c r="A437" t="s">
        <v>7972</v>
      </c>
      <c r="B437" s="2510" t="s">
        <v>8516</v>
      </c>
    </row>
    <row r="438" spans="1:2" x14ac:dyDescent="0.25">
      <c r="A438" t="s">
        <v>7973</v>
      </c>
      <c r="B438" s="2510" t="s">
        <v>8517</v>
      </c>
    </row>
    <row r="439" spans="1:2" x14ac:dyDescent="0.25">
      <c r="A439" t="s">
        <v>7974</v>
      </c>
      <c r="B439" s="2510" t="s">
        <v>8518</v>
      </c>
    </row>
    <row r="440" spans="1:2" x14ac:dyDescent="0.25">
      <c r="A440" t="s">
        <v>7975</v>
      </c>
      <c r="B440" s="2510" t="s">
        <v>8519</v>
      </c>
    </row>
    <row r="441" spans="1:2" x14ac:dyDescent="0.25">
      <c r="A441" t="s">
        <v>7976</v>
      </c>
      <c r="B441" s="2510" t="s">
        <v>8520</v>
      </c>
    </row>
    <row r="442" spans="1:2" x14ac:dyDescent="0.25">
      <c r="A442" t="s">
        <v>7977</v>
      </c>
      <c r="B442" s="2510" t="s">
        <v>8521</v>
      </c>
    </row>
    <row r="443" spans="1:2" x14ac:dyDescent="0.25">
      <c r="A443" t="s">
        <v>7978</v>
      </c>
      <c r="B443" s="2510" t="s">
        <v>8522</v>
      </c>
    </row>
    <row r="444" spans="1:2" x14ac:dyDescent="0.25">
      <c r="A444" t="s">
        <v>7979</v>
      </c>
      <c r="B444" s="2510" t="s">
        <v>8523</v>
      </c>
    </row>
    <row r="445" spans="1:2" x14ac:dyDescent="0.25">
      <c r="A445" t="s">
        <v>7980</v>
      </c>
      <c r="B445" s="2510" t="s">
        <v>8524</v>
      </c>
    </row>
    <row r="446" spans="1:2" x14ac:dyDescent="0.25">
      <c r="A446" t="s">
        <v>7981</v>
      </c>
      <c r="B446" s="2510" t="s">
        <v>8525</v>
      </c>
    </row>
    <row r="447" spans="1:2" x14ac:dyDescent="0.25">
      <c r="A447" t="s">
        <v>7982</v>
      </c>
      <c r="B447" s="2510" t="s">
        <v>8526</v>
      </c>
    </row>
    <row r="448" spans="1:2" x14ac:dyDescent="0.25">
      <c r="A448" t="s">
        <v>7983</v>
      </c>
      <c r="B448" s="2510" t="s">
        <v>8527</v>
      </c>
    </row>
    <row r="449" spans="1:2" x14ac:dyDescent="0.25">
      <c r="A449" t="s">
        <v>7984</v>
      </c>
      <c r="B449" s="2510" t="s">
        <v>8528</v>
      </c>
    </row>
    <row r="450" spans="1:2" x14ac:dyDescent="0.25">
      <c r="A450" t="s">
        <v>7985</v>
      </c>
      <c r="B450" s="2510" t="s">
        <v>8529</v>
      </c>
    </row>
    <row r="451" spans="1:2" x14ac:dyDescent="0.25">
      <c r="A451" t="s">
        <v>7986</v>
      </c>
      <c r="B451" s="2510" t="s">
        <v>8530</v>
      </c>
    </row>
    <row r="452" spans="1:2" x14ac:dyDescent="0.25">
      <c r="A452" t="s">
        <v>7987</v>
      </c>
      <c r="B452" s="2510" t="s">
        <v>8531</v>
      </c>
    </row>
    <row r="453" spans="1:2" x14ac:dyDescent="0.25">
      <c r="A453" t="s">
        <v>7988</v>
      </c>
      <c r="B453" s="2510" t="s">
        <v>8532</v>
      </c>
    </row>
    <row r="454" spans="1:2" x14ac:dyDescent="0.25">
      <c r="A454" t="s">
        <v>7989</v>
      </c>
      <c r="B454" s="2510" t="s">
        <v>8533</v>
      </c>
    </row>
    <row r="455" spans="1:2" x14ac:dyDescent="0.25">
      <c r="A455" t="s">
        <v>7990</v>
      </c>
      <c r="B455" s="2510" t="s">
        <v>8534</v>
      </c>
    </row>
    <row r="456" spans="1:2" x14ac:dyDescent="0.25">
      <c r="A456" t="s">
        <v>7991</v>
      </c>
      <c r="B456" s="2510" t="s">
        <v>8535</v>
      </c>
    </row>
    <row r="457" spans="1:2" x14ac:dyDescent="0.25">
      <c r="A457" t="s">
        <v>7992</v>
      </c>
      <c r="B457" s="2510" t="s">
        <v>8536</v>
      </c>
    </row>
    <row r="458" spans="1:2" x14ac:dyDescent="0.25">
      <c r="A458" t="s">
        <v>7993</v>
      </c>
      <c r="B458" s="2510" t="s">
        <v>8537</v>
      </c>
    </row>
    <row r="459" spans="1:2" x14ac:dyDescent="0.25">
      <c r="A459" t="s">
        <v>7994</v>
      </c>
      <c r="B459" s="2510" t="s">
        <v>8538</v>
      </c>
    </row>
    <row r="460" spans="1:2" x14ac:dyDescent="0.25">
      <c r="A460" t="s">
        <v>7995</v>
      </c>
      <c r="B460" s="2510" t="s">
        <v>8539</v>
      </c>
    </row>
    <row r="461" spans="1:2" x14ac:dyDescent="0.25">
      <c r="A461" t="s">
        <v>7996</v>
      </c>
      <c r="B461" s="2510" t="s">
        <v>8540</v>
      </c>
    </row>
    <row r="462" spans="1:2" x14ac:dyDescent="0.25">
      <c r="A462" t="s">
        <v>7997</v>
      </c>
      <c r="B462" s="2510" t="s">
        <v>8541</v>
      </c>
    </row>
    <row r="463" spans="1:2" x14ac:dyDescent="0.25">
      <c r="A463" t="s">
        <v>7998</v>
      </c>
      <c r="B463" s="2510" t="s">
        <v>8542</v>
      </c>
    </row>
    <row r="464" spans="1:2" x14ac:dyDescent="0.25">
      <c r="A464" t="s">
        <v>7999</v>
      </c>
      <c r="B464" s="2510" t="s">
        <v>8543</v>
      </c>
    </row>
    <row r="465" spans="1:2" x14ac:dyDescent="0.25">
      <c r="A465" t="s">
        <v>8000</v>
      </c>
      <c r="B465" s="2510" t="s">
        <v>8544</v>
      </c>
    </row>
    <row r="466" spans="1:2" x14ac:dyDescent="0.25">
      <c r="A466" t="s">
        <v>8001</v>
      </c>
      <c r="B466" s="2510" t="s">
        <v>8545</v>
      </c>
    </row>
    <row r="467" spans="1:2" x14ac:dyDescent="0.25">
      <c r="A467" t="s">
        <v>8002</v>
      </c>
      <c r="B467" s="2510" t="s">
        <v>8546</v>
      </c>
    </row>
    <row r="468" spans="1:2" x14ac:dyDescent="0.25">
      <c r="A468" t="s">
        <v>8003</v>
      </c>
      <c r="B468" s="2510" t="s">
        <v>8547</v>
      </c>
    </row>
    <row r="469" spans="1:2" x14ac:dyDescent="0.25">
      <c r="A469" s="2511" t="s">
        <v>7954</v>
      </c>
      <c r="B469" s="2510" t="s">
        <v>8497</v>
      </c>
    </row>
    <row r="470" spans="1:2" x14ac:dyDescent="0.25">
      <c r="A470" t="s">
        <v>8004</v>
      </c>
      <c r="B470" s="2510" t="s">
        <v>8499</v>
      </c>
    </row>
    <row r="471" spans="1:2" x14ac:dyDescent="0.25">
      <c r="A471" t="s">
        <v>8005</v>
      </c>
      <c r="B471" s="2510" t="s">
        <v>8500</v>
      </c>
    </row>
    <row r="472" spans="1:2" x14ac:dyDescent="0.25">
      <c r="A472" t="s">
        <v>8006</v>
      </c>
      <c r="B472" s="2510" t="s">
        <v>8501</v>
      </c>
    </row>
    <row r="473" spans="1:2" x14ac:dyDescent="0.25">
      <c r="A473" t="s">
        <v>8007</v>
      </c>
      <c r="B473" s="2510" t="s">
        <v>8502</v>
      </c>
    </row>
    <row r="474" spans="1:2" x14ac:dyDescent="0.25">
      <c r="A474" t="s">
        <v>8008</v>
      </c>
      <c r="B474" s="2510" t="s">
        <v>8503</v>
      </c>
    </row>
    <row r="475" spans="1:2" x14ac:dyDescent="0.25">
      <c r="A475" t="s">
        <v>8009</v>
      </c>
      <c r="B475" s="2510" t="s">
        <v>8504</v>
      </c>
    </row>
    <row r="476" spans="1:2" x14ac:dyDescent="0.25">
      <c r="A476" t="s">
        <v>8010</v>
      </c>
      <c r="B476" s="2510" t="s">
        <v>8505</v>
      </c>
    </row>
    <row r="477" spans="1:2" x14ac:dyDescent="0.25">
      <c r="A477" t="s">
        <v>8011</v>
      </c>
      <c r="B477" s="2510" t="s">
        <v>8506</v>
      </c>
    </row>
    <row r="478" spans="1:2" x14ac:dyDescent="0.25">
      <c r="A478" t="s">
        <v>8012</v>
      </c>
      <c r="B478" s="2510" t="s">
        <v>8507</v>
      </c>
    </row>
    <row r="479" spans="1:2" x14ac:dyDescent="0.25">
      <c r="A479" t="s">
        <v>8013</v>
      </c>
      <c r="B479" s="2510" t="s">
        <v>8508</v>
      </c>
    </row>
    <row r="480" spans="1:2" x14ac:dyDescent="0.25">
      <c r="A480" t="s">
        <v>8014</v>
      </c>
      <c r="B480" s="2510" t="s">
        <v>8509</v>
      </c>
    </row>
    <row r="481" spans="1:2" x14ac:dyDescent="0.25">
      <c r="A481" t="s">
        <v>8015</v>
      </c>
      <c r="B481" s="2510" t="s">
        <v>8510</v>
      </c>
    </row>
    <row r="482" spans="1:2" x14ac:dyDescent="0.25">
      <c r="A482" t="s">
        <v>8016</v>
      </c>
      <c r="B482" s="2510" t="s">
        <v>8511</v>
      </c>
    </row>
    <row r="483" spans="1:2" x14ac:dyDescent="0.25">
      <c r="A483" t="s">
        <v>8017</v>
      </c>
      <c r="B483" s="2510" t="s">
        <v>8512</v>
      </c>
    </row>
    <row r="484" spans="1:2" x14ac:dyDescent="0.25">
      <c r="A484" t="s">
        <v>8018</v>
      </c>
      <c r="B484" s="2510" t="s">
        <v>8513</v>
      </c>
    </row>
    <row r="485" spans="1:2" x14ac:dyDescent="0.25">
      <c r="A485" t="s">
        <v>8019</v>
      </c>
      <c r="B485" s="2510" t="s">
        <v>8514</v>
      </c>
    </row>
    <row r="486" spans="1:2" x14ac:dyDescent="0.25">
      <c r="A486" t="s">
        <v>8020</v>
      </c>
      <c r="B486" s="2510" t="s">
        <v>8515</v>
      </c>
    </row>
    <row r="487" spans="1:2" x14ac:dyDescent="0.25">
      <c r="A487" t="s">
        <v>8021</v>
      </c>
      <c r="B487" s="2510" t="s">
        <v>8516</v>
      </c>
    </row>
    <row r="488" spans="1:2" x14ac:dyDescent="0.25">
      <c r="A488" t="s">
        <v>8022</v>
      </c>
      <c r="B488" s="2510" t="s">
        <v>8517</v>
      </c>
    </row>
    <row r="489" spans="1:2" x14ac:dyDescent="0.25">
      <c r="A489" t="s">
        <v>8023</v>
      </c>
      <c r="B489" s="2510" t="s">
        <v>8518</v>
      </c>
    </row>
    <row r="490" spans="1:2" x14ac:dyDescent="0.25">
      <c r="A490" t="s">
        <v>8024</v>
      </c>
      <c r="B490" s="2510" t="s">
        <v>8519</v>
      </c>
    </row>
    <row r="491" spans="1:2" x14ac:dyDescent="0.25">
      <c r="A491" t="s">
        <v>8025</v>
      </c>
      <c r="B491" s="2510" t="s">
        <v>8520</v>
      </c>
    </row>
    <row r="492" spans="1:2" x14ac:dyDescent="0.25">
      <c r="A492" t="s">
        <v>8026</v>
      </c>
      <c r="B492" s="2510" t="s">
        <v>8521</v>
      </c>
    </row>
    <row r="493" spans="1:2" x14ac:dyDescent="0.25">
      <c r="A493" t="s">
        <v>8027</v>
      </c>
      <c r="B493" s="2510" t="s">
        <v>8522</v>
      </c>
    </row>
    <row r="494" spans="1:2" x14ac:dyDescent="0.25">
      <c r="A494" t="s">
        <v>8028</v>
      </c>
      <c r="B494" s="2510" t="s">
        <v>8523</v>
      </c>
    </row>
    <row r="495" spans="1:2" x14ac:dyDescent="0.25">
      <c r="A495" t="s">
        <v>8029</v>
      </c>
      <c r="B495" s="2510" t="s">
        <v>8524</v>
      </c>
    </row>
    <row r="496" spans="1:2" x14ac:dyDescent="0.25">
      <c r="A496" t="s">
        <v>8030</v>
      </c>
      <c r="B496" s="2510" t="s">
        <v>8525</v>
      </c>
    </row>
    <row r="497" spans="1:2" x14ac:dyDescent="0.25">
      <c r="A497" t="s">
        <v>8031</v>
      </c>
      <c r="B497" s="2510" t="s">
        <v>8526</v>
      </c>
    </row>
    <row r="498" spans="1:2" x14ac:dyDescent="0.25">
      <c r="A498" t="s">
        <v>8032</v>
      </c>
      <c r="B498" s="2510" t="s">
        <v>8527</v>
      </c>
    </row>
    <row r="499" spans="1:2" x14ac:dyDescent="0.25">
      <c r="A499" t="s">
        <v>8033</v>
      </c>
      <c r="B499" s="2510" t="s">
        <v>8528</v>
      </c>
    </row>
    <row r="500" spans="1:2" x14ac:dyDescent="0.25">
      <c r="A500" t="s">
        <v>8034</v>
      </c>
      <c r="B500" s="2510" t="s">
        <v>8529</v>
      </c>
    </row>
    <row r="501" spans="1:2" x14ac:dyDescent="0.25">
      <c r="A501" t="s">
        <v>8035</v>
      </c>
      <c r="B501" s="2510" t="s">
        <v>8530</v>
      </c>
    </row>
    <row r="502" spans="1:2" x14ac:dyDescent="0.25">
      <c r="A502" t="s">
        <v>8036</v>
      </c>
      <c r="B502" s="2510" t="s">
        <v>8531</v>
      </c>
    </row>
    <row r="503" spans="1:2" x14ac:dyDescent="0.25">
      <c r="A503" t="s">
        <v>8037</v>
      </c>
      <c r="B503" s="2510" t="s">
        <v>8532</v>
      </c>
    </row>
    <row r="504" spans="1:2" x14ac:dyDescent="0.25">
      <c r="A504" t="s">
        <v>8038</v>
      </c>
      <c r="B504" s="2510" t="s">
        <v>8533</v>
      </c>
    </row>
    <row r="505" spans="1:2" x14ac:dyDescent="0.25">
      <c r="A505" t="s">
        <v>8039</v>
      </c>
      <c r="B505" s="2510" t="s">
        <v>8534</v>
      </c>
    </row>
    <row r="506" spans="1:2" x14ac:dyDescent="0.25">
      <c r="A506" t="s">
        <v>8040</v>
      </c>
      <c r="B506" s="2510" t="s">
        <v>8535</v>
      </c>
    </row>
    <row r="507" spans="1:2" x14ac:dyDescent="0.25">
      <c r="A507" t="s">
        <v>8041</v>
      </c>
      <c r="B507" s="2510" t="s">
        <v>8536</v>
      </c>
    </row>
    <row r="508" spans="1:2" x14ac:dyDescent="0.25">
      <c r="A508" t="s">
        <v>8042</v>
      </c>
      <c r="B508" s="2510" t="s">
        <v>8537</v>
      </c>
    </row>
    <row r="509" spans="1:2" x14ac:dyDescent="0.25">
      <c r="A509" t="s">
        <v>8043</v>
      </c>
      <c r="B509" s="2510" t="s">
        <v>8538</v>
      </c>
    </row>
    <row r="510" spans="1:2" x14ac:dyDescent="0.25">
      <c r="A510" t="s">
        <v>8044</v>
      </c>
      <c r="B510" s="2510" t="s">
        <v>8539</v>
      </c>
    </row>
    <row r="511" spans="1:2" x14ac:dyDescent="0.25">
      <c r="A511" t="s">
        <v>8045</v>
      </c>
      <c r="B511" s="2510" t="s">
        <v>8540</v>
      </c>
    </row>
    <row r="512" spans="1:2" x14ac:dyDescent="0.25">
      <c r="A512" t="s">
        <v>8046</v>
      </c>
      <c r="B512" s="2510" t="s">
        <v>8541</v>
      </c>
    </row>
    <row r="513" spans="1:2" x14ac:dyDescent="0.25">
      <c r="A513" t="s">
        <v>8047</v>
      </c>
      <c r="B513" s="2510" t="s">
        <v>8542</v>
      </c>
    </row>
    <row r="514" spans="1:2" x14ac:dyDescent="0.25">
      <c r="A514" t="s">
        <v>8048</v>
      </c>
      <c r="B514" s="2510" t="s">
        <v>8543</v>
      </c>
    </row>
    <row r="515" spans="1:2" x14ac:dyDescent="0.25">
      <c r="A515" t="s">
        <v>8049</v>
      </c>
      <c r="B515" s="2510" t="s">
        <v>8544</v>
      </c>
    </row>
    <row r="516" spans="1:2" x14ac:dyDescent="0.25">
      <c r="A516" t="s">
        <v>8050</v>
      </c>
      <c r="B516" s="2510" t="s">
        <v>8545</v>
      </c>
    </row>
    <row r="517" spans="1:2" x14ac:dyDescent="0.25">
      <c r="A517" t="s">
        <v>8051</v>
      </c>
      <c r="B517" s="2510" t="s">
        <v>8546</v>
      </c>
    </row>
    <row r="518" spans="1:2" x14ac:dyDescent="0.25">
      <c r="A518" t="s">
        <v>8052</v>
      </c>
      <c r="B518" s="2510" t="s">
        <v>8547</v>
      </c>
    </row>
    <row r="519" spans="1:2" x14ac:dyDescent="0.25">
      <c r="A519" s="2511" t="s">
        <v>8053</v>
      </c>
      <c r="B519" s="2510" t="s">
        <v>8497</v>
      </c>
    </row>
    <row r="520" spans="1:2" x14ac:dyDescent="0.25">
      <c r="A520" t="s">
        <v>8054</v>
      </c>
      <c r="B520" s="2510" t="s">
        <v>8499</v>
      </c>
    </row>
    <row r="521" spans="1:2" x14ac:dyDescent="0.25">
      <c r="A521" t="s">
        <v>8055</v>
      </c>
      <c r="B521" s="2510" t="s">
        <v>8500</v>
      </c>
    </row>
    <row r="522" spans="1:2" x14ac:dyDescent="0.25">
      <c r="A522" t="s">
        <v>8056</v>
      </c>
      <c r="B522" s="2510" t="s">
        <v>8501</v>
      </c>
    </row>
    <row r="523" spans="1:2" x14ac:dyDescent="0.25">
      <c r="A523" t="s">
        <v>8057</v>
      </c>
      <c r="B523" s="2510" t="s">
        <v>8502</v>
      </c>
    </row>
    <row r="524" spans="1:2" x14ac:dyDescent="0.25">
      <c r="A524" t="s">
        <v>8058</v>
      </c>
      <c r="B524" s="2510" t="s">
        <v>8503</v>
      </c>
    </row>
    <row r="525" spans="1:2" x14ac:dyDescent="0.25">
      <c r="A525" t="s">
        <v>8059</v>
      </c>
      <c r="B525" s="2510" t="s">
        <v>8504</v>
      </c>
    </row>
    <row r="526" spans="1:2" x14ac:dyDescent="0.25">
      <c r="A526" t="s">
        <v>8060</v>
      </c>
      <c r="B526" s="2510" t="s">
        <v>8505</v>
      </c>
    </row>
    <row r="527" spans="1:2" x14ac:dyDescent="0.25">
      <c r="A527" t="s">
        <v>8061</v>
      </c>
      <c r="B527" s="2510" t="s">
        <v>8506</v>
      </c>
    </row>
    <row r="528" spans="1:2" x14ac:dyDescent="0.25">
      <c r="A528" t="s">
        <v>8062</v>
      </c>
      <c r="B528" s="2510" t="s">
        <v>8507</v>
      </c>
    </row>
    <row r="529" spans="1:2" x14ac:dyDescent="0.25">
      <c r="A529" t="s">
        <v>8063</v>
      </c>
      <c r="B529" s="2510" t="s">
        <v>8508</v>
      </c>
    </row>
    <row r="530" spans="1:2" x14ac:dyDescent="0.25">
      <c r="A530" t="s">
        <v>8064</v>
      </c>
      <c r="B530" s="2510" t="s">
        <v>8509</v>
      </c>
    </row>
    <row r="531" spans="1:2" x14ac:dyDescent="0.25">
      <c r="A531" t="s">
        <v>8065</v>
      </c>
      <c r="B531" s="2510" t="s">
        <v>8510</v>
      </c>
    </row>
    <row r="532" spans="1:2" x14ac:dyDescent="0.25">
      <c r="A532" t="s">
        <v>8066</v>
      </c>
      <c r="B532" s="2510" t="s">
        <v>8511</v>
      </c>
    </row>
    <row r="533" spans="1:2" x14ac:dyDescent="0.25">
      <c r="A533" t="s">
        <v>8067</v>
      </c>
      <c r="B533" s="2510" t="s">
        <v>8512</v>
      </c>
    </row>
    <row r="534" spans="1:2" x14ac:dyDescent="0.25">
      <c r="A534" t="s">
        <v>8068</v>
      </c>
      <c r="B534" s="2510" t="s">
        <v>8513</v>
      </c>
    </row>
    <row r="535" spans="1:2" x14ac:dyDescent="0.25">
      <c r="A535" t="s">
        <v>8069</v>
      </c>
      <c r="B535" s="2510" t="s">
        <v>8514</v>
      </c>
    </row>
    <row r="536" spans="1:2" x14ac:dyDescent="0.25">
      <c r="A536" t="s">
        <v>8070</v>
      </c>
      <c r="B536" s="2510" t="s">
        <v>8515</v>
      </c>
    </row>
    <row r="537" spans="1:2" x14ac:dyDescent="0.25">
      <c r="A537" t="s">
        <v>8071</v>
      </c>
      <c r="B537" s="2510" t="s">
        <v>8516</v>
      </c>
    </row>
    <row r="538" spans="1:2" x14ac:dyDescent="0.25">
      <c r="A538" t="s">
        <v>8072</v>
      </c>
      <c r="B538" s="2510" t="s">
        <v>8517</v>
      </c>
    </row>
    <row r="539" spans="1:2" x14ac:dyDescent="0.25">
      <c r="A539" t="s">
        <v>8073</v>
      </c>
      <c r="B539" s="2510" t="s">
        <v>8518</v>
      </c>
    </row>
    <row r="540" spans="1:2" x14ac:dyDescent="0.25">
      <c r="A540" t="s">
        <v>8074</v>
      </c>
      <c r="B540" s="2510" t="s">
        <v>8519</v>
      </c>
    </row>
    <row r="541" spans="1:2" x14ac:dyDescent="0.25">
      <c r="A541" t="s">
        <v>8075</v>
      </c>
      <c r="B541" s="2510" t="s">
        <v>8520</v>
      </c>
    </row>
    <row r="542" spans="1:2" x14ac:dyDescent="0.25">
      <c r="A542" t="s">
        <v>8076</v>
      </c>
      <c r="B542" s="2510" t="s">
        <v>8521</v>
      </c>
    </row>
    <row r="543" spans="1:2" x14ac:dyDescent="0.25">
      <c r="A543" t="s">
        <v>8077</v>
      </c>
      <c r="B543" s="2510" t="s">
        <v>8522</v>
      </c>
    </row>
    <row r="544" spans="1:2" x14ac:dyDescent="0.25">
      <c r="A544" t="s">
        <v>8078</v>
      </c>
      <c r="B544" s="2510" t="s">
        <v>8523</v>
      </c>
    </row>
    <row r="545" spans="1:2" x14ac:dyDescent="0.25">
      <c r="A545" t="s">
        <v>8079</v>
      </c>
      <c r="B545" s="2510" t="s">
        <v>8524</v>
      </c>
    </row>
    <row r="546" spans="1:2" x14ac:dyDescent="0.25">
      <c r="A546" t="s">
        <v>8080</v>
      </c>
      <c r="B546" s="2510" t="s">
        <v>8525</v>
      </c>
    </row>
    <row r="547" spans="1:2" x14ac:dyDescent="0.25">
      <c r="A547" t="s">
        <v>8081</v>
      </c>
      <c r="B547" s="2510" t="s">
        <v>8526</v>
      </c>
    </row>
    <row r="548" spans="1:2" x14ac:dyDescent="0.25">
      <c r="A548" t="s">
        <v>8082</v>
      </c>
      <c r="B548" s="2510" t="s">
        <v>8527</v>
      </c>
    </row>
    <row r="549" spans="1:2" x14ac:dyDescent="0.25">
      <c r="A549" t="s">
        <v>8083</v>
      </c>
      <c r="B549" s="2510" t="s">
        <v>8528</v>
      </c>
    </row>
    <row r="550" spans="1:2" x14ac:dyDescent="0.25">
      <c r="A550" t="s">
        <v>8084</v>
      </c>
      <c r="B550" s="2510" t="s">
        <v>8529</v>
      </c>
    </row>
    <row r="551" spans="1:2" x14ac:dyDescent="0.25">
      <c r="A551" t="s">
        <v>8085</v>
      </c>
      <c r="B551" s="2510" t="s">
        <v>8530</v>
      </c>
    </row>
    <row r="552" spans="1:2" x14ac:dyDescent="0.25">
      <c r="A552" t="s">
        <v>8086</v>
      </c>
      <c r="B552" s="2510" t="s">
        <v>8531</v>
      </c>
    </row>
    <row r="553" spans="1:2" x14ac:dyDescent="0.25">
      <c r="A553" t="s">
        <v>8087</v>
      </c>
      <c r="B553" s="2510" t="s">
        <v>8532</v>
      </c>
    </row>
    <row r="554" spans="1:2" x14ac:dyDescent="0.25">
      <c r="A554" t="s">
        <v>8088</v>
      </c>
      <c r="B554" s="2510" t="s">
        <v>8533</v>
      </c>
    </row>
    <row r="555" spans="1:2" x14ac:dyDescent="0.25">
      <c r="A555" t="s">
        <v>8089</v>
      </c>
      <c r="B555" s="2510" t="s">
        <v>8534</v>
      </c>
    </row>
    <row r="556" spans="1:2" x14ac:dyDescent="0.25">
      <c r="A556" t="s">
        <v>8090</v>
      </c>
      <c r="B556" s="2510" t="s">
        <v>8535</v>
      </c>
    </row>
    <row r="557" spans="1:2" x14ac:dyDescent="0.25">
      <c r="A557" t="s">
        <v>8091</v>
      </c>
      <c r="B557" s="2510" t="s">
        <v>8536</v>
      </c>
    </row>
    <row r="558" spans="1:2" x14ac:dyDescent="0.25">
      <c r="A558" t="s">
        <v>8092</v>
      </c>
      <c r="B558" s="2510" t="s">
        <v>8537</v>
      </c>
    </row>
    <row r="559" spans="1:2" x14ac:dyDescent="0.25">
      <c r="A559" t="s">
        <v>8093</v>
      </c>
      <c r="B559" s="2510" t="s">
        <v>8538</v>
      </c>
    </row>
    <row r="560" spans="1:2" x14ac:dyDescent="0.25">
      <c r="A560" t="s">
        <v>8094</v>
      </c>
      <c r="B560" s="2510" t="s">
        <v>8539</v>
      </c>
    </row>
    <row r="561" spans="1:2" x14ac:dyDescent="0.25">
      <c r="A561" t="s">
        <v>8095</v>
      </c>
      <c r="B561" s="2510" t="s">
        <v>8540</v>
      </c>
    </row>
    <row r="562" spans="1:2" x14ac:dyDescent="0.25">
      <c r="A562" t="s">
        <v>8096</v>
      </c>
      <c r="B562" s="2510" t="s">
        <v>8541</v>
      </c>
    </row>
    <row r="563" spans="1:2" x14ac:dyDescent="0.25">
      <c r="A563" t="s">
        <v>8097</v>
      </c>
      <c r="B563" s="2510" t="s">
        <v>8542</v>
      </c>
    </row>
    <row r="564" spans="1:2" x14ac:dyDescent="0.25">
      <c r="A564" t="s">
        <v>8098</v>
      </c>
      <c r="B564" s="2510" t="s">
        <v>8543</v>
      </c>
    </row>
    <row r="565" spans="1:2" x14ac:dyDescent="0.25">
      <c r="A565" t="s">
        <v>8099</v>
      </c>
      <c r="B565" s="2510" t="s">
        <v>8544</v>
      </c>
    </row>
    <row r="566" spans="1:2" x14ac:dyDescent="0.25">
      <c r="A566" t="s">
        <v>8100</v>
      </c>
      <c r="B566" s="2510" t="s">
        <v>8545</v>
      </c>
    </row>
    <row r="567" spans="1:2" x14ac:dyDescent="0.25">
      <c r="A567" t="s">
        <v>8101</v>
      </c>
      <c r="B567" s="2510" t="s">
        <v>8546</v>
      </c>
    </row>
    <row r="568" spans="1:2" x14ac:dyDescent="0.25">
      <c r="A568" t="s">
        <v>8102</v>
      </c>
      <c r="B568" s="2510" t="s">
        <v>8547</v>
      </c>
    </row>
    <row r="569" spans="1:2" x14ac:dyDescent="0.25">
      <c r="A569" s="2511" t="s">
        <v>8103</v>
      </c>
      <c r="B569" s="2510" t="s">
        <v>8497</v>
      </c>
    </row>
    <row r="570" spans="1:2" x14ac:dyDescent="0.25">
      <c r="A570" t="s">
        <v>8104</v>
      </c>
      <c r="B570" s="2510" t="s">
        <v>8499</v>
      </c>
    </row>
    <row r="571" spans="1:2" x14ac:dyDescent="0.25">
      <c r="A571" t="s">
        <v>8105</v>
      </c>
      <c r="B571" s="2510" t="s">
        <v>8500</v>
      </c>
    </row>
    <row r="572" spans="1:2" x14ac:dyDescent="0.25">
      <c r="A572" t="s">
        <v>8106</v>
      </c>
      <c r="B572" s="2510" t="s">
        <v>8501</v>
      </c>
    </row>
    <row r="573" spans="1:2" x14ac:dyDescent="0.25">
      <c r="A573" t="s">
        <v>8107</v>
      </c>
      <c r="B573" s="2510" t="s">
        <v>8502</v>
      </c>
    </row>
    <row r="574" spans="1:2" x14ac:dyDescent="0.25">
      <c r="A574" t="s">
        <v>8108</v>
      </c>
      <c r="B574" s="2510" t="s">
        <v>8503</v>
      </c>
    </row>
    <row r="575" spans="1:2" x14ac:dyDescent="0.25">
      <c r="A575" t="s">
        <v>8109</v>
      </c>
      <c r="B575" s="2510" t="s">
        <v>8504</v>
      </c>
    </row>
    <row r="576" spans="1:2" x14ac:dyDescent="0.25">
      <c r="A576" t="s">
        <v>8110</v>
      </c>
      <c r="B576" s="2510" t="s">
        <v>8505</v>
      </c>
    </row>
    <row r="577" spans="1:2" x14ac:dyDescent="0.25">
      <c r="A577" t="s">
        <v>8111</v>
      </c>
      <c r="B577" s="2510" t="s">
        <v>8506</v>
      </c>
    </row>
    <row r="578" spans="1:2" x14ac:dyDescent="0.25">
      <c r="A578" t="s">
        <v>8112</v>
      </c>
      <c r="B578" s="2510" t="s">
        <v>8507</v>
      </c>
    </row>
    <row r="579" spans="1:2" x14ac:dyDescent="0.25">
      <c r="A579" t="s">
        <v>8113</v>
      </c>
      <c r="B579" s="2510" t="s">
        <v>8508</v>
      </c>
    </row>
    <row r="580" spans="1:2" x14ac:dyDescent="0.25">
      <c r="A580" t="s">
        <v>8114</v>
      </c>
      <c r="B580" s="2510" t="s">
        <v>8509</v>
      </c>
    </row>
    <row r="581" spans="1:2" x14ac:dyDescent="0.25">
      <c r="A581" t="s">
        <v>8115</v>
      </c>
      <c r="B581" s="2510" t="s">
        <v>8510</v>
      </c>
    </row>
    <row r="582" spans="1:2" x14ac:dyDescent="0.25">
      <c r="A582" t="s">
        <v>8116</v>
      </c>
      <c r="B582" s="2510" t="s">
        <v>8511</v>
      </c>
    </row>
    <row r="583" spans="1:2" x14ac:dyDescent="0.25">
      <c r="A583" t="s">
        <v>8117</v>
      </c>
      <c r="B583" s="2510" t="s">
        <v>8512</v>
      </c>
    </row>
    <row r="584" spans="1:2" x14ac:dyDescent="0.25">
      <c r="A584" t="s">
        <v>8118</v>
      </c>
      <c r="B584" s="2510" t="s">
        <v>8513</v>
      </c>
    </row>
    <row r="585" spans="1:2" x14ac:dyDescent="0.25">
      <c r="A585" t="s">
        <v>8119</v>
      </c>
      <c r="B585" s="2510" t="s">
        <v>8514</v>
      </c>
    </row>
    <row r="586" spans="1:2" x14ac:dyDescent="0.25">
      <c r="A586" t="s">
        <v>8120</v>
      </c>
      <c r="B586" s="2510" t="s">
        <v>8515</v>
      </c>
    </row>
    <row r="587" spans="1:2" x14ac:dyDescent="0.25">
      <c r="A587" t="s">
        <v>8121</v>
      </c>
      <c r="B587" s="2510" t="s">
        <v>8516</v>
      </c>
    </row>
    <row r="588" spans="1:2" x14ac:dyDescent="0.25">
      <c r="A588" t="s">
        <v>8122</v>
      </c>
      <c r="B588" s="2510" t="s">
        <v>8517</v>
      </c>
    </row>
    <row r="589" spans="1:2" x14ac:dyDescent="0.25">
      <c r="A589" t="s">
        <v>8123</v>
      </c>
      <c r="B589" s="2510" t="s">
        <v>8518</v>
      </c>
    </row>
    <row r="590" spans="1:2" x14ac:dyDescent="0.25">
      <c r="A590" t="s">
        <v>8124</v>
      </c>
      <c r="B590" s="2510" t="s">
        <v>8519</v>
      </c>
    </row>
    <row r="591" spans="1:2" x14ac:dyDescent="0.25">
      <c r="A591" t="s">
        <v>8125</v>
      </c>
      <c r="B591" s="2510" t="s">
        <v>8520</v>
      </c>
    </row>
    <row r="592" spans="1:2" x14ac:dyDescent="0.25">
      <c r="A592" t="s">
        <v>8126</v>
      </c>
      <c r="B592" s="2510" t="s">
        <v>8521</v>
      </c>
    </row>
    <row r="593" spans="1:2" x14ac:dyDescent="0.25">
      <c r="A593" t="s">
        <v>8127</v>
      </c>
      <c r="B593" s="2510" t="s">
        <v>8522</v>
      </c>
    </row>
    <row r="594" spans="1:2" x14ac:dyDescent="0.25">
      <c r="A594" t="s">
        <v>8128</v>
      </c>
      <c r="B594" s="2510" t="s">
        <v>8523</v>
      </c>
    </row>
    <row r="595" spans="1:2" x14ac:dyDescent="0.25">
      <c r="A595" t="s">
        <v>8129</v>
      </c>
      <c r="B595" s="2510" t="s">
        <v>8524</v>
      </c>
    </row>
    <row r="596" spans="1:2" x14ac:dyDescent="0.25">
      <c r="A596" t="s">
        <v>8130</v>
      </c>
      <c r="B596" s="2510" t="s">
        <v>8525</v>
      </c>
    </row>
    <row r="597" spans="1:2" x14ac:dyDescent="0.25">
      <c r="A597" t="s">
        <v>8131</v>
      </c>
      <c r="B597" s="2510" t="s">
        <v>8526</v>
      </c>
    </row>
    <row r="598" spans="1:2" x14ac:dyDescent="0.25">
      <c r="A598" t="s">
        <v>8132</v>
      </c>
      <c r="B598" s="2510" t="s">
        <v>8527</v>
      </c>
    </row>
    <row r="599" spans="1:2" x14ac:dyDescent="0.25">
      <c r="A599" t="s">
        <v>8133</v>
      </c>
      <c r="B599" s="2510" t="s">
        <v>8528</v>
      </c>
    </row>
    <row r="600" spans="1:2" x14ac:dyDescent="0.25">
      <c r="A600" t="s">
        <v>8134</v>
      </c>
      <c r="B600" s="2510" t="s">
        <v>8529</v>
      </c>
    </row>
    <row r="601" spans="1:2" x14ac:dyDescent="0.25">
      <c r="A601" t="s">
        <v>8135</v>
      </c>
      <c r="B601" s="2510" t="s">
        <v>8530</v>
      </c>
    </row>
    <row r="602" spans="1:2" x14ac:dyDescent="0.25">
      <c r="A602" t="s">
        <v>8136</v>
      </c>
      <c r="B602" s="2510" t="s">
        <v>8531</v>
      </c>
    </row>
    <row r="603" spans="1:2" x14ac:dyDescent="0.25">
      <c r="A603" t="s">
        <v>8137</v>
      </c>
      <c r="B603" s="2510" t="s">
        <v>8532</v>
      </c>
    </row>
    <row r="604" spans="1:2" x14ac:dyDescent="0.25">
      <c r="A604" t="s">
        <v>8138</v>
      </c>
      <c r="B604" s="2510" t="s">
        <v>8533</v>
      </c>
    </row>
    <row r="605" spans="1:2" x14ac:dyDescent="0.25">
      <c r="A605" t="s">
        <v>8139</v>
      </c>
      <c r="B605" s="2510" t="s">
        <v>8534</v>
      </c>
    </row>
    <row r="606" spans="1:2" x14ac:dyDescent="0.25">
      <c r="A606" t="s">
        <v>8140</v>
      </c>
      <c r="B606" s="2510" t="s">
        <v>8535</v>
      </c>
    </row>
    <row r="607" spans="1:2" x14ac:dyDescent="0.25">
      <c r="A607" t="s">
        <v>8141</v>
      </c>
      <c r="B607" s="2510" t="s">
        <v>8536</v>
      </c>
    </row>
    <row r="608" spans="1:2" x14ac:dyDescent="0.25">
      <c r="A608" t="s">
        <v>8142</v>
      </c>
      <c r="B608" s="2510" t="s">
        <v>8537</v>
      </c>
    </row>
    <row r="609" spans="1:2" x14ac:dyDescent="0.25">
      <c r="A609" t="s">
        <v>8143</v>
      </c>
      <c r="B609" s="2510" t="s">
        <v>8538</v>
      </c>
    </row>
    <row r="610" spans="1:2" x14ac:dyDescent="0.25">
      <c r="A610" t="s">
        <v>8144</v>
      </c>
      <c r="B610" s="2510" t="s">
        <v>8539</v>
      </c>
    </row>
    <row r="611" spans="1:2" x14ac:dyDescent="0.25">
      <c r="A611" t="s">
        <v>8145</v>
      </c>
      <c r="B611" s="2510" t="s">
        <v>8540</v>
      </c>
    </row>
    <row r="612" spans="1:2" x14ac:dyDescent="0.25">
      <c r="A612" t="s">
        <v>8146</v>
      </c>
      <c r="B612" s="2510" t="s">
        <v>8541</v>
      </c>
    </row>
    <row r="613" spans="1:2" x14ac:dyDescent="0.25">
      <c r="A613" t="s">
        <v>8147</v>
      </c>
      <c r="B613" s="2510" t="s">
        <v>8542</v>
      </c>
    </row>
    <row r="614" spans="1:2" x14ac:dyDescent="0.25">
      <c r="A614" t="s">
        <v>8148</v>
      </c>
      <c r="B614" s="2510" t="s">
        <v>8543</v>
      </c>
    </row>
    <row r="615" spans="1:2" x14ac:dyDescent="0.25">
      <c r="A615" t="s">
        <v>8149</v>
      </c>
      <c r="B615" s="2510" t="s">
        <v>8544</v>
      </c>
    </row>
    <row r="616" spans="1:2" x14ac:dyDescent="0.25">
      <c r="A616" t="s">
        <v>8150</v>
      </c>
      <c r="B616" s="2510" t="s">
        <v>8545</v>
      </c>
    </row>
    <row r="617" spans="1:2" x14ac:dyDescent="0.25">
      <c r="A617" t="s">
        <v>8151</v>
      </c>
      <c r="B617" s="2510" t="s">
        <v>8546</v>
      </c>
    </row>
    <row r="618" spans="1:2" x14ac:dyDescent="0.25">
      <c r="A618" t="s">
        <v>8152</v>
      </c>
      <c r="B618" s="2510" t="s">
        <v>8547</v>
      </c>
    </row>
    <row r="619" spans="1:2" x14ac:dyDescent="0.25">
      <c r="A619" s="2511" t="s">
        <v>8153</v>
      </c>
      <c r="B619" s="2510" t="s">
        <v>8497</v>
      </c>
    </row>
    <row r="620" spans="1:2" x14ac:dyDescent="0.25">
      <c r="A620" t="s">
        <v>8154</v>
      </c>
      <c r="B620" s="2510" t="s">
        <v>8499</v>
      </c>
    </row>
    <row r="621" spans="1:2" x14ac:dyDescent="0.25">
      <c r="A621" t="s">
        <v>8155</v>
      </c>
      <c r="B621" s="2510" t="s">
        <v>8500</v>
      </c>
    </row>
    <row r="622" spans="1:2" x14ac:dyDescent="0.25">
      <c r="A622" t="s">
        <v>8156</v>
      </c>
      <c r="B622" s="2510" t="s">
        <v>8501</v>
      </c>
    </row>
    <row r="623" spans="1:2" x14ac:dyDescent="0.25">
      <c r="A623" t="s">
        <v>8157</v>
      </c>
      <c r="B623" s="2510" t="s">
        <v>8502</v>
      </c>
    </row>
    <row r="624" spans="1:2" x14ac:dyDescent="0.25">
      <c r="A624" t="s">
        <v>8158</v>
      </c>
      <c r="B624" s="2510" t="s">
        <v>8503</v>
      </c>
    </row>
    <row r="625" spans="1:2" x14ac:dyDescent="0.25">
      <c r="A625" t="s">
        <v>8159</v>
      </c>
      <c r="B625" s="2510" t="s">
        <v>8504</v>
      </c>
    </row>
    <row r="626" spans="1:2" x14ac:dyDescent="0.25">
      <c r="A626" t="s">
        <v>8160</v>
      </c>
      <c r="B626" s="2510" t="s">
        <v>8505</v>
      </c>
    </row>
    <row r="627" spans="1:2" x14ac:dyDescent="0.25">
      <c r="A627" t="s">
        <v>8161</v>
      </c>
      <c r="B627" s="2510" t="s">
        <v>8506</v>
      </c>
    </row>
    <row r="628" spans="1:2" x14ac:dyDescent="0.25">
      <c r="A628" t="s">
        <v>8162</v>
      </c>
      <c r="B628" s="2510" t="s">
        <v>8507</v>
      </c>
    </row>
    <row r="629" spans="1:2" x14ac:dyDescent="0.25">
      <c r="A629" t="s">
        <v>8163</v>
      </c>
      <c r="B629" s="2510" t="s">
        <v>8508</v>
      </c>
    </row>
    <row r="630" spans="1:2" x14ac:dyDescent="0.25">
      <c r="A630" t="s">
        <v>8164</v>
      </c>
      <c r="B630" s="2510" t="s">
        <v>8509</v>
      </c>
    </row>
    <row r="631" spans="1:2" x14ac:dyDescent="0.25">
      <c r="A631" t="s">
        <v>8165</v>
      </c>
      <c r="B631" s="2510" t="s">
        <v>8510</v>
      </c>
    </row>
    <row r="632" spans="1:2" x14ac:dyDescent="0.25">
      <c r="A632" t="s">
        <v>8166</v>
      </c>
      <c r="B632" s="2510" t="s">
        <v>8511</v>
      </c>
    </row>
    <row r="633" spans="1:2" x14ac:dyDescent="0.25">
      <c r="A633" t="s">
        <v>8167</v>
      </c>
      <c r="B633" s="2510" t="s">
        <v>8512</v>
      </c>
    </row>
    <row r="634" spans="1:2" x14ac:dyDescent="0.25">
      <c r="A634" t="s">
        <v>8168</v>
      </c>
      <c r="B634" s="2510" t="s">
        <v>8513</v>
      </c>
    </row>
    <row r="635" spans="1:2" x14ac:dyDescent="0.25">
      <c r="A635" t="s">
        <v>8169</v>
      </c>
      <c r="B635" s="2510" t="s">
        <v>8514</v>
      </c>
    </row>
    <row r="636" spans="1:2" x14ac:dyDescent="0.25">
      <c r="A636" t="s">
        <v>8170</v>
      </c>
      <c r="B636" s="2510" t="s">
        <v>8515</v>
      </c>
    </row>
    <row r="637" spans="1:2" x14ac:dyDescent="0.25">
      <c r="A637" t="s">
        <v>8171</v>
      </c>
      <c r="B637" s="2510" t="s">
        <v>8516</v>
      </c>
    </row>
    <row r="638" spans="1:2" x14ac:dyDescent="0.25">
      <c r="A638" t="s">
        <v>8172</v>
      </c>
      <c r="B638" s="2510" t="s">
        <v>8517</v>
      </c>
    </row>
    <row r="639" spans="1:2" x14ac:dyDescent="0.25">
      <c r="A639" t="s">
        <v>8173</v>
      </c>
      <c r="B639" s="2510" t="s">
        <v>8518</v>
      </c>
    </row>
    <row r="640" spans="1:2" x14ac:dyDescent="0.25">
      <c r="A640" t="s">
        <v>8174</v>
      </c>
      <c r="B640" s="2510" t="s">
        <v>8519</v>
      </c>
    </row>
    <row r="641" spans="1:2" x14ac:dyDescent="0.25">
      <c r="A641" t="s">
        <v>8175</v>
      </c>
      <c r="B641" s="2510" t="s">
        <v>8520</v>
      </c>
    </row>
    <row r="642" spans="1:2" x14ac:dyDescent="0.25">
      <c r="A642" t="s">
        <v>8176</v>
      </c>
      <c r="B642" s="2510" t="s">
        <v>8521</v>
      </c>
    </row>
    <row r="643" spans="1:2" x14ac:dyDescent="0.25">
      <c r="A643" t="s">
        <v>8177</v>
      </c>
      <c r="B643" s="2510" t="s">
        <v>8522</v>
      </c>
    </row>
    <row r="644" spans="1:2" x14ac:dyDescent="0.25">
      <c r="A644" t="s">
        <v>8178</v>
      </c>
      <c r="B644" s="2510" t="s">
        <v>8523</v>
      </c>
    </row>
    <row r="645" spans="1:2" x14ac:dyDescent="0.25">
      <c r="A645" t="s">
        <v>8179</v>
      </c>
      <c r="B645" s="2510" t="s">
        <v>8524</v>
      </c>
    </row>
    <row r="646" spans="1:2" x14ac:dyDescent="0.25">
      <c r="A646" t="s">
        <v>8180</v>
      </c>
      <c r="B646" s="2510" t="s">
        <v>8525</v>
      </c>
    </row>
    <row r="647" spans="1:2" x14ac:dyDescent="0.25">
      <c r="A647" t="s">
        <v>8181</v>
      </c>
      <c r="B647" s="2510" t="s">
        <v>8526</v>
      </c>
    </row>
    <row r="648" spans="1:2" x14ac:dyDescent="0.25">
      <c r="A648" t="s">
        <v>8182</v>
      </c>
      <c r="B648" s="2510" t="s">
        <v>8527</v>
      </c>
    </row>
    <row r="649" spans="1:2" x14ac:dyDescent="0.25">
      <c r="A649" t="s">
        <v>8183</v>
      </c>
      <c r="B649" s="2510" t="s">
        <v>8528</v>
      </c>
    </row>
    <row r="650" spans="1:2" x14ac:dyDescent="0.25">
      <c r="A650" t="s">
        <v>8184</v>
      </c>
      <c r="B650" s="2510" t="s">
        <v>8529</v>
      </c>
    </row>
    <row r="651" spans="1:2" x14ac:dyDescent="0.25">
      <c r="A651" t="s">
        <v>8185</v>
      </c>
      <c r="B651" s="2510" t="s">
        <v>8530</v>
      </c>
    </row>
    <row r="652" spans="1:2" x14ac:dyDescent="0.25">
      <c r="A652" t="s">
        <v>8186</v>
      </c>
      <c r="B652" s="2510" t="s">
        <v>8531</v>
      </c>
    </row>
    <row r="653" spans="1:2" x14ac:dyDescent="0.25">
      <c r="A653" t="s">
        <v>8187</v>
      </c>
      <c r="B653" s="2510" t="s">
        <v>8532</v>
      </c>
    </row>
    <row r="654" spans="1:2" x14ac:dyDescent="0.25">
      <c r="A654" t="s">
        <v>8188</v>
      </c>
      <c r="B654" s="2510" t="s">
        <v>8533</v>
      </c>
    </row>
    <row r="655" spans="1:2" x14ac:dyDescent="0.25">
      <c r="A655" t="s">
        <v>8189</v>
      </c>
      <c r="B655" s="2510" t="s">
        <v>8534</v>
      </c>
    </row>
    <row r="656" spans="1:2" x14ac:dyDescent="0.25">
      <c r="A656" t="s">
        <v>8190</v>
      </c>
      <c r="B656" s="2510" t="s">
        <v>8535</v>
      </c>
    </row>
    <row r="657" spans="1:2" x14ac:dyDescent="0.25">
      <c r="A657" t="s">
        <v>8191</v>
      </c>
      <c r="B657" s="2510" t="s">
        <v>8536</v>
      </c>
    </row>
    <row r="658" spans="1:2" x14ac:dyDescent="0.25">
      <c r="A658" t="s">
        <v>8192</v>
      </c>
      <c r="B658" s="2510" t="s">
        <v>8537</v>
      </c>
    </row>
    <row r="659" spans="1:2" x14ac:dyDescent="0.25">
      <c r="A659" t="s">
        <v>8193</v>
      </c>
      <c r="B659" s="2510" t="s">
        <v>8538</v>
      </c>
    </row>
    <row r="660" spans="1:2" x14ac:dyDescent="0.25">
      <c r="A660" t="s">
        <v>8194</v>
      </c>
      <c r="B660" s="2510" t="s">
        <v>8539</v>
      </c>
    </row>
    <row r="661" spans="1:2" x14ac:dyDescent="0.25">
      <c r="A661" t="s">
        <v>8195</v>
      </c>
      <c r="B661" s="2510" t="s">
        <v>8540</v>
      </c>
    </row>
    <row r="662" spans="1:2" x14ac:dyDescent="0.25">
      <c r="A662" t="s">
        <v>8196</v>
      </c>
      <c r="B662" s="2510" t="s">
        <v>8541</v>
      </c>
    </row>
    <row r="663" spans="1:2" x14ac:dyDescent="0.25">
      <c r="A663" t="s">
        <v>8197</v>
      </c>
      <c r="B663" s="2510" t="s">
        <v>8542</v>
      </c>
    </row>
    <row r="664" spans="1:2" x14ac:dyDescent="0.25">
      <c r="A664" t="s">
        <v>8198</v>
      </c>
      <c r="B664" s="2510" t="s">
        <v>8543</v>
      </c>
    </row>
    <row r="665" spans="1:2" x14ac:dyDescent="0.25">
      <c r="A665" t="s">
        <v>8199</v>
      </c>
      <c r="B665" s="2510" t="s">
        <v>8544</v>
      </c>
    </row>
    <row r="666" spans="1:2" x14ac:dyDescent="0.25">
      <c r="A666" t="s">
        <v>8200</v>
      </c>
      <c r="B666" s="2510" t="s">
        <v>8545</v>
      </c>
    </row>
    <row r="667" spans="1:2" x14ac:dyDescent="0.25">
      <c r="A667" t="s">
        <v>8201</v>
      </c>
      <c r="B667" s="2510" t="s">
        <v>8546</v>
      </c>
    </row>
    <row r="668" spans="1:2" x14ac:dyDescent="0.25">
      <c r="A668" t="s">
        <v>8202</v>
      </c>
      <c r="B668" s="2510" t="s">
        <v>8547</v>
      </c>
    </row>
    <row r="669" spans="1:2" x14ac:dyDescent="0.25">
      <c r="A669" t="s">
        <v>8203</v>
      </c>
      <c r="B669" s="2510" t="s">
        <v>8548</v>
      </c>
    </row>
    <row r="670" spans="1:2" x14ac:dyDescent="0.25">
      <c r="A670" t="s">
        <v>8204</v>
      </c>
      <c r="B670" s="2510" t="s">
        <v>8549</v>
      </c>
    </row>
    <row r="671" spans="1:2" x14ac:dyDescent="0.25">
      <c r="A671" t="s">
        <v>8205</v>
      </c>
      <c r="B671" s="2510" t="s">
        <v>8550</v>
      </c>
    </row>
    <row r="672" spans="1:2" x14ac:dyDescent="0.25">
      <c r="A672" t="s">
        <v>8206</v>
      </c>
      <c r="B672" s="2510" t="s">
        <v>8551</v>
      </c>
    </row>
    <row r="673" spans="1:2" x14ac:dyDescent="0.25">
      <c r="A673" s="2511" t="s">
        <v>8207</v>
      </c>
      <c r="B673" s="2510" t="s">
        <v>8497</v>
      </c>
    </row>
    <row r="674" spans="1:2" x14ac:dyDescent="0.25">
      <c r="A674" t="s">
        <v>8208</v>
      </c>
      <c r="B674" s="2510" t="s">
        <v>8499</v>
      </c>
    </row>
    <row r="675" spans="1:2" x14ac:dyDescent="0.25">
      <c r="A675" t="s">
        <v>8209</v>
      </c>
      <c r="B675" s="2510" t="s">
        <v>8500</v>
      </c>
    </row>
    <row r="676" spans="1:2" x14ac:dyDescent="0.25">
      <c r="A676" t="s">
        <v>8210</v>
      </c>
      <c r="B676" s="2510" t="s">
        <v>8501</v>
      </c>
    </row>
    <row r="677" spans="1:2" x14ac:dyDescent="0.25">
      <c r="A677" t="s">
        <v>8211</v>
      </c>
      <c r="B677" s="2510" t="s">
        <v>8502</v>
      </c>
    </row>
    <row r="678" spans="1:2" x14ac:dyDescent="0.25">
      <c r="A678" t="s">
        <v>8212</v>
      </c>
      <c r="B678" s="2510" t="s">
        <v>8503</v>
      </c>
    </row>
    <row r="679" spans="1:2" x14ac:dyDescent="0.25">
      <c r="A679" t="s">
        <v>8213</v>
      </c>
      <c r="B679" s="2510" t="s">
        <v>8504</v>
      </c>
    </row>
    <row r="680" spans="1:2" x14ac:dyDescent="0.25">
      <c r="A680" t="s">
        <v>8214</v>
      </c>
      <c r="B680" s="2510" t="s">
        <v>8505</v>
      </c>
    </row>
    <row r="681" spans="1:2" x14ac:dyDescent="0.25">
      <c r="A681" t="s">
        <v>8215</v>
      </c>
      <c r="B681" s="2510" t="s">
        <v>8506</v>
      </c>
    </row>
    <row r="682" spans="1:2" x14ac:dyDescent="0.25">
      <c r="A682" t="s">
        <v>8216</v>
      </c>
      <c r="B682" s="2510" t="s">
        <v>8507</v>
      </c>
    </row>
    <row r="683" spans="1:2" x14ac:dyDescent="0.25">
      <c r="A683" t="s">
        <v>8217</v>
      </c>
      <c r="B683" s="2510" t="s">
        <v>8508</v>
      </c>
    </row>
    <row r="684" spans="1:2" x14ac:dyDescent="0.25">
      <c r="A684" t="s">
        <v>8218</v>
      </c>
      <c r="B684" s="2510" t="s">
        <v>8509</v>
      </c>
    </row>
    <row r="685" spans="1:2" x14ac:dyDescent="0.25">
      <c r="A685" t="s">
        <v>8219</v>
      </c>
      <c r="B685" s="2510" t="s">
        <v>8510</v>
      </c>
    </row>
    <row r="686" spans="1:2" x14ac:dyDescent="0.25">
      <c r="A686" t="s">
        <v>8220</v>
      </c>
      <c r="B686" s="2510" t="s">
        <v>8511</v>
      </c>
    </row>
    <row r="687" spans="1:2" x14ac:dyDescent="0.25">
      <c r="A687" t="s">
        <v>8221</v>
      </c>
      <c r="B687" s="2510" t="s">
        <v>8512</v>
      </c>
    </row>
    <row r="688" spans="1:2" x14ac:dyDescent="0.25">
      <c r="A688" t="s">
        <v>8222</v>
      </c>
      <c r="B688" s="2510" t="s">
        <v>8513</v>
      </c>
    </row>
    <row r="689" spans="1:2" x14ac:dyDescent="0.25">
      <c r="A689" t="s">
        <v>8223</v>
      </c>
      <c r="B689" s="2510" t="s">
        <v>8514</v>
      </c>
    </row>
    <row r="690" spans="1:2" x14ac:dyDescent="0.25">
      <c r="A690" t="s">
        <v>8224</v>
      </c>
      <c r="B690" s="2510" t="s">
        <v>8515</v>
      </c>
    </row>
    <row r="691" spans="1:2" x14ac:dyDescent="0.25">
      <c r="A691" t="s">
        <v>8225</v>
      </c>
      <c r="B691" s="2510" t="s">
        <v>8516</v>
      </c>
    </row>
    <row r="692" spans="1:2" x14ac:dyDescent="0.25">
      <c r="A692" t="s">
        <v>8226</v>
      </c>
      <c r="B692" s="2510" t="s">
        <v>8517</v>
      </c>
    </row>
    <row r="693" spans="1:2" x14ac:dyDescent="0.25">
      <c r="A693" t="s">
        <v>8227</v>
      </c>
      <c r="B693" s="2510" t="s">
        <v>8518</v>
      </c>
    </row>
    <row r="694" spans="1:2" x14ac:dyDescent="0.25">
      <c r="A694" t="s">
        <v>8228</v>
      </c>
      <c r="B694" s="2510" t="s">
        <v>8519</v>
      </c>
    </row>
    <row r="695" spans="1:2" x14ac:dyDescent="0.25">
      <c r="A695" t="s">
        <v>8229</v>
      </c>
      <c r="B695" s="2510" t="s">
        <v>8520</v>
      </c>
    </row>
    <row r="696" spans="1:2" x14ac:dyDescent="0.25">
      <c r="A696" t="s">
        <v>8230</v>
      </c>
      <c r="B696" s="2510" t="s">
        <v>8521</v>
      </c>
    </row>
    <row r="697" spans="1:2" x14ac:dyDescent="0.25">
      <c r="A697" t="s">
        <v>8231</v>
      </c>
      <c r="B697" s="2510" t="s">
        <v>8522</v>
      </c>
    </row>
    <row r="698" spans="1:2" x14ac:dyDescent="0.25">
      <c r="A698" t="s">
        <v>8232</v>
      </c>
      <c r="B698" s="2510" t="s">
        <v>8523</v>
      </c>
    </row>
    <row r="699" spans="1:2" x14ac:dyDescent="0.25">
      <c r="A699" t="s">
        <v>8233</v>
      </c>
      <c r="B699" s="2510" t="s">
        <v>8524</v>
      </c>
    </row>
    <row r="700" spans="1:2" x14ac:dyDescent="0.25">
      <c r="A700" t="s">
        <v>8234</v>
      </c>
      <c r="B700" s="2510" t="s">
        <v>8525</v>
      </c>
    </row>
    <row r="701" spans="1:2" x14ac:dyDescent="0.25">
      <c r="A701" t="s">
        <v>8235</v>
      </c>
      <c r="B701" s="2510" t="s">
        <v>8526</v>
      </c>
    </row>
    <row r="702" spans="1:2" x14ac:dyDescent="0.25">
      <c r="A702" t="s">
        <v>8236</v>
      </c>
      <c r="B702" s="2510" t="s">
        <v>8527</v>
      </c>
    </row>
    <row r="703" spans="1:2" x14ac:dyDescent="0.25">
      <c r="A703" t="s">
        <v>8237</v>
      </c>
      <c r="B703" s="2510" t="s">
        <v>8528</v>
      </c>
    </row>
    <row r="704" spans="1:2" x14ac:dyDescent="0.25">
      <c r="A704" t="s">
        <v>8238</v>
      </c>
      <c r="B704" s="2510" t="s">
        <v>8529</v>
      </c>
    </row>
    <row r="705" spans="1:2" x14ac:dyDescent="0.25">
      <c r="A705" t="s">
        <v>8239</v>
      </c>
      <c r="B705" s="2510" t="s">
        <v>8530</v>
      </c>
    </row>
    <row r="706" spans="1:2" x14ac:dyDescent="0.25">
      <c r="A706" t="s">
        <v>8240</v>
      </c>
      <c r="B706" s="2510" t="s">
        <v>8531</v>
      </c>
    </row>
    <row r="707" spans="1:2" x14ac:dyDescent="0.25">
      <c r="A707" t="s">
        <v>8241</v>
      </c>
      <c r="B707" s="2510" t="s">
        <v>8532</v>
      </c>
    </row>
    <row r="708" spans="1:2" x14ac:dyDescent="0.25">
      <c r="A708" t="s">
        <v>8242</v>
      </c>
      <c r="B708" s="2510" t="s">
        <v>8533</v>
      </c>
    </row>
    <row r="709" spans="1:2" x14ac:dyDescent="0.25">
      <c r="A709" t="s">
        <v>8243</v>
      </c>
      <c r="B709" s="2510" t="s">
        <v>8534</v>
      </c>
    </row>
    <row r="710" spans="1:2" x14ac:dyDescent="0.25">
      <c r="A710" t="s">
        <v>8244</v>
      </c>
      <c r="B710" s="2510" t="s">
        <v>8535</v>
      </c>
    </row>
    <row r="711" spans="1:2" x14ac:dyDescent="0.25">
      <c r="A711" t="s">
        <v>8245</v>
      </c>
      <c r="B711" s="2510" t="s">
        <v>8536</v>
      </c>
    </row>
    <row r="712" spans="1:2" x14ac:dyDescent="0.25">
      <c r="A712" t="s">
        <v>8246</v>
      </c>
      <c r="B712" s="2510" t="s">
        <v>8537</v>
      </c>
    </row>
    <row r="713" spans="1:2" x14ac:dyDescent="0.25">
      <c r="A713" t="s">
        <v>8247</v>
      </c>
      <c r="B713" s="2510" t="s">
        <v>8538</v>
      </c>
    </row>
    <row r="714" spans="1:2" x14ac:dyDescent="0.25">
      <c r="A714" t="s">
        <v>8248</v>
      </c>
      <c r="B714" s="2510" t="s">
        <v>8539</v>
      </c>
    </row>
    <row r="715" spans="1:2" x14ac:dyDescent="0.25">
      <c r="A715" t="s">
        <v>8249</v>
      </c>
      <c r="B715" s="2510" t="s">
        <v>8540</v>
      </c>
    </row>
    <row r="716" spans="1:2" x14ac:dyDescent="0.25">
      <c r="A716" t="s">
        <v>8250</v>
      </c>
      <c r="B716" s="2510" t="s">
        <v>8541</v>
      </c>
    </row>
    <row r="717" spans="1:2" x14ac:dyDescent="0.25">
      <c r="A717" t="s">
        <v>8251</v>
      </c>
      <c r="B717" s="2510" t="s">
        <v>8542</v>
      </c>
    </row>
    <row r="718" spans="1:2" x14ac:dyDescent="0.25">
      <c r="A718" t="s">
        <v>8252</v>
      </c>
      <c r="B718" s="2510" t="s">
        <v>8543</v>
      </c>
    </row>
    <row r="719" spans="1:2" x14ac:dyDescent="0.25">
      <c r="A719" t="s">
        <v>8253</v>
      </c>
      <c r="B719" s="2510" t="s">
        <v>8544</v>
      </c>
    </row>
    <row r="720" spans="1:2" x14ac:dyDescent="0.25">
      <c r="A720" t="s">
        <v>8254</v>
      </c>
      <c r="B720" s="2510" t="s">
        <v>8545</v>
      </c>
    </row>
    <row r="721" spans="1:4" x14ac:dyDescent="0.25">
      <c r="A721" t="s">
        <v>8255</v>
      </c>
      <c r="B721" s="2510" t="s">
        <v>8546</v>
      </c>
    </row>
    <row r="722" spans="1:4" x14ac:dyDescent="0.25">
      <c r="A722" t="s">
        <v>8256</v>
      </c>
      <c r="B722" s="2510" t="s">
        <v>8547</v>
      </c>
    </row>
    <row r="723" spans="1:4" x14ac:dyDescent="0.25">
      <c r="A723" t="s">
        <v>8257</v>
      </c>
      <c r="B723" s="2510" t="s">
        <v>8548</v>
      </c>
    </row>
    <row r="724" spans="1:4" x14ac:dyDescent="0.25">
      <c r="A724" t="s">
        <v>8258</v>
      </c>
      <c r="B724" s="2510" t="s">
        <v>8549</v>
      </c>
    </row>
    <row r="725" spans="1:4" x14ac:dyDescent="0.25">
      <c r="A725" t="s">
        <v>8259</v>
      </c>
      <c r="B725" s="2510" t="s">
        <v>8550</v>
      </c>
    </row>
    <row r="726" spans="1:4" x14ac:dyDescent="0.25">
      <c r="A726" t="s">
        <v>8260</v>
      </c>
      <c r="B726" s="2535" t="s">
        <v>8551</v>
      </c>
    </row>
    <row r="727" spans="1:4" x14ac:dyDescent="0.25">
      <c r="A727" t="s">
        <v>8656</v>
      </c>
      <c r="B727" s="2510" t="s">
        <v>8621</v>
      </c>
      <c r="C727" s="2536" t="s">
        <v>8623</v>
      </c>
      <c r="D727" s="2536" t="s">
        <v>8625</v>
      </c>
    </row>
    <row r="728" spans="1:4" x14ac:dyDescent="0.25">
      <c r="A728" t="s">
        <v>8657</v>
      </c>
      <c r="B728" s="2510" t="s">
        <v>8626</v>
      </c>
      <c r="C728" s="2510" t="s">
        <v>8635</v>
      </c>
      <c r="D728" s="2510" t="s">
        <v>8644</v>
      </c>
    </row>
    <row r="729" spans="1:4" x14ac:dyDescent="0.25">
      <c r="A729" t="s">
        <v>8658</v>
      </c>
      <c r="B729" s="2510" t="s">
        <v>8627</v>
      </c>
      <c r="C729" s="2510" t="s">
        <v>8636</v>
      </c>
      <c r="D729" s="2510" t="s">
        <v>8645</v>
      </c>
    </row>
    <row r="730" spans="1:4" x14ac:dyDescent="0.25">
      <c r="A730" t="s">
        <v>8659</v>
      </c>
      <c r="B730" s="2510" t="s">
        <v>8628</v>
      </c>
      <c r="C730" s="2510" t="s">
        <v>8637</v>
      </c>
      <c r="D730" s="2510" t="s">
        <v>8646</v>
      </c>
    </row>
    <row r="731" spans="1:4" x14ac:dyDescent="0.25">
      <c r="A731" t="s">
        <v>8660</v>
      </c>
      <c r="B731" s="2510" t="s">
        <v>8629</v>
      </c>
      <c r="C731" s="2510" t="s">
        <v>8638</v>
      </c>
      <c r="D731" s="2510" t="s">
        <v>8647</v>
      </c>
    </row>
    <row r="732" spans="1:4" x14ac:dyDescent="0.25">
      <c r="A732" t="s">
        <v>8661</v>
      </c>
      <c r="B732" s="2510" t="s">
        <v>8630</v>
      </c>
      <c r="C732" s="2510" t="s">
        <v>8639</v>
      </c>
      <c r="D732" s="2510" t="s">
        <v>8648</v>
      </c>
    </row>
    <row r="733" spans="1:4" x14ac:dyDescent="0.25">
      <c r="A733" t="s">
        <v>8662</v>
      </c>
      <c r="B733" s="2510" t="s">
        <v>8631</v>
      </c>
      <c r="C733" s="2510" t="s">
        <v>8640</v>
      </c>
      <c r="D733" s="2510" t="s">
        <v>8649</v>
      </c>
    </row>
    <row r="734" spans="1:4" x14ac:dyDescent="0.25">
      <c r="A734" t="s">
        <v>8663</v>
      </c>
      <c r="B734" s="2510" t="s">
        <v>8632</v>
      </c>
      <c r="C734" s="2510" t="s">
        <v>8641</v>
      </c>
      <c r="D734" s="2510" t="s">
        <v>8650</v>
      </c>
    </row>
    <row r="735" spans="1:4" x14ac:dyDescent="0.25">
      <c r="A735" t="s">
        <v>8664</v>
      </c>
      <c r="B735" s="2510" t="s">
        <v>8633</v>
      </c>
      <c r="C735" s="2510" t="s">
        <v>8642</v>
      </c>
      <c r="D735" s="2510" t="s">
        <v>8651</v>
      </c>
    </row>
    <row r="736" spans="1:4" x14ac:dyDescent="0.25">
      <c r="A736" t="s">
        <v>8665</v>
      </c>
      <c r="B736" s="2510" t="s">
        <v>8634</v>
      </c>
      <c r="C736" s="2510" t="s">
        <v>8643</v>
      </c>
      <c r="D736" s="2510" t="s">
        <v>8652</v>
      </c>
    </row>
    <row r="737" spans="1:4" x14ac:dyDescent="0.25">
      <c r="A737" t="s">
        <v>8666</v>
      </c>
      <c r="B737" s="2510" t="s">
        <v>8655</v>
      </c>
      <c r="C737" s="2510" t="s">
        <v>8654</v>
      </c>
      <c r="D737" s="2510" t="s">
        <v>8653</v>
      </c>
    </row>
    <row r="738" spans="1:4" x14ac:dyDescent="0.25">
      <c r="A738" t="s">
        <v>8667</v>
      </c>
      <c r="B738" s="2510" t="s">
        <v>8509</v>
      </c>
    </row>
    <row r="739" spans="1:4" x14ac:dyDescent="0.25">
      <c r="A739" t="s">
        <v>8668</v>
      </c>
      <c r="B739" s="2510" t="s">
        <v>8510</v>
      </c>
    </row>
    <row r="740" spans="1:4" x14ac:dyDescent="0.25">
      <c r="A740" t="s">
        <v>8669</v>
      </c>
      <c r="B740" s="2510" t="s">
        <v>8511</v>
      </c>
    </row>
    <row r="741" spans="1:4" x14ac:dyDescent="0.25">
      <c r="A741" t="s">
        <v>8670</v>
      </c>
      <c r="B741" s="2510" t="s">
        <v>8512</v>
      </c>
    </row>
    <row r="742" spans="1:4" x14ac:dyDescent="0.25">
      <c r="A742" t="s">
        <v>8671</v>
      </c>
      <c r="B742" s="2510" t="s">
        <v>8513</v>
      </c>
    </row>
    <row r="743" spans="1:4" x14ac:dyDescent="0.25">
      <c r="A743" t="s">
        <v>8672</v>
      </c>
      <c r="B743" s="2510" t="s">
        <v>8514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5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970" t="s">
        <v>4562</v>
      </c>
      <c r="J3" s="397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50"/>
      <c r="U5" s="2550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13" cm="1">
        <f t="array" ref="D6">INDEX('6층_부하량'!F3:F3000,MATCH(1,("6-DaHall 1-CEP-05"='6층_부하량'!A3:A3000)*(1='6층_부하량'!B3:B3000),0))</f>
        <v>0</v>
      </c>
      <c r="E6" s="2513" cm="1">
        <f t="array" ref="E6">INDEX('6층_부하량'!G3:G3000,MATCH(1,("6-DaHall 1-CEP-05"='6층_부하량'!A3:A3000)*(1='6층_부하량'!B3:B3000),0))</f>
        <v>0</v>
      </c>
      <c r="F6" s="2513" cm="1">
        <f t="array" ref="F6">INDEX('6층_부하량'!H3:H3000,MATCH(1,("6-DaHall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 x14ac:dyDescent="0.25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4" cm="1">
        <f t="array" ref="L7">INDEX('6층_부하량'!F3:F3000,MATCH(1,("6-DaHall 1-CEP-05"='6층_부하량'!A3:A3000)*(3='6층_부하량'!B3:B3000),0))</f>
        <v>0</v>
      </c>
      <c r="M7" s="2514" cm="1">
        <f t="array" ref="M7">INDEX('6층_부하량'!G3:G3000,MATCH(1,("6-DaHall 1-CEP-05"='6층_부하량'!A3:A3000)*(3='6층_부하량'!B3:B3000),0))</f>
        <v>0</v>
      </c>
      <c r="N7" s="2514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17" t="s">
        <v>6552</v>
      </c>
      <c r="B8" s="142" t="s">
        <v>4204</v>
      </c>
      <c r="C8" s="188" t="s">
        <v>4149</v>
      </c>
      <c r="D8" s="2515" cm="1">
        <f t="array" ref="D8">INDEX('6층_부하량'!F3:F3000,MATCH(1,("6-DaHall 1-CEP-05"='6층_부하량'!A3:A3000)*(4='6층_부하량'!B3:B3000),0))</f>
        <v>0</v>
      </c>
      <c r="E8" s="2515" cm="1">
        <f t="array" ref="E8">INDEX('6층_부하량'!G3:G3000,MATCH(1,("6-DaHall 1-CEP-05"='6층_부하량'!A3:A3000)*(4='6층_부하량'!B3:B3000),0))</f>
        <v>0</v>
      </c>
      <c r="F8" s="2515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5" cm="1">
        <f t="array" ref="L8">INDEX('6층_부하량'!F3:F3000,MATCH(1,("6-DaHall 1-CEP-05"='6층_부하량'!A3:A3000)*(5='6층_부하량'!B3:B3000),0))</f>
        <v>0</v>
      </c>
      <c r="M8" s="2515" cm="1">
        <f t="array" ref="M8">INDEX('6층_부하량'!G3:G3000,MATCH(1,("6-DaHall 1-CEP-05"='6층_부하량'!A3:A3000)*(5='6층_부하량'!B3:B3000),0))</f>
        <v>0</v>
      </c>
      <c r="N8" s="2515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15" cm="1">
        <f t="array" ref="D9">INDEX('6층_부하량'!F3:F3000,MATCH(1,("6-DaHall 1-CEP-05"='6층_부하량'!A3:A3000)*(6='6층_부하량'!B3:B3000),0))</f>
        <v>0</v>
      </c>
      <c r="E9" s="2515" cm="1">
        <f t="array" ref="E9">INDEX('6층_부하량'!G3:G3000,MATCH(1,("6-DaHall 1-CEP-05"='6층_부하량'!A3:A3000)*(6='6층_부하량'!B3:B3000),0))</f>
        <v>0</v>
      </c>
      <c r="F9" s="2515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5" cm="1">
        <f t="array" ref="L9">INDEX('6층_부하량'!F3:F3000,MATCH(1,("6-DaHall 1-CEP-05"='6층_부하량'!A3:A3000)*(7='6층_부하량'!B3:B3000),0))</f>
        <v>0</v>
      </c>
      <c r="M9" s="2515" cm="1">
        <f t="array" ref="M9">INDEX('6층_부하량'!G3:G3000,MATCH(1,("6-DaHall 1-CEP-05"='6층_부하량'!A3:A3000)*(7='6층_부하량'!B3:B3000),0))</f>
        <v>0</v>
      </c>
      <c r="N9" s="2515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15" cm="1">
        <f t="array" ref="D10">INDEX('6층_부하량'!F3:F3000,MATCH(1,("6-DaHall 1-CEP-05"='6층_부하량'!A3:A3000)*(8='6층_부하량'!B3:B3000),0))</f>
        <v>0</v>
      </c>
      <c r="E10" s="2515" cm="1">
        <f t="array" ref="E10">INDEX('6층_부하량'!G3:G3000,MATCH(1,("6-DaHall 1-CEP-05"='6층_부하량'!A3:A3000)*(8='6층_부하량'!B3:B3000),0))</f>
        <v>0</v>
      </c>
      <c r="F10" s="2515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5" cm="1">
        <f t="array" ref="L10">INDEX('6층_부하량'!F3:F3000,MATCH(1,("6-DaHall 1-CEP-05"='6층_부하량'!A3:A3000)*(9='6층_부하량'!B3:B3000),0))</f>
        <v>0</v>
      </c>
      <c r="M10" s="2515" cm="1">
        <f t="array" ref="M10">INDEX('6층_부하량'!G3:G3000,MATCH(1,("6-DaHall 1-CEP-05"='6층_부하량'!A3:A3000)*(9='6층_부하량'!B3:B3000),0))</f>
        <v>0</v>
      </c>
      <c r="N10" s="2515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24" cm="1">
        <f t="array" ref="D11">INDEX('6층_부하량'!F3:F3000,MATCH(1,("6-DaHall 1-CEP-05"='6층_부하량'!A3:A3000)*(10='6층_부하량'!B3:B3000),0))</f>
        <v>0</v>
      </c>
      <c r="E11" s="2524" cm="1">
        <f t="array" ref="E11">INDEX('6층_부하량'!G3:G3000,MATCH(1,("6-DaHall 1-CEP-05"='6층_부하량'!A3:A3000)*(10='6층_부하량'!B3:B3000),0))</f>
        <v>0</v>
      </c>
      <c r="F11" s="2524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4" cm="1">
        <f t="array" ref="L11">INDEX('6층_부하량'!F3:F3000,MATCH(1,("6-DaHall 1-CEP-05"='6층_부하량'!A3:A3000)*(11='6층_부하량'!B3:B3000),0))</f>
        <v>0</v>
      </c>
      <c r="M11" s="2525" cm="1">
        <f t="array" ref="M11">INDEX('6층_부하량'!G3:G3000,MATCH(1,("6-DaHall 1-CEP-05"='6층_부하량'!A3:A3000)*(11='6층_부하량'!B3:B3000),0))</f>
        <v>0</v>
      </c>
      <c r="N11" s="2525" cm="1">
        <f t="array" ref="N11">INDEX('6층_부하량'!H3:H3000,MATCH(1,("6-DaHall 1-CEP-05"='6층_부하량'!A3:A3000)*(11='6층_부하량'!B3:B3000),0))</f>
        <v>0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33" t="s">
        <v>4296</v>
      </c>
      <c r="D12" s="2526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6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6"/>
      <c r="B13" s="142" t="s">
        <v>4153</v>
      </c>
      <c r="C13" s="142" t="s">
        <v>4158</v>
      </c>
      <c r="D13" s="156"/>
      <c r="E13" s="2515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5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18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8" cm="1">
        <f t="array" ref="N14">INDEX('6층_부하량'!H3:H3000,MATCH(1,("6-DaHall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969" t="s">
        <v>4575</v>
      </c>
      <c r="D17" s="3969"/>
      <c r="E17" s="3969"/>
      <c r="F17" s="172"/>
      <c r="G17" s="172"/>
      <c r="H17" s="132"/>
      <c r="I17" s="3974" t="s">
        <v>4576</v>
      </c>
      <c r="J17" s="397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13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3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14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4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15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5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15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5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15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5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15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5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14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4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15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5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15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5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14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4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15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5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15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5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14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4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24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4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26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6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14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4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15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5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15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5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14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4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15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5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15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5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14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4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15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5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15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5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14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4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15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5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18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8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969" t="s">
        <v>4603</v>
      </c>
      <c r="D49" s="3969"/>
      <c r="E49" s="3969"/>
      <c r="F49" s="172"/>
      <c r="G49" s="172"/>
      <c r="H49" s="132"/>
      <c r="I49" s="3974" t="s">
        <v>4288</v>
      </c>
      <c r="J49" s="397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13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3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14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4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15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5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15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5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15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5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15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5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14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4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15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5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15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5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14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4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15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5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15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5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14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4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24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4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26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6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14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4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15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5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15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5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14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4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15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5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15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5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14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4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15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5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15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5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14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4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15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5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18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8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969" t="s">
        <v>4635</v>
      </c>
      <c r="D81" s="3969"/>
      <c r="E81" s="3969"/>
      <c r="F81" s="172"/>
      <c r="G81" s="172"/>
      <c r="H81" s="132"/>
      <c r="I81" s="3974" t="s">
        <v>4636</v>
      </c>
      <c r="J81" s="397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13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3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14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4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15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5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15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5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15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5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15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5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15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5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15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5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20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20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17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7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15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5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15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5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15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5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15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5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15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5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15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5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15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5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15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5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15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5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15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5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15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5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15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5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15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5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15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5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18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8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969" t="s">
        <v>4687</v>
      </c>
      <c r="D111" s="3969"/>
      <c r="E111" s="3969"/>
      <c r="F111" s="172"/>
      <c r="G111" s="172"/>
      <c r="H111" s="132"/>
      <c r="I111" s="3974" t="s">
        <v>4636</v>
      </c>
      <c r="J111" s="397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13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3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14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4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15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5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15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5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15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5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15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5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15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5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15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5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20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20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17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7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15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5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15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5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15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5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15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5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15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5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15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5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15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5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15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5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15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5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15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5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15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5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15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5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15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5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15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5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18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8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969" t="s">
        <v>4736</v>
      </c>
      <c r="D141" s="3969"/>
      <c r="E141" s="3969"/>
      <c r="F141" s="172"/>
      <c r="G141" s="172"/>
      <c r="H141" s="132"/>
      <c r="I141" s="3974" t="s">
        <v>4636</v>
      </c>
      <c r="J141" s="397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13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3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14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4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15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5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15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5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15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5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15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5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15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5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15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5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20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20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17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7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6" t="s">
        <v>4756</v>
      </c>
      <c r="B154" s="155" t="s">
        <v>4208</v>
      </c>
      <c r="C154" s="188" t="s">
        <v>4149</v>
      </c>
      <c r="D154" s="156"/>
      <c r="E154" s="2515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5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15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5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15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5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15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5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15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5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15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5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15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5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15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5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15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5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15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5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15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5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15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5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15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5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7" t="s">
        <v>4781</v>
      </c>
      <c r="B167" s="142" t="s">
        <v>4208</v>
      </c>
      <c r="C167" s="163" t="s">
        <v>4149</v>
      </c>
      <c r="D167" s="156"/>
      <c r="E167" s="156"/>
      <c r="F167" s="2515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5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998" t="s">
        <v>4782</v>
      </c>
      <c r="B168" s="165" t="s">
        <v>4208</v>
      </c>
      <c r="C168" s="183" t="s">
        <v>4149</v>
      </c>
      <c r="D168" s="2518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8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969" t="s">
        <v>4783</v>
      </c>
      <c r="D170" s="3969"/>
      <c r="E170" s="3969"/>
      <c r="F170" s="172"/>
      <c r="G170" s="172"/>
      <c r="H170" s="132"/>
      <c r="I170" s="3974" t="s">
        <v>4636</v>
      </c>
      <c r="J170" s="397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13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3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14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4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15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5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15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5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15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5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15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5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15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5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15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5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20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20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17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7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6" t="s">
        <v>4803</v>
      </c>
      <c r="B183" s="155" t="s">
        <v>4208</v>
      </c>
      <c r="C183" s="188" t="s">
        <v>4149</v>
      </c>
      <c r="D183" s="156"/>
      <c r="E183" s="2515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5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15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5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15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5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15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5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15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5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15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5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15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5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15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5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15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5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15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5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15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5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15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5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15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5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7" t="s">
        <v>4781</v>
      </c>
      <c r="B196" s="142" t="s">
        <v>4208</v>
      </c>
      <c r="C196" s="163" t="s">
        <v>4149</v>
      </c>
      <c r="D196" s="156"/>
      <c r="E196" s="156"/>
      <c r="F196" s="2515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5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998" t="s">
        <v>4782</v>
      </c>
      <c r="B197" s="165" t="s">
        <v>4208</v>
      </c>
      <c r="C197" s="183" t="s">
        <v>4149</v>
      </c>
      <c r="D197" s="2518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8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969" t="s">
        <v>4830</v>
      </c>
      <c r="D199" s="3969"/>
      <c r="E199" s="3969"/>
      <c r="F199" s="172"/>
      <c r="G199" s="172"/>
      <c r="H199" s="132"/>
      <c r="I199" s="3974" t="s">
        <v>4636</v>
      </c>
      <c r="J199" s="397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13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3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14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4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15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5" cm="1">
        <f t="array" ref="N204">INDEX('6층_부하량'!H3:H3000,MATCH(1,("6-DaHall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88" t="s">
        <v>4837</v>
      </c>
      <c r="B205" s="142" t="s">
        <v>4208</v>
      </c>
      <c r="C205" s="1145" t="s">
        <v>4149</v>
      </c>
      <c r="D205" s="2515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5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89" t="s">
        <v>4839</v>
      </c>
      <c r="B206" s="142" t="s">
        <v>4208</v>
      </c>
      <c r="C206" s="1145" t="s">
        <v>4149</v>
      </c>
      <c r="D206" s="156"/>
      <c r="E206" s="2515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5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88" t="s">
        <v>4841</v>
      </c>
      <c r="B207" s="142" t="s">
        <v>4208</v>
      </c>
      <c r="C207" s="1145" t="s">
        <v>4149</v>
      </c>
      <c r="D207" s="156"/>
      <c r="E207" s="156"/>
      <c r="F207" s="2515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5" cm="1">
        <f t="array" ref="N207">INDEX('6층_부하량'!H3:H3000,MATCH(1,("6-DaHall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89" t="s">
        <v>4843</v>
      </c>
      <c r="B208" s="142" t="s">
        <v>4208</v>
      </c>
      <c r="C208" s="1145" t="s">
        <v>4149</v>
      </c>
      <c r="D208" s="2515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5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88" t="s">
        <v>4845</v>
      </c>
      <c r="B209" s="142" t="s">
        <v>4208</v>
      </c>
      <c r="C209" s="1145" t="s">
        <v>4149</v>
      </c>
      <c r="D209" s="156"/>
      <c r="E209" s="2515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5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0" t="s">
        <v>4847</v>
      </c>
      <c r="B210" s="158" t="s">
        <v>4208</v>
      </c>
      <c r="C210" s="1146" t="s">
        <v>4149</v>
      </c>
      <c r="D210" s="176"/>
      <c r="E210" s="176"/>
      <c r="F210" s="2520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20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17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7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15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5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15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5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15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5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15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5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15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5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15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5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15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5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15" cm="1">
        <f t="array" ref="F219">INDEX('6층_부하량'!H3:H3000,MATCH(1,("6-DaHall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5" cm="1">
        <f t="array" ref="N219">INDEX('6층_부하량'!H3:H3000,MATCH(1,("6-DaHall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15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5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15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5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15" cm="1">
        <f t="array" ref="F222">INDEX('6층_부하량'!H3:H3000,MATCH(1,("6-DaHall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5" cm="1">
        <f t="array" ref="N222">INDEX('6층_부하량'!H3:H3000,MATCH(1,("6-DaHall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15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5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15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5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15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5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18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8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969" t="s">
        <v>4879</v>
      </c>
      <c r="D229" s="3969"/>
      <c r="E229" s="3969"/>
      <c r="F229" s="172"/>
      <c r="G229" s="172"/>
      <c r="H229" s="132"/>
      <c r="I229" s="3974" t="s">
        <v>4636</v>
      </c>
      <c r="J229" s="397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13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3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14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4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15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5" cm="1">
        <f t="array" ref="N234">INDEX('6층_부하량'!H3:H3000,MATCH(1,("6-DaHall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88" t="s">
        <v>4886</v>
      </c>
      <c r="B235" s="142" t="s">
        <v>4208</v>
      </c>
      <c r="C235" s="1145" t="s">
        <v>4149</v>
      </c>
      <c r="D235" s="2515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5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89" t="s">
        <v>4888</v>
      </c>
      <c r="B236" s="142" t="s">
        <v>4208</v>
      </c>
      <c r="C236" s="1145" t="s">
        <v>4149</v>
      </c>
      <c r="D236" s="156"/>
      <c r="E236" s="2515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5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88" t="s">
        <v>4890</v>
      </c>
      <c r="B237" s="142" t="s">
        <v>4208</v>
      </c>
      <c r="C237" s="1145" t="s">
        <v>4149</v>
      </c>
      <c r="D237" s="156"/>
      <c r="E237" s="156"/>
      <c r="F237" s="2515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5" cm="1">
        <f t="array" ref="N237">INDEX('6층_부하량'!H3:H3000,MATCH(1,("6-DaHall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89" t="s">
        <v>4892</v>
      </c>
      <c r="B238" s="142" t="s">
        <v>4208</v>
      </c>
      <c r="C238" s="1145" t="s">
        <v>4149</v>
      </c>
      <c r="D238" s="2515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5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88" t="s">
        <v>4894</v>
      </c>
      <c r="B239" s="142" t="s">
        <v>4208</v>
      </c>
      <c r="C239" s="1145" t="s">
        <v>4149</v>
      </c>
      <c r="D239" s="156"/>
      <c r="E239" s="2515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5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0" t="s">
        <v>4896</v>
      </c>
      <c r="B240" s="158" t="s">
        <v>4208</v>
      </c>
      <c r="C240" s="1146" t="s">
        <v>4149</v>
      </c>
      <c r="D240" s="176"/>
      <c r="E240" s="176"/>
      <c r="F240" s="2520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20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17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7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15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5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15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5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15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5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15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5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15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5" cm="1">
        <f t="array" ref="N246">INDEX('6층_부하량'!H3:H3000,MATCH(1,("6-DaHall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15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5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15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5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15" cm="1">
        <f t="array" ref="F249">INDEX('6층_부하량'!H3:H3000,MATCH(1,("6-DaHall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5" cm="1">
        <f t="array" ref="N249">INDEX('6층_부하량'!H3:H3000,MATCH(1,("6-DaHall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15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5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15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5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15" cm="1">
        <f t="array" ref="F252">INDEX('6층_부하량'!H3:H3000,MATCH(1,("6-DaHall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5" cm="1">
        <f t="array" ref="N252">INDEX('6층_부하량'!H3:H3000,MATCH(1,("6-DaHall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15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5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15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5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15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5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18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8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969" t="s">
        <v>4927</v>
      </c>
      <c r="D259" s="3969"/>
      <c r="E259" s="3969"/>
      <c r="F259" s="172"/>
      <c r="G259" s="172"/>
      <c r="H259" s="132"/>
      <c r="I259" s="3974" t="s">
        <v>4636</v>
      </c>
      <c r="J259" s="397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13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3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14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4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15" cm="1">
        <f t="array" ref="F264">INDEX('6층_부하량'!H3:H3000,MATCH(1,("6-DaHall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5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15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5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15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5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15" cm="1">
        <f t="array" ref="F267">INDEX('6층_부하량'!H3:H3000,MATCH(1,("6-DaHall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5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15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5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15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5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20" cm="1">
        <f t="array" ref="F270">INDEX('6층_부하량'!H3:H3000,MATCH(1,("6-DaHall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20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17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7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15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5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15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5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15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5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15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5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15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5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15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5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15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5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15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5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15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5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15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5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15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5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15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5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15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5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15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5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18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8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969" t="s">
        <v>4970</v>
      </c>
      <c r="D289" s="3969"/>
      <c r="E289" s="3969"/>
      <c r="F289" s="172"/>
      <c r="G289" s="172"/>
      <c r="H289" s="132"/>
      <c r="I289" s="3974" t="s">
        <v>4636</v>
      </c>
      <c r="J289" s="397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13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3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14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4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15" cm="1">
        <f t="array" ref="F294">INDEX('6층_부하량'!H3:H3000,MATCH(1,("6-DaHall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5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15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5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15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5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15" cm="1">
        <f t="array" ref="F297">INDEX('6층_부하량'!H3:H3000,MATCH(1,("6-DaHall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5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15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5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15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5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20" cm="1">
        <f t="array" ref="F300">INDEX('6층_부하량'!H3:H3000,MATCH(1,("6-DaHall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20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17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7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15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5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15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5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15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5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15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5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15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5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15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5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15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5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15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5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15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5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15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5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15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5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15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5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15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5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15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5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18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8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969" t="s">
        <v>5011</v>
      </c>
      <c r="D319" s="3969"/>
      <c r="E319" s="3969"/>
      <c r="F319" s="172"/>
      <c r="G319" s="172"/>
      <c r="H319" s="132"/>
      <c r="I319" s="3974" t="s">
        <v>4288</v>
      </c>
      <c r="J319" s="397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13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3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14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4" cm="1">
        <f t="array" ref="N323">INDEX('6층_부하량'!H3:H3000,MATCH(1,("6-DaHall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15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5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15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5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15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5" cm="1">
        <f t="array" ref="N326">INDEX('6층_부하량'!H3:H3000,MATCH(1,("6-DaHall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15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5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15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5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15" cm="1">
        <f t="array" ref="F329">INDEX('6층_부하량'!H3:H3000,MATCH(1,("6-DaHall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5" cm="1">
        <f t="array" ref="N329">INDEX('6층_부하량'!H3:H3000,MATCH(1,("6-DaHall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15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5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15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5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15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5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22" t="s">
        <v>5034</v>
      </c>
      <c r="B333" s="142" t="s">
        <v>4208</v>
      </c>
      <c r="C333" s="163" t="s">
        <v>4149</v>
      </c>
      <c r="D333" s="2515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5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15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5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20" cm="1">
        <f t="array" ref="F335">INDEX('6층_부하량'!H3:H3000,MATCH(1,("6-DaHall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20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17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7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15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5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15" cm="1">
        <f t="array" ref="F338">INDEX('6층_부하량'!H3:H3000,MATCH(1,("6-DaHall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5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15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5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23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3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15" cm="1">
        <f t="array" ref="F341">INDEX('6층_부하량'!H3:H3000,MATCH(1,("6-DaHall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5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15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5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15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5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15" cm="1">
        <f t="array" ref="F344">INDEX('6층_부하량'!H3:H3000,MATCH(1,("6-DaHall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5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23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3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15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5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23" cm="1">
        <f t="array" ref="F347">INDEX('6층_부하량'!H3:H3000,MATCH(1,("6-DaHall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3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27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7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969" t="s">
        <v>5066</v>
      </c>
      <c r="D351" s="3969"/>
      <c r="E351" s="3969"/>
      <c r="F351" s="172"/>
      <c r="G351" s="172"/>
      <c r="H351" s="132"/>
      <c r="I351" s="3974" t="s">
        <v>4288</v>
      </c>
      <c r="J351" s="397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13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3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14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4" cm="1">
        <f t="array" ref="N355">INDEX('6층_부하량'!H3:H3000,MATCH(1,("6-DaHall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15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5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15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5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15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5" cm="1">
        <f t="array" ref="N358">INDEX('6층_부하량'!H3:H3000,MATCH(1,("6-DaHall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15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5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15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5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15" cm="1">
        <f t="array" ref="F361">INDEX('6층_부하량'!H3:H3000,MATCH(1,("6-DaHall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5" cm="1">
        <f t="array" ref="N361">INDEX('6층_부하량'!H3:H3000,MATCH(1,("6-DaHall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15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5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15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5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15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5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22" t="s">
        <v>5088</v>
      </c>
      <c r="B365" s="142" t="s">
        <v>4208</v>
      </c>
      <c r="C365" s="163" t="s">
        <v>4149</v>
      </c>
      <c r="D365" s="2515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5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15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5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20" cm="1">
        <f t="array" ref="F367">INDEX('6층_부하량'!H3:H3000,MATCH(1,("6-DaHall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20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17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7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15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5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15" cm="1">
        <f t="array" ref="F370">INDEX('6층_부하량'!H3:H3000,MATCH(1,("6-DaHall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5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15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5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23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3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15" cm="1">
        <f t="array" ref="F373">INDEX('6층_부하량'!H3:H3000,MATCH(1,("6-DaHall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5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15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5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15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5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15" cm="1">
        <f t="array" ref="F376">INDEX('6층_부하량'!H3:H3000,MATCH(1,("6-DaHall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5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23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3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15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5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23" cm="1">
        <f t="array" ref="F379">INDEX('6층_부하량'!H3:H3000,MATCH(1,("6-DaHall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3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27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7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969" t="s">
        <v>5114</v>
      </c>
      <c r="D383" s="3969"/>
      <c r="E383" s="3969"/>
      <c r="F383" s="172"/>
      <c r="G383" s="172"/>
      <c r="H383" s="132"/>
      <c r="I383" s="3974" t="s">
        <v>4288</v>
      </c>
      <c r="J383" s="397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13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3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14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4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15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5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15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5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15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5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15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5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15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5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15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5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15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5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15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5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15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5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15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5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15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5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20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20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17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7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15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5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15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5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15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5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23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3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15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5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15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5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15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5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15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5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23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3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15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5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23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3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27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7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969" t="s">
        <v>5170</v>
      </c>
      <c r="D415" s="3969"/>
      <c r="E415" s="3969"/>
      <c r="F415" s="172"/>
      <c r="G415" s="172"/>
      <c r="H415" s="132"/>
      <c r="I415" s="3974" t="s">
        <v>4288</v>
      </c>
      <c r="J415" s="397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13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3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14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4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15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5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15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5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15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5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15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5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15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5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15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5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15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5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15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5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15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5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15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5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15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5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20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20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17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7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15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5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15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5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15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5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23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3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15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5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15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5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15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5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15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5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23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3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15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5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23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3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27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7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5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970" t="s">
        <v>4562</v>
      </c>
      <c r="J3" s="3976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50"/>
      <c r="U5" s="2550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13" cm="1">
        <f t="array" ref="D6">INDEX('6층_부하량'!I3:I3000,MATCH(1,("6-DaHall 1-CEP-05"='6층_부하량'!A3:A3000)*(1='6층_부하량'!B3:B3000),0))</f>
        <v>0</v>
      </c>
      <c r="E6" s="2513" cm="1">
        <f t="array" ref="E6">INDEX('6층_부하량'!J3:J3000,MATCH(1,("6-DaHall 1-CEP-05"='6층_부하량'!A3:A3000)*(1='6층_부하량'!B3:B3000),0))</f>
        <v>0</v>
      </c>
      <c r="F6" s="2513" cm="1">
        <f t="array" ref="F6">INDEX('6층_부하량'!K3:K3000,MATCH(1,("6-DaHall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 x14ac:dyDescent="0.25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4" cm="1">
        <f t="array" ref="L7">INDEX('6층_부하량'!I3:I3000,MATCH(1,("6-DaHall 1-CEP-05"='6층_부하량'!A3:A3000)*(3='6층_부하량'!B3:B3000),0))</f>
        <v>0</v>
      </c>
      <c r="M7" s="2514" cm="1">
        <f t="array" ref="M7">INDEX('6층_부하량'!J3:J3000,MATCH(1,("6-DaHall 1-CEP-05"='6층_부하량'!A3:A3000)*(3='6층_부하량'!B3:B3000),0))</f>
        <v>0</v>
      </c>
      <c r="N7" s="2514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17" t="s">
        <v>6552</v>
      </c>
      <c r="B8" s="142" t="s">
        <v>4204</v>
      </c>
      <c r="C8" s="188" t="s">
        <v>4149</v>
      </c>
      <c r="D8" s="2515" cm="1">
        <f t="array" ref="D8">INDEX('6층_부하량'!I3:I3000,MATCH(1,("6-DaHall 1-CEP-05"='6층_부하량'!A3:A3000)*(4='6층_부하량'!B3:B3000),0))</f>
        <v>0</v>
      </c>
      <c r="E8" s="2515" cm="1">
        <f t="array" ref="E8">INDEX('6층_부하량'!J3:J3000,MATCH(1,("6-DaHall 1-CEP-05"='6층_부하량'!A3:A3000)*(4='6층_부하량'!B3:B3000),0))</f>
        <v>0</v>
      </c>
      <c r="F8" s="2515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5" cm="1">
        <f t="array" ref="L8">INDEX('6층_부하량'!I3:I3000,MATCH(1,("6-DaHall 1-CEP-05"='6층_부하량'!A3:A3000)*(5='6층_부하량'!B3:B3000),0))</f>
        <v>0</v>
      </c>
      <c r="M8" s="2515" cm="1">
        <f t="array" ref="M8">INDEX('6층_부하량'!J3:J3000,MATCH(1,("6-DaHall 1-CEP-05"='6층_부하량'!A3:A3000)*(5='6층_부하량'!B3:B3000),0))</f>
        <v>0</v>
      </c>
      <c r="N8" s="2515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15" cm="1">
        <f t="array" ref="D9">INDEX('6층_부하량'!I3:I3000,MATCH(1,("6-DaHall 1-CEP-05"='6층_부하량'!A3:A3000)*(6='6층_부하량'!B3:B3000),0))</f>
        <v>0</v>
      </c>
      <c r="E9" s="2515" cm="1">
        <f t="array" ref="E9">INDEX('6층_부하량'!J3:J3000,MATCH(1,("6-DaHall 1-CEP-05"='6층_부하량'!A3:A3000)*(6='6층_부하량'!B3:B3000),0))</f>
        <v>0</v>
      </c>
      <c r="F9" s="2515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5" cm="1">
        <f t="array" ref="L9">INDEX('6층_부하량'!I3:I3000,MATCH(1,("6-DaHall 1-CEP-05"='6층_부하량'!A3:A3000)*(7='6층_부하량'!B3:B3000),0))</f>
        <v>0</v>
      </c>
      <c r="M9" s="2515" cm="1">
        <f t="array" ref="M9">INDEX('6층_부하량'!J3:J3000,MATCH(1,("6-DaHall 1-CEP-05"='6층_부하량'!A3:A3000)*(7='6층_부하량'!B3:B3000),0))</f>
        <v>0</v>
      </c>
      <c r="N9" s="2515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15" cm="1">
        <f t="array" ref="D10">INDEX('6층_부하량'!I3:I3000,MATCH(1,("6-DaHall 1-CEP-05"='6층_부하량'!A3:A3000)*(8='6층_부하량'!B3:B3000),0))</f>
        <v>0</v>
      </c>
      <c r="E10" s="2515" cm="1">
        <f t="array" ref="E10">INDEX('6층_부하량'!J3:J3000,MATCH(1,("6-DaHall 1-CEP-05"='6층_부하량'!A3:A3000)*(8='6층_부하량'!B3:B3000),0))</f>
        <v>0</v>
      </c>
      <c r="F10" s="2515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5" cm="1">
        <f t="array" ref="L10">INDEX('6층_부하량'!I3:I3000,MATCH(1,("6-DaHall 1-CEP-05"='6층_부하량'!A3:A3000)*(9='6층_부하량'!B3:B3000),0))</f>
        <v>0</v>
      </c>
      <c r="M10" s="2515" cm="1">
        <f t="array" ref="M10">INDEX('6층_부하량'!J3:J3000,MATCH(1,("6-DaHall 1-CEP-05"='6층_부하량'!A3:A3000)*(9='6층_부하량'!B3:B3000),0))</f>
        <v>0</v>
      </c>
      <c r="N10" s="2515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24" cm="1">
        <f t="array" ref="D11">INDEX('6층_부하량'!I3:I3000,MATCH(1,("6-DaHall 1-CEP-05"='6층_부하량'!A3:A3000)*(10='6층_부하량'!B3:B3000),0))</f>
        <v>0</v>
      </c>
      <c r="E11" s="2524" cm="1">
        <f t="array" ref="E11">INDEX('6층_부하량'!J3:J3000,MATCH(1,("6-DaHall 1-CEP-05"='6층_부하량'!A3:A3000)*(10='6층_부하량'!B3:B3000),0))</f>
        <v>0</v>
      </c>
      <c r="F11" s="2524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4" cm="1">
        <f t="array" ref="L11">INDEX('6층_부하량'!I3:I3000,MATCH(1,("6-DaHall 1-CEP-05"='6층_부하량'!A3:A3000)*(11='6층_부하량'!B3:B3000),0))</f>
        <v>0</v>
      </c>
      <c r="M11" s="2525" cm="1">
        <f t="array" ref="M11">INDEX('6층_부하량'!J3:J3000,MATCH(1,("6-DaHall 1-CEP-05"='6층_부하량'!A3:A3000)*(11='6층_부하량'!B3:B3000),0))</f>
        <v>0</v>
      </c>
      <c r="N11" s="2525" cm="1">
        <f t="array" ref="N11">INDEX('6층_부하량'!K3:K3000,MATCH(1,("6-DaHall 1-CEP-05"='6층_부하량'!A3:A3000)*(11='6층_부하량'!B3:B3000),0))</f>
        <v>0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33" t="s">
        <v>4296</v>
      </c>
      <c r="D12" s="2526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6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6"/>
      <c r="B13" s="142" t="s">
        <v>4153</v>
      </c>
      <c r="C13" s="142" t="s">
        <v>4158</v>
      </c>
      <c r="D13" s="156"/>
      <c r="E13" s="2515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5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18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8" cm="1">
        <f t="array" ref="N14">INDEX('6층_부하량'!K3:K3000,MATCH(1,("6-DaHall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969" t="s">
        <v>4575</v>
      </c>
      <c r="D17" s="3969"/>
      <c r="E17" s="3969"/>
      <c r="F17" s="172"/>
      <c r="G17" s="172"/>
      <c r="H17" s="132"/>
      <c r="I17" s="3974" t="s">
        <v>4576</v>
      </c>
      <c r="J17" s="3975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13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3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14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4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15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5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15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5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15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5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15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5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14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4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15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5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15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5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14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4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15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5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15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5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14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4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24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4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26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6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14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4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15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5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15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5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14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4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15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5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15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5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14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4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15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5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15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5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14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4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15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5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18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8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969" t="s">
        <v>4603</v>
      </c>
      <c r="D49" s="3969"/>
      <c r="E49" s="3969"/>
      <c r="F49" s="172"/>
      <c r="G49" s="172"/>
      <c r="H49" s="132"/>
      <c r="I49" s="3974" t="s">
        <v>4288</v>
      </c>
      <c r="J49" s="3975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13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3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14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4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15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5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15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5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15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5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15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5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14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4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15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5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15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5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14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4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15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5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15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5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14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4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24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4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26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6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14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4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15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5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15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5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14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4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15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5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15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5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14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4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15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5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15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5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14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4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15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5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18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8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969" t="s">
        <v>4635</v>
      </c>
      <c r="D81" s="3969"/>
      <c r="E81" s="3969"/>
      <c r="F81" s="172"/>
      <c r="G81" s="172"/>
      <c r="H81" s="132"/>
      <c r="I81" s="3974" t="s">
        <v>4636</v>
      </c>
      <c r="J81" s="3975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13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3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14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4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15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5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15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5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15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5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15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5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15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5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15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5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20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20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17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7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15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5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15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5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15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5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15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5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15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5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15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5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15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5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15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5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15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5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15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5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15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5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15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5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15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5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15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5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18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8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969" t="s">
        <v>4687</v>
      </c>
      <c r="D111" s="3969"/>
      <c r="E111" s="3969"/>
      <c r="F111" s="172"/>
      <c r="G111" s="172"/>
      <c r="H111" s="132"/>
      <c r="I111" s="3974" t="s">
        <v>4636</v>
      </c>
      <c r="J111" s="3975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13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3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14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4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15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5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15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5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15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5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15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5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15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5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15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5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20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20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17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7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15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5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15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5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15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5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15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5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15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5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15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5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15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5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15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5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15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5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15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5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15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5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15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5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15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5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15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5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18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8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969" t="s">
        <v>4736</v>
      </c>
      <c r="D141" s="3969"/>
      <c r="E141" s="3969"/>
      <c r="F141" s="172"/>
      <c r="G141" s="172"/>
      <c r="H141" s="132"/>
      <c r="I141" s="3974" t="s">
        <v>4636</v>
      </c>
      <c r="J141" s="3975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13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3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14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4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15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5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15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5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15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5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15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5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15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5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15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5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20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20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17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7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6" t="s">
        <v>4756</v>
      </c>
      <c r="B154" s="155" t="s">
        <v>4208</v>
      </c>
      <c r="C154" s="188" t="s">
        <v>4149</v>
      </c>
      <c r="D154" s="156"/>
      <c r="E154" s="2515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5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15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5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15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5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15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5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15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5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15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5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15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5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15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5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15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5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15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5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15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5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15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5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15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5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7" t="s">
        <v>4781</v>
      </c>
      <c r="B167" s="142" t="s">
        <v>4208</v>
      </c>
      <c r="C167" s="163" t="s">
        <v>4149</v>
      </c>
      <c r="D167" s="156"/>
      <c r="E167" s="156"/>
      <c r="F167" s="2515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5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998" t="s">
        <v>4782</v>
      </c>
      <c r="B168" s="165" t="s">
        <v>4208</v>
      </c>
      <c r="C168" s="183" t="s">
        <v>4149</v>
      </c>
      <c r="D168" s="2518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8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969" t="s">
        <v>4783</v>
      </c>
      <c r="D170" s="3969"/>
      <c r="E170" s="3969"/>
      <c r="F170" s="172"/>
      <c r="G170" s="172"/>
      <c r="H170" s="132"/>
      <c r="I170" s="3974" t="s">
        <v>4636</v>
      </c>
      <c r="J170" s="3975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13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3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14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4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15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5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15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5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15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5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15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5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15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5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15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5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20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20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17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7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6" t="s">
        <v>4803</v>
      </c>
      <c r="B183" s="155" t="s">
        <v>4208</v>
      </c>
      <c r="C183" s="188" t="s">
        <v>4149</v>
      </c>
      <c r="D183" s="156"/>
      <c r="E183" s="2515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5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15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5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15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5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15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5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15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5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15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5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15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5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15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5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15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5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15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5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15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5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15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5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15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5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7" t="s">
        <v>4781</v>
      </c>
      <c r="B196" s="142" t="s">
        <v>4208</v>
      </c>
      <c r="C196" s="163" t="s">
        <v>4149</v>
      </c>
      <c r="D196" s="156"/>
      <c r="E196" s="156"/>
      <c r="F196" s="2515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5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998" t="s">
        <v>4782</v>
      </c>
      <c r="B197" s="165" t="s">
        <v>4208</v>
      </c>
      <c r="C197" s="183" t="s">
        <v>4149</v>
      </c>
      <c r="D197" s="2518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8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969" t="s">
        <v>4830</v>
      </c>
      <c r="D199" s="3969"/>
      <c r="E199" s="3969"/>
      <c r="F199" s="172"/>
      <c r="G199" s="172"/>
      <c r="H199" s="132"/>
      <c r="I199" s="3974" t="s">
        <v>4636</v>
      </c>
      <c r="J199" s="3975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13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3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14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4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15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5" cm="1">
        <f t="array" ref="N204">INDEX('6층_부하량'!K3:K3000,MATCH(1,("6-DaHall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88" t="s">
        <v>4837</v>
      </c>
      <c r="B205" s="142" t="s">
        <v>4208</v>
      </c>
      <c r="C205" s="1145" t="s">
        <v>4149</v>
      </c>
      <c r="D205" s="2515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5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89" t="s">
        <v>4839</v>
      </c>
      <c r="B206" s="142" t="s">
        <v>4208</v>
      </c>
      <c r="C206" s="1145" t="s">
        <v>4149</v>
      </c>
      <c r="D206" s="156"/>
      <c r="E206" s="2515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5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88" t="s">
        <v>4841</v>
      </c>
      <c r="B207" s="142" t="s">
        <v>4208</v>
      </c>
      <c r="C207" s="1145" t="s">
        <v>4149</v>
      </c>
      <c r="D207" s="156"/>
      <c r="E207" s="156"/>
      <c r="F207" s="2515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5" cm="1">
        <f t="array" ref="N207">INDEX('6층_부하량'!K3:K3000,MATCH(1,("6-DaHall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89" t="s">
        <v>4843</v>
      </c>
      <c r="B208" s="142" t="s">
        <v>4208</v>
      </c>
      <c r="C208" s="1145" t="s">
        <v>4149</v>
      </c>
      <c r="D208" s="2515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5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88" t="s">
        <v>4845</v>
      </c>
      <c r="B209" s="142" t="s">
        <v>4208</v>
      </c>
      <c r="C209" s="1145" t="s">
        <v>4149</v>
      </c>
      <c r="D209" s="156"/>
      <c r="E209" s="2515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5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0" t="s">
        <v>4847</v>
      </c>
      <c r="B210" s="158" t="s">
        <v>4208</v>
      </c>
      <c r="C210" s="1146" t="s">
        <v>4149</v>
      </c>
      <c r="D210" s="176"/>
      <c r="E210" s="176"/>
      <c r="F210" s="2520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20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17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7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15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5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15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5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15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5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15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5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15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5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15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5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15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5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15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5" cm="1">
        <f t="array" ref="N219">INDEX('6층_부하량'!K3:K3000,MATCH(1,("6-DaHall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15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5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15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5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15" cm="1">
        <f t="array" ref="F222">INDEX('6층_부하량'!K3:K3000,MATCH(1,("6-DaHall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5" cm="1">
        <f t="array" ref="N222">INDEX('6층_부하량'!K3:K3000,MATCH(1,("6-DaHall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15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5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15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5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15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5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18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8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969" t="s">
        <v>4879</v>
      </c>
      <c r="D229" s="3969"/>
      <c r="E229" s="3969"/>
      <c r="F229" s="172"/>
      <c r="G229" s="172"/>
      <c r="H229" s="132"/>
      <c r="I229" s="3974" t="s">
        <v>4636</v>
      </c>
      <c r="J229" s="3975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13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3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14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4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15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5" cm="1">
        <f t="array" ref="N234">INDEX('6층_부하량'!K3:K3000,MATCH(1,("6-DaHall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88" t="s">
        <v>4886</v>
      </c>
      <c r="B235" s="142" t="s">
        <v>4208</v>
      </c>
      <c r="C235" s="1145" t="s">
        <v>4149</v>
      </c>
      <c r="D235" s="2515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5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89" t="s">
        <v>4888</v>
      </c>
      <c r="B236" s="142" t="s">
        <v>4208</v>
      </c>
      <c r="C236" s="1145" t="s">
        <v>4149</v>
      </c>
      <c r="D236" s="156"/>
      <c r="E236" s="2515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5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88" t="s">
        <v>4890</v>
      </c>
      <c r="B237" s="142" t="s">
        <v>4208</v>
      </c>
      <c r="C237" s="1145" t="s">
        <v>4149</v>
      </c>
      <c r="D237" s="156"/>
      <c r="E237" s="156"/>
      <c r="F237" s="2515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5" cm="1">
        <f t="array" ref="N237">INDEX('6층_부하량'!K3:K3000,MATCH(1,("6-DaHall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89" t="s">
        <v>4892</v>
      </c>
      <c r="B238" s="142" t="s">
        <v>4208</v>
      </c>
      <c r="C238" s="1145" t="s">
        <v>4149</v>
      </c>
      <c r="D238" s="2515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5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88" t="s">
        <v>4894</v>
      </c>
      <c r="B239" s="142" t="s">
        <v>4208</v>
      </c>
      <c r="C239" s="1145" t="s">
        <v>4149</v>
      </c>
      <c r="D239" s="156"/>
      <c r="E239" s="2515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5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0" t="s">
        <v>4896</v>
      </c>
      <c r="B240" s="158" t="s">
        <v>4208</v>
      </c>
      <c r="C240" s="1146" t="s">
        <v>4149</v>
      </c>
      <c r="D240" s="176"/>
      <c r="E240" s="176"/>
      <c r="F240" s="2520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20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17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7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15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5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15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5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15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5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15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5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15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5" cm="1">
        <f t="array" ref="N246">INDEX('6층_부하량'!K3:K3000,MATCH(1,("6-DaHall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15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5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15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5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15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5" cm="1">
        <f t="array" ref="N249">INDEX('6층_부하량'!K3:K3000,MATCH(1,("6-DaHall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15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5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15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5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15" cm="1">
        <f t="array" ref="F252">INDEX('6층_부하량'!K3:K3000,MATCH(1,("6-DaHall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5" cm="1">
        <f t="array" ref="N252">INDEX('6층_부하량'!K3:K3000,MATCH(1,("6-DaHall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15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5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15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5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15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5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18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8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969" t="s">
        <v>4927</v>
      </c>
      <c r="D259" s="3969"/>
      <c r="E259" s="3969"/>
      <c r="F259" s="172"/>
      <c r="G259" s="172"/>
      <c r="H259" s="132"/>
      <c r="I259" s="3974" t="s">
        <v>4636</v>
      </c>
      <c r="J259" s="3975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13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3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14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4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15" cm="1">
        <f t="array" ref="F264">INDEX('6층_부하량'!K3:K3000,MATCH(1,("6-DaHall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5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15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5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15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5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15" cm="1">
        <f t="array" ref="F267">INDEX('6층_부하량'!K3:K3000,MATCH(1,("6-DaHall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5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15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5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15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5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20" cm="1">
        <f t="array" ref="F270">INDEX('6층_부하량'!K3:K3000,MATCH(1,("6-DaHall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20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17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7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15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5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15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5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15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5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15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5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15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5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15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5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15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5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15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5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15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5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15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5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15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5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15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5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15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5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15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5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18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8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969" t="s">
        <v>4970</v>
      </c>
      <c r="D289" s="3969"/>
      <c r="E289" s="3969"/>
      <c r="F289" s="172"/>
      <c r="G289" s="172"/>
      <c r="H289" s="132"/>
      <c r="I289" s="3974" t="s">
        <v>4636</v>
      </c>
      <c r="J289" s="3975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13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3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14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4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15" cm="1">
        <f t="array" ref="F294">INDEX('6층_부하량'!K3:K3000,MATCH(1,("6-DaHall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5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15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5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15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5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15" cm="1">
        <f t="array" ref="F297">INDEX('6층_부하량'!K3:K3000,MATCH(1,("6-DaHall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5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15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5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15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5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20" cm="1">
        <f t="array" ref="F300">INDEX('6층_부하량'!K3:K3000,MATCH(1,("6-DaHall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20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17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7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15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5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15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5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15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5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15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5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15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5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15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5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15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5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15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5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15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5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15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5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15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5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15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5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15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5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15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5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18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8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969" t="s">
        <v>5011</v>
      </c>
      <c r="D319" s="3969"/>
      <c r="E319" s="3969"/>
      <c r="F319" s="172"/>
      <c r="G319" s="172"/>
      <c r="H319" s="132"/>
      <c r="I319" s="3974" t="s">
        <v>4288</v>
      </c>
      <c r="J319" s="3975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13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3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14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4" cm="1">
        <f t="array" ref="N323">INDEX('6층_부하량'!K3:K3000,MATCH(1,("6-DaHall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15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5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15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5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15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5" cm="1">
        <f t="array" ref="N326">INDEX('6층_부하량'!K3:K3000,MATCH(1,("6-DaHall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15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5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15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5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15" cm="1">
        <f t="array" ref="F329">INDEX('6층_부하량'!K3:K3000,MATCH(1,("6-DaHall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5" cm="1">
        <f t="array" ref="N329">INDEX('6층_부하량'!K3:K3000,MATCH(1,("6-DaHall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15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5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15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5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15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5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22" t="s">
        <v>5034</v>
      </c>
      <c r="B333" s="142" t="s">
        <v>4208</v>
      </c>
      <c r="C333" s="163" t="s">
        <v>4149</v>
      </c>
      <c r="D333" s="2515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5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15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5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20" cm="1">
        <f t="array" ref="F335">INDEX('6층_부하량'!K3:K3000,MATCH(1,("6-DaHall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20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17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7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15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5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15" cm="1">
        <f t="array" ref="F338">INDEX('6층_부하량'!K3:K3000,MATCH(1,("6-DaHall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5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15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5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23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3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15" cm="1">
        <f t="array" ref="F341">INDEX('6층_부하량'!K3:K3000,MATCH(1,("6-DaHall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5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15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5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15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5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15" cm="1">
        <f t="array" ref="F344">INDEX('6층_부하량'!K3:K3000,MATCH(1,("6-DaHall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5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23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3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15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5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23" cm="1">
        <f t="array" ref="F347">INDEX('6층_부하량'!K3:K3000,MATCH(1,("6-DaHall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3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27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7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969" t="s">
        <v>5066</v>
      </c>
      <c r="D351" s="3969"/>
      <c r="E351" s="3969"/>
      <c r="F351" s="172"/>
      <c r="G351" s="172"/>
      <c r="H351" s="132"/>
      <c r="I351" s="3974" t="s">
        <v>4288</v>
      </c>
      <c r="J351" s="3975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13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3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14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4" cm="1">
        <f t="array" ref="N355">INDEX('6층_부하량'!K3:K3000,MATCH(1,("6-DaHall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15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5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15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5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15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5" cm="1">
        <f t="array" ref="N358">INDEX('6층_부하량'!K3:K3000,MATCH(1,("6-DaHall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15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5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15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5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15" cm="1">
        <f t="array" ref="F361">INDEX('6층_부하량'!K3:K3000,MATCH(1,("6-DaHall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5" cm="1">
        <f t="array" ref="N361">INDEX('6층_부하량'!K3:K3000,MATCH(1,("6-DaHall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15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5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15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5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15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5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22" t="s">
        <v>5088</v>
      </c>
      <c r="B365" s="142" t="s">
        <v>4208</v>
      </c>
      <c r="C365" s="163" t="s">
        <v>4149</v>
      </c>
      <c r="D365" s="2515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5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15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5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20" cm="1">
        <f t="array" ref="F367">INDEX('6층_부하량'!K3:K3000,MATCH(1,("6-DaHall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20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17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7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15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5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15" cm="1">
        <f t="array" ref="F370">INDEX('6층_부하량'!K3:K3000,MATCH(1,("6-DaHall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5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15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5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23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3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15" cm="1">
        <f t="array" ref="F373">INDEX('6층_부하량'!K3:K3000,MATCH(1,("6-DaHall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5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15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5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15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5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15" cm="1">
        <f t="array" ref="F376">INDEX('6층_부하량'!K3:K3000,MATCH(1,("6-DaHall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5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23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3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15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5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23" cm="1">
        <f t="array" ref="F379">INDEX('6층_부하량'!K3:K3000,MATCH(1,("6-DaHall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3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27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7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969" t="s">
        <v>5114</v>
      </c>
      <c r="D383" s="3969"/>
      <c r="E383" s="3969"/>
      <c r="F383" s="172"/>
      <c r="G383" s="172"/>
      <c r="H383" s="132"/>
      <c r="I383" s="3974" t="s">
        <v>4288</v>
      </c>
      <c r="J383" s="3975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13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3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14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4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15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5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15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5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15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5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15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5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15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5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15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5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15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5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15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5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15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5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15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5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15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5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20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20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17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7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15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5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15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5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15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5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23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3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15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5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15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5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15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5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15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5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23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3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15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5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23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3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27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7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969" t="s">
        <v>5170</v>
      </c>
      <c r="D415" s="3969"/>
      <c r="E415" s="3969"/>
      <c r="F415" s="172"/>
      <c r="G415" s="172"/>
      <c r="H415" s="132"/>
      <c r="I415" s="3974" t="s">
        <v>4288</v>
      </c>
      <c r="J415" s="3975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13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3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14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4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15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5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15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5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15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5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15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5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15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5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15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5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15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5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15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5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15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5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15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5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15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5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20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20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17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7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15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5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15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5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15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5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23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3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15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5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15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5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15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5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15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5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23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3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15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5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23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3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27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7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53"/>
    </row>
    <row r="2" spans="1:22" ht="18" customHeight="1" thickBot="1" x14ac:dyDescent="0.3">
      <c r="V2" s="2065"/>
    </row>
    <row r="3" spans="1:22" ht="18" customHeight="1" thickTop="1" thickBot="1" x14ac:dyDescent="0.3">
      <c r="A3" s="2355" t="s">
        <v>6516</v>
      </c>
      <c r="D3" s="53"/>
      <c r="E3" s="53"/>
      <c r="F3" s="53"/>
      <c r="G3" s="53"/>
      <c r="H3" s="123"/>
      <c r="I3" s="123"/>
      <c r="J3" s="3970" t="s">
        <v>4562</v>
      </c>
      <c r="K3" s="397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18" t="s">
        <v>6556</v>
      </c>
      <c r="B6" s="11" t="s">
        <v>4208</v>
      </c>
      <c r="C6" s="18" t="s">
        <v>4149</v>
      </c>
      <c r="D6" s="2529" cm="1">
        <f t="array" ref="D6">INDEX('5층_부하량'!C3:C3000,MATCH(1,("5-DaHall 1-CEP-05"='5층_부하량'!A3:A3000)*(1='5층_부하량'!B3:B3000),0))</f>
        <v>0</v>
      </c>
      <c r="E6" s="2529" cm="1">
        <f t="array" ref="E6">INDEX('5층_부하량'!D3:D3000,MATCH(1,("5-DaHall 1-CEP-05"='5층_부하량'!A3:A3000)*(1='5층_부하량'!B3:B3000),0))</f>
        <v>0</v>
      </c>
      <c r="F6" s="2529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8" cm="1">
        <f t="array" ref="N6">INDEX('5층_부하량'!C3:C3000,MATCH(1,("5-DaHall 1-CEP-05"='5층_부하량'!A3:A3000)*(2='5층_부하량'!B3:B3000),0))</f>
        <v>0</v>
      </c>
      <c r="O6" s="2528" cm="1">
        <f t="array" ref="O6">INDEX('5층_부하량'!D3:D3000,MATCH(1,("5-DaHall 1-CEP-05"='5층_부하량'!A3:A3000)*(2='5층_부하량'!B3:B3000),0))</f>
        <v>0</v>
      </c>
      <c r="P6" s="2528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29" cm="1">
        <f t="array" ref="D7">INDEX('5층_부하량'!C3:C3000,MATCH(1,("5-DaHall 1-CEP-05"='5층_부하량'!A3:A3000)*(3='5층_부하량'!B3:B3000),0))</f>
        <v>0</v>
      </c>
      <c r="E7" s="2529" cm="1">
        <f t="array" ref="E7">INDEX('5층_부하량'!D3:D3000,MATCH(1,("5-DaHall 1-CEP-05"='5층_부하량'!A3:A3000)*(3='5층_부하량'!B3:B3000),0))</f>
        <v>0</v>
      </c>
      <c r="F7" s="2529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9" cm="1">
        <f t="array" ref="N7">INDEX('5층_부하량'!C3:C3000,MATCH(1,("5-DaHall 1-CEP-05"='5층_부하량'!A3:A3000)*(4='5층_부하량'!B3:B3000),0))</f>
        <v>0</v>
      </c>
      <c r="O7" s="2529" cm="1">
        <f t="array" ref="O7">INDEX('5층_부하량'!D3:D3000,MATCH(1,("5-DaHall 1-CEP-05"='5층_부하량'!A3:A3000)*(4='5층_부하량'!B3:B3000),0))</f>
        <v>0</v>
      </c>
      <c r="P7" s="2529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31" cm="1">
        <f t="array" ref="D8">INDEX('5층_부하량'!C3:C3000,MATCH(1,("5-DaHall 1-CEP-05"='5층_부하량'!A3:A3000)*(5='5층_부하량'!B3:B3000),0))</f>
        <v>0</v>
      </c>
      <c r="E8" s="2531" cm="1">
        <f t="array" ref="E8">INDEX('5층_부하량'!D3:D3000,MATCH(1,("5-DaHall 1-CEP-05"='5층_부하량'!A3:A3000)*(5='5층_부하량'!B3:B3000),0))</f>
        <v>0</v>
      </c>
      <c r="F8" s="2531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1" cm="1">
        <f t="array" ref="N8">INDEX('5층_부하량'!C3:C3000,MATCH(1,("5-DaHall 1-CEP-05"='5층_부하량'!A3:A3000)*(6='5층_부하량'!B3:B3000),0))</f>
        <v>0</v>
      </c>
      <c r="O8" s="2531" cm="1">
        <f t="array" ref="O8">INDEX('5층_부하량'!D3:D3000,MATCH(1,("5-DaHall 1-CEP-05"='5층_부하량'!A3:A3000)*(6='5층_부하량'!B3:B3000),0))</f>
        <v>0</v>
      </c>
      <c r="P8" s="2531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31" cm="1">
        <f t="array" ref="D9">INDEX('5층_부하량'!C3:C3000,MATCH(1,("5-DaHall 1-CEP-05"='5층_부하량'!A3:A3000)*(7='5층_부하량'!B3:B3000),0))</f>
        <v>0</v>
      </c>
      <c r="E9" s="2531" cm="1">
        <f t="array" ref="E9">INDEX('5층_부하량'!D3:D3000,MATCH(1,("5-DaHall 1-CEP-05"='5층_부하량'!A3:A3000)*(7='5층_부하량'!B3:B3000),0))</f>
        <v>0</v>
      </c>
      <c r="F9" s="2531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1" cm="1">
        <f t="array" ref="N9">INDEX('5층_부하량'!C3:C3000,MATCH(1,("5-DaHall 1-CEP-05"='5층_부하량'!A3:A3000)*(8='5층_부하량'!B3:B3000),0))</f>
        <v>0</v>
      </c>
      <c r="O9" s="2531" cm="1">
        <f t="array" ref="O9">INDEX('5층_부하량'!D3:D3000,MATCH(1,("5-DaHall 1-CEP-05"='5층_부하량'!A3:A3000)*(8='5층_부하량'!B3:B3000),0))</f>
        <v>0</v>
      </c>
      <c r="P9" s="2531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31" cm="1">
        <f t="array" ref="D10">INDEX('5층_부하량'!C3:C3000,MATCH(1,("5-DaHall 1-CEP-05"='5층_부하량'!A3:A3000)*(9='5층_부하량'!B3:B3000),0))</f>
        <v>0</v>
      </c>
      <c r="E10" s="2531" cm="1">
        <f t="array" ref="E10">INDEX('5층_부하량'!D3:D3000,MATCH(1,("5-DaHall 1-CEP-05"='5층_부하량'!A3:A3000)*(9='5층_부하량'!B3:B3000),0))</f>
        <v>0</v>
      </c>
      <c r="F10" s="2531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1" cm="1">
        <f t="array" ref="N10">INDEX('5층_부하량'!C3:C3000,MATCH(1,("5-DaHall 1-CEP-05"='5층_부하량'!A3:A3000)*(10='5층_부하량'!B3:B3000),0))</f>
        <v>0</v>
      </c>
      <c r="O10" s="2531" cm="1">
        <f t="array" ref="O10">INDEX('5층_부하량'!D3:D3000,MATCH(1,("5-DaHall 1-CEP-05"='5층_부하량'!A3:A3000)*(10='5층_부하량'!B3:B3000),0))</f>
        <v>0</v>
      </c>
      <c r="P10" s="2531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32" cm="1">
        <f t="array" ref="D11">INDEX('5층_부하량'!C3:C3000,MATCH(1,("5-DaHall 1-CEP-05"='5층_부하량'!A3:A3000)*(11='5층_부하량'!B3:B3000),0))</f>
        <v>0</v>
      </c>
      <c r="E11" s="2532" cm="1">
        <f t="array" ref="E11">INDEX('5층_부하량'!D3:D3000,MATCH(1,("5-DaHall 1-CEP-05"='5층_부하량'!A3:A3000)*(11='5층_부하량'!B3:B3000),0))</f>
        <v>0</v>
      </c>
      <c r="F11" s="2532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2" cm="1">
        <f t="array" ref="N11">INDEX('5층_부하량'!C3:C3000,MATCH(1,("5-DaHall 1-CEP-05"='5층_부하량'!A3:A3000)*(12='5층_부하량'!B3:B3000),0))</f>
        <v>0</v>
      </c>
      <c r="O11" s="2532" cm="1">
        <f t="array" ref="O11">INDEX('5층_부하량'!D3:D3000,MATCH(1,("5-DaHall 1-CEP-05"='5층_부하량'!A3:A3000)*(12='5층_부하량'!B3:B3000),0))</f>
        <v>0</v>
      </c>
      <c r="P11" s="2532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49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9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31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5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30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8" cm="1">
        <f t="array" ref="P14">INDEX('5층_부하량'!E3:E3000,MATCH(1,("5-DaHall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970" t="s">
        <v>5219</v>
      </c>
      <c r="K16" s="397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8" cm="1">
        <f t="array" ref="N19">INDEX('5층_부하량'!C3:C3000,MATCH(1,("5-DaHall 1-CEP-06"='5층_부하량'!A3:A3000)*(1='5층_부하량'!B3:B3000),0))</f>
        <v>0</v>
      </c>
      <c r="O19" s="2528" cm="1">
        <f t="array" ref="O19">INDEX('5층_부하량'!D3:D3000,MATCH(1,("5-DaHall 1-CEP-06"='5층_부하량'!A3:A3000)*(1='5층_부하량'!B3:B3000),0))</f>
        <v>0</v>
      </c>
      <c r="P19" s="2528" cm="1">
        <f t="array" ref="P19">INDEX('5층_부하량'!E3:E3000,MATCH(1,("5-DaHall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9" cm="1">
        <f t="array" ref="N20">INDEX('5층_부하량'!C3:C3000,MATCH(1,("5-DaHall 1-CEP-06"='5층_부하량'!A3:A3000)*(2='5층_부하량'!B3:B3000),0))</f>
        <v>0</v>
      </c>
      <c r="O20" s="2529" cm="1">
        <f t="array" ref="O20">INDEX('5층_부하량'!D3:D3000,MATCH(1,("5-DaHall 1-CEP-06"='5층_부하량'!A3:A3000)*(2='5층_부하량'!B3:B3000),0))</f>
        <v>0</v>
      </c>
      <c r="P20" s="2529" cm="1">
        <f t="array" ref="P20">INDEX('5층_부하량'!E3:E3000,MATCH(1,("5-DaHall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1" cm="1">
        <f t="array" ref="N21">INDEX('5층_부하량'!C3:C3000,MATCH(1,("5-DaHall 1-CEP-06"='5층_부하량'!A3:A3000)*(3='5층_부하량'!B3:B3000),0))</f>
        <v>0</v>
      </c>
      <c r="O21" s="2531" cm="1">
        <f t="array" ref="O21">INDEX('5층_부하량'!D3:D3000,MATCH(1,("5-DaHall 1-CEP-06"='5층_부하량'!A3:A3000)*(3='5층_부하량'!B3:B3000),0))</f>
        <v>0</v>
      </c>
      <c r="P21" s="2531" cm="1">
        <f t="array" ref="P21">INDEX('5층_부하량'!E3:E3000,MATCH(1,("5-DaHall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30" cm="1">
        <f t="array" ref="N22">INDEX('5층_부하량'!C3:C3000,MATCH(1,("5-DaHall 1-CEP-06"='5층_부하량'!A3:A3000)*(4='5층_부하량'!B3:B3000),0))</f>
        <v>0</v>
      </c>
      <c r="O22" s="2530" cm="1">
        <f t="array" ref="O22">INDEX('5층_부하량'!D3:D3000,MATCH(1,("5-DaHall 1-CEP-06"='5층_부하량'!A3:A3000)*(4='5층_부하량'!B3:B3000),0))</f>
        <v>0</v>
      </c>
      <c r="P22" s="2530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6518</v>
      </c>
      <c r="C24" s="3969" t="s">
        <v>5225</v>
      </c>
      <c r="D24" s="3969"/>
      <c r="E24" s="3969"/>
      <c r="F24" s="3969"/>
      <c r="G24" s="53"/>
      <c r="H24" s="123"/>
      <c r="I24" s="123"/>
      <c r="J24" s="3970" t="s">
        <v>5226</v>
      </c>
      <c r="K24" s="397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28" cm="1">
        <f t="array" ref="D27">INDEX('5층_부하량'!C3:C3000,MATCH(1,("5-DaHall 1-PDU-01"='5층_부하량'!A3:A3000)*(1='5층_부하량'!B3:B3000),0))</f>
        <v>0</v>
      </c>
      <c r="E27" s="2528" cm="1">
        <f t="array" ref="E27">INDEX('5층_부하량'!D3:D3000,MATCH(1,("5-DaHall 1-PDU-01"='5층_부하량'!A3:A3000)*(1='5층_부하량'!B3:B3000),0))</f>
        <v>0</v>
      </c>
      <c r="F27" s="2528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8" cm="1">
        <f t="array" ref="N27">INDEX('5층_부하량'!C3:C3000,MATCH(1,("5-DaHall 1-PDU-01"='5층_부하량'!A3:A3000)*(55='5층_부하량'!B3:B3000),0))</f>
        <v>0</v>
      </c>
      <c r="O27" s="2528" cm="1">
        <f t="array" ref="O27">INDEX('5층_부하량'!D3:D3000,MATCH(1,("5-DaHall 1-PDU-01"='5층_부하량'!A3:A3000)*(55='5층_부하량'!B3:B3000),0))</f>
        <v>0</v>
      </c>
      <c r="P27" s="2528" cm="1">
        <f t="array" ref="P27">INDEX('5층_부하량'!E3:E3000,MATCH(1,("5-DaHall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31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1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0" t="s">
        <v>5233</v>
      </c>
      <c r="D29" s="21"/>
      <c r="E29" s="2531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1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0" t="s">
        <v>5233</v>
      </c>
      <c r="D30" s="21"/>
      <c r="E30" s="21"/>
      <c r="F30" s="2531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1" cm="1">
        <f t="array" ref="P30">INDEX('5층_부하량'!E3:E3000,MATCH(1,("5-DaHall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0" t="s">
        <v>5233</v>
      </c>
      <c r="D31" s="2531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1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28" t="s">
        <v>5238</v>
      </c>
      <c r="B32" s="17" t="s">
        <v>4204</v>
      </c>
      <c r="C32" s="18" t="s">
        <v>4149</v>
      </c>
      <c r="D32" s="21"/>
      <c r="E32" s="2531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1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29" t="s">
        <v>5241</v>
      </c>
      <c r="B33" s="17" t="s">
        <v>4204</v>
      </c>
      <c r="C33" s="18" t="s">
        <v>4149</v>
      </c>
      <c r="D33" s="21"/>
      <c r="E33" s="21"/>
      <c r="F33" s="2531" cm="1">
        <f t="array" ref="F33">INDEX('5층_부하량'!E3:E3000,MATCH(1,("5-DaHall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1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28" t="s">
        <v>5244</v>
      </c>
      <c r="B34" s="17" t="s">
        <v>4204</v>
      </c>
      <c r="C34" s="18" t="s">
        <v>4149</v>
      </c>
      <c r="D34" s="2531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1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29" t="s">
        <v>5245</v>
      </c>
      <c r="B35" s="17" t="s">
        <v>4204</v>
      </c>
      <c r="C35" s="18" t="s">
        <v>4149</v>
      </c>
      <c r="D35" s="21"/>
      <c r="E35" s="2531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1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29" t="s">
        <v>5246</v>
      </c>
      <c r="B36" s="17" t="s">
        <v>4204</v>
      </c>
      <c r="C36" s="18" t="s">
        <v>4149</v>
      </c>
      <c r="D36" s="21"/>
      <c r="E36" s="21"/>
      <c r="F36" s="2531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1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31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1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31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1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31" cm="1">
        <f t="array" ref="F39">INDEX('5층_부하량'!E3:E3000,MATCH(1,("5-DaHall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1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31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1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31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1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31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1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29" t="s">
        <v>5253</v>
      </c>
      <c r="B43" s="17" t="s">
        <v>4204</v>
      </c>
      <c r="C43" s="18" t="s">
        <v>4149</v>
      </c>
      <c r="D43" s="2531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1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29" t="s">
        <v>5255</v>
      </c>
      <c r="B44" s="17" t="s">
        <v>4204</v>
      </c>
      <c r="C44" s="18" t="s">
        <v>4149</v>
      </c>
      <c r="D44" s="21"/>
      <c r="E44" s="2531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1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29" t="s">
        <v>5258</v>
      </c>
      <c r="B45" s="17" t="s">
        <v>4204</v>
      </c>
      <c r="C45" s="18" t="s">
        <v>4149</v>
      </c>
      <c r="D45" s="21"/>
      <c r="E45" s="19"/>
      <c r="F45" s="2529" cm="1">
        <f t="array" ref="F45">INDEX('5층_부하량'!E3:E3000,MATCH(1,("5-DaHall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9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29" t="s">
        <v>5260</v>
      </c>
      <c r="B46" s="17" t="s">
        <v>4204</v>
      </c>
      <c r="C46" s="18" t="s">
        <v>4149</v>
      </c>
      <c r="D46" s="2531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1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29" t="s">
        <v>5262</v>
      </c>
      <c r="B47" s="17" t="s">
        <v>4204</v>
      </c>
      <c r="C47" s="18" t="s">
        <v>4149</v>
      </c>
      <c r="D47" s="21"/>
      <c r="E47" s="2531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1" cm="1">
        <f t="array" ref="O47">INDEX('5층_부하량'!D3:D3000,MATCH(1,("5-DaHall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0" t="s">
        <v>3028</v>
      </c>
      <c r="D48" s="21"/>
      <c r="E48" s="19"/>
      <c r="F48" s="2531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1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0" t="s">
        <v>3028</v>
      </c>
      <c r="D49" s="2531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1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0" t="s">
        <v>3028</v>
      </c>
      <c r="D50" s="21"/>
      <c r="E50" s="2531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1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0" t="s">
        <v>3028</v>
      </c>
      <c r="D51" s="21"/>
      <c r="E51" s="21"/>
      <c r="F51" s="2531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1" cm="1">
        <f t="array" ref="P51">INDEX('5층_부하량'!E3:E3000,MATCH(1,("5-DaHall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30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30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6519</v>
      </c>
      <c r="C54" s="3969" t="s">
        <v>5270</v>
      </c>
      <c r="D54" s="3969"/>
      <c r="E54" s="3969"/>
      <c r="F54" s="3969"/>
      <c r="G54" s="53"/>
      <c r="H54" s="123"/>
      <c r="I54" s="123"/>
      <c r="J54" s="3970" t="s">
        <v>5226</v>
      </c>
      <c r="K54" s="397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28" cm="1">
        <f t="array" ref="D57">INDEX('5층_부하량'!C3:C3000,MATCH(1,("5-DaHall 1-PDU-02"='5층_부하량'!A3:A3000)*(1='5층_부하량'!B3:B3000),0))</f>
        <v>0</v>
      </c>
      <c r="E57" s="2528" cm="1">
        <f t="array" ref="E57">INDEX('5층_부하량'!D3:D3000,MATCH(1,("5-DaHall 1-PDU-02"='5층_부하량'!A3:A3000)*(1='5층_부하량'!B3:B3000),0))</f>
        <v>0</v>
      </c>
      <c r="F57" s="2528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8" cm="1">
        <f t="array" ref="N57">INDEX('5층_부하량'!C3:C3000,MATCH(1,("5-DaHall 1-PDU-02"='5층_부하량'!A3:A3000)*(55='5층_부하량'!B3:B3000),0))</f>
        <v>0</v>
      </c>
      <c r="O57" s="2528" cm="1">
        <f t="array" ref="O57">INDEX('5층_부하량'!D3:D3000,MATCH(1,("5-DaHall 1-PDU-02"='5층_부하량'!A3:A3000)*(55='5층_부하량'!B3:B3000),0))</f>
        <v>0</v>
      </c>
      <c r="P57" s="2528" cm="1">
        <f t="array" ref="P57">INDEX('5층_부하량'!E3:E3000,MATCH(1,("5-DaHall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0" t="s">
        <v>3028</v>
      </c>
      <c r="D58" s="2531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1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0" t="s">
        <v>3028</v>
      </c>
      <c r="D59" s="21"/>
      <c r="E59" s="2531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1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0" t="s">
        <v>3028</v>
      </c>
      <c r="D60" s="21"/>
      <c r="E60" s="21"/>
      <c r="F60" s="2531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1" cm="1">
        <f t="array" ref="P60">INDEX('5층_부하량'!E3:E3000,MATCH(1,("5-DaHall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0" t="s">
        <v>3028</v>
      </c>
      <c r="D61" s="2531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1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28" t="s">
        <v>5274</v>
      </c>
      <c r="B62" s="17" t="s">
        <v>4204</v>
      </c>
      <c r="C62" s="18" t="s">
        <v>4149</v>
      </c>
      <c r="D62" s="21"/>
      <c r="E62" s="2531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1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29" t="s">
        <v>5276</v>
      </c>
      <c r="B63" s="17" t="s">
        <v>4204</v>
      </c>
      <c r="C63" s="18" t="s">
        <v>4149</v>
      </c>
      <c r="D63" s="21"/>
      <c r="E63" s="21"/>
      <c r="F63" s="2531" cm="1">
        <f t="array" ref="F63">INDEX('5층_부하량'!E3:E3000,MATCH(1,("5-DaHall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1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28" t="s">
        <v>5278</v>
      </c>
      <c r="B64" s="17" t="s">
        <v>4204</v>
      </c>
      <c r="C64" s="18" t="s">
        <v>4149</v>
      </c>
      <c r="D64" s="2531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1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29" t="s">
        <v>5279</v>
      </c>
      <c r="B65" s="17" t="s">
        <v>4204</v>
      </c>
      <c r="C65" s="18" t="s">
        <v>4149</v>
      </c>
      <c r="D65" s="21"/>
      <c r="E65" s="2531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1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29" t="s">
        <v>5280</v>
      </c>
      <c r="B66" s="17" t="s">
        <v>4204</v>
      </c>
      <c r="C66" s="18" t="s">
        <v>4149</v>
      </c>
      <c r="D66" s="21"/>
      <c r="E66" s="21"/>
      <c r="F66" s="2531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1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31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1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31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1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31" cm="1">
        <f t="array" ref="F69">INDEX('5층_부하량'!E3:E3000,MATCH(1,("5-DaHall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1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31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1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31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1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31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1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29" t="s">
        <v>5253</v>
      </c>
      <c r="B73" s="17" t="s">
        <v>4204</v>
      </c>
      <c r="C73" s="18" t="s">
        <v>4149</v>
      </c>
      <c r="D73" s="2531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1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29" t="s">
        <v>5284</v>
      </c>
      <c r="B74" s="17" t="s">
        <v>4204</v>
      </c>
      <c r="C74" s="18" t="s">
        <v>4149</v>
      </c>
      <c r="D74" s="21"/>
      <c r="E74" s="2531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1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29" t="s">
        <v>5286</v>
      </c>
      <c r="B75" s="17" t="s">
        <v>4204</v>
      </c>
      <c r="C75" s="18" t="s">
        <v>4149</v>
      </c>
      <c r="D75" s="21"/>
      <c r="E75" s="19"/>
      <c r="F75" s="2529" cm="1">
        <f t="array" ref="F75">INDEX('5층_부하량'!E3:E3000,MATCH(1,("5-DaHall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9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29" t="s">
        <v>5288</v>
      </c>
      <c r="B76" s="17" t="s">
        <v>4204</v>
      </c>
      <c r="C76" s="18" t="s">
        <v>4149</v>
      </c>
      <c r="D76" s="2531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1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29" t="s">
        <v>5290</v>
      </c>
      <c r="B77" s="17" t="s">
        <v>4204</v>
      </c>
      <c r="C77" s="18" t="s">
        <v>4149</v>
      </c>
      <c r="D77" s="21"/>
      <c r="E77" s="2531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1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0" t="s">
        <v>3028</v>
      </c>
      <c r="D78" s="21"/>
      <c r="E78" s="19"/>
      <c r="F78" s="2531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1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0" t="s">
        <v>3028</v>
      </c>
      <c r="D79" s="2531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1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0" t="s">
        <v>3028</v>
      </c>
      <c r="D80" s="21"/>
      <c r="E80" s="2531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1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0" t="s">
        <v>3028</v>
      </c>
      <c r="D81" s="21"/>
      <c r="E81" s="21"/>
      <c r="F81" s="2531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1" cm="1">
        <f t="array" ref="P81">INDEX('5층_부하량'!E3:E3000,MATCH(1,("5-DaHall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30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30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6520</v>
      </c>
      <c r="C84" s="3969" t="s">
        <v>5295</v>
      </c>
      <c r="D84" s="3969"/>
      <c r="E84" s="3969"/>
      <c r="F84" s="3969"/>
      <c r="G84" s="53"/>
      <c r="H84" s="123"/>
      <c r="I84" s="123"/>
      <c r="J84" s="3970" t="s">
        <v>5226</v>
      </c>
      <c r="K84" s="397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28" cm="1">
        <f t="array" ref="D87">INDEX('5층_부하량'!C3:C3000,MATCH(1,("5-DaHall 1-PDU-03"='5층_부하량'!A3:A3000)*(1='5층_부하량'!B3:B3000),0))</f>
        <v>0</v>
      </c>
      <c r="E87" s="2528" cm="1">
        <f t="array" ref="E87">INDEX('5층_부하량'!D3:D3000,MATCH(1,("5-DaHall 1-PDU-03"='5층_부하량'!A3:A3000)*(1='5층_부하량'!B3:B3000),0))</f>
        <v>0</v>
      </c>
      <c r="F87" s="2528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8" cm="1">
        <f t="array" ref="N87">INDEX('5층_부하량'!C3:C3000,MATCH(1,("5-DaHall 1-PDU-03"='5층_부하량'!A3:A3000)*(55='5층_부하량'!B3:B3000),0))</f>
        <v>0</v>
      </c>
      <c r="O87" s="2528" cm="1">
        <f t="array" ref="O87">INDEX('5층_부하량'!D3:D3000,MATCH(1,("5-DaHall 1-PDU-03"='5층_부하량'!A3:A3000)*(55='5층_부하량'!B3:B3000),0))</f>
        <v>0</v>
      </c>
      <c r="P87" s="2528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31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1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31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1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31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1" cm="1">
        <f t="array" ref="P90">INDEX('5층_부하량'!E3:E3000,MATCH(1,("5-DaHall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31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1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31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1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31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1" cm="1">
        <f t="array" ref="P93">INDEX('5층_부하량'!E3:E3000,MATCH(1,("5-DaHall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31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1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31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1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31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1" cm="1">
        <f t="array" ref="P96">INDEX('5층_부하량'!E3:E3000,MATCH(1,("5-DaHall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31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1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31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1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31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1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31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1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31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1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31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1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31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1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31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1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29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9" cm="1">
        <f t="array" ref="P105">INDEX('5층_부하량'!E3:E3000,MATCH(1,("5-DaHall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31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1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31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1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4" t="s">
        <v>5334</v>
      </c>
      <c r="B108" s="17" t="s">
        <v>5335</v>
      </c>
      <c r="C108" s="17" t="s">
        <v>4296</v>
      </c>
      <c r="D108" s="21"/>
      <c r="E108" s="19"/>
      <c r="F108" s="2531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1" cm="1">
        <f t="array" ref="P108">INDEX('5층_부하량'!E3:E3000,MATCH(1,("5-DaHall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4" t="s">
        <v>5337</v>
      </c>
      <c r="B109" s="71" t="s">
        <v>4204</v>
      </c>
      <c r="C109" s="72" t="s">
        <v>4149</v>
      </c>
      <c r="D109" s="2531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1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4" t="s">
        <v>5339</v>
      </c>
      <c r="B110" s="17" t="s">
        <v>4204</v>
      </c>
      <c r="C110" s="18" t="s">
        <v>4149</v>
      </c>
      <c r="D110" s="21"/>
      <c r="E110" s="2531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1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31" cm="1">
        <f t="array" ref="F111">INDEX('5층_부하량'!E3:E3000,MATCH(1,("5-DaHall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1" cm="1">
        <f t="array" ref="P111">INDEX('5층_부하량'!E3:E3000,MATCH(1,("5-DaHall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30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30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6521</v>
      </c>
      <c r="C114" s="3969" t="s">
        <v>5345</v>
      </c>
      <c r="D114" s="3969"/>
      <c r="E114" s="3969"/>
      <c r="F114" s="3969"/>
      <c r="G114" s="53"/>
      <c r="H114" s="123"/>
      <c r="I114" s="123"/>
      <c r="J114" s="3970" t="s">
        <v>5226</v>
      </c>
      <c r="K114" s="397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28" cm="1">
        <f t="array" ref="D117">INDEX('5층_부하량'!C3:C3000,MATCH(1,("5-DaHall 1-PDU-04"='5층_부하량'!A3:A3000)*(1='5층_부하량'!B3:B3000),0))</f>
        <v>0</v>
      </c>
      <c r="E117" s="2528" cm="1">
        <f t="array" ref="E117">INDEX('5층_부하량'!D3:D3000,MATCH(1,("5-DaHall 1-PDU-04"='5층_부하량'!A3:A3000)*(1='5층_부하량'!B3:B3000),0))</f>
        <v>0</v>
      </c>
      <c r="F117" s="2528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8" cm="1">
        <f t="array" ref="N117">INDEX('5층_부하량'!C3:C3000,MATCH(1,("5-DaHall 1-PDU-04"='5층_부하량'!A3:A3000)*(55='5층_부하량'!B3:B3000),0))</f>
        <v>0</v>
      </c>
      <c r="O117" s="2528" cm="1">
        <f t="array" ref="O117">INDEX('5층_부하량'!D3:D3000,MATCH(1,("5-DaHall 1-PDU-04"='5층_부하량'!A3:A3000)*(55='5층_부하량'!B3:B3000),0))</f>
        <v>0</v>
      </c>
      <c r="P117" s="2528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31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1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31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1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31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1" cm="1">
        <f t="array" ref="P120">INDEX('5층_부하량'!E3:E3000,MATCH(1,("5-DaHall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31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1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31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1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31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1" cm="1">
        <f t="array" ref="P123">INDEX('5층_부하량'!E3:E3000,MATCH(1,("5-DaHall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31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1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31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1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31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1" cm="1">
        <f t="array" ref="P126">INDEX('5층_부하량'!E3:E3000,MATCH(1,("5-DaHall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31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1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31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1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31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1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31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1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31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1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31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1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4"/>
      <c r="B133" s="1408" t="s">
        <v>4164</v>
      </c>
      <c r="C133" s="17" t="s">
        <v>4296</v>
      </c>
      <c r="D133" s="2531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1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4"/>
      <c r="B134" s="1408" t="s">
        <v>4164</v>
      </c>
      <c r="C134" s="17" t="s">
        <v>4296</v>
      </c>
      <c r="D134" s="21"/>
      <c r="E134" s="2531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1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4"/>
      <c r="B135" s="1408" t="s">
        <v>4164</v>
      </c>
      <c r="C135" s="17" t="s">
        <v>4296</v>
      </c>
      <c r="D135" s="21"/>
      <c r="E135" s="19"/>
      <c r="F135" s="2529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9" cm="1">
        <f t="array" ref="P135">INDEX('5층_부하량'!E3:E3000,MATCH(1,("5-DaHall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31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1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31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1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4" t="s">
        <v>5334</v>
      </c>
      <c r="B138" s="17" t="s">
        <v>5335</v>
      </c>
      <c r="C138" s="17" t="s">
        <v>4296</v>
      </c>
      <c r="D138" s="21"/>
      <c r="E138" s="19"/>
      <c r="F138" s="2531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1" cm="1">
        <f t="array" ref="P138">INDEX('5층_부하량'!E3:E3000,MATCH(1,("5-DaHall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4" t="s">
        <v>5337</v>
      </c>
      <c r="B139" s="71" t="s">
        <v>4204</v>
      </c>
      <c r="C139" s="72" t="s">
        <v>4149</v>
      </c>
      <c r="D139" s="2531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1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4" t="s">
        <v>5339</v>
      </c>
      <c r="B140" s="17" t="s">
        <v>4204</v>
      </c>
      <c r="C140" s="18" t="s">
        <v>4149</v>
      </c>
      <c r="D140" s="21"/>
      <c r="E140" s="2531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1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4" t="s">
        <v>5353</v>
      </c>
      <c r="B141" s="17" t="s">
        <v>5335</v>
      </c>
      <c r="C141" s="18" t="s">
        <v>4149</v>
      </c>
      <c r="D141" s="21"/>
      <c r="E141" s="21"/>
      <c r="F141" s="2531" cm="1">
        <f t="array" ref="F141">INDEX('5층_부하량'!E3:E3000,MATCH(1,("5-DaHall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1" cm="1">
        <f t="array" ref="P141">INDEX('5층_부하량'!E3:E3000,MATCH(1,("5-DaHall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5" t="s">
        <v>5354</v>
      </c>
      <c r="B142" s="35" t="s">
        <v>5335</v>
      </c>
      <c r="C142" s="39" t="s">
        <v>4149</v>
      </c>
      <c r="D142" s="2530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30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5355</v>
      </c>
      <c r="C144" s="3969" t="s">
        <v>5356</v>
      </c>
      <c r="D144" s="3969"/>
      <c r="E144" s="3969"/>
      <c r="F144" s="53"/>
      <c r="G144" s="53"/>
      <c r="H144" s="123"/>
      <c r="I144" s="123"/>
      <c r="J144" s="3970" t="s">
        <v>5357</v>
      </c>
      <c r="K144" s="3976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56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7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56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7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57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7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57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7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58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1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59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9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57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7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57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7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57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7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57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7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57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60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969" t="s">
        <v>5390</v>
      </c>
      <c r="D161" s="3969"/>
      <c r="E161" s="3969"/>
      <c r="F161" s="3969"/>
      <c r="G161" s="53"/>
      <c r="H161" s="123"/>
      <c r="I161" s="123"/>
      <c r="J161" s="3970" t="s">
        <v>5226</v>
      </c>
      <c r="K161" s="397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28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8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31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1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31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1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31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1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31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1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31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1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31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1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31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1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31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1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31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1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31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1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31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1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31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1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31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1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31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1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31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1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31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1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31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1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31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1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31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1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31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1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31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1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31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1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31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1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31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1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31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1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33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3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969" t="s">
        <v>5397</v>
      </c>
      <c r="D192" s="3969"/>
      <c r="E192" s="3969"/>
      <c r="F192" s="3969"/>
      <c r="G192" s="53"/>
      <c r="H192" s="123"/>
      <c r="I192" s="123"/>
      <c r="J192" s="3970" t="s">
        <v>5226</v>
      </c>
      <c r="K192" s="397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28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8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31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1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31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1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31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1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31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1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31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1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31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1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31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1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31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1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31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1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31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1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31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1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31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1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31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1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2"/>
      <c r="B209" s="71" t="s">
        <v>535</v>
      </c>
      <c r="C209" s="71" t="s">
        <v>4296</v>
      </c>
      <c r="D209" s="21"/>
      <c r="E209" s="2531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1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31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1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31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1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2"/>
      <c r="B212" s="17" t="s">
        <v>535</v>
      </c>
      <c r="C212" s="17" t="s">
        <v>4296</v>
      </c>
      <c r="D212" s="21"/>
      <c r="E212" s="2531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1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31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1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31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1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31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1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31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1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31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1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31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1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31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1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31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1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33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3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969" t="s">
        <v>5399</v>
      </c>
      <c r="D223" s="3969"/>
      <c r="E223" s="3969"/>
      <c r="F223" s="3969"/>
      <c r="G223" s="53"/>
      <c r="H223" s="123"/>
      <c r="I223" s="123"/>
      <c r="J223" s="3970" t="s">
        <v>4636</v>
      </c>
      <c r="K223" s="397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28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8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29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9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31" cm="1">
        <f t="array" ref="F228">INDEX('5층_부하량'!E3:E3000,MATCH(1,("5-DaHall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1" cm="1">
        <f t="array" ref="P228">INDEX('5층_부하량'!E3:E3000,MATCH(1,("5-DaHall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31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1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31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1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32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2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47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7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48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8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31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1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31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1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31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1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31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1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31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1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31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1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31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1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31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1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31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1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30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30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6525</v>
      </c>
      <c r="C245" s="3969" t="s">
        <v>5410</v>
      </c>
      <c r="D245" s="3969"/>
      <c r="E245" s="3969"/>
      <c r="F245" s="3969"/>
      <c r="G245" s="53"/>
      <c r="H245" s="123"/>
      <c r="I245" s="123"/>
      <c r="J245" s="3970" t="s">
        <v>4636</v>
      </c>
      <c r="K245" s="3976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28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8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29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9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31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1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31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1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31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1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32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2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32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2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47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7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48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8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31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1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31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1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31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1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31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1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31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1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31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1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31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1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31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1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31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1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33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3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969" t="s">
        <v>5412</v>
      </c>
      <c r="D268" s="3969"/>
      <c r="E268" s="3969"/>
      <c r="F268" s="3969"/>
      <c r="G268" s="53"/>
      <c r="H268" s="123"/>
      <c r="I268" s="123"/>
      <c r="J268" s="3970" t="s">
        <v>4636</v>
      </c>
      <c r="K268" s="397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28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8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29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9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31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1" cm="1">
        <f t="array" ref="P273">INDEX('5층_부하량'!E3:E3000,MATCH(1,("5-DaHall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31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1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31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1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32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2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47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7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48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8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31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1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31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1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31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1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31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1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31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1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31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1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31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1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31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1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31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1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30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30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6527</v>
      </c>
      <c r="C290" s="3969" t="s">
        <v>5421</v>
      </c>
      <c r="D290" s="3969"/>
      <c r="E290" s="3969"/>
      <c r="F290" s="3969"/>
      <c r="G290" s="53"/>
      <c r="H290" s="123"/>
      <c r="I290" s="123"/>
      <c r="J290" s="3970" t="s">
        <v>4636</v>
      </c>
      <c r="K290" s="3976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28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8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29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9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31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1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31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1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31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1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32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2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32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2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47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7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48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8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31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1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31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1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31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1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31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1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31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1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31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1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31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1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31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1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31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1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33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3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969" t="s">
        <v>5422</v>
      </c>
      <c r="D313" s="3969"/>
      <c r="E313" s="3969"/>
      <c r="F313" s="3969"/>
      <c r="G313" s="53"/>
      <c r="H313" s="123"/>
      <c r="I313" s="123"/>
      <c r="J313" s="3970" t="s">
        <v>5219</v>
      </c>
      <c r="K313" s="397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40" cm="1">
        <f t="array" ref="D316">INDEX('5층_부하량'!C3:C3000,MATCH(1,("5-DaHall 1-PDU-11"='5층_부하량'!A3:A3000)*(1='5층_부하량'!B3:B3000),0))</f>
        <v>0</v>
      </c>
      <c r="E316" s="2540" cm="1">
        <f t="array" ref="E316">INDEX('5층_부하량'!D3:D3000,MATCH(1,("5-DaHall 1-PDU-11"='5층_부하량'!A3:A3000)*(1='5층_부하량'!B3:B3000),0))</f>
        <v>0</v>
      </c>
      <c r="F316" s="2540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40" cm="1">
        <f t="array" ref="N316">INDEX('5층_부하량'!C3:C3000,MATCH(1,("5-DaHall 1-PDU-11"='5층_부하량'!A3:A3000)*(2='5층_부하량'!B3:B3000),0))</f>
        <v>0</v>
      </c>
      <c r="O316" s="2540" cm="1">
        <f t="array" ref="O316">INDEX('5층_부하량'!D3:D3000,MATCH(1,("5-DaHall 1-PDU-11"='5층_부하량'!A3:A3000)*(2='5층_부하량'!B3:B3000),0))</f>
        <v>0</v>
      </c>
      <c r="P316" s="2540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41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1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38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8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38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8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38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8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45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5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37" cm="1">
        <f t="array" ref="F322">INDEX('5층_부하량'!E3:E3000,MATCH(1,("5-DaHall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7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46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6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38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8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38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8" cm="1">
        <f t="array" ref="P325">INDEX('5층_부하량'!E3:E3000,MATCH(1,("5-DaHall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38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8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38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8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38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8" cm="1">
        <f t="array" ref="P328">INDEX('5층_부하량'!E3:E3000,MATCH(1,("5-DaHall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38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8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38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8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39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9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6529</v>
      </c>
      <c r="C333" s="3969" t="s">
        <v>5450</v>
      </c>
      <c r="D333" s="3969"/>
      <c r="E333" s="3969"/>
      <c r="F333" s="3969"/>
      <c r="G333" s="53"/>
      <c r="H333" s="123"/>
      <c r="I333" s="123"/>
      <c r="J333" s="3970" t="s">
        <v>5219</v>
      </c>
      <c r="K333" s="397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40" cm="1">
        <f t="array" ref="D336">INDEX('5층_부하량'!C3:C3000,MATCH(1,("5-DaHall 1-PDU-13"='5층_부하량'!A3:A3000)*(1='5층_부하량'!B3:B3000),0))</f>
        <v>0</v>
      </c>
      <c r="E336" s="2540" cm="1">
        <f t="array" ref="E336">INDEX('5층_부하량'!D3:D3000,MATCH(1,("5-DaHall 1-PDU-13"='5층_부하량'!A3:A3000)*(1='5층_부하량'!B3:B3000),0))</f>
        <v>0</v>
      </c>
      <c r="F336" s="2540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40" cm="1">
        <f t="array" ref="N336">INDEX('5층_부하량'!C3:C3000,MATCH(1,("5-DaHall 1-PDU-13"='5층_부하량'!A3:A3000)*(2='5층_부하량'!B3:B3000),0))</f>
        <v>0</v>
      </c>
      <c r="O336" s="2540" cm="1">
        <f t="array" ref="O336">INDEX('5층_부하량'!D3:D3000,MATCH(1,("5-DaHall 1-PDU-13"='5층_부하량'!A3:A3000)*(2='5층_부하량'!B3:B3000),0))</f>
        <v>0</v>
      </c>
      <c r="P336" s="2540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41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1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38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8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38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8" cm="1">
        <f t="array" ref="P339">INDEX('5층_부하량'!E3:E3000,MATCH(1,("5-DaHall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38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8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45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5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37" cm="1">
        <f t="array" ref="F342">INDEX('5층_부하량'!E3:E3000,MATCH(1,("5-DaHall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7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46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6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38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8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38" cm="1">
        <f t="array" ref="F345">INDEX('5층_부하량'!E3:E3000,MATCH(1,("5-DaHall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8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38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8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38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8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38" cm="1">
        <f t="array" ref="F348">INDEX('5층_부하량'!E3:E3000,MATCH(1,("5-DaHall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8" cm="1">
        <f t="array" ref="P348">INDEX('5층_부하량'!E3:E3000,MATCH(1,("5-DaHall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38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8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38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8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39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9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6530</v>
      </c>
      <c r="C353" s="3969" t="s">
        <v>5464</v>
      </c>
      <c r="D353" s="3969"/>
      <c r="E353" s="3969"/>
      <c r="F353" s="3969"/>
      <c r="G353" s="351"/>
      <c r="H353" s="352"/>
      <c r="I353" s="352"/>
      <c r="J353" s="3979" t="s">
        <v>4288</v>
      </c>
      <c r="K353" s="3980"/>
      <c r="L353" s="2324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78" t="s">
        <v>5465</v>
      </c>
      <c r="B356" s="366" t="s">
        <v>4208</v>
      </c>
      <c r="C356" s="383" t="s">
        <v>4149</v>
      </c>
      <c r="D356" s="2540" cm="1">
        <f t="array" ref="D356">INDEX('5층_부하량'!C3:C3000,MATCH(1,("5-DaHall 1-PDU-15"='5층_부하량'!A3:A3000)*(1='5층_부하량'!B3:B3000),0))</f>
        <v>0</v>
      </c>
      <c r="E356" s="2540" cm="1">
        <f t="array" ref="E356">INDEX('5층_부하량'!D3:D3000,MATCH(1,("5-DaHall 1-PDU-15"='5층_부하량'!A3:A3000)*(1='5층_부하량'!B3:B3000),0))</f>
        <v>0</v>
      </c>
      <c r="F356" s="2540" cm="1">
        <f t="array" ref="F356">INDEX('5층_부하량'!E3:E3000,MATCH(1,("5-DaHall 1-PDU-15"='5층_부하량'!A3:A3000)*(1='5층_부하량'!B3:B3000),0))</f>
        <v>0</v>
      </c>
      <c r="G356" s="371"/>
      <c r="H356" s="367" t="s">
        <v>5466</v>
      </c>
      <c r="I356" s="2325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40" cm="1">
        <f t="array" ref="N356">INDEX('5층_부하량'!C3:C3000,MATCH(1,("5-DaHall 1-PDU-15"='5층_부하량'!A3:A3000)*(2='5층_부하량'!B3:B3000),0))</f>
        <v>0</v>
      </c>
      <c r="O356" s="2540" cm="1">
        <f t="array" ref="O356">INDEX('5층_부하량'!D3:D3000,MATCH(1,("5-DaHall 1-PDU-15"='5층_부하량'!A3:A3000)*(2='5층_부하량'!B3:B3000),0))</f>
        <v>0</v>
      </c>
      <c r="P356" s="2540" cm="1">
        <f t="array" ref="P356">INDEX('5층_부하량'!E3:E3000,MATCH(1,("5-DaHall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79"/>
      <c r="B357" s="376" t="s">
        <v>4164</v>
      </c>
      <c r="C357" s="376" t="s">
        <v>4215</v>
      </c>
      <c r="D357" s="2541" cm="1">
        <f t="array" ref="D357">INDEX('5층_부하량'!C3:C3000,MATCH(1,("5-DaHall 1-PDU-15"='5층_부하량'!A3:A3000)*(3='5층_부하량'!B3:B3000),0))</f>
        <v>0</v>
      </c>
      <c r="E357" s="2541" cm="1">
        <f t="array" ref="E357">INDEX('5층_부하량'!D3:D3000,MATCH(1,("5-DaHall 1-PDU-15"='5층_부하량'!A3:A3000)*(3='5층_부하량'!B3:B3000),0))</f>
        <v>0</v>
      </c>
      <c r="F357" s="2541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26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1" cm="1">
        <f t="array" ref="N357">INDEX('5층_부하량'!C3:C3000,MATCH(1,("5-DaHall 1-PDU-15"='5층_부하량'!A3:A3000)*(4='5층_부하량'!B3:B3000),0))</f>
        <v>0</v>
      </c>
      <c r="O357" s="2541" cm="1">
        <f t="array" ref="O357">INDEX('5층_부하량'!D3:D3000,MATCH(1,("5-DaHall 1-PDU-15"='5층_부하량'!A3:A3000)*(4='5층_부하량'!B3:B3000),0))</f>
        <v>0</v>
      </c>
      <c r="P357" s="2541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38" cm="1">
        <f t="array" ref="D358">INDEX('5층_부하량'!C3:C3000,MATCH(1,("5-DaHall 1-PDU-15"='5층_부하량'!A3:A3000)*(5='5층_부하량'!B3:B3000),0))</f>
        <v>0</v>
      </c>
      <c r="E358" s="2538" cm="1">
        <f t="array" ref="E358">INDEX('5층_부하량'!D3:D3000,MATCH(1,("5-DaHall 1-PDU-15"='5층_부하량'!A3:A3000)*(5='5층_부하량'!B3:B3000),0))</f>
        <v>0</v>
      </c>
      <c r="F358" s="2538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26" t="s">
        <v>5477</v>
      </c>
      <c r="J358" s="1022"/>
      <c r="K358" s="1023"/>
      <c r="L358" s="1151" t="s">
        <v>5478</v>
      </c>
      <c r="M358" s="376" t="s">
        <v>5359</v>
      </c>
      <c r="N358" s="2538" cm="1">
        <f t="array" ref="N358">INDEX('5층_부하량'!C3:C3000,MATCH(1,("5-DaHall 1-PDU-15"='5층_부하량'!A3:A3000)*(6='5층_부하량'!B3:B3000),0))</f>
        <v>0</v>
      </c>
      <c r="O358" s="2538" cm="1">
        <f t="array" ref="O358">INDEX('5층_부하량'!D3:D3000,MATCH(1,("5-DaHall 1-PDU-15"='5층_부하량'!A3:A3000)*(6='5층_부하량'!B3:B3000),0))</f>
        <v>0</v>
      </c>
      <c r="P358" s="2538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0" t="s">
        <v>5480</v>
      </c>
      <c r="B359" s="376" t="s">
        <v>4204</v>
      </c>
      <c r="C359" s="383" t="s">
        <v>4149</v>
      </c>
      <c r="D359" s="2538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8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1" t="s">
        <v>5482</v>
      </c>
      <c r="B360" s="87" t="s">
        <v>4204</v>
      </c>
      <c r="C360" s="88" t="s">
        <v>4149</v>
      </c>
      <c r="D360" s="392"/>
      <c r="E360" s="2532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2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290" t="s">
        <v>5484</v>
      </c>
      <c r="B361" s="2288" t="s">
        <v>4208</v>
      </c>
      <c r="C361" s="383" t="s">
        <v>4149</v>
      </c>
      <c r="D361" s="395"/>
      <c r="E361" s="395"/>
      <c r="F361" s="2542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2" cm="1">
        <f t="array" ref="P361">INDEX('5층_부하량'!E3:E3000,MATCH(1,("5-DaHall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 x14ac:dyDescent="0.25">
      <c r="A362" s="1282" t="s">
        <v>5487</v>
      </c>
      <c r="B362" s="376" t="s">
        <v>4204</v>
      </c>
      <c r="C362" s="383" t="s">
        <v>4149</v>
      </c>
      <c r="D362" s="2538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8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3" t="s">
        <v>5489</v>
      </c>
      <c r="B363" s="376" t="s">
        <v>4164</v>
      </c>
      <c r="C363" s="376" t="s">
        <v>4215</v>
      </c>
      <c r="D363" s="381"/>
      <c r="E363" s="2538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8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2" t="s">
        <v>5490</v>
      </c>
      <c r="B364" s="376" t="s">
        <v>4164</v>
      </c>
      <c r="C364" s="376" t="s">
        <v>4215</v>
      </c>
      <c r="D364" s="381"/>
      <c r="E364" s="381"/>
      <c r="F364" s="2538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8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3" t="s">
        <v>5491</v>
      </c>
      <c r="B365" s="376" t="s">
        <v>4164</v>
      </c>
      <c r="C365" s="376" t="s">
        <v>4215</v>
      </c>
      <c r="D365" s="2538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8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2" t="s">
        <v>5492</v>
      </c>
      <c r="B366" s="376" t="s">
        <v>4513</v>
      </c>
      <c r="C366" s="376" t="s">
        <v>4158</v>
      </c>
      <c r="D366" s="381"/>
      <c r="E366" s="2538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8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2" t="s">
        <v>5493</v>
      </c>
      <c r="B367" s="376" t="s">
        <v>4153</v>
      </c>
      <c r="C367" s="383" t="s">
        <v>4149</v>
      </c>
      <c r="D367" s="381"/>
      <c r="E367" s="381"/>
      <c r="F367" s="2538" cm="1">
        <f t="array" ref="F367">INDEX('5층_부하량'!E3:E3000,MATCH(1,("5-DaHall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8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4" t="s">
        <v>5495</v>
      </c>
      <c r="B368" s="376" t="s">
        <v>4513</v>
      </c>
      <c r="C368" s="376" t="s">
        <v>4158</v>
      </c>
      <c r="D368" s="2538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8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2" t="s">
        <v>5496</v>
      </c>
      <c r="B369" s="376" t="s">
        <v>4513</v>
      </c>
      <c r="C369" s="376" t="s">
        <v>4158</v>
      </c>
      <c r="D369" s="381"/>
      <c r="E369" s="2538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8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5" t="s">
        <v>5498</v>
      </c>
      <c r="B370" s="35" t="s">
        <v>4153</v>
      </c>
      <c r="C370" s="39" t="s">
        <v>4149</v>
      </c>
      <c r="D370" s="402"/>
      <c r="E370" s="402"/>
      <c r="F370" s="2543" cm="1">
        <f t="array" ref="F370">INDEX('5층_부하량'!E3:E3000,MATCH(1,("5-DaHall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3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27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6531</v>
      </c>
      <c r="C372" s="3969" t="s">
        <v>5499</v>
      </c>
      <c r="D372" s="3969"/>
      <c r="E372" s="3969"/>
      <c r="F372" s="3969"/>
      <c r="G372" s="351"/>
      <c r="H372" s="352"/>
      <c r="I372" s="352"/>
      <c r="J372" s="3979" t="s">
        <v>5219</v>
      </c>
      <c r="K372" s="3980"/>
      <c r="L372" s="2324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40" cm="1">
        <f t="array" ref="D375">INDEX('5층_부하량'!C3:C3000,MATCH(1,("5-DaHall 1-PDU-12"='5층_부하량'!A3:A3000)*(1='5층_부하량'!B3:B3000),0))</f>
        <v>0</v>
      </c>
      <c r="E375" s="2540" cm="1">
        <f t="array" ref="E375">INDEX('5층_부하량'!D3:D3000,MATCH(1,("5-DaHall 1-PDU-12"='5층_부하량'!A3:A3000)*(1='5층_부하량'!B3:B3000),0))</f>
        <v>0</v>
      </c>
      <c r="F375" s="2540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28" t="s">
        <v>5467</v>
      </c>
      <c r="J375" s="1029"/>
      <c r="K375" s="1030"/>
      <c r="L375" s="1409" t="s">
        <v>5469</v>
      </c>
      <c r="M375" s="366" t="s">
        <v>5359</v>
      </c>
      <c r="N375" s="2540" cm="1">
        <f t="array" ref="N375">INDEX('5층_부하량'!C3:C3000,MATCH(1,("5-DaHall 1-PDU-12"='5층_부하량'!A3:A3000)*(2='5층_부하량'!B3:B3000),0))</f>
        <v>0</v>
      </c>
      <c r="O375" s="2540" cm="1">
        <f t="array" ref="O375">INDEX('5층_부하량'!D3:D3000,MATCH(1,("5-DaHall 1-PDU-12"='5층_부하량'!A3:A3000)*(2='5층_부하량'!B3:B3000),0))</f>
        <v>0</v>
      </c>
      <c r="P375" s="2540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41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1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38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8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38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8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38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8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45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5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37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7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46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6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38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8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38" cm="1">
        <f t="array" ref="F384">INDEX('5층_부하량'!E3:E3000,MATCH(1,("5-DaHall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8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38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8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38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8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38" cm="1">
        <f t="array" ref="F387">INDEX('5층_부하량'!E3:E3000,MATCH(1,("5-DaHall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8" cm="1">
        <f t="array" ref="P387">INDEX('5층_부하량'!E3:E3000,MATCH(1,("5-DaHall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38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8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38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8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39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9" cm="1">
        <f t="array" ref="P390">INDEX('5층_부하량'!E3:E3000,MATCH(1,("5-DaHall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27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6532</v>
      </c>
      <c r="C392" s="3969" t="s">
        <v>5523</v>
      </c>
      <c r="D392" s="3969"/>
      <c r="E392" s="3969"/>
      <c r="F392" s="3969"/>
      <c r="G392" s="351"/>
      <c r="H392" s="352"/>
      <c r="I392" s="352"/>
      <c r="J392" s="3979" t="s">
        <v>5219</v>
      </c>
      <c r="K392" s="3980"/>
      <c r="L392" s="2324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40" cm="1">
        <f t="array" ref="D395">INDEX('5층_부하량'!C3:C3000,MATCH(1,("5-DaHall 1-PDU-14"='5층_부하량'!A3:A3000)*(1='5층_부하량'!B3:B3000),0))</f>
        <v>0</v>
      </c>
      <c r="E395" s="2540" cm="1">
        <f t="array" ref="E395">INDEX('5층_부하량'!D3:D3000,MATCH(1,("5-DaHall 1-PDU-14"='5층_부하량'!A3:A3000)*(1='5층_부하량'!B3:B3000),0))</f>
        <v>0</v>
      </c>
      <c r="F395" s="2540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28" t="s">
        <v>5467</v>
      </c>
      <c r="J395" s="1029"/>
      <c r="K395" s="1030"/>
      <c r="L395" s="1409" t="s">
        <v>5469</v>
      </c>
      <c r="M395" s="366" t="s">
        <v>5359</v>
      </c>
      <c r="N395" s="2540" cm="1">
        <f t="array" ref="N395">INDEX('5층_부하량'!C3:C3000,MATCH(1,("5-DaHall 1-PDU-14"='5층_부하량'!A3:A3000)*(2='5층_부하량'!B3:B3000),0))</f>
        <v>0</v>
      </c>
      <c r="O395" s="2540" cm="1">
        <f t="array" ref="O395">INDEX('5층_부하량'!D3:D3000,MATCH(1,("5-DaHall 1-PDU-14"='5층_부하량'!A3:A3000)*(2='5층_부하량'!B3:B3000),0))</f>
        <v>0</v>
      </c>
      <c r="P395" s="2540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41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1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38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8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38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8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38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8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45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5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37" cm="1">
        <f t="array" ref="F401">INDEX('5층_부하량'!E3:E3000,MATCH(1,("5-DaHall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7" cm="1">
        <f t="array" ref="P401">INDEX('5층_부하량'!E3:E3000,MATCH(1,("5-DaHall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46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6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38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8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38" cm="1">
        <f t="array" ref="F404">INDEX('5층_부하량'!E3:E3000,MATCH(1,("5-DaHall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8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38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8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38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8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38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8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38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8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38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8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39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9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27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6533</v>
      </c>
      <c r="C412" s="3969" t="s">
        <v>5536</v>
      </c>
      <c r="D412" s="3969"/>
      <c r="E412" s="3969"/>
      <c r="F412" s="3969"/>
      <c r="G412" s="351"/>
      <c r="H412" s="352"/>
      <c r="I412" s="352"/>
      <c r="J412" s="3979" t="s">
        <v>4288</v>
      </c>
      <c r="K412" s="3980"/>
      <c r="L412" s="2324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40" cm="1">
        <f t="array" ref="D415">INDEX('5층_부하량'!C3:C3000,MATCH(1,("5-DaHall 1-PDU-16"='5층_부하량'!A3:A3000)*(1='5층_부하량'!B3:B3000),0))</f>
        <v>0</v>
      </c>
      <c r="E415" s="2540" cm="1">
        <f t="array" ref="E415">INDEX('5층_부하량'!D3:D3000,MATCH(1,("5-DaHall 1-PDU-16"='5층_부하량'!A3:A3000)*(1='5층_부하량'!B3:B3000),0))</f>
        <v>0</v>
      </c>
      <c r="F415" s="2540" cm="1">
        <f t="array" ref="F415">INDEX('5층_부하량'!E3:E3000,MATCH(1,("5-DaHall 1-PDU-16"='5층_부하량'!A3:A3000)*(1='5층_부하량'!B3:B3000),0))</f>
        <v>0</v>
      </c>
      <c r="G415" s="371"/>
      <c r="H415" s="367" t="s">
        <v>5466</v>
      </c>
      <c r="I415" s="2325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40" cm="1">
        <f t="array" ref="N415">INDEX('5층_부하량'!C3:C3000,MATCH(1,("5-DaHall 1-PDU-16"='5층_부하량'!A3:A3000)*(2='5층_부하량'!B3:B3000),0))</f>
        <v>0</v>
      </c>
      <c r="O415" s="2540" cm="1">
        <f t="array" ref="O415">INDEX('5층_부하량'!D3:D3000,MATCH(1,("5-DaHall 1-PDU-16"='5층_부하량'!A3:A3000)*(2='5층_부하량'!B3:B3000),0))</f>
        <v>0</v>
      </c>
      <c r="P415" s="2540" cm="1">
        <f t="array" ref="P415">INDEX('5층_부하량'!E3:E3000,MATCH(1,("5-DaHall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41" cm="1">
        <f t="array" ref="D416">INDEX('5층_부하량'!C3:C3000,MATCH(1,("5-DaHall 1-PDU-16"='5층_부하량'!A3:A3000)*(3='5층_부하량'!B3:B3000),0))</f>
        <v>0</v>
      </c>
      <c r="E416" s="2541" cm="1">
        <f t="array" ref="E416">INDEX('5층_부하량'!D3:D3000,MATCH(1,("5-DaHall 1-PDU-16"='5층_부하량'!A3:A3000)*(3='5층_부하량'!B3:B3000),0))</f>
        <v>0</v>
      </c>
      <c r="F416" s="2541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29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8" cm="1">
        <f t="array" ref="N416">INDEX('5층_부하량'!C3:C3000,MATCH(1,("5-DaHall 1-PDU-16"='5층_부하량'!A3:A3000)*(4='5층_부하량'!B3:B3000),0))</f>
        <v>0</v>
      </c>
      <c r="O416" s="2538" cm="1">
        <f t="array" ref="O416">INDEX('5층_부하량'!D3:D3000,MATCH(1,("5-DaHall 1-PDU-16"='5층_부하량'!A3:A3000)*(4='5층_부하량'!B3:B3000),0))</f>
        <v>0</v>
      </c>
      <c r="P416" s="2538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38" cm="1">
        <f t="array" ref="D417">INDEX('5층_부하량'!C3:C3000,MATCH(1,("5-DaHall 1-PDU-16"='5층_부하량'!A3:A3000)*(5='5층_부하량'!B3:B3000),0))</f>
        <v>0</v>
      </c>
      <c r="E417" s="2538" cm="1">
        <f t="array" ref="E417">INDEX('5층_부하량'!D3:D3000,MATCH(1,("5-DaHall 1-PDU-16"='5층_부하량'!A3:A3000)*(5='5층_부하량'!B3:B3000),0))</f>
        <v>0</v>
      </c>
      <c r="F417" s="2538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29" t="s">
        <v>5477</v>
      </c>
      <c r="J417" s="1022"/>
      <c r="K417" s="1023"/>
      <c r="L417" s="1416" t="s">
        <v>5478</v>
      </c>
      <c r="M417" s="376" t="s">
        <v>5359</v>
      </c>
      <c r="N417" s="2538" cm="1">
        <f t="array" ref="N417">INDEX('5층_부하량'!C3:C3000,MATCH(1,("5-DaHall 1-PDU-16"='5층_부하량'!A3:A3000)*(6='5층_부하량'!B3:B3000),0))</f>
        <v>0</v>
      </c>
      <c r="O417" s="2538" cm="1">
        <f t="array" ref="O417">INDEX('5층_부하량'!D3:D3000,MATCH(1,("5-DaHall 1-PDU-16"='5층_부하량'!A3:A3000)*(6='5층_부하량'!B3:B3000),0))</f>
        <v>0</v>
      </c>
      <c r="P417" s="2538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7" t="s">
        <v>5541</v>
      </c>
      <c r="B418" s="376" t="s">
        <v>4204</v>
      </c>
      <c r="C418" s="383" t="s">
        <v>4149</v>
      </c>
      <c r="D418" s="2538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8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68" t="s">
        <v>5542</v>
      </c>
      <c r="B419" s="87" t="s">
        <v>4204</v>
      </c>
      <c r="C419" s="88" t="s">
        <v>4149</v>
      </c>
      <c r="D419" s="392"/>
      <c r="E419" s="2532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4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289" t="s">
        <v>5543</v>
      </c>
      <c r="B420" s="376" t="s">
        <v>4204</v>
      </c>
      <c r="C420" s="383" t="s">
        <v>4149</v>
      </c>
      <c r="D420" s="395"/>
      <c r="E420" s="395"/>
      <c r="F420" s="2542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2" cm="1">
        <f t="array" ref="P420">INDEX('5층_부하량'!E3:E3000,MATCH(1,("5-DaHall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38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8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2" t="s">
        <v>3490</v>
      </c>
      <c r="B422" s="376" t="s">
        <v>4204</v>
      </c>
      <c r="C422" s="383" t="s">
        <v>4149</v>
      </c>
      <c r="D422" s="381"/>
      <c r="E422" s="2538" cm="1">
        <f t="array" ref="E422">INDEX('5층_부하량'!D3:D3000,MATCH(1,("5-DaHall 1-PDU-16"='5층_부하량'!A3:A3000)*(15='5층_부하량'!B3:B3000),0))</f>
        <v>0</v>
      </c>
      <c r="F422" s="381"/>
      <c r="G422" s="381"/>
      <c r="H422" s="2330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8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2" t="s">
        <v>3494</v>
      </c>
      <c r="B423" s="376" t="s">
        <v>4204</v>
      </c>
      <c r="C423" s="383" t="s">
        <v>4149</v>
      </c>
      <c r="D423" s="381"/>
      <c r="E423" s="381"/>
      <c r="F423" s="2538" cm="1">
        <f t="array" ref="F423">INDEX('5층_부하량'!E3:E3000,MATCH(1,("5-DaHall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8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2" t="s">
        <v>3496</v>
      </c>
      <c r="B424" s="376" t="s">
        <v>4204</v>
      </c>
      <c r="C424" s="383" t="s">
        <v>4149</v>
      </c>
      <c r="D424" s="2538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8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6.4" x14ac:dyDescent="0.25">
      <c r="A425" s="2223" t="s">
        <v>5549</v>
      </c>
      <c r="B425" s="376" t="s">
        <v>4204</v>
      </c>
      <c r="C425" s="383" t="s">
        <v>4149</v>
      </c>
      <c r="D425" s="381"/>
      <c r="E425" s="2538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8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38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8" cm="1">
        <f t="array" ref="P426">INDEX('5층_부하량'!E3:E3000,MATCH(1,("5-DaHall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38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8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38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8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43" cm="1">
        <f t="array" ref="F429">INDEX('5층_부하량'!E3:E3000,MATCH(1,("5-DaHall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3" cm="1">
        <f t="array" ref="P429">INDEX('5층_부하량'!E3:E3000,MATCH(1,("5-DaHall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27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979" t="s">
        <v>5555</v>
      </c>
      <c r="K431" s="3980"/>
      <c r="L431" s="2324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5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6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1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969" t="s">
        <v>5560</v>
      </c>
      <c r="D443" s="3969"/>
      <c r="E443" s="3969"/>
      <c r="F443" s="3969"/>
      <c r="G443" s="351"/>
      <c r="H443" s="352"/>
      <c r="I443" s="352"/>
      <c r="J443" s="3979" t="s">
        <v>4636</v>
      </c>
      <c r="K443" s="3980"/>
      <c r="L443" s="2324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37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32" t="s">
        <v>4171</v>
      </c>
      <c r="I446" s="2333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7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31" cm="1">
        <f t="array" ref="E447">INDEX('5층_부하량'!D3:D3000,MATCH(1,("5-DaHall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1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38" cm="1">
        <f t="array" ref="F448">INDEX('5층_부하량'!E3:E3000,MATCH(1,("5-DaHall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8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38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8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31" cm="1">
        <f t="array" ref="E450">INDEX('5층_부하량'!D3:D3000,MATCH(1,("5-DaHall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1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38" cm="1">
        <f t="array" ref="F451">INDEX('5층_부하량'!E3:E3000,MATCH(1,("5-DaHall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8" cm="1">
        <f t="array" ref="P451">INDEX('5층_부하량'!E3:E3000,MATCH(1,("5-DaHall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38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8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3" t="s">
        <v>4296</v>
      </c>
      <c r="D453" s="381"/>
      <c r="E453" s="2538" cm="1">
        <f t="array" ref="E453">INDEX('5층_부하량'!D3:D3000,MATCH(1,("5-DaHall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8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38" cm="1">
        <f t="array" ref="F454">INDEX('5층_부하량'!E3:E3000,MATCH(1,("5-DaHall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8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3" t="s">
        <v>4296</v>
      </c>
      <c r="D455" s="2538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8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3" t="s">
        <v>4296</v>
      </c>
      <c r="D456" s="381"/>
      <c r="E456" s="2531" cm="1">
        <f t="array" ref="E456">INDEX('5층_부하량'!D3:D3000,MATCH(1,("5-DaHall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1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3" t="s">
        <v>4296</v>
      </c>
      <c r="D457" s="381"/>
      <c r="E457" s="381"/>
      <c r="F457" s="2538" cm="1">
        <f t="array" ref="F457">INDEX('5층_부하량'!E3:E3000,MATCH(1,("5-DaHall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8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38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34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8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 x14ac:dyDescent="0.25">
      <c r="A459" s="390"/>
      <c r="B459" s="1286" t="s">
        <v>535</v>
      </c>
      <c r="C459" s="1287" t="s">
        <v>4296</v>
      </c>
      <c r="D459" s="381"/>
      <c r="E459" s="2538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34" t="s">
        <v>5614</v>
      </c>
      <c r="J459" s="1032"/>
      <c r="K459" s="1289"/>
      <c r="L459" s="583" t="s">
        <v>4479</v>
      </c>
      <c r="M459" s="409" t="s">
        <v>4171</v>
      </c>
      <c r="N459" s="381"/>
      <c r="O459" s="2538" cm="1">
        <f t="array" ref="O459">INDEX('5층_부하량'!D3:D3000,MATCH(1,("5-DaHall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 x14ac:dyDescent="0.25">
      <c r="A460" s="390"/>
      <c r="B460" s="1286" t="s">
        <v>535</v>
      </c>
      <c r="C460" s="1287" t="s">
        <v>4296</v>
      </c>
      <c r="D460" s="381"/>
      <c r="E460" s="381"/>
      <c r="F460" s="2538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34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8" cm="1">
        <f t="array" ref="P460">INDEX('5층_부하량'!E3:E3000,MATCH(1,("5-DaHall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 x14ac:dyDescent="0.25">
      <c r="A461" s="390"/>
      <c r="B461" s="1286" t="s">
        <v>535</v>
      </c>
      <c r="C461" s="1287" t="s">
        <v>4296</v>
      </c>
      <c r="D461" s="2538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34" t="s">
        <v>5616</v>
      </c>
      <c r="J461" s="1032"/>
      <c r="K461" s="1289"/>
      <c r="L461" s="583" t="s">
        <v>4488</v>
      </c>
      <c r="M461" s="409" t="s">
        <v>4171</v>
      </c>
      <c r="N461" s="2538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39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35" t="s">
        <v>5617</v>
      </c>
      <c r="J462" s="1037"/>
      <c r="K462" s="1201"/>
      <c r="L462" s="1202" t="s">
        <v>4492</v>
      </c>
      <c r="M462" s="426" t="s">
        <v>4171</v>
      </c>
      <c r="N462" s="427"/>
      <c r="O462" s="2539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27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6535</v>
      </c>
      <c r="C464" s="3969" t="s">
        <v>5618</v>
      </c>
      <c r="D464" s="3969"/>
      <c r="E464" s="3969"/>
      <c r="F464" s="3969"/>
      <c r="G464" s="351"/>
      <c r="H464" s="352"/>
      <c r="I464" s="352"/>
      <c r="J464" s="3979" t="s">
        <v>4636</v>
      </c>
      <c r="K464" s="3980"/>
      <c r="L464" s="2324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37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32" t="s">
        <v>4171</v>
      </c>
      <c r="I467" s="2333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7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31" cm="1">
        <f t="array" ref="E468">INDEX('5층_부하량'!D3:D3000,MATCH(1,("5-DaHall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1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38" cm="1">
        <f t="array" ref="F469">INDEX('5층_부하량'!E3:E3000,MATCH(1,("5-DaHall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8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38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8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31" cm="1">
        <f t="array" ref="E471">INDEX('5층_부하량'!D3:D3000,MATCH(1,("5-DaHall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1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38" cm="1">
        <f t="array" ref="F472">INDEX('5층_부하량'!E3:E3000,MATCH(1,("5-DaHall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8" cm="1">
        <f t="array" ref="P472">INDEX('5층_부하량'!E3:E3000,MATCH(1,("5-DaHall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38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8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3" t="s">
        <v>4296</v>
      </c>
      <c r="D474" s="381"/>
      <c r="E474" s="2538" cm="1">
        <f t="array" ref="E474">INDEX('5층_부하량'!D3:D3000,MATCH(1,("5-DaHall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8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3" t="s">
        <v>4296</v>
      </c>
      <c r="D475" s="381"/>
      <c r="E475" s="381"/>
      <c r="F475" s="2538" cm="1">
        <f t="array" ref="F475">INDEX('5층_부하량'!E3:E3000,MATCH(1,("5-DaHall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8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3" t="s">
        <v>4296</v>
      </c>
      <c r="D476" s="2538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8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3" t="s">
        <v>4296</v>
      </c>
      <c r="D477" s="381"/>
      <c r="E477" s="2531" cm="1">
        <f t="array" ref="E477">INDEX('5층_부하량'!D3:D3000,MATCH(1,("5-DaHall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1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3" t="s">
        <v>4296</v>
      </c>
      <c r="D478" s="381"/>
      <c r="E478" s="381"/>
      <c r="F478" s="2538" cm="1">
        <f t="array" ref="F478">INDEX('5층_부하량'!E3:E3000,MATCH(1,("5-DaHall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8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38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34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8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 x14ac:dyDescent="0.25">
      <c r="A480" s="390"/>
      <c r="B480" s="1286" t="s">
        <v>535</v>
      </c>
      <c r="C480" s="1287" t="s">
        <v>4296</v>
      </c>
      <c r="D480" s="381"/>
      <c r="E480" s="2538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34" t="s">
        <v>5614</v>
      </c>
      <c r="J480" s="1288"/>
      <c r="K480" s="1289"/>
      <c r="L480" s="583" t="s">
        <v>4479</v>
      </c>
      <c r="M480" s="409" t="s">
        <v>4171</v>
      </c>
      <c r="N480" s="381"/>
      <c r="O480" s="2538" cm="1">
        <f t="array" ref="O480">INDEX('5층_부하량'!D3:D3000,MATCH(1,("5-DaHall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 x14ac:dyDescent="0.25">
      <c r="A481" s="390"/>
      <c r="B481" s="1286" t="s">
        <v>535</v>
      </c>
      <c r="C481" s="1287" t="s">
        <v>4296</v>
      </c>
      <c r="D481" s="381"/>
      <c r="E481" s="381"/>
      <c r="F481" s="2538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34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8" cm="1">
        <f t="array" ref="P481">INDEX('5층_부하량'!E3:E3000,MATCH(1,("5-DaHall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 x14ac:dyDescent="0.25">
      <c r="A482" s="390"/>
      <c r="B482" s="1286" t="s">
        <v>535</v>
      </c>
      <c r="C482" s="1287" t="s">
        <v>4296</v>
      </c>
      <c r="D482" s="2538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34" t="s">
        <v>5616</v>
      </c>
      <c r="J482" s="1288"/>
      <c r="K482" s="1289"/>
      <c r="L482" s="583" t="s">
        <v>4488</v>
      </c>
      <c r="M482" s="409" t="s">
        <v>4171</v>
      </c>
      <c r="N482" s="2538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39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35" t="s">
        <v>5617</v>
      </c>
      <c r="J483" s="1200"/>
      <c r="K483" s="1201"/>
      <c r="L483" s="1202" t="s">
        <v>4492</v>
      </c>
      <c r="M483" s="426" t="s">
        <v>4171</v>
      </c>
      <c r="N483" s="427"/>
      <c r="O483" s="2539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27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6536</v>
      </c>
      <c r="C485" s="3969" t="s">
        <v>5645</v>
      </c>
      <c r="D485" s="3969"/>
      <c r="E485" s="3969"/>
      <c r="F485" s="3969"/>
      <c r="G485" s="351"/>
      <c r="H485" s="352"/>
      <c r="I485" s="352"/>
      <c r="J485" s="3979" t="s">
        <v>4288</v>
      </c>
      <c r="K485" s="3980"/>
      <c r="L485" s="2324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37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32" t="s">
        <v>4509</v>
      </c>
      <c r="I488" s="2333" t="s">
        <v>4151</v>
      </c>
      <c r="J488" s="1018"/>
      <c r="K488" s="1019"/>
      <c r="L488" s="581" t="s">
        <v>4436</v>
      </c>
      <c r="M488" s="366" t="s">
        <v>4574</v>
      </c>
      <c r="N488" s="2537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31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4574</v>
      </c>
      <c r="I489" s="2334" t="s">
        <v>4156</v>
      </c>
      <c r="J489" s="1020"/>
      <c r="K489" s="1021"/>
      <c r="L489" s="582" t="s">
        <v>4438</v>
      </c>
      <c r="M489" s="376" t="s">
        <v>4574</v>
      </c>
      <c r="N489" s="381"/>
      <c r="O489" s="2531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38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34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8" cm="1">
        <f t="array" ref="P490">INDEX('5층_부하량'!E3:E3000,MATCH(1,("5-DaHall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38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8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31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1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38" cm="1">
        <f t="array" ref="F493">INDEX('5층_부하량'!E3:E3000,MATCH(1,("5-DaHall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8" cm="1">
        <f t="array" ref="P493">INDEX('5층_부하량'!E3:E3000,MATCH(1,("5-DaHall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38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8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38" cm="1">
        <f t="array" ref="E495">INDEX('5층_부하량'!D3:D3000,MATCH(1,("5-DaHall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8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38" cm="1">
        <f t="array" ref="F496">INDEX('5층_부하량'!E3:E3000,MATCH(1,("5-DaHall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8" cm="1">
        <f t="array" ref="P496">INDEX('5층_부하량'!E3:E3000,MATCH(1,("5-DaHall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38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8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3" t="s">
        <v>4296</v>
      </c>
      <c r="D498" s="381"/>
      <c r="E498" s="2531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34" t="s">
        <v>5667</v>
      </c>
      <c r="J498" s="1022"/>
      <c r="K498" s="1023"/>
      <c r="L498" s="583" t="s">
        <v>5668</v>
      </c>
      <c r="M498" s="376" t="s">
        <v>4574</v>
      </c>
      <c r="N498" s="381"/>
      <c r="O498" s="2531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39" cm="1">
        <f t="array" ref="F499">INDEX('5층_부하량'!E3:E3000,MATCH(1,("5-DaHall 1-PDU-19"='5층_부하량'!A3:A3000)*(23='5층_부하량'!B3:B3000),0))</f>
        <v>0</v>
      </c>
      <c r="G499" s="427"/>
      <c r="H499" s="426" t="s">
        <v>4574</v>
      </c>
      <c r="I499" s="2335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9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27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6537</v>
      </c>
      <c r="C501" s="3969" t="s">
        <v>5672</v>
      </c>
      <c r="D501" s="3969"/>
      <c r="E501" s="3969"/>
      <c r="F501" s="3969"/>
      <c r="G501" s="351"/>
      <c r="H501" s="352"/>
      <c r="I501" s="352"/>
      <c r="J501" s="3979" t="s">
        <v>4288</v>
      </c>
      <c r="K501" s="3980"/>
      <c r="L501" s="2324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37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32" t="s">
        <v>4509</v>
      </c>
      <c r="I504" s="2333" t="s">
        <v>4151</v>
      </c>
      <c r="J504" s="1018"/>
      <c r="K504" s="1019"/>
      <c r="L504" s="581" t="s">
        <v>4436</v>
      </c>
      <c r="M504" s="366" t="s">
        <v>4574</v>
      </c>
      <c r="N504" s="2537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31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4574</v>
      </c>
      <c r="I505" s="2334" t="s">
        <v>4156</v>
      </c>
      <c r="J505" s="1020"/>
      <c r="K505" s="1021"/>
      <c r="L505" s="582" t="s">
        <v>4438</v>
      </c>
      <c r="M505" s="376" t="s">
        <v>4574</v>
      </c>
      <c r="N505" s="381"/>
      <c r="O505" s="2531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38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34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8" cm="1">
        <f t="array" ref="P506">INDEX('5층_부하량'!E3:E3000,MATCH(1,("5-DaHall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38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8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31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1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38" cm="1">
        <f t="array" ref="F509">INDEX('5층_부하량'!E3:E3000,MATCH(1,("5-DaHall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8" cm="1">
        <f t="array" ref="P509">INDEX('5층_부하량'!E3:E3000,MATCH(1,("5-DaHall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38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8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38" cm="1">
        <f t="array" ref="E511">INDEX('5층_부하량'!D3:D3000,MATCH(1,("5-DaHall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8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38" cm="1">
        <f t="array" ref="F512">INDEX('5층_부하량'!E3:E3000,MATCH(1,("5-DaHall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8" cm="1">
        <f t="array" ref="P512">INDEX('5층_부하량'!E3:E3000,MATCH(1,("5-DaHall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38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8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3" t="s">
        <v>4296</v>
      </c>
      <c r="D514" s="381"/>
      <c r="E514" s="2531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34" t="s">
        <v>5667</v>
      </c>
      <c r="J514" s="1022"/>
      <c r="K514" s="1023"/>
      <c r="L514" s="583" t="s">
        <v>5668</v>
      </c>
      <c r="M514" s="376" t="s">
        <v>4574</v>
      </c>
      <c r="N514" s="381"/>
      <c r="O514" s="2531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39" cm="1">
        <f t="array" ref="F515">INDEX('5층_부하량'!E3:E3000,MATCH(1,("5-DaHall 1-PDU-20"='5층_부하량'!A3:A3000)*(23='5층_부하량'!B3:B3000),0))</f>
        <v>0</v>
      </c>
      <c r="G515" s="427"/>
      <c r="H515" s="426" t="s">
        <v>4574</v>
      </c>
      <c r="I515" s="2335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9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27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6538</v>
      </c>
      <c r="C517" s="3969" t="s">
        <v>5694</v>
      </c>
      <c r="D517" s="3969"/>
      <c r="E517" s="3969"/>
      <c r="F517" s="3969"/>
      <c r="G517" s="351"/>
      <c r="H517" s="352"/>
      <c r="I517" s="352"/>
      <c r="J517" s="3979" t="s">
        <v>4288</v>
      </c>
      <c r="K517" s="3980"/>
      <c r="L517" s="2324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37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32" t="s">
        <v>4509</v>
      </c>
      <c r="I520" s="2333" t="s">
        <v>4151</v>
      </c>
      <c r="J520" s="1018"/>
      <c r="K520" s="1019"/>
      <c r="L520" s="581" t="s">
        <v>4436</v>
      </c>
      <c r="M520" s="366" t="s">
        <v>4574</v>
      </c>
      <c r="N520" s="2537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31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4574</v>
      </c>
      <c r="I521" s="2334" t="s">
        <v>4156</v>
      </c>
      <c r="J521" s="1020"/>
      <c r="K521" s="1021"/>
      <c r="L521" s="582" t="s">
        <v>4438</v>
      </c>
      <c r="M521" s="376" t="s">
        <v>4574</v>
      </c>
      <c r="N521" s="381"/>
      <c r="O521" s="2531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38" cm="1">
        <f t="array" ref="F522">INDEX('5층_부하량'!E3:E3000,MATCH(1,("5-DaHall 1-PDU-21"='5층_부하량'!A3:A3000)*(5='5층_부하량'!B3:B3000),0))</f>
        <v>0</v>
      </c>
      <c r="G522" s="381"/>
      <c r="H522" s="376" t="s">
        <v>4574</v>
      </c>
      <c r="I522" s="2334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8" cm="1">
        <f t="array" ref="P522">INDEX('5층_부하량'!E3:E3000,MATCH(1,("5-DaHall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38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8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31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1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38" cm="1">
        <f t="array" ref="F525">INDEX('5층_부하량'!E3:E3000,MATCH(1,("5-DaHall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8" cm="1">
        <f t="array" ref="P525">INDEX('5층_부하량'!E3:E3000,MATCH(1,("5-DaHall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38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8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38" cm="1">
        <f t="array" ref="E527">INDEX('5층_부하량'!D3:D3000,MATCH(1,("5-DaHall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8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38" cm="1">
        <f t="array" ref="F528">INDEX('5층_부하량'!E3:E3000,MATCH(1,("5-DaHall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8" cm="1">
        <f t="array" ref="P528">INDEX('5층_부하량'!E3:E3000,MATCH(1,("5-DaHall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38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8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3" t="s">
        <v>4296</v>
      </c>
      <c r="D530" s="381"/>
      <c r="E530" s="2531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34" t="s">
        <v>5667</v>
      </c>
      <c r="J530" s="1022"/>
      <c r="K530" s="1023"/>
      <c r="L530" s="583" t="s">
        <v>5668</v>
      </c>
      <c r="M530" s="376" t="s">
        <v>4574</v>
      </c>
      <c r="N530" s="381"/>
      <c r="O530" s="2531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39" cm="1">
        <f t="array" ref="F531">INDEX('5층_부하량'!E3:E3000,MATCH(1,("5-DaHall 1-PDU-21"='5층_부하량'!A3:A3000)*(23='5층_부하량'!B3:B3000),0))</f>
        <v>0</v>
      </c>
      <c r="G531" s="427"/>
      <c r="H531" s="426" t="s">
        <v>4574</v>
      </c>
      <c r="I531" s="2335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9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27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6540</v>
      </c>
      <c r="C533" s="3969" t="s">
        <v>5716</v>
      </c>
      <c r="D533" s="3969"/>
      <c r="E533" s="3969"/>
      <c r="F533" s="3969"/>
      <c r="G533" s="351"/>
      <c r="H533" s="352"/>
      <c r="I533" s="352"/>
      <c r="J533" s="3979" t="s">
        <v>4288</v>
      </c>
      <c r="K533" s="3980"/>
      <c r="L533" s="2324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37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32" t="s">
        <v>4509</v>
      </c>
      <c r="I536" s="2333" t="s">
        <v>4151</v>
      </c>
      <c r="J536" s="1018"/>
      <c r="K536" s="1019"/>
      <c r="L536" s="581" t="s">
        <v>4436</v>
      </c>
      <c r="M536" s="366" t="s">
        <v>4574</v>
      </c>
      <c r="N536" s="2537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31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4574</v>
      </c>
      <c r="I537" s="2334" t="s">
        <v>4156</v>
      </c>
      <c r="J537" s="1020"/>
      <c r="K537" s="1021"/>
      <c r="L537" s="582" t="s">
        <v>4438</v>
      </c>
      <c r="M537" s="376" t="s">
        <v>4574</v>
      </c>
      <c r="N537" s="381"/>
      <c r="O537" s="2531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38" cm="1">
        <f t="array" ref="F538">INDEX('5층_부하량'!E3:E3000,MATCH(1,("5-DaHall 1-PDU-22"='5층_부하량'!A3:A3000)*(5='5층_부하량'!B3:B3000),0))</f>
        <v>0</v>
      </c>
      <c r="G538" s="381"/>
      <c r="H538" s="376" t="s">
        <v>4574</v>
      </c>
      <c r="I538" s="2334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8" cm="1">
        <f t="array" ref="P538">INDEX('5층_부하량'!E3:E3000,MATCH(1,("5-DaHall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38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8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31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1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38" cm="1">
        <f t="array" ref="F541">INDEX('5층_부하량'!E3:E3000,MATCH(1,("5-DaHall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8" cm="1">
        <f t="array" ref="P541">INDEX('5층_부하량'!E3:E3000,MATCH(1,("5-DaHall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38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8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38" cm="1">
        <f t="array" ref="E543">INDEX('5층_부하량'!D3:D3000,MATCH(1,("5-DaHall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8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38" cm="1">
        <f t="array" ref="F544">INDEX('5층_부하량'!E3:E3000,MATCH(1,("5-DaHall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8" cm="1">
        <f t="array" ref="P544">INDEX('5층_부하량'!E3:E3000,MATCH(1,("5-DaHall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38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8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3" t="s">
        <v>4296</v>
      </c>
      <c r="D546" s="381"/>
      <c r="E546" s="2531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34" t="s">
        <v>5667</v>
      </c>
      <c r="J546" s="1022"/>
      <c r="K546" s="1023"/>
      <c r="L546" s="583" t="s">
        <v>5668</v>
      </c>
      <c r="M546" s="376" t="s">
        <v>4574</v>
      </c>
      <c r="N546" s="381"/>
      <c r="O546" s="2531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39" cm="1">
        <f t="array" ref="F547">INDEX('5층_부하량'!E3:E3000,MATCH(1,("5-DaHall 1-PDU-22"='5층_부하량'!A3:A3000)*(23='5층_부하량'!B3:B3000),0))</f>
        <v>0</v>
      </c>
      <c r="G547" s="427"/>
      <c r="H547" s="426" t="s">
        <v>4574</v>
      </c>
      <c r="I547" s="2335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9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27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27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36" t="s">
        <v>5740</v>
      </c>
      <c r="I552" s="2337" t="s">
        <v>5741</v>
      </c>
      <c r="J552" s="369" t="s">
        <v>5742</v>
      </c>
      <c r="K552" s="370" t="s">
        <v>3917</v>
      </c>
      <c r="L552" s="581" t="s">
        <v>4444</v>
      </c>
      <c r="M552" s="2332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38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34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35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27"/>
    </row>
    <row r="556" spans="1:20" s="350" customFormat="1" ht="17.399999999999999" x14ac:dyDescent="0.25">
      <c r="D556" s="350" t="s">
        <v>4542</v>
      </c>
      <c r="E556" s="350" t="s">
        <v>5754</v>
      </c>
      <c r="L556" s="2327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27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39" t="s">
        <v>3509</v>
      </c>
      <c r="D558" s="406">
        <f>SUM(N356:P356,N415:P415,D356:F356,D415:F415,D425:F425)</f>
        <v>0</v>
      </c>
      <c r="E558" s="449">
        <f t="shared" si="0"/>
        <v>0</v>
      </c>
      <c r="L558" s="2327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39" t="s">
        <v>5756</v>
      </c>
      <c r="D559" s="406">
        <f>SUM(D553:F554,N553:P554)</f>
        <v>128.30000000000001</v>
      </c>
      <c r="E559" s="449">
        <f t="shared" si="0"/>
        <v>1</v>
      </c>
      <c r="L559" s="2327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39" t="s">
        <v>5757</v>
      </c>
      <c r="D560" s="986">
        <f>SUM(N463:P463)</f>
        <v>0</v>
      </c>
      <c r="E560" s="987">
        <f t="shared" si="0"/>
        <v>0</v>
      </c>
      <c r="L560" s="2327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39" t="s">
        <v>5758</v>
      </c>
      <c r="D561" s="986">
        <f>SUM(N484:P484)</f>
        <v>0</v>
      </c>
      <c r="E561" s="987">
        <f t="shared" si="0"/>
        <v>0</v>
      </c>
      <c r="F561" s="2340" t="s">
        <v>5759</v>
      </c>
      <c r="G561" s="988">
        <f>SUM(E560:E561)</f>
        <v>0</v>
      </c>
      <c r="H561" s="406"/>
      <c r="L561" s="2327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39" t="s">
        <v>5760</v>
      </c>
      <c r="D562" s="986">
        <f>SUM(D362:F362,D367:F367,D370:F370,D421:F424,D426:F429,N426:P426,N429:P429)</f>
        <v>0</v>
      </c>
      <c r="E562" s="987">
        <f t="shared" si="0"/>
        <v>0</v>
      </c>
      <c r="F562" s="2340"/>
      <c r="G562" s="988"/>
      <c r="L562" s="2327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7" t="s">
        <v>5761</v>
      </c>
      <c r="C563" s="1208"/>
      <c r="D563" s="1209">
        <f>SUM(N500:P500,N516:P516,N532:P532,N548:P548)</f>
        <v>0</v>
      </c>
      <c r="E563" s="1210">
        <f t="shared" si="0"/>
        <v>0</v>
      </c>
      <c r="F563" s="2327"/>
      <c r="L563" s="2327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27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27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27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27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27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27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977" t="s">
        <v>5746</v>
      </c>
      <c r="C570" s="3978"/>
      <c r="J570" s="455"/>
      <c r="L570" s="2327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27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27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27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27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27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5763</v>
      </c>
      <c r="J576" s="455"/>
      <c r="L576" s="2327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27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27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5764</v>
      </c>
      <c r="J579" s="455"/>
      <c r="L579" s="2327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27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27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27"/>
    </row>
    <row r="583" spans="2:18" s="350" customFormat="1" ht="17.399999999999999" x14ac:dyDescent="0.25">
      <c r="B583" s="458"/>
      <c r="F583" s="3977" t="s">
        <v>5765</v>
      </c>
      <c r="G583" s="3978"/>
      <c r="H583" s="464" t="s">
        <v>5766</v>
      </c>
      <c r="I583" s="464"/>
      <c r="J583" s="464" t="s">
        <v>5767</v>
      </c>
      <c r="L583" s="2327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27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27"/>
    </row>
    <row r="586" spans="2:18" s="350" customFormat="1" ht="17.399999999999999" x14ac:dyDescent="0.25">
      <c r="L586" s="2327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966" t="s">
        <v>6635</v>
      </c>
      <c r="B1" s="3966" t="s">
        <v>8496</v>
      </c>
    </row>
    <row r="2" spans="1:4" x14ac:dyDescent="0.25">
      <c r="A2" s="3966"/>
      <c r="B2" s="3966"/>
    </row>
    <row r="3" spans="1:4" x14ac:dyDescent="0.25">
      <c r="A3" s="2511" t="s">
        <v>6726</v>
      </c>
      <c r="B3" s="2510" t="s">
        <v>8621</v>
      </c>
      <c r="C3" s="2536" t="s">
        <v>8623</v>
      </c>
      <c r="D3" s="2536" t="s">
        <v>8625</v>
      </c>
    </row>
    <row r="4" spans="1:4" x14ac:dyDescent="0.25">
      <c r="A4" t="s">
        <v>6727</v>
      </c>
      <c r="B4" s="2510" t="s">
        <v>8594</v>
      </c>
    </row>
    <row r="5" spans="1:4" x14ac:dyDescent="0.25">
      <c r="A5" t="s">
        <v>6728</v>
      </c>
      <c r="B5" s="2510" t="s">
        <v>8499</v>
      </c>
    </row>
    <row r="6" spans="1:4" x14ac:dyDescent="0.25">
      <c r="A6" t="s">
        <v>6729</v>
      </c>
      <c r="B6" s="2510" t="s">
        <v>8595</v>
      </c>
    </row>
    <row r="7" spans="1:4" x14ac:dyDescent="0.25">
      <c r="A7" t="s">
        <v>6730</v>
      </c>
      <c r="B7" s="2510" t="s">
        <v>8500</v>
      </c>
    </row>
    <row r="8" spans="1:4" x14ac:dyDescent="0.25">
      <c r="A8" t="s">
        <v>6731</v>
      </c>
      <c r="B8" s="2510" t="s">
        <v>8596</v>
      </c>
    </row>
    <row r="9" spans="1:4" x14ac:dyDescent="0.25">
      <c r="A9" t="s">
        <v>6732</v>
      </c>
      <c r="B9" s="2510" t="s">
        <v>8501</v>
      </c>
    </row>
    <row r="10" spans="1:4" x14ac:dyDescent="0.25">
      <c r="A10" t="s">
        <v>6733</v>
      </c>
      <c r="B10" s="2510" t="s">
        <v>8597</v>
      </c>
    </row>
    <row r="11" spans="1:4" x14ac:dyDescent="0.25">
      <c r="A11" t="s">
        <v>6734</v>
      </c>
      <c r="B11" s="2510" t="s">
        <v>8502</v>
      </c>
    </row>
    <row r="12" spans="1:4" x14ac:dyDescent="0.25">
      <c r="A12" t="s">
        <v>6735</v>
      </c>
      <c r="B12" s="2510" t="s">
        <v>8598</v>
      </c>
    </row>
    <row r="13" spans="1:4" x14ac:dyDescent="0.25">
      <c r="A13" t="s">
        <v>6736</v>
      </c>
      <c r="B13" s="2510" t="s">
        <v>8503</v>
      </c>
    </row>
    <row r="14" spans="1:4" x14ac:dyDescent="0.25">
      <c r="A14" t="s">
        <v>6737</v>
      </c>
      <c r="B14" s="2510" t="s">
        <v>8599</v>
      </c>
    </row>
    <row r="15" spans="1:4" x14ac:dyDescent="0.25">
      <c r="A15" t="s">
        <v>6738</v>
      </c>
      <c r="B15" s="2510" t="s">
        <v>8504</v>
      </c>
    </row>
    <row r="16" spans="1:4" x14ac:dyDescent="0.25">
      <c r="A16" t="s">
        <v>6739</v>
      </c>
      <c r="B16" s="2510" t="s">
        <v>8600</v>
      </c>
    </row>
    <row r="17" spans="1:2" x14ac:dyDescent="0.25">
      <c r="A17" t="s">
        <v>6740</v>
      </c>
      <c r="B17" s="2510" t="s">
        <v>8505</v>
      </c>
    </row>
    <row r="18" spans="1:2" x14ac:dyDescent="0.25">
      <c r="A18" t="s">
        <v>6741</v>
      </c>
      <c r="B18" s="2510" t="s">
        <v>8601</v>
      </c>
    </row>
    <row r="19" spans="1:2" x14ac:dyDescent="0.25">
      <c r="A19" t="s">
        <v>6742</v>
      </c>
      <c r="B19" s="2510" t="s">
        <v>8506</v>
      </c>
    </row>
    <row r="20" spans="1:2" x14ac:dyDescent="0.25">
      <c r="A20" t="s">
        <v>6743</v>
      </c>
      <c r="B20" s="2510" t="s">
        <v>8602</v>
      </c>
    </row>
    <row r="21" spans="1:2" x14ac:dyDescent="0.25">
      <c r="A21" t="s">
        <v>6744</v>
      </c>
      <c r="B21" s="2510" t="s">
        <v>8507</v>
      </c>
    </row>
    <row r="22" spans="1:2" x14ac:dyDescent="0.25">
      <c r="A22" t="s">
        <v>6745</v>
      </c>
      <c r="B22" s="2510" t="s">
        <v>8603</v>
      </c>
    </row>
    <row r="23" spans="1:2" x14ac:dyDescent="0.25">
      <c r="A23" t="s">
        <v>6746</v>
      </c>
      <c r="B23" s="2510" t="s">
        <v>8508</v>
      </c>
    </row>
    <row r="24" spans="1:2" x14ac:dyDescent="0.25">
      <c r="A24" t="s">
        <v>6747</v>
      </c>
      <c r="B24" s="2510" t="s">
        <v>8604</v>
      </c>
    </row>
    <row r="25" spans="1:2" x14ac:dyDescent="0.25">
      <c r="A25" t="s">
        <v>6748</v>
      </c>
      <c r="B25" s="2510" t="s">
        <v>8509</v>
      </c>
    </row>
    <row r="26" spans="1:2" x14ac:dyDescent="0.25">
      <c r="A26" t="s">
        <v>6749</v>
      </c>
      <c r="B26" s="2510" t="s">
        <v>8605</v>
      </c>
    </row>
    <row r="27" spans="1:2" x14ac:dyDescent="0.25">
      <c r="A27" t="s">
        <v>6750</v>
      </c>
      <c r="B27" s="2510" t="s">
        <v>8510</v>
      </c>
    </row>
    <row r="28" spans="1:2" x14ac:dyDescent="0.25">
      <c r="A28" t="s">
        <v>6751</v>
      </c>
      <c r="B28" s="2510" t="s">
        <v>8606</v>
      </c>
    </row>
    <row r="29" spans="1:2" x14ac:dyDescent="0.25">
      <c r="A29" t="s">
        <v>6752</v>
      </c>
      <c r="B29" s="2510" t="s">
        <v>8511</v>
      </c>
    </row>
    <row r="30" spans="1:2" x14ac:dyDescent="0.25">
      <c r="A30" t="s">
        <v>6753</v>
      </c>
      <c r="B30" s="2510" t="s">
        <v>8607</v>
      </c>
    </row>
    <row r="31" spans="1:2" x14ac:dyDescent="0.25">
      <c r="A31" t="s">
        <v>6754</v>
      </c>
      <c r="B31" s="2510" t="s">
        <v>8512</v>
      </c>
    </row>
    <row r="32" spans="1:2" x14ac:dyDescent="0.25">
      <c r="A32" t="s">
        <v>6755</v>
      </c>
      <c r="B32" s="2510" t="s">
        <v>8608</v>
      </c>
    </row>
    <row r="33" spans="1:2" x14ac:dyDescent="0.25">
      <c r="A33" t="s">
        <v>6756</v>
      </c>
      <c r="B33" s="2510" t="s">
        <v>8513</v>
      </c>
    </row>
    <row r="34" spans="1:2" x14ac:dyDescent="0.25">
      <c r="A34" t="s">
        <v>6757</v>
      </c>
      <c r="B34" s="2510" t="s">
        <v>8609</v>
      </c>
    </row>
    <row r="35" spans="1:2" x14ac:dyDescent="0.25">
      <c r="A35" t="s">
        <v>6758</v>
      </c>
      <c r="B35" s="2510" t="s">
        <v>8514</v>
      </c>
    </row>
    <row r="36" spans="1:2" x14ac:dyDescent="0.25">
      <c r="A36" t="s">
        <v>6759</v>
      </c>
      <c r="B36" s="2510" t="s">
        <v>8610</v>
      </c>
    </row>
    <row r="37" spans="1:2" x14ac:dyDescent="0.25">
      <c r="A37" t="s">
        <v>6760</v>
      </c>
      <c r="B37" s="2510" t="s">
        <v>8515</v>
      </c>
    </row>
    <row r="38" spans="1:2" x14ac:dyDescent="0.25">
      <c r="A38" t="s">
        <v>6761</v>
      </c>
      <c r="B38" s="2510" t="s">
        <v>8611</v>
      </c>
    </row>
    <row r="39" spans="1:2" x14ac:dyDescent="0.25">
      <c r="A39" t="s">
        <v>6762</v>
      </c>
      <c r="B39" s="2510" t="s">
        <v>8516</v>
      </c>
    </row>
    <row r="40" spans="1:2" x14ac:dyDescent="0.25">
      <c r="A40" t="s">
        <v>6763</v>
      </c>
      <c r="B40" s="2510" t="s">
        <v>8612</v>
      </c>
    </row>
    <row r="41" spans="1:2" x14ac:dyDescent="0.25">
      <c r="A41" t="s">
        <v>6764</v>
      </c>
      <c r="B41" s="2510" t="s">
        <v>8517</v>
      </c>
    </row>
    <row r="42" spans="1:2" x14ac:dyDescent="0.25">
      <c r="A42" t="s">
        <v>6765</v>
      </c>
      <c r="B42" s="2510" t="s">
        <v>8613</v>
      </c>
    </row>
    <row r="43" spans="1:2" x14ac:dyDescent="0.25">
      <c r="A43" t="s">
        <v>6766</v>
      </c>
      <c r="B43" s="2510" t="s">
        <v>8518</v>
      </c>
    </row>
    <row r="44" spans="1:2" x14ac:dyDescent="0.25">
      <c r="A44" t="s">
        <v>6767</v>
      </c>
      <c r="B44" s="2510" t="s">
        <v>8614</v>
      </c>
    </row>
    <row r="45" spans="1:2" x14ac:dyDescent="0.25">
      <c r="A45" t="s">
        <v>6768</v>
      </c>
      <c r="B45" s="2510" t="s">
        <v>8519</v>
      </c>
    </row>
    <row r="46" spans="1:2" x14ac:dyDescent="0.25">
      <c r="A46" t="s">
        <v>6769</v>
      </c>
      <c r="B46" s="2510" t="s">
        <v>8615</v>
      </c>
    </row>
    <row r="47" spans="1:2" x14ac:dyDescent="0.25">
      <c r="A47" t="s">
        <v>6770</v>
      </c>
      <c r="B47" s="2510" t="s">
        <v>8520</v>
      </c>
    </row>
    <row r="48" spans="1:2" x14ac:dyDescent="0.25">
      <c r="A48" t="s">
        <v>6771</v>
      </c>
      <c r="B48" s="2510" t="s">
        <v>8616</v>
      </c>
    </row>
    <row r="49" spans="1:4" x14ac:dyDescent="0.25">
      <c r="A49" t="s">
        <v>6772</v>
      </c>
      <c r="B49" s="2510" t="s">
        <v>8521</v>
      </c>
    </row>
    <row r="50" spans="1:4" x14ac:dyDescent="0.25">
      <c r="A50" t="s">
        <v>6773</v>
      </c>
      <c r="B50" s="2510" t="s">
        <v>8617</v>
      </c>
    </row>
    <row r="51" spans="1:4" x14ac:dyDescent="0.25">
      <c r="A51" t="s">
        <v>6774</v>
      </c>
      <c r="B51" s="2510" t="s">
        <v>8522</v>
      </c>
    </row>
    <row r="52" spans="1:4" x14ac:dyDescent="0.25">
      <c r="A52" t="s">
        <v>6775</v>
      </c>
      <c r="B52" s="2510" t="s">
        <v>8618</v>
      </c>
    </row>
    <row r="53" spans="1:4" x14ac:dyDescent="0.25">
      <c r="A53" t="s">
        <v>8488</v>
      </c>
      <c r="B53" s="2510" t="s">
        <v>8523</v>
      </c>
    </row>
    <row r="54" spans="1:4" x14ac:dyDescent="0.25">
      <c r="A54" t="s">
        <v>8489</v>
      </c>
      <c r="B54" s="2510" t="s">
        <v>8619</v>
      </c>
    </row>
    <row r="55" spans="1:4" x14ac:dyDescent="0.25">
      <c r="A55" s="2511" t="s">
        <v>6776</v>
      </c>
      <c r="B55" s="2510" t="s">
        <v>8621</v>
      </c>
      <c r="C55" s="2536" t="s">
        <v>8623</v>
      </c>
      <c r="D55" s="2536" t="s">
        <v>8625</v>
      </c>
    </row>
    <row r="56" spans="1:4" x14ac:dyDescent="0.25">
      <c r="A56" t="s">
        <v>6777</v>
      </c>
      <c r="B56" s="2510" t="s">
        <v>8594</v>
      </c>
    </row>
    <row r="57" spans="1:4" x14ac:dyDescent="0.25">
      <c r="A57" t="s">
        <v>6778</v>
      </c>
      <c r="B57" s="2510" t="s">
        <v>8499</v>
      </c>
    </row>
    <row r="58" spans="1:4" x14ac:dyDescent="0.25">
      <c r="A58" t="s">
        <v>6779</v>
      </c>
      <c r="B58" s="2510" t="s">
        <v>8595</v>
      </c>
    </row>
    <row r="59" spans="1:4" x14ac:dyDescent="0.25">
      <c r="A59" t="s">
        <v>6780</v>
      </c>
      <c r="B59" s="2510" t="s">
        <v>8500</v>
      </c>
    </row>
    <row r="60" spans="1:4" x14ac:dyDescent="0.25">
      <c r="A60" t="s">
        <v>6781</v>
      </c>
      <c r="B60" s="2510" t="s">
        <v>8596</v>
      </c>
    </row>
    <row r="61" spans="1:4" x14ac:dyDescent="0.25">
      <c r="A61" t="s">
        <v>6782</v>
      </c>
      <c r="B61" s="2510" t="s">
        <v>8501</v>
      </c>
    </row>
    <row r="62" spans="1:4" x14ac:dyDescent="0.25">
      <c r="A62" t="s">
        <v>6783</v>
      </c>
      <c r="B62" s="2510" t="s">
        <v>8597</v>
      </c>
    </row>
    <row r="63" spans="1:4" x14ac:dyDescent="0.25">
      <c r="A63" t="s">
        <v>6784</v>
      </c>
      <c r="B63" s="2510" t="s">
        <v>8502</v>
      </c>
    </row>
    <row r="64" spans="1:4" x14ac:dyDescent="0.25">
      <c r="A64" t="s">
        <v>6785</v>
      </c>
      <c r="B64" s="2510" t="s">
        <v>8598</v>
      </c>
    </row>
    <row r="65" spans="1:2" x14ac:dyDescent="0.25">
      <c r="A65" t="s">
        <v>6786</v>
      </c>
      <c r="B65" s="2510" t="s">
        <v>8503</v>
      </c>
    </row>
    <row r="66" spans="1:2" x14ac:dyDescent="0.25">
      <c r="A66" t="s">
        <v>6787</v>
      </c>
      <c r="B66" s="2510" t="s">
        <v>8599</v>
      </c>
    </row>
    <row r="67" spans="1:2" x14ac:dyDescent="0.25">
      <c r="A67" t="s">
        <v>6788</v>
      </c>
      <c r="B67" s="2510" t="s">
        <v>8504</v>
      </c>
    </row>
    <row r="68" spans="1:2" x14ac:dyDescent="0.25">
      <c r="A68" t="s">
        <v>6789</v>
      </c>
      <c r="B68" s="2510" t="s">
        <v>8600</v>
      </c>
    </row>
    <row r="69" spans="1:2" x14ac:dyDescent="0.25">
      <c r="A69" t="s">
        <v>6790</v>
      </c>
      <c r="B69" s="2510" t="s">
        <v>8505</v>
      </c>
    </row>
    <row r="70" spans="1:2" x14ac:dyDescent="0.25">
      <c r="A70" t="s">
        <v>6791</v>
      </c>
      <c r="B70" s="2510" t="s">
        <v>8601</v>
      </c>
    </row>
    <row r="71" spans="1:2" x14ac:dyDescent="0.25">
      <c r="A71" t="s">
        <v>6792</v>
      </c>
      <c r="B71" s="2510" t="s">
        <v>8506</v>
      </c>
    </row>
    <row r="72" spans="1:2" x14ac:dyDescent="0.25">
      <c r="A72" t="s">
        <v>6793</v>
      </c>
      <c r="B72" s="2510" t="s">
        <v>8602</v>
      </c>
    </row>
    <row r="73" spans="1:2" x14ac:dyDescent="0.25">
      <c r="A73" t="s">
        <v>6794</v>
      </c>
      <c r="B73" s="2510" t="s">
        <v>8507</v>
      </c>
    </row>
    <row r="74" spans="1:2" x14ac:dyDescent="0.25">
      <c r="A74" t="s">
        <v>6795</v>
      </c>
      <c r="B74" s="2510" t="s">
        <v>8603</v>
      </c>
    </row>
    <row r="75" spans="1:2" x14ac:dyDescent="0.25">
      <c r="A75" t="s">
        <v>6796</v>
      </c>
      <c r="B75" s="2510" t="s">
        <v>8508</v>
      </c>
    </row>
    <row r="76" spans="1:2" x14ac:dyDescent="0.25">
      <c r="A76" t="s">
        <v>6797</v>
      </c>
      <c r="B76" s="2510" t="s">
        <v>8604</v>
      </c>
    </row>
    <row r="77" spans="1:2" x14ac:dyDescent="0.25">
      <c r="A77" t="s">
        <v>6798</v>
      </c>
      <c r="B77" s="2510" t="s">
        <v>8509</v>
      </c>
    </row>
    <row r="78" spans="1:2" x14ac:dyDescent="0.25">
      <c r="A78" t="s">
        <v>6799</v>
      </c>
      <c r="B78" s="2510" t="s">
        <v>8605</v>
      </c>
    </row>
    <row r="79" spans="1:2" x14ac:dyDescent="0.25">
      <c r="A79" t="s">
        <v>6800</v>
      </c>
      <c r="B79" s="2510" t="s">
        <v>8510</v>
      </c>
    </row>
    <row r="80" spans="1:2" x14ac:dyDescent="0.25">
      <c r="A80" t="s">
        <v>6801</v>
      </c>
      <c r="B80" s="2510" t="s">
        <v>8606</v>
      </c>
    </row>
    <row r="81" spans="1:2" x14ac:dyDescent="0.25">
      <c r="A81" t="s">
        <v>6802</v>
      </c>
      <c r="B81" s="2510" t="s">
        <v>8511</v>
      </c>
    </row>
    <row r="82" spans="1:2" x14ac:dyDescent="0.25">
      <c r="A82" t="s">
        <v>6803</v>
      </c>
      <c r="B82" s="2510" t="s">
        <v>8607</v>
      </c>
    </row>
    <row r="83" spans="1:2" x14ac:dyDescent="0.25">
      <c r="A83" t="s">
        <v>6804</v>
      </c>
      <c r="B83" s="2510" t="s">
        <v>8512</v>
      </c>
    </row>
    <row r="84" spans="1:2" x14ac:dyDescent="0.25">
      <c r="A84" t="s">
        <v>6805</v>
      </c>
      <c r="B84" s="2510" t="s">
        <v>8608</v>
      </c>
    </row>
    <row r="85" spans="1:2" x14ac:dyDescent="0.25">
      <c r="A85" t="s">
        <v>6806</v>
      </c>
      <c r="B85" s="2510" t="s">
        <v>8513</v>
      </c>
    </row>
    <row r="86" spans="1:2" x14ac:dyDescent="0.25">
      <c r="A86" t="s">
        <v>6807</v>
      </c>
      <c r="B86" s="2510" t="s">
        <v>8609</v>
      </c>
    </row>
    <row r="87" spans="1:2" x14ac:dyDescent="0.25">
      <c r="A87" t="s">
        <v>6808</v>
      </c>
      <c r="B87" s="2510" t="s">
        <v>8514</v>
      </c>
    </row>
    <row r="88" spans="1:2" x14ac:dyDescent="0.25">
      <c r="A88" t="s">
        <v>6809</v>
      </c>
      <c r="B88" s="2510" t="s">
        <v>8610</v>
      </c>
    </row>
    <row r="89" spans="1:2" x14ac:dyDescent="0.25">
      <c r="A89" t="s">
        <v>6810</v>
      </c>
      <c r="B89" s="2510" t="s">
        <v>8515</v>
      </c>
    </row>
    <row r="90" spans="1:2" x14ac:dyDescent="0.25">
      <c r="A90" t="s">
        <v>6811</v>
      </c>
      <c r="B90" s="2510" t="s">
        <v>8611</v>
      </c>
    </row>
    <row r="91" spans="1:2" x14ac:dyDescent="0.25">
      <c r="A91" t="s">
        <v>6812</v>
      </c>
      <c r="B91" s="2510" t="s">
        <v>8516</v>
      </c>
    </row>
    <row r="92" spans="1:2" x14ac:dyDescent="0.25">
      <c r="A92" t="s">
        <v>6813</v>
      </c>
      <c r="B92" s="2510" t="s">
        <v>8612</v>
      </c>
    </row>
    <row r="93" spans="1:2" x14ac:dyDescent="0.25">
      <c r="A93" t="s">
        <v>6814</v>
      </c>
      <c r="B93" s="2510" t="s">
        <v>8517</v>
      </c>
    </row>
    <row r="94" spans="1:2" x14ac:dyDescent="0.25">
      <c r="A94" t="s">
        <v>6815</v>
      </c>
      <c r="B94" s="2510" t="s">
        <v>8613</v>
      </c>
    </row>
    <row r="95" spans="1:2" x14ac:dyDescent="0.25">
      <c r="A95" t="s">
        <v>6816</v>
      </c>
      <c r="B95" s="2510" t="s">
        <v>8518</v>
      </c>
    </row>
    <row r="96" spans="1:2" x14ac:dyDescent="0.25">
      <c r="A96" t="s">
        <v>6817</v>
      </c>
      <c r="B96" s="2510" t="s">
        <v>8614</v>
      </c>
    </row>
    <row r="97" spans="1:4" x14ac:dyDescent="0.25">
      <c r="A97" t="s">
        <v>6818</v>
      </c>
      <c r="B97" s="2510" t="s">
        <v>8519</v>
      </c>
    </row>
    <row r="98" spans="1:4" x14ac:dyDescent="0.25">
      <c r="A98" t="s">
        <v>6819</v>
      </c>
      <c r="B98" s="2510" t="s">
        <v>8615</v>
      </c>
    </row>
    <row r="99" spans="1:4" x14ac:dyDescent="0.25">
      <c r="A99" t="s">
        <v>6820</v>
      </c>
      <c r="B99" s="2510" t="s">
        <v>8520</v>
      </c>
    </row>
    <row r="100" spans="1:4" x14ac:dyDescent="0.25">
      <c r="A100" t="s">
        <v>6821</v>
      </c>
      <c r="B100" s="2510" t="s">
        <v>8616</v>
      </c>
    </row>
    <row r="101" spans="1:4" x14ac:dyDescent="0.25">
      <c r="A101" t="s">
        <v>6822</v>
      </c>
      <c r="B101" s="2510" t="s">
        <v>8521</v>
      </c>
    </row>
    <row r="102" spans="1:4" x14ac:dyDescent="0.25">
      <c r="A102" t="s">
        <v>6823</v>
      </c>
      <c r="B102" s="2510" t="s">
        <v>8617</v>
      </c>
    </row>
    <row r="103" spans="1:4" x14ac:dyDescent="0.25">
      <c r="A103" t="s">
        <v>6824</v>
      </c>
      <c r="B103" s="2510" t="s">
        <v>8522</v>
      </c>
    </row>
    <row r="104" spans="1:4" x14ac:dyDescent="0.25">
      <c r="A104" t="s">
        <v>6825</v>
      </c>
      <c r="B104" s="2510" t="s">
        <v>8618</v>
      </c>
    </row>
    <row r="105" spans="1:4" x14ac:dyDescent="0.25">
      <c r="A105" t="s">
        <v>8494</v>
      </c>
      <c r="B105" s="2510" t="s">
        <v>8523</v>
      </c>
    </row>
    <row r="106" spans="1:4" x14ac:dyDescent="0.25">
      <c r="A106" t="s">
        <v>8495</v>
      </c>
      <c r="B106" s="2510" t="s">
        <v>8619</v>
      </c>
    </row>
    <row r="107" spans="1:4" x14ac:dyDescent="0.25">
      <c r="A107" s="2511" t="s">
        <v>6826</v>
      </c>
      <c r="B107" s="2510" t="s">
        <v>8621</v>
      </c>
      <c r="C107" s="2536" t="s">
        <v>8623</v>
      </c>
      <c r="D107" s="2536" t="s">
        <v>8625</v>
      </c>
    </row>
    <row r="108" spans="1:4" x14ac:dyDescent="0.25">
      <c r="A108" t="s">
        <v>6827</v>
      </c>
      <c r="B108" s="2510" t="s">
        <v>8594</v>
      </c>
    </row>
    <row r="109" spans="1:4" x14ac:dyDescent="0.25">
      <c r="A109" t="s">
        <v>6828</v>
      </c>
      <c r="B109" s="2510" t="s">
        <v>8499</v>
      </c>
    </row>
    <row r="110" spans="1:4" x14ac:dyDescent="0.25">
      <c r="A110" t="s">
        <v>6829</v>
      </c>
      <c r="B110" s="2510" t="s">
        <v>8595</v>
      </c>
    </row>
    <row r="111" spans="1:4" x14ac:dyDescent="0.25">
      <c r="A111" t="s">
        <v>6830</v>
      </c>
      <c r="B111" s="2510" t="s">
        <v>8500</v>
      </c>
    </row>
    <row r="112" spans="1:4" x14ac:dyDescent="0.25">
      <c r="A112" t="s">
        <v>6831</v>
      </c>
      <c r="B112" s="2510" t="s">
        <v>8596</v>
      </c>
    </row>
    <row r="113" spans="1:2" x14ac:dyDescent="0.25">
      <c r="A113" t="s">
        <v>6832</v>
      </c>
      <c r="B113" s="2510" t="s">
        <v>8501</v>
      </c>
    </row>
    <row r="114" spans="1:2" x14ac:dyDescent="0.25">
      <c r="A114" t="s">
        <v>6833</v>
      </c>
      <c r="B114" s="2510" t="s">
        <v>8597</v>
      </c>
    </row>
    <row r="115" spans="1:2" x14ac:dyDescent="0.25">
      <c r="A115" t="s">
        <v>6834</v>
      </c>
      <c r="B115" s="2510" t="s">
        <v>8502</v>
      </c>
    </row>
    <row r="116" spans="1:2" x14ac:dyDescent="0.25">
      <c r="A116" t="s">
        <v>6835</v>
      </c>
      <c r="B116" s="2510" t="s">
        <v>8598</v>
      </c>
    </row>
    <row r="117" spans="1:2" x14ac:dyDescent="0.25">
      <c r="A117" t="s">
        <v>6836</v>
      </c>
      <c r="B117" s="2510" t="s">
        <v>8503</v>
      </c>
    </row>
    <row r="118" spans="1:2" x14ac:dyDescent="0.25">
      <c r="A118" t="s">
        <v>6837</v>
      </c>
      <c r="B118" s="2510" t="s">
        <v>8599</v>
      </c>
    </row>
    <row r="119" spans="1:2" x14ac:dyDescent="0.25">
      <c r="A119" t="s">
        <v>6838</v>
      </c>
      <c r="B119" s="2510" t="s">
        <v>8504</v>
      </c>
    </row>
    <row r="120" spans="1:2" x14ac:dyDescent="0.25">
      <c r="A120" t="s">
        <v>6839</v>
      </c>
      <c r="B120" s="2510" t="s">
        <v>8600</v>
      </c>
    </row>
    <row r="121" spans="1:2" x14ac:dyDescent="0.25">
      <c r="A121" t="s">
        <v>6840</v>
      </c>
      <c r="B121" s="2510" t="s">
        <v>8505</v>
      </c>
    </row>
    <row r="122" spans="1:2" x14ac:dyDescent="0.25">
      <c r="A122" t="s">
        <v>6841</v>
      </c>
      <c r="B122" s="2510" t="s">
        <v>8601</v>
      </c>
    </row>
    <row r="123" spans="1:2" x14ac:dyDescent="0.25">
      <c r="A123" t="s">
        <v>6842</v>
      </c>
      <c r="B123" s="2510" t="s">
        <v>8506</v>
      </c>
    </row>
    <row r="124" spans="1:2" x14ac:dyDescent="0.25">
      <c r="A124" t="s">
        <v>6843</v>
      </c>
      <c r="B124" s="2510" t="s">
        <v>8602</v>
      </c>
    </row>
    <row r="125" spans="1:2" x14ac:dyDescent="0.25">
      <c r="A125" t="s">
        <v>6844</v>
      </c>
      <c r="B125" s="2510" t="s">
        <v>8507</v>
      </c>
    </row>
    <row r="126" spans="1:2" x14ac:dyDescent="0.25">
      <c r="A126" t="s">
        <v>6845</v>
      </c>
      <c r="B126" s="2510" t="s">
        <v>8603</v>
      </c>
    </row>
    <row r="127" spans="1:2" x14ac:dyDescent="0.25">
      <c r="A127" t="s">
        <v>6846</v>
      </c>
      <c r="B127" s="2510" t="s">
        <v>8508</v>
      </c>
    </row>
    <row r="128" spans="1:2" x14ac:dyDescent="0.25">
      <c r="A128" t="s">
        <v>6847</v>
      </c>
      <c r="B128" s="2510" t="s">
        <v>8604</v>
      </c>
    </row>
    <row r="129" spans="1:2" x14ac:dyDescent="0.25">
      <c r="A129" t="s">
        <v>6848</v>
      </c>
      <c r="B129" s="2510" t="s">
        <v>8509</v>
      </c>
    </row>
    <row r="130" spans="1:2" x14ac:dyDescent="0.25">
      <c r="A130" t="s">
        <v>6849</v>
      </c>
      <c r="B130" s="2510" t="s">
        <v>8605</v>
      </c>
    </row>
    <row r="131" spans="1:2" x14ac:dyDescent="0.25">
      <c r="A131" t="s">
        <v>6850</v>
      </c>
      <c r="B131" s="2510" t="s">
        <v>8510</v>
      </c>
    </row>
    <row r="132" spans="1:2" x14ac:dyDescent="0.25">
      <c r="A132" t="s">
        <v>6851</v>
      </c>
      <c r="B132" s="2510" t="s">
        <v>8606</v>
      </c>
    </row>
    <row r="133" spans="1:2" x14ac:dyDescent="0.25">
      <c r="A133" t="s">
        <v>6852</v>
      </c>
      <c r="B133" s="2510" t="s">
        <v>8511</v>
      </c>
    </row>
    <row r="134" spans="1:2" x14ac:dyDescent="0.25">
      <c r="A134" t="s">
        <v>6853</v>
      </c>
      <c r="B134" s="2510" t="s">
        <v>8607</v>
      </c>
    </row>
    <row r="135" spans="1:2" x14ac:dyDescent="0.25">
      <c r="A135" t="s">
        <v>6854</v>
      </c>
      <c r="B135" s="2510" t="s">
        <v>8512</v>
      </c>
    </row>
    <row r="136" spans="1:2" x14ac:dyDescent="0.25">
      <c r="A136" t="s">
        <v>6855</v>
      </c>
      <c r="B136" s="2510" t="s">
        <v>8608</v>
      </c>
    </row>
    <row r="137" spans="1:2" x14ac:dyDescent="0.25">
      <c r="A137" t="s">
        <v>6856</v>
      </c>
      <c r="B137" s="2510" t="s">
        <v>8513</v>
      </c>
    </row>
    <row r="138" spans="1:2" x14ac:dyDescent="0.25">
      <c r="A138" t="s">
        <v>6857</v>
      </c>
      <c r="B138" s="2510" t="s">
        <v>8609</v>
      </c>
    </row>
    <row r="139" spans="1:2" x14ac:dyDescent="0.25">
      <c r="A139" t="s">
        <v>6858</v>
      </c>
      <c r="B139" s="2510" t="s">
        <v>8514</v>
      </c>
    </row>
    <row r="140" spans="1:2" x14ac:dyDescent="0.25">
      <c r="A140" t="s">
        <v>6859</v>
      </c>
      <c r="B140" s="2510" t="s">
        <v>8610</v>
      </c>
    </row>
    <row r="141" spans="1:2" x14ac:dyDescent="0.25">
      <c r="A141" t="s">
        <v>6860</v>
      </c>
      <c r="B141" s="2510" t="s">
        <v>8515</v>
      </c>
    </row>
    <row r="142" spans="1:2" x14ac:dyDescent="0.25">
      <c r="A142" t="s">
        <v>6861</v>
      </c>
      <c r="B142" s="2510" t="s">
        <v>8611</v>
      </c>
    </row>
    <row r="143" spans="1:2" x14ac:dyDescent="0.25">
      <c r="A143" t="s">
        <v>6862</v>
      </c>
      <c r="B143" s="2510" t="s">
        <v>8516</v>
      </c>
    </row>
    <row r="144" spans="1:2" x14ac:dyDescent="0.25">
      <c r="A144" t="s">
        <v>6863</v>
      </c>
      <c r="B144" s="2510" t="s">
        <v>8612</v>
      </c>
    </row>
    <row r="145" spans="1:4" x14ac:dyDescent="0.25">
      <c r="A145" t="s">
        <v>6864</v>
      </c>
      <c r="B145" s="2510" t="s">
        <v>8517</v>
      </c>
    </row>
    <row r="146" spans="1:4" x14ac:dyDescent="0.25">
      <c r="A146" t="s">
        <v>6865</v>
      </c>
      <c r="B146" s="2510" t="s">
        <v>8613</v>
      </c>
    </row>
    <row r="147" spans="1:4" x14ac:dyDescent="0.25">
      <c r="A147" t="s">
        <v>6866</v>
      </c>
      <c r="B147" s="2510" t="s">
        <v>8518</v>
      </c>
    </row>
    <row r="148" spans="1:4" x14ac:dyDescent="0.25">
      <c r="A148" t="s">
        <v>6867</v>
      </c>
      <c r="B148" s="2510" t="s">
        <v>8614</v>
      </c>
    </row>
    <row r="149" spans="1:4" x14ac:dyDescent="0.25">
      <c r="A149" t="s">
        <v>6868</v>
      </c>
      <c r="B149" s="2510" t="s">
        <v>8519</v>
      </c>
    </row>
    <row r="150" spans="1:4" x14ac:dyDescent="0.25">
      <c r="A150" t="s">
        <v>6869</v>
      </c>
      <c r="B150" s="2510" t="s">
        <v>8615</v>
      </c>
    </row>
    <row r="151" spans="1:4" x14ac:dyDescent="0.25">
      <c r="A151" t="s">
        <v>6870</v>
      </c>
      <c r="B151" s="2510" t="s">
        <v>8520</v>
      </c>
    </row>
    <row r="152" spans="1:4" x14ac:dyDescent="0.25">
      <c r="A152" t="s">
        <v>6871</v>
      </c>
      <c r="B152" s="2510" t="s">
        <v>8616</v>
      </c>
    </row>
    <row r="153" spans="1:4" x14ac:dyDescent="0.25">
      <c r="A153" t="s">
        <v>6872</v>
      </c>
      <c r="B153" s="2510" t="s">
        <v>8521</v>
      </c>
    </row>
    <row r="154" spans="1:4" x14ac:dyDescent="0.25">
      <c r="A154" t="s">
        <v>6873</v>
      </c>
      <c r="B154" s="2510" t="s">
        <v>8617</v>
      </c>
    </row>
    <row r="155" spans="1:4" x14ac:dyDescent="0.25">
      <c r="A155" t="s">
        <v>6874</v>
      </c>
      <c r="B155" s="2510" t="s">
        <v>8522</v>
      </c>
    </row>
    <row r="156" spans="1:4" x14ac:dyDescent="0.25">
      <c r="A156" t="s">
        <v>6875</v>
      </c>
      <c r="B156" s="2510" t="s">
        <v>8618</v>
      </c>
    </row>
    <row r="157" spans="1:4" x14ac:dyDescent="0.25">
      <c r="A157" t="s">
        <v>8492</v>
      </c>
      <c r="B157" s="2510" t="s">
        <v>8523</v>
      </c>
    </row>
    <row r="158" spans="1:4" x14ac:dyDescent="0.25">
      <c r="A158" t="s">
        <v>8493</v>
      </c>
      <c r="B158" s="2510" t="s">
        <v>8619</v>
      </c>
    </row>
    <row r="159" spans="1:4" x14ac:dyDescent="0.25">
      <c r="A159" s="2511" t="s">
        <v>6876</v>
      </c>
      <c r="B159" s="2510" t="s">
        <v>8621</v>
      </c>
      <c r="C159" s="2536" t="s">
        <v>8623</v>
      </c>
      <c r="D159" s="2536" t="s">
        <v>8625</v>
      </c>
    </row>
    <row r="160" spans="1:4" x14ac:dyDescent="0.25">
      <c r="A160" t="s">
        <v>6877</v>
      </c>
      <c r="B160" s="2510" t="s">
        <v>8594</v>
      </c>
    </row>
    <row r="161" spans="1:2" x14ac:dyDescent="0.25">
      <c r="A161" t="s">
        <v>6878</v>
      </c>
      <c r="B161" s="2510" t="s">
        <v>8499</v>
      </c>
    </row>
    <row r="162" spans="1:2" x14ac:dyDescent="0.25">
      <c r="A162" t="s">
        <v>6879</v>
      </c>
      <c r="B162" s="2510" t="s">
        <v>8595</v>
      </c>
    </row>
    <row r="163" spans="1:2" x14ac:dyDescent="0.25">
      <c r="A163" t="s">
        <v>6880</v>
      </c>
      <c r="B163" s="2510" t="s">
        <v>8500</v>
      </c>
    </row>
    <row r="164" spans="1:2" x14ac:dyDescent="0.25">
      <c r="A164" t="s">
        <v>6881</v>
      </c>
      <c r="B164" s="2510" t="s">
        <v>8596</v>
      </c>
    </row>
    <row r="165" spans="1:2" x14ac:dyDescent="0.25">
      <c r="A165" t="s">
        <v>6882</v>
      </c>
      <c r="B165" s="2510" t="s">
        <v>8501</v>
      </c>
    </row>
    <row r="166" spans="1:2" x14ac:dyDescent="0.25">
      <c r="A166" t="s">
        <v>6883</v>
      </c>
      <c r="B166" s="2510" t="s">
        <v>8597</v>
      </c>
    </row>
    <row r="167" spans="1:2" x14ac:dyDescent="0.25">
      <c r="A167" t="s">
        <v>6884</v>
      </c>
      <c r="B167" s="2510" t="s">
        <v>8502</v>
      </c>
    </row>
    <row r="168" spans="1:2" x14ac:dyDescent="0.25">
      <c r="A168" t="s">
        <v>6885</v>
      </c>
      <c r="B168" s="2510" t="s">
        <v>8598</v>
      </c>
    </row>
    <row r="169" spans="1:2" x14ac:dyDescent="0.25">
      <c r="A169" t="s">
        <v>6886</v>
      </c>
      <c r="B169" s="2510" t="s">
        <v>8503</v>
      </c>
    </row>
    <row r="170" spans="1:2" x14ac:dyDescent="0.25">
      <c r="A170" t="s">
        <v>6887</v>
      </c>
      <c r="B170" s="2510" t="s">
        <v>8599</v>
      </c>
    </row>
    <row r="171" spans="1:2" x14ac:dyDescent="0.25">
      <c r="A171" t="s">
        <v>6888</v>
      </c>
      <c r="B171" s="2510" t="s">
        <v>8504</v>
      </c>
    </row>
    <row r="172" spans="1:2" x14ac:dyDescent="0.25">
      <c r="A172" t="s">
        <v>6889</v>
      </c>
      <c r="B172" s="2510" t="s">
        <v>8600</v>
      </c>
    </row>
    <row r="173" spans="1:2" x14ac:dyDescent="0.25">
      <c r="A173" t="s">
        <v>6890</v>
      </c>
      <c r="B173" s="2510" t="s">
        <v>8505</v>
      </c>
    </row>
    <row r="174" spans="1:2" x14ac:dyDescent="0.25">
      <c r="A174" t="s">
        <v>6891</v>
      </c>
      <c r="B174" s="2510" t="s">
        <v>8601</v>
      </c>
    </row>
    <row r="175" spans="1:2" x14ac:dyDescent="0.25">
      <c r="A175" t="s">
        <v>6892</v>
      </c>
      <c r="B175" s="2510" t="s">
        <v>8506</v>
      </c>
    </row>
    <row r="176" spans="1:2" x14ac:dyDescent="0.25">
      <c r="A176" t="s">
        <v>6893</v>
      </c>
      <c r="B176" s="2510" t="s">
        <v>8602</v>
      </c>
    </row>
    <row r="177" spans="1:2" x14ac:dyDescent="0.25">
      <c r="A177" t="s">
        <v>6894</v>
      </c>
      <c r="B177" s="2510" t="s">
        <v>8507</v>
      </c>
    </row>
    <row r="178" spans="1:2" x14ac:dyDescent="0.25">
      <c r="A178" t="s">
        <v>6895</v>
      </c>
      <c r="B178" s="2510" t="s">
        <v>8603</v>
      </c>
    </row>
    <row r="179" spans="1:2" x14ac:dyDescent="0.25">
      <c r="A179" t="s">
        <v>6896</v>
      </c>
      <c r="B179" s="2510" t="s">
        <v>8508</v>
      </c>
    </row>
    <row r="180" spans="1:2" x14ac:dyDescent="0.25">
      <c r="A180" t="s">
        <v>6897</v>
      </c>
      <c r="B180" s="2510" t="s">
        <v>8604</v>
      </c>
    </row>
    <row r="181" spans="1:2" x14ac:dyDescent="0.25">
      <c r="A181" t="s">
        <v>6898</v>
      </c>
      <c r="B181" s="2510" t="s">
        <v>8509</v>
      </c>
    </row>
    <row r="182" spans="1:2" x14ac:dyDescent="0.25">
      <c r="A182" t="s">
        <v>6899</v>
      </c>
      <c r="B182" s="2510" t="s">
        <v>8605</v>
      </c>
    </row>
    <row r="183" spans="1:2" x14ac:dyDescent="0.25">
      <c r="A183" t="s">
        <v>6900</v>
      </c>
      <c r="B183" s="2510" t="s">
        <v>8510</v>
      </c>
    </row>
    <row r="184" spans="1:2" x14ac:dyDescent="0.25">
      <c r="A184" t="s">
        <v>6901</v>
      </c>
      <c r="B184" s="2510" t="s">
        <v>8606</v>
      </c>
    </row>
    <row r="185" spans="1:2" x14ac:dyDescent="0.25">
      <c r="A185" t="s">
        <v>6902</v>
      </c>
      <c r="B185" s="2510" t="s">
        <v>8511</v>
      </c>
    </row>
    <row r="186" spans="1:2" x14ac:dyDescent="0.25">
      <c r="A186" t="s">
        <v>6903</v>
      </c>
      <c r="B186" s="2510" t="s">
        <v>8607</v>
      </c>
    </row>
    <row r="187" spans="1:2" x14ac:dyDescent="0.25">
      <c r="A187" t="s">
        <v>6904</v>
      </c>
      <c r="B187" s="2510" t="s">
        <v>8512</v>
      </c>
    </row>
    <row r="188" spans="1:2" x14ac:dyDescent="0.25">
      <c r="A188" t="s">
        <v>6905</v>
      </c>
      <c r="B188" s="2510" t="s">
        <v>8608</v>
      </c>
    </row>
    <row r="189" spans="1:2" x14ac:dyDescent="0.25">
      <c r="A189" t="s">
        <v>6906</v>
      </c>
      <c r="B189" s="2510" t="s">
        <v>8513</v>
      </c>
    </row>
    <row r="190" spans="1:2" x14ac:dyDescent="0.25">
      <c r="A190" t="s">
        <v>6907</v>
      </c>
      <c r="B190" s="2510" t="s">
        <v>8609</v>
      </c>
    </row>
    <row r="191" spans="1:2" x14ac:dyDescent="0.25">
      <c r="A191" t="s">
        <v>6908</v>
      </c>
      <c r="B191" s="2510" t="s">
        <v>8514</v>
      </c>
    </row>
    <row r="192" spans="1:2" x14ac:dyDescent="0.25">
      <c r="A192" t="s">
        <v>6909</v>
      </c>
      <c r="B192" s="2510" t="s">
        <v>8610</v>
      </c>
    </row>
    <row r="193" spans="1:2" x14ac:dyDescent="0.25">
      <c r="A193" t="s">
        <v>6910</v>
      </c>
      <c r="B193" s="2510" t="s">
        <v>8515</v>
      </c>
    </row>
    <row r="194" spans="1:2" x14ac:dyDescent="0.25">
      <c r="A194" t="s">
        <v>6911</v>
      </c>
      <c r="B194" s="2510" t="s">
        <v>8611</v>
      </c>
    </row>
    <row r="195" spans="1:2" x14ac:dyDescent="0.25">
      <c r="A195" t="s">
        <v>6912</v>
      </c>
      <c r="B195" s="2510" t="s">
        <v>8516</v>
      </c>
    </row>
    <row r="196" spans="1:2" x14ac:dyDescent="0.25">
      <c r="A196" t="s">
        <v>6913</v>
      </c>
      <c r="B196" s="2510" t="s">
        <v>8612</v>
      </c>
    </row>
    <row r="197" spans="1:2" x14ac:dyDescent="0.25">
      <c r="A197" t="s">
        <v>6914</v>
      </c>
      <c r="B197" s="2510" t="s">
        <v>8517</v>
      </c>
    </row>
    <row r="198" spans="1:2" x14ac:dyDescent="0.25">
      <c r="A198" t="s">
        <v>6915</v>
      </c>
      <c r="B198" s="2510" t="s">
        <v>8613</v>
      </c>
    </row>
    <row r="199" spans="1:2" x14ac:dyDescent="0.25">
      <c r="A199" t="s">
        <v>6916</v>
      </c>
      <c r="B199" s="2510" t="s">
        <v>8518</v>
      </c>
    </row>
    <row r="200" spans="1:2" x14ac:dyDescent="0.25">
      <c r="A200" t="s">
        <v>6917</v>
      </c>
      <c r="B200" s="2510" t="s">
        <v>8614</v>
      </c>
    </row>
    <row r="201" spans="1:2" x14ac:dyDescent="0.25">
      <c r="A201" t="s">
        <v>6918</v>
      </c>
      <c r="B201" s="2510" t="s">
        <v>8519</v>
      </c>
    </row>
    <row r="202" spans="1:2" x14ac:dyDescent="0.25">
      <c r="A202" t="s">
        <v>6919</v>
      </c>
      <c r="B202" s="2510" t="s">
        <v>8615</v>
      </c>
    </row>
    <row r="203" spans="1:2" x14ac:dyDescent="0.25">
      <c r="A203" t="s">
        <v>6920</v>
      </c>
      <c r="B203" s="2510" t="s">
        <v>8520</v>
      </c>
    </row>
    <row r="204" spans="1:2" x14ac:dyDescent="0.25">
      <c r="A204" t="s">
        <v>6921</v>
      </c>
      <c r="B204" s="2510" t="s">
        <v>8616</v>
      </c>
    </row>
    <row r="205" spans="1:2" x14ac:dyDescent="0.25">
      <c r="A205" t="s">
        <v>6922</v>
      </c>
      <c r="B205" s="2510" t="s">
        <v>8521</v>
      </c>
    </row>
    <row r="206" spans="1:2" x14ac:dyDescent="0.25">
      <c r="A206" t="s">
        <v>6923</v>
      </c>
      <c r="B206" s="2510" t="s">
        <v>8617</v>
      </c>
    </row>
    <row r="207" spans="1:2" x14ac:dyDescent="0.25">
      <c r="A207" t="s">
        <v>6924</v>
      </c>
      <c r="B207" s="2510" t="s">
        <v>8522</v>
      </c>
    </row>
    <row r="208" spans="1:2" x14ac:dyDescent="0.25">
      <c r="A208" t="s">
        <v>6925</v>
      </c>
      <c r="B208" s="2510" t="s">
        <v>8618</v>
      </c>
    </row>
    <row r="209" spans="1:2" x14ac:dyDescent="0.25">
      <c r="A209" t="s">
        <v>8490</v>
      </c>
      <c r="B209" s="2510" t="s">
        <v>8523</v>
      </c>
    </row>
    <row r="210" spans="1:2" x14ac:dyDescent="0.25">
      <c r="A210" t="s">
        <v>8491</v>
      </c>
      <c r="B210" s="2510" t="s">
        <v>8619</v>
      </c>
    </row>
    <row r="211" spans="1:2" x14ac:dyDescent="0.25">
      <c r="A211" s="2511" t="s">
        <v>6926</v>
      </c>
      <c r="B211" s="2510" t="s">
        <v>8497</v>
      </c>
    </row>
    <row r="212" spans="1:2" x14ac:dyDescent="0.25">
      <c r="A212" t="s">
        <v>6927</v>
      </c>
      <c r="B212" s="2510" t="s">
        <v>8499</v>
      </c>
    </row>
    <row r="213" spans="1:2" x14ac:dyDescent="0.25">
      <c r="A213" t="s">
        <v>6928</v>
      </c>
      <c r="B213" s="2510" t="s">
        <v>8500</v>
      </c>
    </row>
    <row r="214" spans="1:2" x14ac:dyDescent="0.25">
      <c r="A214" t="s">
        <v>6929</v>
      </c>
      <c r="B214" s="2510" t="s">
        <v>8501</v>
      </c>
    </row>
    <row r="215" spans="1:2" x14ac:dyDescent="0.25">
      <c r="A215" t="s">
        <v>6930</v>
      </c>
      <c r="B215" s="2510" t="s">
        <v>8502</v>
      </c>
    </row>
    <row r="216" spans="1:2" x14ac:dyDescent="0.25">
      <c r="A216" t="s">
        <v>6931</v>
      </c>
      <c r="B216" s="2510" t="s">
        <v>8503</v>
      </c>
    </row>
    <row r="217" spans="1:2" x14ac:dyDescent="0.25">
      <c r="A217" t="s">
        <v>6932</v>
      </c>
      <c r="B217" s="2510" t="s">
        <v>8504</v>
      </c>
    </row>
    <row r="218" spans="1:2" x14ac:dyDescent="0.25">
      <c r="A218" t="s">
        <v>6933</v>
      </c>
      <c r="B218" s="2510" t="s">
        <v>8505</v>
      </c>
    </row>
    <row r="219" spans="1:2" x14ac:dyDescent="0.25">
      <c r="A219" t="s">
        <v>6934</v>
      </c>
      <c r="B219" s="2510" t="s">
        <v>8506</v>
      </c>
    </row>
    <row r="220" spans="1:2" x14ac:dyDescent="0.25">
      <c r="A220" t="s">
        <v>6935</v>
      </c>
      <c r="B220" s="2510" t="s">
        <v>8507</v>
      </c>
    </row>
    <row r="221" spans="1:2" x14ac:dyDescent="0.25">
      <c r="A221" t="s">
        <v>6936</v>
      </c>
      <c r="B221" s="2510" t="s">
        <v>8508</v>
      </c>
    </row>
    <row r="222" spans="1:2" x14ac:dyDescent="0.25">
      <c r="A222" t="s">
        <v>6937</v>
      </c>
      <c r="B222" s="2510" t="s">
        <v>8509</v>
      </c>
    </row>
    <row r="223" spans="1:2" x14ac:dyDescent="0.25">
      <c r="A223" t="s">
        <v>6938</v>
      </c>
      <c r="B223" s="2510" t="s">
        <v>8510</v>
      </c>
    </row>
    <row r="224" spans="1:2" x14ac:dyDescent="0.25">
      <c r="A224" t="s">
        <v>6939</v>
      </c>
      <c r="B224" s="2510" t="s">
        <v>8511</v>
      </c>
    </row>
    <row r="225" spans="1:2" x14ac:dyDescent="0.25">
      <c r="A225" t="s">
        <v>6940</v>
      </c>
      <c r="B225" s="2510" t="s">
        <v>8512</v>
      </c>
    </row>
    <row r="226" spans="1:2" x14ac:dyDescent="0.25">
      <c r="A226" t="s">
        <v>6941</v>
      </c>
      <c r="B226" s="2510" t="s">
        <v>8513</v>
      </c>
    </row>
    <row r="227" spans="1:2" x14ac:dyDescent="0.25">
      <c r="A227" t="s">
        <v>6942</v>
      </c>
      <c r="B227" s="2510" t="s">
        <v>8514</v>
      </c>
    </row>
    <row r="228" spans="1:2" x14ac:dyDescent="0.25">
      <c r="A228" t="s">
        <v>6943</v>
      </c>
      <c r="B228" s="2510" t="s">
        <v>8515</v>
      </c>
    </row>
    <row r="229" spans="1:2" x14ac:dyDescent="0.25">
      <c r="A229" t="s">
        <v>6944</v>
      </c>
      <c r="B229" s="2510" t="s">
        <v>8516</v>
      </c>
    </row>
    <row r="230" spans="1:2" x14ac:dyDescent="0.25">
      <c r="A230" t="s">
        <v>6945</v>
      </c>
      <c r="B230" s="2510" t="s">
        <v>8517</v>
      </c>
    </row>
    <row r="231" spans="1:2" x14ac:dyDescent="0.25">
      <c r="A231" t="s">
        <v>6946</v>
      </c>
      <c r="B231" s="2510" t="s">
        <v>8518</v>
      </c>
    </row>
    <row r="232" spans="1:2" x14ac:dyDescent="0.25">
      <c r="A232" t="s">
        <v>6947</v>
      </c>
      <c r="B232" s="2510" t="s">
        <v>8519</v>
      </c>
    </row>
    <row r="233" spans="1:2" x14ac:dyDescent="0.25">
      <c r="A233" t="s">
        <v>6948</v>
      </c>
      <c r="B233" s="2510" t="s">
        <v>8520</v>
      </c>
    </row>
    <row r="234" spans="1:2" x14ac:dyDescent="0.25">
      <c r="A234" t="s">
        <v>6949</v>
      </c>
      <c r="B234" s="2510" t="s">
        <v>8521</v>
      </c>
    </row>
    <row r="235" spans="1:2" x14ac:dyDescent="0.25">
      <c r="A235" t="s">
        <v>6950</v>
      </c>
      <c r="B235" s="2510" t="s">
        <v>8522</v>
      </c>
    </row>
    <row r="236" spans="1:2" x14ac:dyDescent="0.25">
      <c r="A236" t="s">
        <v>6951</v>
      </c>
      <c r="B236" s="2510" t="s">
        <v>8523</v>
      </c>
    </row>
    <row r="237" spans="1:2" x14ac:dyDescent="0.25">
      <c r="A237" t="s">
        <v>6952</v>
      </c>
      <c r="B237" s="2510" t="s">
        <v>8524</v>
      </c>
    </row>
    <row r="238" spans="1:2" x14ac:dyDescent="0.25">
      <c r="A238" t="s">
        <v>6953</v>
      </c>
      <c r="B238" s="2510" t="s">
        <v>8525</v>
      </c>
    </row>
    <row r="239" spans="1:2" x14ac:dyDescent="0.25">
      <c r="A239" t="s">
        <v>6954</v>
      </c>
      <c r="B239" s="2510" t="s">
        <v>8526</v>
      </c>
    </row>
    <row r="240" spans="1:2" x14ac:dyDescent="0.25">
      <c r="A240" t="s">
        <v>6955</v>
      </c>
      <c r="B240" s="2510" t="s">
        <v>8527</v>
      </c>
    </row>
    <row r="241" spans="1:2" x14ac:dyDescent="0.25">
      <c r="A241" t="s">
        <v>6956</v>
      </c>
      <c r="B241" s="2510" t="s">
        <v>8528</v>
      </c>
    </row>
    <row r="242" spans="1:2" x14ac:dyDescent="0.25">
      <c r="A242" t="s">
        <v>6957</v>
      </c>
      <c r="B242" s="2510" t="s">
        <v>8529</v>
      </c>
    </row>
    <row r="243" spans="1:2" x14ac:dyDescent="0.25">
      <c r="A243" t="s">
        <v>6958</v>
      </c>
      <c r="B243" s="2510" t="s">
        <v>8530</v>
      </c>
    </row>
    <row r="244" spans="1:2" x14ac:dyDescent="0.25">
      <c r="A244" t="s">
        <v>6959</v>
      </c>
      <c r="B244" s="2510" t="s">
        <v>8531</v>
      </c>
    </row>
    <row r="245" spans="1:2" x14ac:dyDescent="0.25">
      <c r="A245" t="s">
        <v>6960</v>
      </c>
      <c r="B245" s="2510" t="s">
        <v>8532</v>
      </c>
    </row>
    <row r="246" spans="1:2" x14ac:dyDescent="0.25">
      <c r="A246" t="s">
        <v>6961</v>
      </c>
      <c r="B246" s="2510" t="s">
        <v>8533</v>
      </c>
    </row>
    <row r="247" spans="1:2" x14ac:dyDescent="0.25">
      <c r="A247" t="s">
        <v>6962</v>
      </c>
      <c r="B247" s="2510" t="s">
        <v>8534</v>
      </c>
    </row>
    <row r="248" spans="1:2" x14ac:dyDescent="0.25">
      <c r="A248" t="s">
        <v>6963</v>
      </c>
      <c r="B248" s="2510" t="s">
        <v>8535</v>
      </c>
    </row>
    <row r="249" spans="1:2" x14ac:dyDescent="0.25">
      <c r="A249" t="s">
        <v>6964</v>
      </c>
      <c r="B249" s="2510" t="s">
        <v>8536</v>
      </c>
    </row>
    <row r="250" spans="1:2" x14ac:dyDescent="0.25">
      <c r="A250" t="s">
        <v>6965</v>
      </c>
      <c r="B250" s="2510" t="s">
        <v>8537</v>
      </c>
    </row>
    <row r="251" spans="1:2" x14ac:dyDescent="0.25">
      <c r="A251" t="s">
        <v>6966</v>
      </c>
      <c r="B251" s="2510" t="s">
        <v>8538</v>
      </c>
    </row>
    <row r="252" spans="1:2" x14ac:dyDescent="0.25">
      <c r="A252" t="s">
        <v>6967</v>
      </c>
      <c r="B252" s="2510" t="s">
        <v>8539</v>
      </c>
    </row>
    <row r="253" spans="1:2" x14ac:dyDescent="0.25">
      <c r="A253" t="s">
        <v>6968</v>
      </c>
      <c r="B253" s="2510" t="s">
        <v>8540</v>
      </c>
    </row>
    <row r="254" spans="1:2" x14ac:dyDescent="0.25">
      <c r="A254" t="s">
        <v>6969</v>
      </c>
      <c r="B254" s="2510" t="s">
        <v>8541</v>
      </c>
    </row>
    <row r="255" spans="1:2" x14ac:dyDescent="0.25">
      <c r="A255" t="s">
        <v>6970</v>
      </c>
      <c r="B255" s="2510" t="s">
        <v>8542</v>
      </c>
    </row>
    <row r="256" spans="1:2" x14ac:dyDescent="0.25">
      <c r="A256" t="s">
        <v>6971</v>
      </c>
      <c r="B256" s="2510" t="s">
        <v>8543</v>
      </c>
    </row>
    <row r="257" spans="1:2" x14ac:dyDescent="0.25">
      <c r="A257" t="s">
        <v>6972</v>
      </c>
      <c r="B257" s="2510" t="s">
        <v>8544</v>
      </c>
    </row>
    <row r="258" spans="1:2" x14ac:dyDescent="0.25">
      <c r="A258" t="s">
        <v>6973</v>
      </c>
      <c r="B258" s="2510" t="s">
        <v>8545</v>
      </c>
    </row>
    <row r="259" spans="1:2" x14ac:dyDescent="0.25">
      <c r="A259" t="s">
        <v>6974</v>
      </c>
      <c r="B259" s="2510" t="s">
        <v>8546</v>
      </c>
    </row>
    <row r="260" spans="1:2" x14ac:dyDescent="0.25">
      <c r="A260" t="s">
        <v>6975</v>
      </c>
      <c r="B260" s="2510" t="s">
        <v>8547</v>
      </c>
    </row>
    <row r="261" spans="1:2" x14ac:dyDescent="0.25">
      <c r="A261" t="s">
        <v>6976</v>
      </c>
      <c r="B261" s="2510" t="s">
        <v>8548</v>
      </c>
    </row>
    <row r="262" spans="1:2" x14ac:dyDescent="0.25">
      <c r="A262" t="s">
        <v>6977</v>
      </c>
      <c r="B262" s="2510" t="s">
        <v>8549</v>
      </c>
    </row>
    <row r="263" spans="1:2" x14ac:dyDescent="0.25">
      <c r="A263" t="s">
        <v>6978</v>
      </c>
      <c r="B263" s="2510" t="s">
        <v>8550</v>
      </c>
    </row>
    <row r="264" spans="1:2" x14ac:dyDescent="0.25">
      <c r="A264" t="s">
        <v>6979</v>
      </c>
      <c r="B264" s="2510" t="s">
        <v>8551</v>
      </c>
    </row>
    <row r="265" spans="1:2" x14ac:dyDescent="0.25">
      <c r="A265" s="2511" t="s">
        <v>6980</v>
      </c>
      <c r="B265" s="2510" t="s">
        <v>8497</v>
      </c>
    </row>
    <row r="266" spans="1:2" x14ac:dyDescent="0.25">
      <c r="A266" t="s">
        <v>6981</v>
      </c>
      <c r="B266" s="2510" t="s">
        <v>8499</v>
      </c>
    </row>
    <row r="267" spans="1:2" x14ac:dyDescent="0.25">
      <c r="A267" t="s">
        <v>6982</v>
      </c>
      <c r="B267" s="2510" t="s">
        <v>8500</v>
      </c>
    </row>
    <row r="268" spans="1:2" x14ac:dyDescent="0.25">
      <c r="A268" t="s">
        <v>6983</v>
      </c>
      <c r="B268" s="2510" t="s">
        <v>8501</v>
      </c>
    </row>
    <row r="269" spans="1:2" x14ac:dyDescent="0.25">
      <c r="A269" t="s">
        <v>6984</v>
      </c>
      <c r="B269" s="2510" t="s">
        <v>8502</v>
      </c>
    </row>
    <row r="270" spans="1:2" x14ac:dyDescent="0.25">
      <c r="A270" t="s">
        <v>6985</v>
      </c>
      <c r="B270" s="2510" t="s">
        <v>8503</v>
      </c>
    </row>
    <row r="271" spans="1:2" x14ac:dyDescent="0.25">
      <c r="A271" t="s">
        <v>6986</v>
      </c>
      <c r="B271" s="2510" t="s">
        <v>8504</v>
      </c>
    </row>
    <row r="272" spans="1:2" x14ac:dyDescent="0.25">
      <c r="A272" t="s">
        <v>6987</v>
      </c>
      <c r="B272" s="2510" t="s">
        <v>8505</v>
      </c>
    </row>
    <row r="273" spans="1:2" x14ac:dyDescent="0.25">
      <c r="A273" t="s">
        <v>6988</v>
      </c>
      <c r="B273" s="2510" t="s">
        <v>8506</v>
      </c>
    </row>
    <row r="274" spans="1:2" x14ac:dyDescent="0.25">
      <c r="A274" t="s">
        <v>6989</v>
      </c>
      <c r="B274" s="2510" t="s">
        <v>8507</v>
      </c>
    </row>
    <row r="275" spans="1:2" x14ac:dyDescent="0.25">
      <c r="A275" t="s">
        <v>6990</v>
      </c>
      <c r="B275" s="2510" t="s">
        <v>8508</v>
      </c>
    </row>
    <row r="276" spans="1:2" x14ac:dyDescent="0.25">
      <c r="A276" t="s">
        <v>6991</v>
      </c>
      <c r="B276" s="2510" t="s">
        <v>8509</v>
      </c>
    </row>
    <row r="277" spans="1:2" x14ac:dyDescent="0.25">
      <c r="A277" t="s">
        <v>6992</v>
      </c>
      <c r="B277" s="2510" t="s">
        <v>8510</v>
      </c>
    </row>
    <row r="278" spans="1:2" x14ac:dyDescent="0.25">
      <c r="A278" t="s">
        <v>6993</v>
      </c>
      <c r="B278" s="2510" t="s">
        <v>8511</v>
      </c>
    </row>
    <row r="279" spans="1:2" x14ac:dyDescent="0.25">
      <c r="A279" t="s">
        <v>6994</v>
      </c>
      <c r="B279" s="2510" t="s">
        <v>8512</v>
      </c>
    </row>
    <row r="280" spans="1:2" x14ac:dyDescent="0.25">
      <c r="A280" t="s">
        <v>6995</v>
      </c>
      <c r="B280" s="2510" t="s">
        <v>8513</v>
      </c>
    </row>
    <row r="281" spans="1:2" x14ac:dyDescent="0.25">
      <c r="A281" t="s">
        <v>6996</v>
      </c>
      <c r="B281" s="2510" t="s">
        <v>8514</v>
      </c>
    </row>
    <row r="282" spans="1:2" x14ac:dyDescent="0.25">
      <c r="A282" t="s">
        <v>6997</v>
      </c>
      <c r="B282" s="2510" t="s">
        <v>8515</v>
      </c>
    </row>
    <row r="283" spans="1:2" x14ac:dyDescent="0.25">
      <c r="A283" t="s">
        <v>6998</v>
      </c>
      <c r="B283" s="2510" t="s">
        <v>8516</v>
      </c>
    </row>
    <row r="284" spans="1:2" x14ac:dyDescent="0.25">
      <c r="A284" t="s">
        <v>6999</v>
      </c>
      <c r="B284" s="2510" t="s">
        <v>8517</v>
      </c>
    </row>
    <row r="285" spans="1:2" x14ac:dyDescent="0.25">
      <c r="A285" t="s">
        <v>7000</v>
      </c>
      <c r="B285" s="2510" t="s">
        <v>8518</v>
      </c>
    </row>
    <row r="286" spans="1:2" x14ac:dyDescent="0.25">
      <c r="A286" t="s">
        <v>7001</v>
      </c>
      <c r="B286" s="2510" t="s">
        <v>8519</v>
      </c>
    </row>
    <row r="287" spans="1:2" x14ac:dyDescent="0.25">
      <c r="A287" t="s">
        <v>7002</v>
      </c>
      <c r="B287" s="2510" t="s">
        <v>8520</v>
      </c>
    </row>
    <row r="288" spans="1:2" x14ac:dyDescent="0.25">
      <c r="A288" t="s">
        <v>7003</v>
      </c>
      <c r="B288" s="2510" t="s">
        <v>8521</v>
      </c>
    </row>
    <row r="289" spans="1:2" x14ac:dyDescent="0.25">
      <c r="A289" t="s">
        <v>7004</v>
      </c>
      <c r="B289" s="2510" t="s">
        <v>8522</v>
      </c>
    </row>
    <row r="290" spans="1:2" x14ac:dyDescent="0.25">
      <c r="A290" t="s">
        <v>7005</v>
      </c>
      <c r="B290" s="2510" t="s">
        <v>8523</v>
      </c>
    </row>
    <row r="291" spans="1:2" x14ac:dyDescent="0.25">
      <c r="A291" t="s">
        <v>7006</v>
      </c>
      <c r="B291" s="2510" t="s">
        <v>8524</v>
      </c>
    </row>
    <row r="292" spans="1:2" x14ac:dyDescent="0.25">
      <c r="A292" t="s">
        <v>7007</v>
      </c>
      <c r="B292" s="2510" t="s">
        <v>8525</v>
      </c>
    </row>
    <row r="293" spans="1:2" x14ac:dyDescent="0.25">
      <c r="A293" t="s">
        <v>7008</v>
      </c>
      <c r="B293" s="2510" t="s">
        <v>8526</v>
      </c>
    </row>
    <row r="294" spans="1:2" x14ac:dyDescent="0.25">
      <c r="A294" t="s">
        <v>7009</v>
      </c>
      <c r="B294" s="2510" t="s">
        <v>8527</v>
      </c>
    </row>
    <row r="295" spans="1:2" x14ac:dyDescent="0.25">
      <c r="A295" t="s">
        <v>7010</v>
      </c>
      <c r="B295" s="2510" t="s">
        <v>8528</v>
      </c>
    </row>
    <row r="296" spans="1:2" x14ac:dyDescent="0.25">
      <c r="A296" t="s">
        <v>7011</v>
      </c>
      <c r="B296" s="2510" t="s">
        <v>8529</v>
      </c>
    </row>
    <row r="297" spans="1:2" x14ac:dyDescent="0.25">
      <c r="A297" t="s">
        <v>7012</v>
      </c>
      <c r="B297" s="2510" t="s">
        <v>8530</v>
      </c>
    </row>
    <row r="298" spans="1:2" x14ac:dyDescent="0.25">
      <c r="A298" t="s">
        <v>7013</v>
      </c>
      <c r="B298" s="2510" t="s">
        <v>8531</v>
      </c>
    </row>
    <row r="299" spans="1:2" x14ac:dyDescent="0.25">
      <c r="A299" t="s">
        <v>7014</v>
      </c>
      <c r="B299" s="2510" t="s">
        <v>8532</v>
      </c>
    </row>
    <row r="300" spans="1:2" x14ac:dyDescent="0.25">
      <c r="A300" t="s">
        <v>7015</v>
      </c>
      <c r="B300" s="2510" t="s">
        <v>8533</v>
      </c>
    </row>
    <row r="301" spans="1:2" x14ac:dyDescent="0.25">
      <c r="A301" t="s">
        <v>7016</v>
      </c>
      <c r="B301" s="2510" t="s">
        <v>8534</v>
      </c>
    </row>
    <row r="302" spans="1:2" x14ac:dyDescent="0.25">
      <c r="A302" t="s">
        <v>7017</v>
      </c>
      <c r="B302" s="2510" t="s">
        <v>8535</v>
      </c>
    </row>
    <row r="303" spans="1:2" x14ac:dyDescent="0.25">
      <c r="A303" t="s">
        <v>7018</v>
      </c>
      <c r="B303" s="2510" t="s">
        <v>8536</v>
      </c>
    </row>
    <row r="304" spans="1:2" x14ac:dyDescent="0.25">
      <c r="A304" t="s">
        <v>7019</v>
      </c>
      <c r="B304" s="2510" t="s">
        <v>8537</v>
      </c>
    </row>
    <row r="305" spans="1:2" x14ac:dyDescent="0.25">
      <c r="A305" t="s">
        <v>7020</v>
      </c>
      <c r="B305" s="2510" t="s">
        <v>8538</v>
      </c>
    </row>
    <row r="306" spans="1:2" x14ac:dyDescent="0.25">
      <c r="A306" t="s">
        <v>7021</v>
      </c>
      <c r="B306" s="2510" t="s">
        <v>8539</v>
      </c>
    </row>
    <row r="307" spans="1:2" x14ac:dyDescent="0.25">
      <c r="A307" t="s">
        <v>7022</v>
      </c>
      <c r="B307" s="2510" t="s">
        <v>8540</v>
      </c>
    </row>
    <row r="308" spans="1:2" x14ac:dyDescent="0.25">
      <c r="A308" t="s">
        <v>7023</v>
      </c>
      <c r="B308" s="2510" t="s">
        <v>8541</v>
      </c>
    </row>
    <row r="309" spans="1:2" x14ac:dyDescent="0.25">
      <c r="A309" t="s">
        <v>7024</v>
      </c>
      <c r="B309" s="2510" t="s">
        <v>8542</v>
      </c>
    </row>
    <row r="310" spans="1:2" x14ac:dyDescent="0.25">
      <c r="A310" t="s">
        <v>7025</v>
      </c>
      <c r="B310" s="2510" t="s">
        <v>8543</v>
      </c>
    </row>
    <row r="311" spans="1:2" x14ac:dyDescent="0.25">
      <c r="A311" t="s">
        <v>7026</v>
      </c>
      <c r="B311" s="2510" t="s">
        <v>8544</v>
      </c>
    </row>
    <row r="312" spans="1:2" x14ac:dyDescent="0.25">
      <c r="A312" t="s">
        <v>7027</v>
      </c>
      <c r="B312" s="2510" t="s">
        <v>8545</v>
      </c>
    </row>
    <row r="313" spans="1:2" x14ac:dyDescent="0.25">
      <c r="A313" t="s">
        <v>7028</v>
      </c>
      <c r="B313" s="2510" t="s">
        <v>8546</v>
      </c>
    </row>
    <row r="314" spans="1:2" x14ac:dyDescent="0.25">
      <c r="A314" t="s">
        <v>7029</v>
      </c>
      <c r="B314" s="2510" t="s">
        <v>8547</v>
      </c>
    </row>
    <row r="315" spans="1:2" x14ac:dyDescent="0.25">
      <c r="A315" t="s">
        <v>7030</v>
      </c>
      <c r="B315" s="2510" t="s">
        <v>8548</v>
      </c>
    </row>
    <row r="316" spans="1:2" x14ac:dyDescent="0.25">
      <c r="A316" t="s">
        <v>7031</v>
      </c>
      <c r="B316" s="2510" t="s">
        <v>8549</v>
      </c>
    </row>
    <row r="317" spans="1:2" x14ac:dyDescent="0.25">
      <c r="A317" t="s">
        <v>7032</v>
      </c>
      <c r="B317" s="2510" t="s">
        <v>8550</v>
      </c>
    </row>
    <row r="318" spans="1:2" x14ac:dyDescent="0.25">
      <c r="A318" t="s">
        <v>7033</v>
      </c>
      <c r="B318" s="2510" t="s">
        <v>8551</v>
      </c>
    </row>
    <row r="319" spans="1:2" x14ac:dyDescent="0.25">
      <c r="A319" s="2511" t="s">
        <v>7034</v>
      </c>
      <c r="B319" s="2510" t="s">
        <v>8497</v>
      </c>
    </row>
    <row r="320" spans="1:2" x14ac:dyDescent="0.25">
      <c r="A320" t="s">
        <v>7035</v>
      </c>
      <c r="B320" s="2510" t="s">
        <v>8499</v>
      </c>
    </row>
    <row r="321" spans="1:2" x14ac:dyDescent="0.25">
      <c r="A321" t="s">
        <v>7036</v>
      </c>
      <c r="B321" s="2510" t="s">
        <v>8500</v>
      </c>
    </row>
    <row r="322" spans="1:2" x14ac:dyDescent="0.25">
      <c r="A322" t="s">
        <v>7037</v>
      </c>
      <c r="B322" s="2510" t="s">
        <v>8501</v>
      </c>
    </row>
    <row r="323" spans="1:2" x14ac:dyDescent="0.25">
      <c r="A323" t="s">
        <v>7038</v>
      </c>
      <c r="B323" s="2510" t="s">
        <v>8502</v>
      </c>
    </row>
    <row r="324" spans="1:2" x14ac:dyDescent="0.25">
      <c r="A324" t="s">
        <v>7039</v>
      </c>
      <c r="B324" s="2510" t="s">
        <v>8503</v>
      </c>
    </row>
    <row r="325" spans="1:2" x14ac:dyDescent="0.25">
      <c r="A325" t="s">
        <v>7040</v>
      </c>
      <c r="B325" s="2510" t="s">
        <v>8504</v>
      </c>
    </row>
    <row r="326" spans="1:2" x14ac:dyDescent="0.25">
      <c r="A326" t="s">
        <v>7041</v>
      </c>
      <c r="B326" s="2510" t="s">
        <v>8505</v>
      </c>
    </row>
    <row r="327" spans="1:2" x14ac:dyDescent="0.25">
      <c r="A327" t="s">
        <v>7042</v>
      </c>
      <c r="B327" s="2510" t="s">
        <v>8506</v>
      </c>
    </row>
    <row r="328" spans="1:2" x14ac:dyDescent="0.25">
      <c r="A328" t="s">
        <v>7043</v>
      </c>
      <c r="B328" s="2510" t="s">
        <v>8507</v>
      </c>
    </row>
    <row r="329" spans="1:2" x14ac:dyDescent="0.25">
      <c r="A329" t="s">
        <v>7044</v>
      </c>
      <c r="B329" s="2510" t="s">
        <v>8508</v>
      </c>
    </row>
    <row r="330" spans="1:2" x14ac:dyDescent="0.25">
      <c r="A330" t="s">
        <v>7045</v>
      </c>
      <c r="B330" s="2510" t="s">
        <v>8509</v>
      </c>
    </row>
    <row r="331" spans="1:2" x14ac:dyDescent="0.25">
      <c r="A331" t="s">
        <v>7046</v>
      </c>
      <c r="B331" s="2510" t="s">
        <v>8510</v>
      </c>
    </row>
    <row r="332" spans="1:2" x14ac:dyDescent="0.25">
      <c r="A332" t="s">
        <v>7047</v>
      </c>
      <c r="B332" s="2510" t="s">
        <v>8511</v>
      </c>
    </row>
    <row r="333" spans="1:2" x14ac:dyDescent="0.25">
      <c r="A333" t="s">
        <v>7048</v>
      </c>
      <c r="B333" s="2510" t="s">
        <v>8512</v>
      </c>
    </row>
    <row r="334" spans="1:2" x14ac:dyDescent="0.25">
      <c r="A334" t="s">
        <v>7049</v>
      </c>
      <c r="B334" s="2510" t="s">
        <v>8513</v>
      </c>
    </row>
    <row r="335" spans="1:2" x14ac:dyDescent="0.25">
      <c r="A335" t="s">
        <v>7050</v>
      </c>
      <c r="B335" s="2510" t="s">
        <v>8514</v>
      </c>
    </row>
    <row r="336" spans="1:2" x14ac:dyDescent="0.25">
      <c r="A336" t="s">
        <v>7051</v>
      </c>
      <c r="B336" s="2510" t="s">
        <v>8515</v>
      </c>
    </row>
    <row r="337" spans="1:2" x14ac:dyDescent="0.25">
      <c r="A337" t="s">
        <v>7052</v>
      </c>
      <c r="B337" s="2510" t="s">
        <v>8516</v>
      </c>
    </row>
    <row r="338" spans="1:2" x14ac:dyDescent="0.25">
      <c r="A338" t="s">
        <v>7053</v>
      </c>
      <c r="B338" s="2510" t="s">
        <v>8517</v>
      </c>
    </row>
    <row r="339" spans="1:2" x14ac:dyDescent="0.25">
      <c r="A339" t="s">
        <v>7054</v>
      </c>
      <c r="B339" s="2510" t="s">
        <v>8518</v>
      </c>
    </row>
    <row r="340" spans="1:2" x14ac:dyDescent="0.25">
      <c r="A340" t="s">
        <v>7055</v>
      </c>
      <c r="B340" s="2510" t="s">
        <v>8519</v>
      </c>
    </row>
    <row r="341" spans="1:2" x14ac:dyDescent="0.25">
      <c r="A341" t="s">
        <v>7056</v>
      </c>
      <c r="B341" s="2510" t="s">
        <v>8520</v>
      </c>
    </row>
    <row r="342" spans="1:2" x14ac:dyDescent="0.25">
      <c r="A342" t="s">
        <v>7057</v>
      </c>
      <c r="B342" s="2510" t="s">
        <v>8521</v>
      </c>
    </row>
    <row r="343" spans="1:2" x14ac:dyDescent="0.25">
      <c r="A343" t="s">
        <v>7058</v>
      </c>
      <c r="B343" s="2510" t="s">
        <v>8522</v>
      </c>
    </row>
    <row r="344" spans="1:2" x14ac:dyDescent="0.25">
      <c r="A344" t="s">
        <v>7059</v>
      </c>
      <c r="B344" s="2510" t="s">
        <v>8523</v>
      </c>
    </row>
    <row r="345" spans="1:2" x14ac:dyDescent="0.25">
      <c r="A345" t="s">
        <v>7060</v>
      </c>
      <c r="B345" s="2510" t="s">
        <v>8524</v>
      </c>
    </row>
    <row r="346" spans="1:2" x14ac:dyDescent="0.25">
      <c r="A346" t="s">
        <v>7061</v>
      </c>
      <c r="B346" s="2510" t="s">
        <v>8525</v>
      </c>
    </row>
    <row r="347" spans="1:2" x14ac:dyDescent="0.25">
      <c r="A347" t="s">
        <v>7062</v>
      </c>
      <c r="B347" s="2510" t="s">
        <v>8526</v>
      </c>
    </row>
    <row r="348" spans="1:2" x14ac:dyDescent="0.25">
      <c r="A348" t="s">
        <v>7063</v>
      </c>
      <c r="B348" s="2510" t="s">
        <v>8527</v>
      </c>
    </row>
    <row r="349" spans="1:2" x14ac:dyDescent="0.25">
      <c r="A349" t="s">
        <v>7064</v>
      </c>
      <c r="B349" s="2510" t="s">
        <v>8528</v>
      </c>
    </row>
    <row r="350" spans="1:2" x14ac:dyDescent="0.25">
      <c r="A350" t="s">
        <v>7065</v>
      </c>
      <c r="B350" s="2510" t="s">
        <v>8529</v>
      </c>
    </row>
    <row r="351" spans="1:2" x14ac:dyDescent="0.25">
      <c r="A351" t="s">
        <v>7066</v>
      </c>
      <c r="B351" s="2510" t="s">
        <v>8530</v>
      </c>
    </row>
    <row r="352" spans="1:2" x14ac:dyDescent="0.25">
      <c r="A352" t="s">
        <v>7067</v>
      </c>
      <c r="B352" s="2510" t="s">
        <v>8531</v>
      </c>
    </row>
    <row r="353" spans="1:2" x14ac:dyDescent="0.25">
      <c r="A353" t="s">
        <v>7068</v>
      </c>
      <c r="B353" s="2510" t="s">
        <v>8532</v>
      </c>
    </row>
    <row r="354" spans="1:2" x14ac:dyDescent="0.25">
      <c r="A354" t="s">
        <v>7069</v>
      </c>
      <c r="B354" s="2510" t="s">
        <v>8533</v>
      </c>
    </row>
    <row r="355" spans="1:2" x14ac:dyDescent="0.25">
      <c r="A355" s="2511" t="s">
        <v>7070</v>
      </c>
      <c r="B355" s="2510" t="s">
        <v>8497</v>
      </c>
    </row>
    <row r="356" spans="1:2" x14ac:dyDescent="0.25">
      <c r="A356" t="s">
        <v>7071</v>
      </c>
      <c r="B356" s="2510" t="s">
        <v>8499</v>
      </c>
    </row>
    <row r="357" spans="1:2" x14ac:dyDescent="0.25">
      <c r="A357" t="s">
        <v>7072</v>
      </c>
      <c r="B357" s="2510" t="s">
        <v>8500</v>
      </c>
    </row>
    <row r="358" spans="1:2" x14ac:dyDescent="0.25">
      <c r="A358" t="s">
        <v>7073</v>
      </c>
      <c r="B358" s="2510" t="s">
        <v>8501</v>
      </c>
    </row>
    <row r="359" spans="1:2" x14ac:dyDescent="0.25">
      <c r="A359" t="s">
        <v>7074</v>
      </c>
      <c r="B359" s="2510" t="s">
        <v>8502</v>
      </c>
    </row>
    <row r="360" spans="1:2" x14ac:dyDescent="0.25">
      <c r="A360" t="s">
        <v>7075</v>
      </c>
      <c r="B360" s="2510" t="s">
        <v>8503</v>
      </c>
    </row>
    <row r="361" spans="1:2" x14ac:dyDescent="0.25">
      <c r="A361" t="s">
        <v>7076</v>
      </c>
      <c r="B361" s="2510" t="s">
        <v>8504</v>
      </c>
    </row>
    <row r="362" spans="1:2" x14ac:dyDescent="0.25">
      <c r="A362" t="s">
        <v>7077</v>
      </c>
      <c r="B362" s="2510" t="s">
        <v>8505</v>
      </c>
    </row>
    <row r="363" spans="1:2" x14ac:dyDescent="0.25">
      <c r="A363" t="s">
        <v>7078</v>
      </c>
      <c r="B363" s="2510" t="s">
        <v>8506</v>
      </c>
    </row>
    <row r="364" spans="1:2" x14ac:dyDescent="0.25">
      <c r="A364" t="s">
        <v>7079</v>
      </c>
      <c r="B364" s="2510" t="s">
        <v>8507</v>
      </c>
    </row>
    <row r="365" spans="1:2" x14ac:dyDescent="0.25">
      <c r="A365" t="s">
        <v>7080</v>
      </c>
      <c r="B365" s="2510" t="s">
        <v>8508</v>
      </c>
    </row>
    <row r="366" spans="1:2" x14ac:dyDescent="0.25">
      <c r="A366" t="s">
        <v>7081</v>
      </c>
      <c r="B366" s="2510" t="s">
        <v>8509</v>
      </c>
    </row>
    <row r="367" spans="1:2" x14ac:dyDescent="0.25">
      <c r="A367" t="s">
        <v>7082</v>
      </c>
      <c r="B367" s="2510" t="s">
        <v>8510</v>
      </c>
    </row>
    <row r="368" spans="1:2" x14ac:dyDescent="0.25">
      <c r="A368" t="s">
        <v>7083</v>
      </c>
      <c r="B368" s="2510" t="s">
        <v>8511</v>
      </c>
    </row>
    <row r="369" spans="1:2" x14ac:dyDescent="0.25">
      <c r="A369" t="s">
        <v>7084</v>
      </c>
      <c r="B369" s="2510" t="s">
        <v>8512</v>
      </c>
    </row>
    <row r="370" spans="1:2" x14ac:dyDescent="0.25">
      <c r="A370" t="s">
        <v>7085</v>
      </c>
      <c r="B370" s="2510" t="s">
        <v>8513</v>
      </c>
    </row>
    <row r="371" spans="1:2" x14ac:dyDescent="0.25">
      <c r="A371" t="s">
        <v>7086</v>
      </c>
      <c r="B371" s="2510" t="s">
        <v>8514</v>
      </c>
    </row>
    <row r="372" spans="1:2" x14ac:dyDescent="0.25">
      <c r="A372" t="s">
        <v>7087</v>
      </c>
      <c r="B372" s="2510" t="s">
        <v>8515</v>
      </c>
    </row>
    <row r="373" spans="1:2" x14ac:dyDescent="0.25">
      <c r="A373" t="s">
        <v>7088</v>
      </c>
      <c r="B373" s="2510" t="s">
        <v>8516</v>
      </c>
    </row>
    <row r="374" spans="1:2" x14ac:dyDescent="0.25">
      <c r="A374" t="s">
        <v>7089</v>
      </c>
      <c r="B374" s="2510" t="s">
        <v>8517</v>
      </c>
    </row>
    <row r="375" spans="1:2" x14ac:dyDescent="0.25">
      <c r="A375" t="s">
        <v>7090</v>
      </c>
      <c r="B375" s="2510" t="s">
        <v>8518</v>
      </c>
    </row>
    <row r="376" spans="1:2" x14ac:dyDescent="0.25">
      <c r="A376" t="s">
        <v>7091</v>
      </c>
      <c r="B376" s="2510" t="s">
        <v>8519</v>
      </c>
    </row>
    <row r="377" spans="1:2" x14ac:dyDescent="0.25">
      <c r="A377" t="s">
        <v>7092</v>
      </c>
      <c r="B377" s="2510" t="s">
        <v>8520</v>
      </c>
    </row>
    <row r="378" spans="1:2" x14ac:dyDescent="0.25">
      <c r="A378" t="s">
        <v>7093</v>
      </c>
      <c r="B378" s="2510" t="s">
        <v>8521</v>
      </c>
    </row>
    <row r="379" spans="1:2" x14ac:dyDescent="0.25">
      <c r="A379" t="s">
        <v>7094</v>
      </c>
      <c r="B379" s="2510" t="s">
        <v>8522</v>
      </c>
    </row>
    <row r="380" spans="1:2" x14ac:dyDescent="0.25">
      <c r="A380" t="s">
        <v>7095</v>
      </c>
      <c r="B380" s="2510" t="s">
        <v>8523</v>
      </c>
    </row>
    <row r="381" spans="1:2" x14ac:dyDescent="0.25">
      <c r="A381" t="s">
        <v>7096</v>
      </c>
      <c r="B381" s="2510" t="s">
        <v>8524</v>
      </c>
    </row>
    <row r="382" spans="1:2" x14ac:dyDescent="0.25">
      <c r="A382" t="s">
        <v>7097</v>
      </c>
      <c r="B382" s="2510" t="s">
        <v>8525</v>
      </c>
    </row>
    <row r="383" spans="1:2" x14ac:dyDescent="0.25">
      <c r="A383" t="s">
        <v>7098</v>
      </c>
      <c r="B383" s="2510" t="s">
        <v>8526</v>
      </c>
    </row>
    <row r="384" spans="1:2" x14ac:dyDescent="0.25">
      <c r="A384" t="s">
        <v>7099</v>
      </c>
      <c r="B384" s="2510" t="s">
        <v>8527</v>
      </c>
    </row>
    <row r="385" spans="1:2" x14ac:dyDescent="0.25">
      <c r="A385" t="s">
        <v>7100</v>
      </c>
      <c r="B385" s="2510" t="s">
        <v>8528</v>
      </c>
    </row>
    <row r="386" spans="1:2" x14ac:dyDescent="0.25">
      <c r="A386" t="s">
        <v>7101</v>
      </c>
      <c r="B386" s="2510" t="s">
        <v>8529</v>
      </c>
    </row>
    <row r="387" spans="1:2" x14ac:dyDescent="0.25">
      <c r="A387" t="s">
        <v>7102</v>
      </c>
      <c r="B387" s="2510" t="s">
        <v>8530</v>
      </c>
    </row>
    <row r="388" spans="1:2" x14ac:dyDescent="0.25">
      <c r="A388" t="s">
        <v>7103</v>
      </c>
      <c r="B388" s="2510" t="s">
        <v>8531</v>
      </c>
    </row>
    <row r="389" spans="1:2" x14ac:dyDescent="0.25">
      <c r="A389" t="s">
        <v>7104</v>
      </c>
      <c r="B389" s="2510" t="s">
        <v>8532</v>
      </c>
    </row>
    <row r="390" spans="1:2" x14ac:dyDescent="0.25">
      <c r="A390" t="s">
        <v>7105</v>
      </c>
      <c r="B390" s="2510" t="s">
        <v>8533</v>
      </c>
    </row>
    <row r="391" spans="1:2" x14ac:dyDescent="0.25">
      <c r="A391" s="2511" t="s">
        <v>7106</v>
      </c>
      <c r="B391" s="2510" t="s">
        <v>8497</v>
      </c>
    </row>
    <row r="392" spans="1:2" x14ac:dyDescent="0.25">
      <c r="A392" t="s">
        <v>7107</v>
      </c>
      <c r="B392" s="2510" t="s">
        <v>8499</v>
      </c>
    </row>
    <row r="393" spans="1:2" x14ac:dyDescent="0.25">
      <c r="A393" t="s">
        <v>7108</v>
      </c>
      <c r="B393" s="2510" t="s">
        <v>8500</v>
      </c>
    </row>
    <row r="394" spans="1:2" x14ac:dyDescent="0.25">
      <c r="A394" t="s">
        <v>7109</v>
      </c>
      <c r="B394" s="2510" t="s">
        <v>8501</v>
      </c>
    </row>
    <row r="395" spans="1:2" x14ac:dyDescent="0.25">
      <c r="A395" t="s">
        <v>7110</v>
      </c>
      <c r="B395" s="2510" t="s">
        <v>8502</v>
      </c>
    </row>
    <row r="396" spans="1:2" x14ac:dyDescent="0.25">
      <c r="A396" t="s">
        <v>7111</v>
      </c>
      <c r="B396" s="2510" t="s">
        <v>8503</v>
      </c>
    </row>
    <row r="397" spans="1:2" x14ac:dyDescent="0.25">
      <c r="A397" t="s">
        <v>7112</v>
      </c>
      <c r="B397" s="2510" t="s">
        <v>8504</v>
      </c>
    </row>
    <row r="398" spans="1:2" x14ac:dyDescent="0.25">
      <c r="A398" t="s">
        <v>7113</v>
      </c>
      <c r="B398" s="2510" t="s">
        <v>8505</v>
      </c>
    </row>
    <row r="399" spans="1:2" x14ac:dyDescent="0.25">
      <c r="A399" t="s">
        <v>7114</v>
      </c>
      <c r="B399" s="2510" t="s">
        <v>8506</v>
      </c>
    </row>
    <row r="400" spans="1:2" x14ac:dyDescent="0.25">
      <c r="A400" t="s">
        <v>7115</v>
      </c>
      <c r="B400" s="2510" t="s">
        <v>8507</v>
      </c>
    </row>
    <row r="401" spans="1:2" x14ac:dyDescent="0.25">
      <c r="A401" t="s">
        <v>7116</v>
      </c>
      <c r="B401" s="2510" t="s">
        <v>8508</v>
      </c>
    </row>
    <row r="402" spans="1:2" x14ac:dyDescent="0.25">
      <c r="A402" t="s">
        <v>7117</v>
      </c>
      <c r="B402" s="2510" t="s">
        <v>8509</v>
      </c>
    </row>
    <row r="403" spans="1:2" x14ac:dyDescent="0.25">
      <c r="A403" t="s">
        <v>7118</v>
      </c>
      <c r="B403" s="2510" t="s">
        <v>8510</v>
      </c>
    </row>
    <row r="404" spans="1:2" x14ac:dyDescent="0.25">
      <c r="A404" t="s">
        <v>7119</v>
      </c>
      <c r="B404" s="2510" t="s">
        <v>8511</v>
      </c>
    </row>
    <row r="405" spans="1:2" x14ac:dyDescent="0.25">
      <c r="A405" t="s">
        <v>7120</v>
      </c>
      <c r="B405" s="2510" t="s">
        <v>8512</v>
      </c>
    </row>
    <row r="406" spans="1:2" x14ac:dyDescent="0.25">
      <c r="A406" t="s">
        <v>7121</v>
      </c>
      <c r="B406" s="2510" t="s">
        <v>8513</v>
      </c>
    </row>
    <row r="407" spans="1:2" x14ac:dyDescent="0.25">
      <c r="A407" t="s">
        <v>7122</v>
      </c>
      <c r="B407" s="2510" t="s">
        <v>8514</v>
      </c>
    </row>
    <row r="408" spans="1:2" x14ac:dyDescent="0.25">
      <c r="A408" t="s">
        <v>7123</v>
      </c>
      <c r="B408" s="2510" t="s">
        <v>8515</v>
      </c>
    </row>
    <row r="409" spans="1:2" x14ac:dyDescent="0.25">
      <c r="A409" t="s">
        <v>7124</v>
      </c>
      <c r="B409" s="2510" t="s">
        <v>8516</v>
      </c>
    </row>
    <row r="410" spans="1:2" x14ac:dyDescent="0.25">
      <c r="A410" t="s">
        <v>7125</v>
      </c>
      <c r="B410" s="2510" t="s">
        <v>8517</v>
      </c>
    </row>
    <row r="411" spans="1:2" x14ac:dyDescent="0.25">
      <c r="A411" t="s">
        <v>7126</v>
      </c>
      <c r="B411" s="2510" t="s">
        <v>8518</v>
      </c>
    </row>
    <row r="412" spans="1:2" x14ac:dyDescent="0.25">
      <c r="A412" t="s">
        <v>7127</v>
      </c>
      <c r="B412" s="2510" t="s">
        <v>8519</v>
      </c>
    </row>
    <row r="413" spans="1:2" x14ac:dyDescent="0.25">
      <c r="A413" t="s">
        <v>7128</v>
      </c>
      <c r="B413" s="2510" t="s">
        <v>8520</v>
      </c>
    </row>
    <row r="414" spans="1:2" x14ac:dyDescent="0.25">
      <c r="A414" t="s">
        <v>7129</v>
      </c>
      <c r="B414" s="2510" t="s">
        <v>8521</v>
      </c>
    </row>
    <row r="415" spans="1:2" x14ac:dyDescent="0.25">
      <c r="A415" t="s">
        <v>7130</v>
      </c>
      <c r="B415" s="2510" t="s">
        <v>8522</v>
      </c>
    </row>
    <row r="416" spans="1:2" x14ac:dyDescent="0.25">
      <c r="A416" t="s">
        <v>7131</v>
      </c>
      <c r="B416" s="2510" t="s">
        <v>8523</v>
      </c>
    </row>
    <row r="417" spans="1:2" x14ac:dyDescent="0.25">
      <c r="A417" t="s">
        <v>7132</v>
      </c>
      <c r="B417" s="2510" t="s">
        <v>8524</v>
      </c>
    </row>
    <row r="418" spans="1:2" x14ac:dyDescent="0.25">
      <c r="A418" t="s">
        <v>7133</v>
      </c>
      <c r="B418" s="2510" t="s">
        <v>8525</v>
      </c>
    </row>
    <row r="419" spans="1:2" x14ac:dyDescent="0.25">
      <c r="A419" t="s">
        <v>7134</v>
      </c>
      <c r="B419" s="2510" t="s">
        <v>8526</v>
      </c>
    </row>
    <row r="420" spans="1:2" x14ac:dyDescent="0.25">
      <c r="A420" t="s">
        <v>7135</v>
      </c>
      <c r="B420" s="2510" t="s">
        <v>8527</v>
      </c>
    </row>
    <row r="421" spans="1:2" x14ac:dyDescent="0.25">
      <c r="A421" t="s">
        <v>7136</v>
      </c>
      <c r="B421" s="2510" t="s">
        <v>8528</v>
      </c>
    </row>
    <row r="422" spans="1:2" x14ac:dyDescent="0.25">
      <c r="A422" t="s">
        <v>7137</v>
      </c>
      <c r="B422" s="2510" t="s">
        <v>8529</v>
      </c>
    </row>
    <row r="423" spans="1:2" x14ac:dyDescent="0.25">
      <c r="A423" t="s">
        <v>7138</v>
      </c>
      <c r="B423" s="2510" t="s">
        <v>8530</v>
      </c>
    </row>
    <row r="424" spans="1:2" x14ac:dyDescent="0.25">
      <c r="A424" t="s">
        <v>7139</v>
      </c>
      <c r="B424" s="2510" t="s">
        <v>8531</v>
      </c>
    </row>
    <row r="425" spans="1:2" x14ac:dyDescent="0.25">
      <c r="A425" t="s">
        <v>7140</v>
      </c>
      <c r="B425" s="2510" t="s">
        <v>8532</v>
      </c>
    </row>
    <row r="426" spans="1:2" x14ac:dyDescent="0.25">
      <c r="A426" t="s">
        <v>7141</v>
      </c>
      <c r="B426" s="2510" t="s">
        <v>8533</v>
      </c>
    </row>
    <row r="427" spans="1:2" x14ac:dyDescent="0.25">
      <c r="A427" t="s">
        <v>7142</v>
      </c>
      <c r="B427" s="2510" t="s">
        <v>8534</v>
      </c>
    </row>
    <row r="428" spans="1:2" x14ac:dyDescent="0.25">
      <c r="A428" t="s">
        <v>7143</v>
      </c>
      <c r="B428" s="2510" t="s">
        <v>8535</v>
      </c>
    </row>
    <row r="429" spans="1:2" x14ac:dyDescent="0.25">
      <c r="A429" s="2511" t="s">
        <v>7144</v>
      </c>
      <c r="B429" s="2510" t="s">
        <v>8497</v>
      </c>
    </row>
    <row r="430" spans="1:2" x14ac:dyDescent="0.25">
      <c r="A430" t="s">
        <v>7145</v>
      </c>
      <c r="B430" s="2510" t="s">
        <v>8499</v>
      </c>
    </row>
    <row r="431" spans="1:2" x14ac:dyDescent="0.25">
      <c r="A431" t="s">
        <v>7146</v>
      </c>
      <c r="B431" s="2510" t="s">
        <v>8500</v>
      </c>
    </row>
    <row r="432" spans="1:2" x14ac:dyDescent="0.25">
      <c r="A432" t="s">
        <v>7147</v>
      </c>
      <c r="B432" s="2510" t="s">
        <v>8501</v>
      </c>
    </row>
    <row r="433" spans="1:2" x14ac:dyDescent="0.25">
      <c r="A433" t="s">
        <v>7148</v>
      </c>
      <c r="B433" s="2510" t="s">
        <v>8502</v>
      </c>
    </row>
    <row r="434" spans="1:2" x14ac:dyDescent="0.25">
      <c r="A434" t="s">
        <v>7149</v>
      </c>
      <c r="B434" s="2510" t="s">
        <v>8503</v>
      </c>
    </row>
    <row r="435" spans="1:2" x14ac:dyDescent="0.25">
      <c r="A435" t="s">
        <v>7150</v>
      </c>
      <c r="B435" s="2510" t="s">
        <v>8504</v>
      </c>
    </row>
    <row r="436" spans="1:2" x14ac:dyDescent="0.25">
      <c r="A436" t="s">
        <v>7151</v>
      </c>
      <c r="B436" s="2510" t="s">
        <v>8505</v>
      </c>
    </row>
    <row r="437" spans="1:2" x14ac:dyDescent="0.25">
      <c r="A437" t="s">
        <v>7152</v>
      </c>
      <c r="B437" s="2510" t="s">
        <v>8506</v>
      </c>
    </row>
    <row r="438" spans="1:2" x14ac:dyDescent="0.25">
      <c r="A438" t="s">
        <v>7153</v>
      </c>
      <c r="B438" s="2510" t="s">
        <v>8507</v>
      </c>
    </row>
    <row r="439" spans="1:2" x14ac:dyDescent="0.25">
      <c r="A439" t="s">
        <v>7154</v>
      </c>
      <c r="B439" s="2510" t="s">
        <v>8508</v>
      </c>
    </row>
    <row r="440" spans="1:2" x14ac:dyDescent="0.25">
      <c r="A440" t="s">
        <v>7155</v>
      </c>
      <c r="B440" s="2510" t="s">
        <v>8509</v>
      </c>
    </row>
    <row r="441" spans="1:2" x14ac:dyDescent="0.25">
      <c r="A441" t="s">
        <v>7156</v>
      </c>
      <c r="B441" s="2510" t="s">
        <v>8510</v>
      </c>
    </row>
    <row r="442" spans="1:2" x14ac:dyDescent="0.25">
      <c r="A442" t="s">
        <v>7157</v>
      </c>
      <c r="B442" s="2510" t="s">
        <v>8511</v>
      </c>
    </row>
    <row r="443" spans="1:2" x14ac:dyDescent="0.25">
      <c r="A443" t="s">
        <v>7158</v>
      </c>
      <c r="B443" s="2510" t="s">
        <v>8512</v>
      </c>
    </row>
    <row r="444" spans="1:2" x14ac:dyDescent="0.25">
      <c r="A444" t="s">
        <v>7159</v>
      </c>
      <c r="B444" s="2510" t="s">
        <v>8513</v>
      </c>
    </row>
    <row r="445" spans="1:2" x14ac:dyDescent="0.25">
      <c r="A445" t="s">
        <v>7160</v>
      </c>
      <c r="B445" s="2510" t="s">
        <v>8514</v>
      </c>
    </row>
    <row r="446" spans="1:2" x14ac:dyDescent="0.25">
      <c r="A446" t="s">
        <v>7161</v>
      </c>
      <c r="B446" s="2510" t="s">
        <v>8515</v>
      </c>
    </row>
    <row r="447" spans="1:2" x14ac:dyDescent="0.25">
      <c r="A447" t="s">
        <v>7162</v>
      </c>
      <c r="B447" s="2510" t="s">
        <v>8516</v>
      </c>
    </row>
    <row r="448" spans="1:2" x14ac:dyDescent="0.25">
      <c r="A448" t="s">
        <v>7163</v>
      </c>
      <c r="B448" s="2510" t="s">
        <v>8517</v>
      </c>
    </row>
    <row r="449" spans="1:2" x14ac:dyDescent="0.25">
      <c r="A449" t="s">
        <v>7164</v>
      </c>
      <c r="B449" s="2510" t="s">
        <v>8518</v>
      </c>
    </row>
    <row r="450" spans="1:2" x14ac:dyDescent="0.25">
      <c r="A450" t="s">
        <v>7165</v>
      </c>
      <c r="B450" s="2510" t="s">
        <v>8519</v>
      </c>
    </row>
    <row r="451" spans="1:2" x14ac:dyDescent="0.25">
      <c r="A451" t="s">
        <v>7166</v>
      </c>
      <c r="B451" s="2510" t="s">
        <v>8520</v>
      </c>
    </row>
    <row r="452" spans="1:2" x14ac:dyDescent="0.25">
      <c r="A452" t="s">
        <v>7167</v>
      </c>
      <c r="B452" s="2510" t="s">
        <v>8521</v>
      </c>
    </row>
    <row r="453" spans="1:2" x14ac:dyDescent="0.25">
      <c r="A453" t="s">
        <v>7168</v>
      </c>
      <c r="B453" s="2510" t="s">
        <v>8522</v>
      </c>
    </row>
    <row r="454" spans="1:2" x14ac:dyDescent="0.25">
      <c r="A454" t="s">
        <v>7169</v>
      </c>
      <c r="B454" s="2510" t="s">
        <v>8523</v>
      </c>
    </row>
    <row r="455" spans="1:2" x14ac:dyDescent="0.25">
      <c r="A455" t="s">
        <v>7170</v>
      </c>
      <c r="B455" s="2510" t="s">
        <v>8524</v>
      </c>
    </row>
    <row r="456" spans="1:2" x14ac:dyDescent="0.25">
      <c r="A456" t="s">
        <v>7171</v>
      </c>
      <c r="B456" s="2510" t="s">
        <v>8525</v>
      </c>
    </row>
    <row r="457" spans="1:2" x14ac:dyDescent="0.25">
      <c r="A457" t="s">
        <v>7172</v>
      </c>
      <c r="B457" s="2510" t="s">
        <v>8526</v>
      </c>
    </row>
    <row r="458" spans="1:2" x14ac:dyDescent="0.25">
      <c r="A458" t="s">
        <v>7173</v>
      </c>
      <c r="B458" s="2510" t="s">
        <v>8527</v>
      </c>
    </row>
    <row r="459" spans="1:2" x14ac:dyDescent="0.25">
      <c r="A459" t="s">
        <v>7174</v>
      </c>
      <c r="B459" s="2510" t="s">
        <v>8528</v>
      </c>
    </row>
    <row r="460" spans="1:2" x14ac:dyDescent="0.25">
      <c r="A460" t="s">
        <v>7175</v>
      </c>
      <c r="B460" s="2510" t="s">
        <v>8529</v>
      </c>
    </row>
    <row r="461" spans="1:2" x14ac:dyDescent="0.25">
      <c r="A461" t="s">
        <v>7176</v>
      </c>
      <c r="B461" s="2510" t="s">
        <v>8530</v>
      </c>
    </row>
    <row r="462" spans="1:2" x14ac:dyDescent="0.25">
      <c r="A462" t="s">
        <v>7177</v>
      </c>
      <c r="B462" s="2510" t="s">
        <v>8531</v>
      </c>
    </row>
    <row r="463" spans="1:2" x14ac:dyDescent="0.25">
      <c r="A463" t="s">
        <v>7178</v>
      </c>
      <c r="B463" s="2510" t="s">
        <v>8532</v>
      </c>
    </row>
    <row r="464" spans="1:2" x14ac:dyDescent="0.25">
      <c r="A464" t="s">
        <v>7179</v>
      </c>
      <c r="B464" s="2510" t="s">
        <v>8533</v>
      </c>
    </row>
    <row r="465" spans="1:4" x14ac:dyDescent="0.25">
      <c r="A465" t="s">
        <v>7180</v>
      </c>
      <c r="B465" s="2510" t="s">
        <v>8534</v>
      </c>
    </row>
    <row r="466" spans="1:4" x14ac:dyDescent="0.25">
      <c r="A466" t="s">
        <v>7181</v>
      </c>
      <c r="B466" s="2510" t="s">
        <v>8535</v>
      </c>
    </row>
    <row r="467" spans="1:4" x14ac:dyDescent="0.25">
      <c r="A467" s="2511" t="s">
        <v>7182</v>
      </c>
      <c r="B467" s="2510" t="s">
        <v>8621</v>
      </c>
      <c r="C467" s="2536" t="s">
        <v>8623</v>
      </c>
      <c r="D467" s="2536" t="s">
        <v>8625</v>
      </c>
    </row>
    <row r="468" spans="1:4" x14ac:dyDescent="0.25">
      <c r="A468" t="s">
        <v>7183</v>
      </c>
      <c r="B468" s="2510" t="s">
        <v>8499</v>
      </c>
    </row>
    <row r="469" spans="1:4" x14ac:dyDescent="0.25">
      <c r="A469" t="s">
        <v>7184</v>
      </c>
      <c r="B469" s="2510" t="s">
        <v>8500</v>
      </c>
    </row>
    <row r="470" spans="1:4" x14ac:dyDescent="0.25">
      <c r="A470" t="s">
        <v>7185</v>
      </c>
      <c r="B470" s="2510" t="s">
        <v>8501</v>
      </c>
    </row>
    <row r="471" spans="1:4" x14ac:dyDescent="0.25">
      <c r="A471" t="s">
        <v>7186</v>
      </c>
      <c r="B471" s="2510" t="s">
        <v>8502</v>
      </c>
    </row>
    <row r="472" spans="1:4" x14ac:dyDescent="0.25">
      <c r="A472" t="s">
        <v>7187</v>
      </c>
      <c r="B472" s="2510" t="s">
        <v>8503</v>
      </c>
    </row>
    <row r="473" spans="1:4" x14ac:dyDescent="0.25">
      <c r="A473" t="s">
        <v>7188</v>
      </c>
      <c r="B473" s="2510" t="s">
        <v>8504</v>
      </c>
    </row>
    <row r="474" spans="1:4" x14ac:dyDescent="0.25">
      <c r="A474" t="s">
        <v>7189</v>
      </c>
      <c r="B474" s="2510" t="s">
        <v>8505</v>
      </c>
    </row>
    <row r="475" spans="1:4" x14ac:dyDescent="0.25">
      <c r="A475" t="s">
        <v>7190</v>
      </c>
      <c r="B475" s="2510" t="s">
        <v>8506</v>
      </c>
    </row>
    <row r="476" spans="1:4" x14ac:dyDescent="0.25">
      <c r="A476" t="s">
        <v>7191</v>
      </c>
      <c r="B476" s="2510" t="s">
        <v>8507</v>
      </c>
    </row>
    <row r="477" spans="1:4" x14ac:dyDescent="0.25">
      <c r="A477" t="s">
        <v>7192</v>
      </c>
      <c r="B477" s="2510" t="s">
        <v>8508</v>
      </c>
    </row>
    <row r="478" spans="1:4" x14ac:dyDescent="0.25">
      <c r="A478" t="s">
        <v>7193</v>
      </c>
      <c r="B478" s="2510" t="s">
        <v>8509</v>
      </c>
    </row>
    <row r="479" spans="1:4" x14ac:dyDescent="0.25">
      <c r="A479" t="s">
        <v>7194</v>
      </c>
      <c r="B479" s="2510" t="s">
        <v>8510</v>
      </c>
    </row>
    <row r="480" spans="1:4" x14ac:dyDescent="0.25">
      <c r="A480" t="s">
        <v>7195</v>
      </c>
      <c r="B480" s="2510" t="s">
        <v>8511</v>
      </c>
    </row>
    <row r="481" spans="1:2" x14ac:dyDescent="0.25">
      <c r="A481" t="s">
        <v>7196</v>
      </c>
      <c r="B481" s="2510" t="s">
        <v>8512</v>
      </c>
    </row>
    <row r="482" spans="1:2" x14ac:dyDescent="0.25">
      <c r="A482" t="s">
        <v>7197</v>
      </c>
      <c r="B482" s="2510" t="s">
        <v>8513</v>
      </c>
    </row>
    <row r="483" spans="1:2" x14ac:dyDescent="0.25">
      <c r="A483" t="s">
        <v>7198</v>
      </c>
      <c r="B483" s="2510" t="s">
        <v>8514</v>
      </c>
    </row>
    <row r="484" spans="1:2" x14ac:dyDescent="0.25">
      <c r="A484" t="s">
        <v>7199</v>
      </c>
      <c r="B484" s="2510" t="s">
        <v>8515</v>
      </c>
    </row>
    <row r="485" spans="1:2" x14ac:dyDescent="0.25">
      <c r="A485" t="s">
        <v>7200</v>
      </c>
      <c r="B485" s="2510" t="s">
        <v>8516</v>
      </c>
    </row>
    <row r="486" spans="1:2" x14ac:dyDescent="0.25">
      <c r="A486" t="s">
        <v>7201</v>
      </c>
      <c r="B486" s="2510" t="s">
        <v>8517</v>
      </c>
    </row>
    <row r="487" spans="1:2" x14ac:dyDescent="0.25">
      <c r="A487" t="s">
        <v>7202</v>
      </c>
      <c r="B487" s="2510" t="s">
        <v>8518</v>
      </c>
    </row>
    <row r="488" spans="1:2" x14ac:dyDescent="0.25">
      <c r="A488" t="s">
        <v>7203</v>
      </c>
      <c r="B488" s="2510" t="s">
        <v>8519</v>
      </c>
    </row>
    <row r="489" spans="1:2" x14ac:dyDescent="0.25">
      <c r="A489" t="s">
        <v>7204</v>
      </c>
      <c r="B489" s="2510" t="s">
        <v>8520</v>
      </c>
    </row>
    <row r="490" spans="1:2" x14ac:dyDescent="0.25">
      <c r="A490" t="s">
        <v>7205</v>
      </c>
      <c r="B490" s="2510" t="s">
        <v>8521</v>
      </c>
    </row>
    <row r="491" spans="1:2" x14ac:dyDescent="0.25">
      <c r="A491" t="s">
        <v>7206</v>
      </c>
      <c r="B491" s="2510" t="s">
        <v>8522</v>
      </c>
    </row>
    <row r="492" spans="1:2" x14ac:dyDescent="0.25">
      <c r="A492" t="s">
        <v>7207</v>
      </c>
      <c r="B492" s="2510" t="s">
        <v>8523</v>
      </c>
    </row>
    <row r="493" spans="1:2" x14ac:dyDescent="0.25">
      <c r="A493" t="s">
        <v>7208</v>
      </c>
      <c r="B493" s="2510" t="s">
        <v>8524</v>
      </c>
    </row>
    <row r="494" spans="1:2" x14ac:dyDescent="0.25">
      <c r="A494" t="s">
        <v>7209</v>
      </c>
      <c r="B494" s="2510" t="s">
        <v>8525</v>
      </c>
    </row>
    <row r="495" spans="1:2" x14ac:dyDescent="0.25">
      <c r="A495" t="s">
        <v>7210</v>
      </c>
      <c r="B495" s="2510" t="s">
        <v>8526</v>
      </c>
    </row>
    <row r="496" spans="1:2" x14ac:dyDescent="0.25">
      <c r="A496" t="s">
        <v>7211</v>
      </c>
      <c r="B496" s="2510" t="s">
        <v>8527</v>
      </c>
    </row>
    <row r="497" spans="1:4" x14ac:dyDescent="0.25">
      <c r="A497" t="s">
        <v>7212</v>
      </c>
      <c r="B497" s="2510" t="s">
        <v>8528</v>
      </c>
    </row>
    <row r="498" spans="1:4" x14ac:dyDescent="0.25">
      <c r="A498" t="s">
        <v>7213</v>
      </c>
      <c r="B498" s="2510" t="s">
        <v>8529</v>
      </c>
    </row>
    <row r="499" spans="1:4" x14ac:dyDescent="0.25">
      <c r="A499" s="2511" t="s">
        <v>7214</v>
      </c>
      <c r="B499" s="2510" t="s">
        <v>8621</v>
      </c>
      <c r="C499" s="2536" t="s">
        <v>8623</v>
      </c>
      <c r="D499" s="2536" t="s">
        <v>8625</v>
      </c>
    </row>
    <row r="500" spans="1:4" x14ac:dyDescent="0.25">
      <c r="A500" t="s">
        <v>7215</v>
      </c>
      <c r="B500" s="2510" t="s">
        <v>8499</v>
      </c>
    </row>
    <row r="501" spans="1:4" x14ac:dyDescent="0.25">
      <c r="A501" t="s">
        <v>7216</v>
      </c>
      <c r="B501" s="2510" t="s">
        <v>8500</v>
      </c>
    </row>
    <row r="502" spans="1:4" x14ac:dyDescent="0.25">
      <c r="A502" t="s">
        <v>7217</v>
      </c>
      <c r="B502" s="2510" t="s">
        <v>8501</v>
      </c>
    </row>
    <row r="503" spans="1:4" x14ac:dyDescent="0.25">
      <c r="A503" t="s">
        <v>7218</v>
      </c>
      <c r="B503" s="2510" t="s">
        <v>8502</v>
      </c>
    </row>
    <row r="504" spans="1:4" x14ac:dyDescent="0.25">
      <c r="A504" t="s">
        <v>7219</v>
      </c>
      <c r="B504" s="2510" t="s">
        <v>8503</v>
      </c>
    </row>
    <row r="505" spans="1:4" x14ac:dyDescent="0.25">
      <c r="A505" t="s">
        <v>7220</v>
      </c>
      <c r="B505" s="2510" t="s">
        <v>8504</v>
      </c>
    </row>
    <row r="506" spans="1:4" x14ac:dyDescent="0.25">
      <c r="A506" t="s">
        <v>7221</v>
      </c>
      <c r="B506" s="2510" t="s">
        <v>8505</v>
      </c>
    </row>
    <row r="507" spans="1:4" x14ac:dyDescent="0.25">
      <c r="A507" t="s">
        <v>7222</v>
      </c>
      <c r="B507" s="2510" t="s">
        <v>8506</v>
      </c>
    </row>
    <row r="508" spans="1:4" x14ac:dyDescent="0.25">
      <c r="A508" t="s">
        <v>7223</v>
      </c>
      <c r="B508" s="2510" t="s">
        <v>8507</v>
      </c>
    </row>
    <row r="509" spans="1:4" x14ac:dyDescent="0.25">
      <c r="A509" t="s">
        <v>7224</v>
      </c>
      <c r="B509" s="2510" t="s">
        <v>8508</v>
      </c>
    </row>
    <row r="510" spans="1:4" x14ac:dyDescent="0.25">
      <c r="A510" t="s">
        <v>7225</v>
      </c>
      <c r="B510" s="2510" t="s">
        <v>8509</v>
      </c>
    </row>
    <row r="511" spans="1:4" x14ac:dyDescent="0.25">
      <c r="A511" t="s">
        <v>7226</v>
      </c>
      <c r="B511" s="2510" t="s">
        <v>8510</v>
      </c>
    </row>
    <row r="512" spans="1:4" x14ac:dyDescent="0.25">
      <c r="A512" t="s">
        <v>7227</v>
      </c>
      <c r="B512" s="2510" t="s">
        <v>8511</v>
      </c>
    </row>
    <row r="513" spans="1:2" x14ac:dyDescent="0.25">
      <c r="A513" t="s">
        <v>7228</v>
      </c>
      <c r="B513" s="2510" t="s">
        <v>8512</v>
      </c>
    </row>
    <row r="514" spans="1:2" x14ac:dyDescent="0.25">
      <c r="A514" t="s">
        <v>7229</v>
      </c>
      <c r="B514" s="2510" t="s">
        <v>8513</v>
      </c>
    </row>
    <row r="515" spans="1:2" x14ac:dyDescent="0.25">
      <c r="A515" t="s">
        <v>7230</v>
      </c>
      <c r="B515" s="2510" t="s">
        <v>8514</v>
      </c>
    </row>
    <row r="516" spans="1:2" x14ac:dyDescent="0.25">
      <c r="A516" t="s">
        <v>7231</v>
      </c>
      <c r="B516" s="2510" t="s">
        <v>8515</v>
      </c>
    </row>
    <row r="517" spans="1:2" x14ac:dyDescent="0.25">
      <c r="A517" t="s">
        <v>7232</v>
      </c>
      <c r="B517" s="2510" t="s">
        <v>8516</v>
      </c>
    </row>
    <row r="518" spans="1:2" x14ac:dyDescent="0.25">
      <c r="A518" t="s">
        <v>7233</v>
      </c>
      <c r="B518" s="2510" t="s">
        <v>8517</v>
      </c>
    </row>
    <row r="519" spans="1:2" x14ac:dyDescent="0.25">
      <c r="A519" t="s">
        <v>7234</v>
      </c>
      <c r="B519" s="2510" t="s">
        <v>8518</v>
      </c>
    </row>
    <row r="520" spans="1:2" x14ac:dyDescent="0.25">
      <c r="A520" t="s">
        <v>7235</v>
      </c>
      <c r="B520" s="2510" t="s">
        <v>8519</v>
      </c>
    </row>
    <row r="521" spans="1:2" x14ac:dyDescent="0.25">
      <c r="A521" t="s">
        <v>7236</v>
      </c>
      <c r="B521" s="2510" t="s">
        <v>8520</v>
      </c>
    </row>
    <row r="522" spans="1:2" x14ac:dyDescent="0.25">
      <c r="A522" t="s">
        <v>7237</v>
      </c>
      <c r="B522" s="2510" t="s">
        <v>8521</v>
      </c>
    </row>
    <row r="523" spans="1:2" x14ac:dyDescent="0.25">
      <c r="A523" t="s">
        <v>7238</v>
      </c>
      <c r="B523" s="2510" t="s">
        <v>8522</v>
      </c>
    </row>
    <row r="524" spans="1:2" x14ac:dyDescent="0.25">
      <c r="A524" t="s">
        <v>7239</v>
      </c>
      <c r="B524" s="2510" t="s">
        <v>8523</v>
      </c>
    </row>
    <row r="525" spans="1:2" x14ac:dyDescent="0.25">
      <c r="A525" t="s">
        <v>7240</v>
      </c>
      <c r="B525" s="2510" t="s">
        <v>8524</v>
      </c>
    </row>
    <row r="526" spans="1:2" x14ac:dyDescent="0.25">
      <c r="A526" t="s">
        <v>7241</v>
      </c>
      <c r="B526" s="2510" t="s">
        <v>8525</v>
      </c>
    </row>
    <row r="527" spans="1:2" x14ac:dyDescent="0.25">
      <c r="A527" t="s">
        <v>7242</v>
      </c>
      <c r="B527" s="2510" t="s">
        <v>8526</v>
      </c>
    </row>
    <row r="528" spans="1:2" x14ac:dyDescent="0.25">
      <c r="A528" t="s">
        <v>7243</v>
      </c>
      <c r="B528" s="2510" t="s">
        <v>8527</v>
      </c>
    </row>
    <row r="529" spans="1:4" x14ac:dyDescent="0.25">
      <c r="A529" t="s">
        <v>7244</v>
      </c>
      <c r="B529" s="2510" t="s">
        <v>8528</v>
      </c>
    </row>
    <row r="530" spans="1:4" x14ac:dyDescent="0.25">
      <c r="A530" t="s">
        <v>7245</v>
      </c>
      <c r="B530" s="2510" t="s">
        <v>8529</v>
      </c>
    </row>
    <row r="531" spans="1:4" x14ac:dyDescent="0.25">
      <c r="A531" s="2511" t="s">
        <v>7246</v>
      </c>
      <c r="B531" s="2510" t="s">
        <v>8621</v>
      </c>
      <c r="C531" s="2536" t="s">
        <v>8623</v>
      </c>
      <c r="D531" s="2536" t="s">
        <v>8625</v>
      </c>
    </row>
    <row r="532" spans="1:4" x14ac:dyDescent="0.25">
      <c r="A532" t="s">
        <v>7247</v>
      </c>
      <c r="B532" s="2510" t="s">
        <v>8499</v>
      </c>
    </row>
    <row r="533" spans="1:4" x14ac:dyDescent="0.25">
      <c r="A533" t="s">
        <v>7248</v>
      </c>
      <c r="B533" s="2510" t="s">
        <v>8500</v>
      </c>
    </row>
    <row r="534" spans="1:4" x14ac:dyDescent="0.25">
      <c r="A534" t="s">
        <v>7249</v>
      </c>
      <c r="B534" s="2510" t="s">
        <v>8501</v>
      </c>
    </row>
    <row r="535" spans="1:4" x14ac:dyDescent="0.25">
      <c r="A535" t="s">
        <v>7250</v>
      </c>
      <c r="B535" s="2510" t="s">
        <v>8502</v>
      </c>
    </row>
    <row r="536" spans="1:4" x14ac:dyDescent="0.25">
      <c r="A536" t="s">
        <v>7251</v>
      </c>
      <c r="B536" s="2510" t="s">
        <v>8503</v>
      </c>
    </row>
    <row r="537" spans="1:4" x14ac:dyDescent="0.25">
      <c r="A537" t="s">
        <v>7252</v>
      </c>
      <c r="B537" s="2510" t="s">
        <v>8504</v>
      </c>
    </row>
    <row r="538" spans="1:4" x14ac:dyDescent="0.25">
      <c r="A538" t="s">
        <v>7253</v>
      </c>
      <c r="B538" s="2510" t="s">
        <v>8505</v>
      </c>
    </row>
    <row r="539" spans="1:4" x14ac:dyDescent="0.25">
      <c r="A539" t="s">
        <v>7254</v>
      </c>
      <c r="B539" s="2510" t="s">
        <v>8506</v>
      </c>
    </row>
    <row r="540" spans="1:4" x14ac:dyDescent="0.25">
      <c r="A540" t="s">
        <v>7255</v>
      </c>
      <c r="B540" s="2510" t="s">
        <v>8507</v>
      </c>
    </row>
    <row r="541" spans="1:4" x14ac:dyDescent="0.25">
      <c r="A541" t="s">
        <v>7256</v>
      </c>
      <c r="B541" s="2510" t="s">
        <v>8508</v>
      </c>
    </row>
    <row r="542" spans="1:4" x14ac:dyDescent="0.25">
      <c r="A542" t="s">
        <v>7257</v>
      </c>
      <c r="B542" s="2510" t="s">
        <v>8509</v>
      </c>
    </row>
    <row r="543" spans="1:4" x14ac:dyDescent="0.25">
      <c r="A543" t="s">
        <v>7258</v>
      </c>
      <c r="B543" s="2510" t="s">
        <v>8510</v>
      </c>
    </row>
    <row r="544" spans="1:4" x14ac:dyDescent="0.25">
      <c r="A544" t="s">
        <v>7259</v>
      </c>
      <c r="B544" s="2510" t="s">
        <v>8511</v>
      </c>
    </row>
    <row r="545" spans="1:2" x14ac:dyDescent="0.25">
      <c r="A545" t="s">
        <v>7260</v>
      </c>
      <c r="B545" s="2510" t="s">
        <v>8512</v>
      </c>
    </row>
    <row r="546" spans="1:2" x14ac:dyDescent="0.25">
      <c r="A546" t="s">
        <v>7261</v>
      </c>
      <c r="B546" s="2510" t="s">
        <v>8513</v>
      </c>
    </row>
    <row r="547" spans="1:2" x14ac:dyDescent="0.25">
      <c r="A547" t="s">
        <v>7262</v>
      </c>
      <c r="B547" s="2510" t="s">
        <v>8514</v>
      </c>
    </row>
    <row r="548" spans="1:2" x14ac:dyDescent="0.25">
      <c r="A548" t="s">
        <v>7263</v>
      </c>
      <c r="B548" s="2510" t="s">
        <v>8515</v>
      </c>
    </row>
    <row r="549" spans="1:2" x14ac:dyDescent="0.25">
      <c r="A549" t="s">
        <v>7264</v>
      </c>
      <c r="B549" s="2510" t="s">
        <v>8516</v>
      </c>
    </row>
    <row r="550" spans="1:2" x14ac:dyDescent="0.25">
      <c r="A550" t="s">
        <v>7265</v>
      </c>
      <c r="B550" s="2510" t="s">
        <v>8517</v>
      </c>
    </row>
    <row r="551" spans="1:2" x14ac:dyDescent="0.25">
      <c r="A551" t="s">
        <v>7266</v>
      </c>
      <c r="B551" s="2510" t="s">
        <v>8518</v>
      </c>
    </row>
    <row r="552" spans="1:2" x14ac:dyDescent="0.25">
      <c r="A552" t="s">
        <v>7267</v>
      </c>
      <c r="B552" s="2510" t="s">
        <v>8519</v>
      </c>
    </row>
    <row r="553" spans="1:2" x14ac:dyDescent="0.25">
      <c r="A553" t="s">
        <v>7268</v>
      </c>
      <c r="B553" s="2510" t="s">
        <v>8520</v>
      </c>
    </row>
    <row r="554" spans="1:2" x14ac:dyDescent="0.25">
      <c r="A554" t="s">
        <v>7269</v>
      </c>
      <c r="B554" s="2510" t="s">
        <v>8521</v>
      </c>
    </row>
    <row r="555" spans="1:2" x14ac:dyDescent="0.25">
      <c r="A555" t="s">
        <v>7270</v>
      </c>
      <c r="B555" s="2510" t="s">
        <v>8522</v>
      </c>
    </row>
    <row r="556" spans="1:2" x14ac:dyDescent="0.25">
      <c r="A556" t="s">
        <v>7271</v>
      </c>
      <c r="B556" s="2510" t="s">
        <v>8523</v>
      </c>
    </row>
    <row r="557" spans="1:2" x14ac:dyDescent="0.25">
      <c r="A557" t="s">
        <v>7272</v>
      </c>
      <c r="B557" s="2510" t="s">
        <v>8524</v>
      </c>
    </row>
    <row r="558" spans="1:2" x14ac:dyDescent="0.25">
      <c r="A558" t="s">
        <v>7273</v>
      </c>
      <c r="B558" s="2510" t="s">
        <v>8525</v>
      </c>
    </row>
    <row r="559" spans="1:2" x14ac:dyDescent="0.25">
      <c r="A559" t="s">
        <v>7274</v>
      </c>
      <c r="B559" s="2510" t="s">
        <v>8526</v>
      </c>
    </row>
    <row r="560" spans="1:2" x14ac:dyDescent="0.25">
      <c r="A560" t="s">
        <v>7275</v>
      </c>
      <c r="B560" s="2510" t="s">
        <v>8527</v>
      </c>
    </row>
    <row r="561" spans="1:4" x14ac:dyDescent="0.25">
      <c r="A561" t="s">
        <v>7276</v>
      </c>
      <c r="B561" s="2510" t="s">
        <v>8528</v>
      </c>
    </row>
    <row r="562" spans="1:4" x14ac:dyDescent="0.25">
      <c r="A562" t="s">
        <v>7277</v>
      </c>
      <c r="B562" s="2510" t="s">
        <v>8529</v>
      </c>
    </row>
    <row r="563" spans="1:4" x14ac:dyDescent="0.25">
      <c r="A563" s="2511" t="s">
        <v>7278</v>
      </c>
      <c r="B563" s="2510" t="s">
        <v>8621</v>
      </c>
      <c r="C563" s="2536" t="s">
        <v>8623</v>
      </c>
      <c r="D563" s="2536" t="s">
        <v>8625</v>
      </c>
    </row>
    <row r="564" spans="1:4" x14ac:dyDescent="0.25">
      <c r="A564" t="s">
        <v>7279</v>
      </c>
      <c r="B564" s="2510" t="s">
        <v>8499</v>
      </c>
    </row>
    <row r="565" spans="1:4" x14ac:dyDescent="0.25">
      <c r="A565" t="s">
        <v>7280</v>
      </c>
      <c r="B565" s="2510" t="s">
        <v>8500</v>
      </c>
    </row>
    <row r="566" spans="1:4" x14ac:dyDescent="0.25">
      <c r="A566" t="s">
        <v>7281</v>
      </c>
      <c r="B566" s="2510" t="s">
        <v>8501</v>
      </c>
    </row>
    <row r="567" spans="1:4" x14ac:dyDescent="0.25">
      <c r="A567" t="s">
        <v>7282</v>
      </c>
      <c r="B567" s="2510" t="s">
        <v>8502</v>
      </c>
    </row>
    <row r="568" spans="1:4" x14ac:dyDescent="0.25">
      <c r="A568" t="s">
        <v>7283</v>
      </c>
      <c r="B568" s="2510" t="s">
        <v>8503</v>
      </c>
    </row>
    <row r="569" spans="1:4" x14ac:dyDescent="0.25">
      <c r="A569" t="s">
        <v>7284</v>
      </c>
      <c r="B569" s="2510" t="s">
        <v>8504</v>
      </c>
    </row>
    <row r="570" spans="1:4" x14ac:dyDescent="0.25">
      <c r="A570" t="s">
        <v>7285</v>
      </c>
      <c r="B570" s="2510" t="s">
        <v>8505</v>
      </c>
    </row>
    <row r="571" spans="1:4" x14ac:dyDescent="0.25">
      <c r="A571" t="s">
        <v>7286</v>
      </c>
      <c r="B571" s="2510" t="s">
        <v>8506</v>
      </c>
    </row>
    <row r="572" spans="1:4" x14ac:dyDescent="0.25">
      <c r="A572" t="s">
        <v>7287</v>
      </c>
      <c r="B572" s="2510" t="s">
        <v>8507</v>
      </c>
    </row>
    <row r="573" spans="1:4" x14ac:dyDescent="0.25">
      <c r="A573" t="s">
        <v>7288</v>
      </c>
      <c r="B573" s="2510" t="s">
        <v>8508</v>
      </c>
    </row>
    <row r="574" spans="1:4" x14ac:dyDescent="0.25">
      <c r="A574" t="s">
        <v>7289</v>
      </c>
      <c r="B574" s="2510" t="s">
        <v>8509</v>
      </c>
    </row>
    <row r="575" spans="1:4" x14ac:dyDescent="0.25">
      <c r="A575" t="s">
        <v>7290</v>
      </c>
      <c r="B575" s="2510" t="s">
        <v>8510</v>
      </c>
    </row>
    <row r="576" spans="1:4" x14ac:dyDescent="0.25">
      <c r="A576" t="s">
        <v>7291</v>
      </c>
      <c r="B576" s="2510" t="s">
        <v>8511</v>
      </c>
    </row>
    <row r="577" spans="1:2" x14ac:dyDescent="0.25">
      <c r="A577" t="s">
        <v>7292</v>
      </c>
      <c r="B577" s="2510" t="s">
        <v>8512</v>
      </c>
    </row>
    <row r="578" spans="1:2" x14ac:dyDescent="0.25">
      <c r="A578" t="s">
        <v>7293</v>
      </c>
      <c r="B578" s="2510" t="s">
        <v>8513</v>
      </c>
    </row>
    <row r="579" spans="1:2" x14ac:dyDescent="0.25">
      <c r="A579" t="s">
        <v>7294</v>
      </c>
      <c r="B579" s="2510" t="s">
        <v>8514</v>
      </c>
    </row>
    <row r="580" spans="1:2" x14ac:dyDescent="0.25">
      <c r="A580" t="s">
        <v>7295</v>
      </c>
      <c r="B580" s="2510" t="s">
        <v>8515</v>
      </c>
    </row>
    <row r="581" spans="1:2" x14ac:dyDescent="0.25">
      <c r="A581" t="s">
        <v>7296</v>
      </c>
      <c r="B581" s="2510" t="s">
        <v>8516</v>
      </c>
    </row>
    <row r="582" spans="1:2" x14ac:dyDescent="0.25">
      <c r="A582" t="s">
        <v>7297</v>
      </c>
      <c r="B582" s="2510" t="s">
        <v>8517</v>
      </c>
    </row>
    <row r="583" spans="1:2" x14ac:dyDescent="0.25">
      <c r="A583" t="s">
        <v>7298</v>
      </c>
      <c r="B583" s="2510" t="s">
        <v>8518</v>
      </c>
    </row>
    <row r="584" spans="1:2" x14ac:dyDescent="0.25">
      <c r="A584" t="s">
        <v>7299</v>
      </c>
      <c r="B584" s="2510" t="s">
        <v>8519</v>
      </c>
    </row>
    <row r="585" spans="1:2" x14ac:dyDescent="0.25">
      <c r="A585" t="s">
        <v>7300</v>
      </c>
      <c r="B585" s="2510" t="s">
        <v>8520</v>
      </c>
    </row>
    <row r="586" spans="1:2" x14ac:dyDescent="0.25">
      <c r="A586" t="s">
        <v>7301</v>
      </c>
      <c r="B586" s="2510" t="s">
        <v>8521</v>
      </c>
    </row>
    <row r="587" spans="1:2" x14ac:dyDescent="0.25">
      <c r="A587" t="s">
        <v>7302</v>
      </c>
      <c r="B587" s="2510" t="s">
        <v>8522</v>
      </c>
    </row>
    <row r="588" spans="1:2" x14ac:dyDescent="0.25">
      <c r="A588" t="s">
        <v>7303</v>
      </c>
      <c r="B588" s="2510" t="s">
        <v>8523</v>
      </c>
    </row>
    <row r="589" spans="1:2" x14ac:dyDescent="0.25">
      <c r="A589" t="s">
        <v>7304</v>
      </c>
      <c r="B589" s="2510" t="s">
        <v>8524</v>
      </c>
    </row>
    <row r="590" spans="1:2" x14ac:dyDescent="0.25">
      <c r="A590" t="s">
        <v>7305</v>
      </c>
      <c r="B590" s="2510" t="s">
        <v>8525</v>
      </c>
    </row>
    <row r="591" spans="1:2" x14ac:dyDescent="0.25">
      <c r="A591" t="s">
        <v>7306</v>
      </c>
      <c r="B591" s="2510" t="s">
        <v>8526</v>
      </c>
    </row>
    <row r="592" spans="1:2" x14ac:dyDescent="0.25">
      <c r="A592" t="s">
        <v>7307</v>
      </c>
      <c r="B592" s="2510" t="s">
        <v>8527</v>
      </c>
    </row>
    <row r="593" spans="1:4" x14ac:dyDescent="0.25">
      <c r="A593" t="s">
        <v>7308</v>
      </c>
      <c r="B593" s="2510" t="s">
        <v>8528</v>
      </c>
    </row>
    <row r="594" spans="1:4" x14ac:dyDescent="0.25">
      <c r="A594" t="s">
        <v>7309</v>
      </c>
      <c r="B594" s="2510" t="s">
        <v>8529</v>
      </c>
    </row>
    <row r="595" spans="1:4" x14ac:dyDescent="0.25">
      <c r="A595" s="2511" t="s">
        <v>7310</v>
      </c>
      <c r="B595" s="2510" t="s">
        <v>8621</v>
      </c>
      <c r="C595" s="2536" t="s">
        <v>8623</v>
      </c>
      <c r="D595" s="2536" t="s">
        <v>8625</v>
      </c>
    </row>
    <row r="596" spans="1:4" x14ac:dyDescent="0.25">
      <c r="A596" t="s">
        <v>7311</v>
      </c>
      <c r="B596" s="2510" t="s">
        <v>8626</v>
      </c>
      <c r="C596" s="2510" t="s">
        <v>8635</v>
      </c>
      <c r="D596" s="2510" t="s">
        <v>8644</v>
      </c>
    </row>
    <row r="597" spans="1:4" x14ac:dyDescent="0.25">
      <c r="A597" t="s">
        <v>7312</v>
      </c>
      <c r="B597" s="2510" t="s">
        <v>8627</v>
      </c>
      <c r="C597" s="2510" t="s">
        <v>8636</v>
      </c>
      <c r="D597" s="2510" t="s">
        <v>8645</v>
      </c>
    </row>
    <row r="598" spans="1:4" x14ac:dyDescent="0.25">
      <c r="A598" t="s">
        <v>7313</v>
      </c>
      <c r="B598" s="2510" t="s">
        <v>8628</v>
      </c>
      <c r="C598" s="2510" t="s">
        <v>8637</v>
      </c>
      <c r="D598" s="2510" t="s">
        <v>8646</v>
      </c>
    </row>
    <row r="599" spans="1:4" x14ac:dyDescent="0.25">
      <c r="A599" t="s">
        <v>7314</v>
      </c>
      <c r="B599" s="2510" t="s">
        <v>8629</v>
      </c>
      <c r="C599" s="2510" t="s">
        <v>8638</v>
      </c>
      <c r="D599" s="2510" t="s">
        <v>8647</v>
      </c>
    </row>
    <row r="600" spans="1:4" x14ac:dyDescent="0.25">
      <c r="A600" t="s">
        <v>7315</v>
      </c>
      <c r="B600" s="2510" t="s">
        <v>8630</v>
      </c>
      <c r="C600" s="2510" t="s">
        <v>8639</v>
      </c>
      <c r="D600" s="2510" t="s">
        <v>8648</v>
      </c>
    </row>
    <row r="601" spans="1:4" x14ac:dyDescent="0.25">
      <c r="A601" t="s">
        <v>7316</v>
      </c>
      <c r="B601" s="2510" t="s">
        <v>8504</v>
      </c>
    </row>
    <row r="602" spans="1:4" x14ac:dyDescent="0.25">
      <c r="A602" t="s">
        <v>7317</v>
      </c>
      <c r="B602" s="2510" t="s">
        <v>8505</v>
      </c>
    </row>
    <row r="603" spans="1:4" x14ac:dyDescent="0.25">
      <c r="A603" t="s">
        <v>7318</v>
      </c>
      <c r="B603" s="2510" t="s">
        <v>8506</v>
      </c>
    </row>
    <row r="604" spans="1:4" x14ac:dyDescent="0.25">
      <c r="A604" t="s">
        <v>7319</v>
      </c>
      <c r="B604" s="2510" t="s">
        <v>8507</v>
      </c>
    </row>
    <row r="605" spans="1:4" x14ac:dyDescent="0.25">
      <c r="A605" t="s">
        <v>7320</v>
      </c>
      <c r="B605" s="2510" t="s">
        <v>8508</v>
      </c>
    </row>
    <row r="606" spans="1:4" x14ac:dyDescent="0.25">
      <c r="A606" t="s">
        <v>7321</v>
      </c>
      <c r="B606" s="2510" t="s">
        <v>8509</v>
      </c>
    </row>
    <row r="607" spans="1:4" x14ac:dyDescent="0.25">
      <c r="A607" t="s">
        <v>7322</v>
      </c>
      <c r="B607" s="2510" t="s">
        <v>8510</v>
      </c>
    </row>
    <row r="608" spans="1:4" x14ac:dyDescent="0.25">
      <c r="A608" t="s">
        <v>7323</v>
      </c>
      <c r="B608" s="2510" t="s">
        <v>8511</v>
      </c>
    </row>
    <row r="609" spans="1:2" x14ac:dyDescent="0.25">
      <c r="A609" t="s">
        <v>7324</v>
      </c>
      <c r="B609" s="2510" t="s">
        <v>8512</v>
      </c>
    </row>
    <row r="610" spans="1:2" x14ac:dyDescent="0.25">
      <c r="A610" t="s">
        <v>7325</v>
      </c>
      <c r="B610" s="2510" t="s">
        <v>8513</v>
      </c>
    </row>
    <row r="611" spans="1:2" x14ac:dyDescent="0.25">
      <c r="A611" t="s">
        <v>7326</v>
      </c>
      <c r="B611" s="2510" t="s">
        <v>8514</v>
      </c>
    </row>
    <row r="612" spans="1:2" x14ac:dyDescent="0.25">
      <c r="A612" t="s">
        <v>7327</v>
      </c>
      <c r="B612" s="2510" t="s">
        <v>8515</v>
      </c>
    </row>
    <row r="613" spans="1:2" x14ac:dyDescent="0.25">
      <c r="A613" t="s">
        <v>7328</v>
      </c>
      <c r="B613" s="2510" t="s">
        <v>8516</v>
      </c>
    </row>
    <row r="614" spans="1:2" x14ac:dyDescent="0.25">
      <c r="A614" t="s">
        <v>7329</v>
      </c>
      <c r="B614" s="2510" t="s">
        <v>8517</v>
      </c>
    </row>
    <row r="615" spans="1:2" x14ac:dyDescent="0.25">
      <c r="A615" t="s">
        <v>7330</v>
      </c>
      <c r="B615" s="2510" t="s">
        <v>8518</v>
      </c>
    </row>
    <row r="616" spans="1:2" x14ac:dyDescent="0.25">
      <c r="A616" t="s">
        <v>7331</v>
      </c>
      <c r="B616" s="2510" t="s">
        <v>8519</v>
      </c>
    </row>
    <row r="617" spans="1:2" x14ac:dyDescent="0.25">
      <c r="A617" t="s">
        <v>7332</v>
      </c>
      <c r="B617" s="2510" t="s">
        <v>8520</v>
      </c>
    </row>
    <row r="618" spans="1:2" x14ac:dyDescent="0.25">
      <c r="A618" t="s">
        <v>7333</v>
      </c>
      <c r="B618" s="2510" t="s">
        <v>8521</v>
      </c>
    </row>
    <row r="619" spans="1:2" x14ac:dyDescent="0.25">
      <c r="A619" t="s">
        <v>7334</v>
      </c>
      <c r="B619" s="2510" t="s">
        <v>8522</v>
      </c>
    </row>
    <row r="620" spans="1:2" x14ac:dyDescent="0.25">
      <c r="A620" t="s">
        <v>7335</v>
      </c>
      <c r="B620" s="2510" t="s">
        <v>8523</v>
      </c>
    </row>
    <row r="621" spans="1:2" x14ac:dyDescent="0.25">
      <c r="A621" t="s">
        <v>7336</v>
      </c>
      <c r="B621" s="2510" t="s">
        <v>8524</v>
      </c>
    </row>
    <row r="622" spans="1:2" x14ac:dyDescent="0.25">
      <c r="A622" t="s">
        <v>7337</v>
      </c>
      <c r="B622" s="2510" t="s">
        <v>8525</v>
      </c>
    </row>
    <row r="623" spans="1:2" x14ac:dyDescent="0.25">
      <c r="A623" t="s">
        <v>7338</v>
      </c>
      <c r="B623" s="2510" t="s">
        <v>8526</v>
      </c>
    </row>
    <row r="624" spans="1:2" x14ac:dyDescent="0.25">
      <c r="A624" t="s">
        <v>7339</v>
      </c>
      <c r="B624" s="2510" t="s">
        <v>8527</v>
      </c>
    </row>
    <row r="625" spans="1:4" x14ac:dyDescent="0.25">
      <c r="A625" s="2511" t="s">
        <v>7340</v>
      </c>
      <c r="B625" s="2510" t="s">
        <v>8621</v>
      </c>
      <c r="C625" s="2536" t="s">
        <v>8623</v>
      </c>
      <c r="D625" s="2536" t="s">
        <v>8625</v>
      </c>
    </row>
    <row r="626" spans="1:4" x14ac:dyDescent="0.25">
      <c r="A626" t="s">
        <v>7341</v>
      </c>
      <c r="B626" s="2510" t="s">
        <v>8626</v>
      </c>
      <c r="C626" s="2510" t="s">
        <v>8635</v>
      </c>
      <c r="D626" s="2510" t="s">
        <v>8644</v>
      </c>
    </row>
    <row r="627" spans="1:4" x14ac:dyDescent="0.25">
      <c r="A627" t="s">
        <v>7342</v>
      </c>
      <c r="B627" s="2510" t="s">
        <v>8627</v>
      </c>
      <c r="C627" s="2510" t="s">
        <v>8636</v>
      </c>
      <c r="D627" s="2510" t="s">
        <v>8645</v>
      </c>
    </row>
    <row r="628" spans="1:4" x14ac:dyDescent="0.25">
      <c r="A628" t="s">
        <v>7343</v>
      </c>
      <c r="B628" s="2510" t="s">
        <v>8628</v>
      </c>
      <c r="C628" s="2510" t="s">
        <v>8637</v>
      </c>
      <c r="D628" s="2510" t="s">
        <v>8646</v>
      </c>
    </row>
    <row r="629" spans="1:4" x14ac:dyDescent="0.25">
      <c r="A629" t="s">
        <v>7344</v>
      </c>
      <c r="B629" s="2510" t="s">
        <v>8629</v>
      </c>
      <c r="C629" s="2510" t="s">
        <v>8638</v>
      </c>
      <c r="D629" s="2510" t="s">
        <v>8647</v>
      </c>
    </row>
    <row r="630" spans="1:4" x14ac:dyDescent="0.25">
      <c r="A630" t="s">
        <v>7345</v>
      </c>
      <c r="B630" s="2510" t="s">
        <v>8630</v>
      </c>
      <c r="C630" s="2510" t="s">
        <v>8639</v>
      </c>
      <c r="D630" s="2510" t="s">
        <v>8648</v>
      </c>
    </row>
    <row r="631" spans="1:4" x14ac:dyDescent="0.25">
      <c r="A631" t="s">
        <v>7346</v>
      </c>
      <c r="B631" s="2510" t="s">
        <v>8504</v>
      </c>
    </row>
    <row r="632" spans="1:4" x14ac:dyDescent="0.25">
      <c r="A632" t="s">
        <v>7347</v>
      </c>
      <c r="B632" s="2510" t="s">
        <v>8505</v>
      </c>
    </row>
    <row r="633" spans="1:4" x14ac:dyDescent="0.25">
      <c r="A633" t="s">
        <v>7348</v>
      </c>
      <c r="B633" s="2510" t="s">
        <v>8506</v>
      </c>
    </row>
    <row r="634" spans="1:4" x14ac:dyDescent="0.25">
      <c r="A634" t="s">
        <v>7349</v>
      </c>
      <c r="B634" s="2510" t="s">
        <v>8507</v>
      </c>
    </row>
    <row r="635" spans="1:4" x14ac:dyDescent="0.25">
      <c r="A635" t="s">
        <v>7350</v>
      </c>
      <c r="B635" s="2510" t="s">
        <v>8508</v>
      </c>
    </row>
    <row r="636" spans="1:4" x14ac:dyDescent="0.25">
      <c r="A636" t="s">
        <v>7351</v>
      </c>
      <c r="B636" s="2510" t="s">
        <v>8509</v>
      </c>
    </row>
    <row r="637" spans="1:4" x14ac:dyDescent="0.25">
      <c r="A637" t="s">
        <v>7352</v>
      </c>
      <c r="B637" s="2510" t="s">
        <v>8510</v>
      </c>
    </row>
    <row r="638" spans="1:4" x14ac:dyDescent="0.25">
      <c r="A638" t="s">
        <v>7353</v>
      </c>
      <c r="B638" s="2510" t="s">
        <v>8511</v>
      </c>
    </row>
    <row r="639" spans="1:4" x14ac:dyDescent="0.25">
      <c r="A639" t="s">
        <v>7354</v>
      </c>
      <c r="B639" s="2510" t="s">
        <v>8512</v>
      </c>
    </row>
    <row r="640" spans="1:4" x14ac:dyDescent="0.25">
      <c r="A640" t="s">
        <v>7355</v>
      </c>
      <c r="B640" s="2510" t="s">
        <v>8513</v>
      </c>
    </row>
    <row r="641" spans="1:2" x14ac:dyDescent="0.25">
      <c r="A641" t="s">
        <v>7356</v>
      </c>
      <c r="B641" s="2510" t="s">
        <v>8514</v>
      </c>
    </row>
    <row r="642" spans="1:2" x14ac:dyDescent="0.25">
      <c r="A642" t="s">
        <v>7357</v>
      </c>
      <c r="B642" s="2510" t="s">
        <v>8515</v>
      </c>
    </row>
    <row r="643" spans="1:2" x14ac:dyDescent="0.25">
      <c r="A643" t="s">
        <v>7358</v>
      </c>
      <c r="B643" s="2510" t="s">
        <v>8516</v>
      </c>
    </row>
    <row r="644" spans="1:2" x14ac:dyDescent="0.25">
      <c r="A644" t="s">
        <v>7359</v>
      </c>
      <c r="B644" s="2510" t="s">
        <v>8517</v>
      </c>
    </row>
    <row r="645" spans="1:2" x14ac:dyDescent="0.25">
      <c r="A645" t="s">
        <v>7360</v>
      </c>
      <c r="B645" s="2510" t="s">
        <v>8518</v>
      </c>
    </row>
    <row r="646" spans="1:2" x14ac:dyDescent="0.25">
      <c r="A646" t="s">
        <v>7361</v>
      </c>
      <c r="B646" s="2510" t="s">
        <v>8519</v>
      </c>
    </row>
    <row r="647" spans="1:2" x14ac:dyDescent="0.25">
      <c r="A647" t="s">
        <v>7362</v>
      </c>
      <c r="B647" s="2510" t="s">
        <v>8520</v>
      </c>
    </row>
    <row r="648" spans="1:2" x14ac:dyDescent="0.25">
      <c r="A648" t="s">
        <v>7363</v>
      </c>
      <c r="B648" s="2510" t="s">
        <v>8521</v>
      </c>
    </row>
    <row r="649" spans="1:2" x14ac:dyDescent="0.25">
      <c r="A649" t="s">
        <v>7364</v>
      </c>
      <c r="B649" s="2510" t="s">
        <v>8522</v>
      </c>
    </row>
    <row r="650" spans="1:2" x14ac:dyDescent="0.25">
      <c r="A650" t="s">
        <v>7365</v>
      </c>
      <c r="B650" s="2510" t="s">
        <v>8523</v>
      </c>
    </row>
    <row r="651" spans="1:2" x14ac:dyDescent="0.25">
      <c r="A651" t="s">
        <v>7366</v>
      </c>
      <c r="B651" s="2510" t="s">
        <v>8524</v>
      </c>
    </row>
    <row r="652" spans="1:2" x14ac:dyDescent="0.25">
      <c r="A652" t="s">
        <v>7367</v>
      </c>
      <c r="B652" s="2510" t="s">
        <v>8525</v>
      </c>
    </row>
    <row r="653" spans="1:2" x14ac:dyDescent="0.25">
      <c r="A653" t="s">
        <v>7368</v>
      </c>
      <c r="B653" s="2510" t="s">
        <v>8526</v>
      </c>
    </row>
    <row r="654" spans="1:2" x14ac:dyDescent="0.25">
      <c r="A654" t="s">
        <v>7369</v>
      </c>
      <c r="B654" s="2510" t="s">
        <v>8527</v>
      </c>
    </row>
    <row r="655" spans="1:2" x14ac:dyDescent="0.25">
      <c r="A655" s="2511" t="s">
        <v>7370</v>
      </c>
      <c r="B655" s="2510" t="s">
        <v>8560</v>
      </c>
    </row>
    <row r="656" spans="1:2" x14ac:dyDescent="0.25">
      <c r="A656" t="s">
        <v>7371</v>
      </c>
      <c r="B656" s="2510" t="s">
        <v>8561</v>
      </c>
    </row>
    <row r="657" spans="1:2" x14ac:dyDescent="0.25">
      <c r="A657" t="s">
        <v>7372</v>
      </c>
      <c r="B657" s="2510" t="s">
        <v>8562</v>
      </c>
    </row>
    <row r="658" spans="1:2" x14ac:dyDescent="0.25">
      <c r="A658" t="s">
        <v>7373</v>
      </c>
      <c r="B658" s="2510" t="s">
        <v>8563</v>
      </c>
    </row>
    <row r="659" spans="1:2" x14ac:dyDescent="0.25">
      <c r="A659" t="s">
        <v>7374</v>
      </c>
      <c r="B659" s="2510" t="s">
        <v>8564</v>
      </c>
    </row>
    <row r="660" spans="1:2" x14ac:dyDescent="0.25">
      <c r="A660" t="s">
        <v>7375</v>
      </c>
      <c r="B660" s="2510" t="s">
        <v>8565</v>
      </c>
    </row>
    <row r="661" spans="1:2" x14ac:dyDescent="0.25">
      <c r="A661" t="s">
        <v>7376</v>
      </c>
      <c r="B661" s="2510" t="s">
        <v>8566</v>
      </c>
    </row>
    <row r="662" spans="1:2" x14ac:dyDescent="0.25">
      <c r="A662" t="s">
        <v>7377</v>
      </c>
      <c r="B662" s="2510" t="s">
        <v>8567</v>
      </c>
    </row>
    <row r="663" spans="1:2" x14ac:dyDescent="0.25">
      <c r="A663" t="s">
        <v>7378</v>
      </c>
      <c r="B663" s="2510" t="s">
        <v>8568</v>
      </c>
    </row>
    <row r="664" spans="1:2" x14ac:dyDescent="0.25">
      <c r="A664" t="s">
        <v>7379</v>
      </c>
      <c r="B664" s="2510" t="s">
        <v>8569</v>
      </c>
    </row>
    <row r="665" spans="1:2" x14ac:dyDescent="0.25">
      <c r="A665" t="s">
        <v>7380</v>
      </c>
      <c r="B665" s="2510" t="s">
        <v>8570</v>
      </c>
    </row>
    <row r="666" spans="1:2" x14ac:dyDescent="0.25">
      <c r="A666" t="s">
        <v>7381</v>
      </c>
      <c r="B666" s="2510" t="s">
        <v>8571</v>
      </c>
    </row>
    <row r="667" spans="1:2" x14ac:dyDescent="0.25">
      <c r="A667" t="s">
        <v>7382</v>
      </c>
      <c r="B667" s="2510" t="s">
        <v>8572</v>
      </c>
    </row>
    <row r="668" spans="1:2" x14ac:dyDescent="0.25">
      <c r="A668" t="s">
        <v>7383</v>
      </c>
      <c r="B668" s="2510" t="s">
        <v>8573</v>
      </c>
    </row>
    <row r="669" spans="1:2" x14ac:dyDescent="0.25">
      <c r="A669" t="s">
        <v>7384</v>
      </c>
      <c r="B669" s="2510" t="s">
        <v>8574</v>
      </c>
    </row>
    <row r="670" spans="1:2" x14ac:dyDescent="0.25">
      <c r="A670" t="s">
        <v>7385</v>
      </c>
      <c r="B670" s="2510" t="s">
        <v>8575</v>
      </c>
    </row>
    <row r="671" spans="1:2" x14ac:dyDescent="0.25">
      <c r="A671" t="s">
        <v>7386</v>
      </c>
      <c r="B671" s="2510" t="s">
        <v>8576</v>
      </c>
    </row>
    <row r="672" spans="1:2" x14ac:dyDescent="0.25">
      <c r="A672" t="s">
        <v>7387</v>
      </c>
      <c r="B672" s="2510" t="s">
        <v>8577</v>
      </c>
    </row>
    <row r="673" spans="1:2" x14ac:dyDescent="0.25">
      <c r="A673" t="s">
        <v>7388</v>
      </c>
      <c r="B673" s="2510" t="s">
        <v>8578</v>
      </c>
    </row>
    <row r="674" spans="1:2" x14ac:dyDescent="0.25">
      <c r="A674" t="s">
        <v>7389</v>
      </c>
      <c r="B674" s="2510" t="s">
        <v>8579</v>
      </c>
    </row>
    <row r="675" spans="1:2" x14ac:dyDescent="0.25">
      <c r="A675" t="s">
        <v>7390</v>
      </c>
      <c r="B675" s="2510" t="s">
        <v>8580</v>
      </c>
    </row>
    <row r="676" spans="1:2" x14ac:dyDescent="0.25">
      <c r="A676" t="s">
        <v>7391</v>
      </c>
      <c r="B676" s="2510" t="s">
        <v>8581</v>
      </c>
    </row>
    <row r="677" spans="1:2" x14ac:dyDescent="0.25">
      <c r="A677" t="s">
        <v>7392</v>
      </c>
      <c r="B677" s="2510" t="s">
        <v>8582</v>
      </c>
    </row>
    <row r="678" spans="1:2" x14ac:dyDescent="0.25">
      <c r="A678" t="s">
        <v>7393</v>
      </c>
      <c r="B678" s="2510" t="s">
        <v>8583</v>
      </c>
    </row>
    <row r="679" spans="1:2" x14ac:dyDescent="0.25">
      <c r="A679" t="s">
        <v>7394</v>
      </c>
      <c r="B679" s="2510" t="s">
        <v>8584</v>
      </c>
    </row>
    <row r="680" spans="1:2" x14ac:dyDescent="0.25">
      <c r="A680" t="s">
        <v>7395</v>
      </c>
      <c r="B680" s="2510" t="s">
        <v>8585</v>
      </c>
    </row>
    <row r="681" spans="1:2" x14ac:dyDescent="0.25">
      <c r="A681" t="s">
        <v>7396</v>
      </c>
      <c r="B681" s="2510" t="s">
        <v>8586</v>
      </c>
    </row>
    <row r="682" spans="1:2" x14ac:dyDescent="0.25">
      <c r="A682" t="s">
        <v>7397</v>
      </c>
      <c r="B682" s="2510" t="s">
        <v>8587</v>
      </c>
    </row>
    <row r="683" spans="1:2" x14ac:dyDescent="0.25">
      <c r="A683" t="s">
        <v>7398</v>
      </c>
      <c r="B683" s="2510" t="s">
        <v>8588</v>
      </c>
    </row>
    <row r="684" spans="1:2" x14ac:dyDescent="0.25">
      <c r="A684" t="s">
        <v>7399</v>
      </c>
      <c r="B684" s="2510" t="s">
        <v>8589</v>
      </c>
    </row>
    <row r="685" spans="1:2" x14ac:dyDescent="0.25">
      <c r="A685" t="s">
        <v>7400</v>
      </c>
      <c r="B685" s="2510" t="s">
        <v>8590</v>
      </c>
    </row>
    <row r="686" spans="1:2" x14ac:dyDescent="0.25">
      <c r="A686" t="s">
        <v>7401</v>
      </c>
      <c r="B686" s="2510" t="s">
        <v>8591</v>
      </c>
    </row>
    <row r="687" spans="1:2" x14ac:dyDescent="0.25">
      <c r="A687" t="s">
        <v>7402</v>
      </c>
      <c r="B687" s="2510" t="s">
        <v>8592</v>
      </c>
    </row>
    <row r="688" spans="1:2" x14ac:dyDescent="0.25">
      <c r="A688" t="s">
        <v>7403</v>
      </c>
      <c r="B688" s="2510" t="s">
        <v>8593</v>
      </c>
    </row>
    <row r="689" spans="1:2" x14ac:dyDescent="0.25">
      <c r="A689" s="2511" t="s">
        <v>7404</v>
      </c>
      <c r="B689" s="2510" t="s">
        <v>8560</v>
      </c>
    </row>
    <row r="690" spans="1:2" x14ac:dyDescent="0.25">
      <c r="A690" t="s">
        <v>7405</v>
      </c>
      <c r="B690" s="2510" t="s">
        <v>8561</v>
      </c>
    </row>
    <row r="691" spans="1:2" x14ac:dyDescent="0.25">
      <c r="A691" t="s">
        <v>7406</v>
      </c>
      <c r="B691" s="2510" t="s">
        <v>8562</v>
      </c>
    </row>
    <row r="692" spans="1:2" x14ac:dyDescent="0.25">
      <c r="A692" t="s">
        <v>7407</v>
      </c>
      <c r="B692" s="2510" t="s">
        <v>8563</v>
      </c>
    </row>
    <row r="693" spans="1:2" x14ac:dyDescent="0.25">
      <c r="A693" t="s">
        <v>7408</v>
      </c>
      <c r="B693" s="2510" t="s">
        <v>8564</v>
      </c>
    </row>
    <row r="694" spans="1:2" x14ac:dyDescent="0.25">
      <c r="A694" t="s">
        <v>7409</v>
      </c>
      <c r="B694" s="2510" t="s">
        <v>8565</v>
      </c>
    </row>
    <row r="695" spans="1:2" x14ac:dyDescent="0.25">
      <c r="A695" t="s">
        <v>7410</v>
      </c>
      <c r="B695" s="2510" t="s">
        <v>8566</v>
      </c>
    </row>
    <row r="696" spans="1:2" x14ac:dyDescent="0.25">
      <c r="A696" t="s">
        <v>7411</v>
      </c>
      <c r="B696" s="2510" t="s">
        <v>8567</v>
      </c>
    </row>
    <row r="697" spans="1:2" x14ac:dyDescent="0.25">
      <c r="A697" t="s">
        <v>7412</v>
      </c>
      <c r="B697" s="2510" t="s">
        <v>8568</v>
      </c>
    </row>
    <row r="698" spans="1:2" x14ac:dyDescent="0.25">
      <c r="A698" t="s">
        <v>7413</v>
      </c>
      <c r="B698" s="2510" t="s">
        <v>8569</v>
      </c>
    </row>
    <row r="699" spans="1:2" x14ac:dyDescent="0.25">
      <c r="A699" t="s">
        <v>7414</v>
      </c>
      <c r="B699" s="2510" t="s">
        <v>8570</v>
      </c>
    </row>
    <row r="700" spans="1:2" x14ac:dyDescent="0.25">
      <c r="A700" t="s">
        <v>7415</v>
      </c>
      <c r="B700" s="2510" t="s">
        <v>8571</v>
      </c>
    </row>
    <row r="701" spans="1:2" x14ac:dyDescent="0.25">
      <c r="A701" t="s">
        <v>7416</v>
      </c>
      <c r="B701" s="2510" t="s">
        <v>8572</v>
      </c>
    </row>
    <row r="702" spans="1:2" x14ac:dyDescent="0.25">
      <c r="A702" t="s">
        <v>7417</v>
      </c>
      <c r="B702" s="2510" t="s">
        <v>8573</v>
      </c>
    </row>
    <row r="703" spans="1:2" x14ac:dyDescent="0.25">
      <c r="A703" t="s">
        <v>7418</v>
      </c>
      <c r="B703" s="2510" t="s">
        <v>8574</v>
      </c>
    </row>
    <row r="704" spans="1:2" x14ac:dyDescent="0.25">
      <c r="A704" t="s">
        <v>7419</v>
      </c>
      <c r="B704" s="2510" t="s">
        <v>8575</v>
      </c>
    </row>
    <row r="705" spans="1:2" x14ac:dyDescent="0.25">
      <c r="A705" t="s">
        <v>7420</v>
      </c>
      <c r="B705" s="2510" t="s">
        <v>8576</v>
      </c>
    </row>
    <row r="706" spans="1:2" x14ac:dyDescent="0.25">
      <c r="A706" t="s">
        <v>7421</v>
      </c>
      <c r="B706" s="2510" t="s">
        <v>8577</v>
      </c>
    </row>
    <row r="707" spans="1:2" x14ac:dyDescent="0.25">
      <c r="A707" t="s">
        <v>7422</v>
      </c>
      <c r="B707" s="2510" t="s">
        <v>8578</v>
      </c>
    </row>
    <row r="708" spans="1:2" x14ac:dyDescent="0.25">
      <c r="A708" t="s">
        <v>7423</v>
      </c>
      <c r="B708" s="2510" t="s">
        <v>8579</v>
      </c>
    </row>
    <row r="709" spans="1:2" x14ac:dyDescent="0.25">
      <c r="A709" t="s">
        <v>7424</v>
      </c>
      <c r="B709" s="2510" t="s">
        <v>8580</v>
      </c>
    </row>
    <row r="710" spans="1:2" x14ac:dyDescent="0.25">
      <c r="A710" t="s">
        <v>7425</v>
      </c>
      <c r="B710" s="2510" t="s">
        <v>8581</v>
      </c>
    </row>
    <row r="711" spans="1:2" x14ac:dyDescent="0.25">
      <c r="A711" t="s">
        <v>7426</v>
      </c>
      <c r="B711" s="2510" t="s">
        <v>8582</v>
      </c>
    </row>
    <row r="712" spans="1:2" x14ac:dyDescent="0.25">
      <c r="A712" t="s">
        <v>7427</v>
      </c>
      <c r="B712" s="2510" t="s">
        <v>8583</v>
      </c>
    </row>
    <row r="713" spans="1:2" x14ac:dyDescent="0.25">
      <c r="A713" t="s">
        <v>7428</v>
      </c>
      <c r="B713" s="2510" t="s">
        <v>8584</v>
      </c>
    </row>
    <row r="714" spans="1:2" x14ac:dyDescent="0.25">
      <c r="A714" t="s">
        <v>7429</v>
      </c>
      <c r="B714" s="2510" t="s">
        <v>8585</v>
      </c>
    </row>
    <row r="715" spans="1:2" x14ac:dyDescent="0.25">
      <c r="A715" t="s">
        <v>7430</v>
      </c>
      <c r="B715" s="2510" t="s">
        <v>8586</v>
      </c>
    </row>
    <row r="716" spans="1:2" x14ac:dyDescent="0.25">
      <c r="A716" t="s">
        <v>7431</v>
      </c>
      <c r="B716" s="2510" t="s">
        <v>8587</v>
      </c>
    </row>
    <row r="717" spans="1:2" x14ac:dyDescent="0.25">
      <c r="A717" t="s">
        <v>7432</v>
      </c>
      <c r="B717" s="2510" t="s">
        <v>8588</v>
      </c>
    </row>
    <row r="718" spans="1:2" x14ac:dyDescent="0.25">
      <c r="A718" t="s">
        <v>7433</v>
      </c>
      <c r="B718" s="2510" t="s">
        <v>8589</v>
      </c>
    </row>
    <row r="719" spans="1:2" x14ac:dyDescent="0.25">
      <c r="A719" t="s">
        <v>7434</v>
      </c>
      <c r="B719" s="2510" t="s">
        <v>8590</v>
      </c>
    </row>
    <row r="720" spans="1:2" x14ac:dyDescent="0.25">
      <c r="A720" t="s">
        <v>7435</v>
      </c>
      <c r="B720" s="2510" t="s">
        <v>8591</v>
      </c>
    </row>
    <row r="721" spans="1:2" x14ac:dyDescent="0.25">
      <c r="A721" t="s">
        <v>7436</v>
      </c>
      <c r="B721" s="2510" t="s">
        <v>8592</v>
      </c>
    </row>
    <row r="722" spans="1:2" x14ac:dyDescent="0.25">
      <c r="A722" t="s">
        <v>7437</v>
      </c>
      <c r="B722" s="2510" t="s">
        <v>8593</v>
      </c>
    </row>
    <row r="723" spans="1:2" x14ac:dyDescent="0.25">
      <c r="A723" s="2511" t="s">
        <v>7438</v>
      </c>
      <c r="B723" s="2510" t="s">
        <v>8560</v>
      </c>
    </row>
    <row r="724" spans="1:2" x14ac:dyDescent="0.25">
      <c r="A724" t="s">
        <v>7439</v>
      </c>
      <c r="B724" s="2510" t="s">
        <v>8561</v>
      </c>
    </row>
    <row r="725" spans="1:2" x14ac:dyDescent="0.25">
      <c r="A725" t="s">
        <v>7440</v>
      </c>
      <c r="B725" s="2510" t="s">
        <v>8562</v>
      </c>
    </row>
    <row r="726" spans="1:2" x14ac:dyDescent="0.25">
      <c r="A726" t="s">
        <v>7441</v>
      </c>
      <c r="B726" s="2510" t="s">
        <v>8563</v>
      </c>
    </row>
    <row r="727" spans="1:2" x14ac:dyDescent="0.25">
      <c r="A727" t="s">
        <v>7442</v>
      </c>
      <c r="B727" s="2510" t="s">
        <v>8564</v>
      </c>
    </row>
    <row r="728" spans="1:2" x14ac:dyDescent="0.25">
      <c r="A728" t="s">
        <v>7443</v>
      </c>
      <c r="B728" s="2510" t="s">
        <v>8565</v>
      </c>
    </row>
    <row r="729" spans="1:2" x14ac:dyDescent="0.25">
      <c r="A729" t="s">
        <v>7444</v>
      </c>
      <c r="B729" s="2510" t="s">
        <v>8566</v>
      </c>
    </row>
    <row r="730" spans="1:2" x14ac:dyDescent="0.25">
      <c r="A730" t="s">
        <v>7445</v>
      </c>
      <c r="B730" s="2510" t="s">
        <v>8567</v>
      </c>
    </row>
    <row r="731" spans="1:2" x14ac:dyDescent="0.25">
      <c r="A731" t="s">
        <v>7446</v>
      </c>
      <c r="B731" s="2510" t="s">
        <v>8568</v>
      </c>
    </row>
    <row r="732" spans="1:2" x14ac:dyDescent="0.25">
      <c r="A732" t="s">
        <v>7447</v>
      </c>
      <c r="B732" s="2510" t="s">
        <v>8569</v>
      </c>
    </row>
    <row r="733" spans="1:2" x14ac:dyDescent="0.25">
      <c r="A733" t="s">
        <v>7448</v>
      </c>
      <c r="B733" s="2510" t="s">
        <v>8570</v>
      </c>
    </row>
    <row r="734" spans="1:2" x14ac:dyDescent="0.25">
      <c r="A734" t="s">
        <v>7449</v>
      </c>
      <c r="B734" s="2510" t="s">
        <v>8571</v>
      </c>
    </row>
    <row r="735" spans="1:2" x14ac:dyDescent="0.25">
      <c r="A735" t="s">
        <v>7450</v>
      </c>
      <c r="B735" s="2510" t="s">
        <v>8572</v>
      </c>
    </row>
    <row r="736" spans="1:2" x14ac:dyDescent="0.25">
      <c r="A736" t="s">
        <v>7451</v>
      </c>
      <c r="B736" s="2510" t="s">
        <v>8573</v>
      </c>
    </row>
    <row r="737" spans="1:2" x14ac:dyDescent="0.25">
      <c r="A737" t="s">
        <v>7452</v>
      </c>
      <c r="B737" s="2510" t="s">
        <v>8574</v>
      </c>
    </row>
    <row r="738" spans="1:2" x14ac:dyDescent="0.25">
      <c r="A738" t="s">
        <v>7453</v>
      </c>
      <c r="B738" s="2510" t="s">
        <v>8575</v>
      </c>
    </row>
    <row r="739" spans="1:2" x14ac:dyDescent="0.25">
      <c r="A739" t="s">
        <v>7454</v>
      </c>
      <c r="B739" s="2510" t="s">
        <v>8576</v>
      </c>
    </row>
    <row r="740" spans="1:2" x14ac:dyDescent="0.25">
      <c r="A740" t="s">
        <v>7455</v>
      </c>
      <c r="B740" s="2510" t="s">
        <v>8577</v>
      </c>
    </row>
    <row r="741" spans="1:2" x14ac:dyDescent="0.25">
      <c r="A741" t="s">
        <v>7456</v>
      </c>
      <c r="B741" s="2510" t="s">
        <v>8578</v>
      </c>
    </row>
    <row r="742" spans="1:2" x14ac:dyDescent="0.25">
      <c r="A742" t="s">
        <v>7457</v>
      </c>
      <c r="B742" s="2510" t="s">
        <v>8579</v>
      </c>
    </row>
    <row r="743" spans="1:2" x14ac:dyDescent="0.25">
      <c r="A743" t="s">
        <v>7458</v>
      </c>
      <c r="B743" s="2510" t="s">
        <v>8580</v>
      </c>
    </row>
    <row r="744" spans="1:2" x14ac:dyDescent="0.25">
      <c r="A744" t="s">
        <v>7459</v>
      </c>
      <c r="B744" s="2510" t="s">
        <v>8581</v>
      </c>
    </row>
    <row r="745" spans="1:2" x14ac:dyDescent="0.25">
      <c r="A745" t="s">
        <v>7460</v>
      </c>
      <c r="B745" s="2510" t="s">
        <v>8582</v>
      </c>
    </row>
    <row r="746" spans="1:2" x14ac:dyDescent="0.25">
      <c r="A746" t="s">
        <v>7461</v>
      </c>
      <c r="B746" s="2510" t="s">
        <v>8583</v>
      </c>
    </row>
    <row r="747" spans="1:2" x14ac:dyDescent="0.25">
      <c r="A747" s="2511" t="s">
        <v>7462</v>
      </c>
      <c r="B747" s="2510" t="s">
        <v>8560</v>
      </c>
    </row>
    <row r="748" spans="1:2" x14ac:dyDescent="0.25">
      <c r="A748" t="s">
        <v>7463</v>
      </c>
      <c r="B748" s="2510" t="s">
        <v>8561</v>
      </c>
    </row>
    <row r="749" spans="1:2" x14ac:dyDescent="0.25">
      <c r="A749" t="s">
        <v>7464</v>
      </c>
      <c r="B749" s="2510" t="s">
        <v>8562</v>
      </c>
    </row>
    <row r="750" spans="1:2" x14ac:dyDescent="0.25">
      <c r="A750" t="s">
        <v>7465</v>
      </c>
      <c r="B750" s="2510" t="s">
        <v>8563</v>
      </c>
    </row>
    <row r="751" spans="1:2" x14ac:dyDescent="0.25">
      <c r="A751" t="s">
        <v>7466</v>
      </c>
      <c r="B751" s="2510" t="s">
        <v>8564</v>
      </c>
    </row>
    <row r="752" spans="1:2" x14ac:dyDescent="0.25">
      <c r="A752" t="s">
        <v>7467</v>
      </c>
      <c r="B752" s="2510" t="s">
        <v>8565</v>
      </c>
    </row>
    <row r="753" spans="1:2" x14ac:dyDescent="0.25">
      <c r="A753" t="s">
        <v>7468</v>
      </c>
      <c r="B753" s="2510" t="s">
        <v>8566</v>
      </c>
    </row>
    <row r="754" spans="1:2" x14ac:dyDescent="0.25">
      <c r="A754" t="s">
        <v>7469</v>
      </c>
      <c r="B754" s="2510" t="s">
        <v>8567</v>
      </c>
    </row>
    <row r="755" spans="1:2" x14ac:dyDescent="0.25">
      <c r="A755" t="s">
        <v>7470</v>
      </c>
      <c r="B755" s="2510" t="s">
        <v>8568</v>
      </c>
    </row>
    <row r="756" spans="1:2" x14ac:dyDescent="0.25">
      <c r="A756" t="s">
        <v>7471</v>
      </c>
      <c r="B756" s="2510" t="s">
        <v>8569</v>
      </c>
    </row>
    <row r="757" spans="1:2" x14ac:dyDescent="0.25">
      <c r="A757" t="s">
        <v>7472</v>
      </c>
      <c r="B757" s="2510" t="s">
        <v>8570</v>
      </c>
    </row>
    <row r="758" spans="1:2" x14ac:dyDescent="0.25">
      <c r="A758" t="s">
        <v>7473</v>
      </c>
      <c r="B758" s="2510" t="s">
        <v>8571</v>
      </c>
    </row>
    <row r="759" spans="1:2" x14ac:dyDescent="0.25">
      <c r="A759" t="s">
        <v>7474</v>
      </c>
      <c r="B759" s="2510" t="s">
        <v>8572</v>
      </c>
    </row>
    <row r="760" spans="1:2" x14ac:dyDescent="0.25">
      <c r="A760" t="s">
        <v>7475</v>
      </c>
      <c r="B760" s="2510" t="s">
        <v>8573</v>
      </c>
    </row>
    <row r="761" spans="1:2" x14ac:dyDescent="0.25">
      <c r="A761" t="s">
        <v>7476</v>
      </c>
      <c r="B761" s="2510" t="s">
        <v>8574</v>
      </c>
    </row>
    <row r="762" spans="1:2" x14ac:dyDescent="0.25">
      <c r="A762" t="s">
        <v>7477</v>
      </c>
      <c r="B762" s="2510" t="s">
        <v>8575</v>
      </c>
    </row>
    <row r="763" spans="1:2" x14ac:dyDescent="0.25">
      <c r="A763" t="s">
        <v>7478</v>
      </c>
      <c r="B763" s="2510" t="s">
        <v>8576</v>
      </c>
    </row>
    <row r="764" spans="1:2" x14ac:dyDescent="0.25">
      <c r="A764" t="s">
        <v>7479</v>
      </c>
      <c r="B764" s="2510" t="s">
        <v>8577</v>
      </c>
    </row>
    <row r="765" spans="1:2" x14ac:dyDescent="0.25">
      <c r="A765" t="s">
        <v>7480</v>
      </c>
      <c r="B765" s="2510" t="s">
        <v>8578</v>
      </c>
    </row>
    <row r="766" spans="1:2" x14ac:dyDescent="0.25">
      <c r="A766" t="s">
        <v>7481</v>
      </c>
      <c r="B766" s="2510" t="s">
        <v>8579</v>
      </c>
    </row>
    <row r="767" spans="1:2" x14ac:dyDescent="0.25">
      <c r="A767" t="s">
        <v>7482</v>
      </c>
      <c r="B767" s="2510" t="s">
        <v>8580</v>
      </c>
    </row>
    <row r="768" spans="1:2" x14ac:dyDescent="0.25">
      <c r="A768" t="s">
        <v>7483</v>
      </c>
      <c r="B768" s="2510" t="s">
        <v>8581</v>
      </c>
    </row>
    <row r="769" spans="1:2" x14ac:dyDescent="0.25">
      <c r="A769" t="s">
        <v>7484</v>
      </c>
      <c r="B769" s="2510" t="s">
        <v>8582</v>
      </c>
    </row>
    <row r="770" spans="1:2" x14ac:dyDescent="0.25">
      <c r="A770" t="s">
        <v>7485</v>
      </c>
      <c r="B770" s="2510" t="s">
        <v>8583</v>
      </c>
    </row>
    <row r="771" spans="1:2" x14ac:dyDescent="0.25">
      <c r="A771" s="2511" t="s">
        <v>7486</v>
      </c>
      <c r="B771" s="2510" t="s">
        <v>8560</v>
      </c>
    </row>
    <row r="772" spans="1:2" x14ac:dyDescent="0.25">
      <c r="A772" t="s">
        <v>7487</v>
      </c>
      <c r="B772" s="2510" t="s">
        <v>8561</v>
      </c>
    </row>
    <row r="773" spans="1:2" x14ac:dyDescent="0.25">
      <c r="A773" t="s">
        <v>7488</v>
      </c>
      <c r="B773" s="2510" t="s">
        <v>8562</v>
      </c>
    </row>
    <row r="774" spans="1:2" x14ac:dyDescent="0.25">
      <c r="A774" t="s">
        <v>7489</v>
      </c>
      <c r="B774" s="2510" t="s">
        <v>8563</v>
      </c>
    </row>
    <row r="775" spans="1:2" x14ac:dyDescent="0.25">
      <c r="A775" t="s">
        <v>7490</v>
      </c>
      <c r="B775" s="2510" t="s">
        <v>8564</v>
      </c>
    </row>
    <row r="776" spans="1:2" x14ac:dyDescent="0.25">
      <c r="A776" t="s">
        <v>7491</v>
      </c>
      <c r="B776" s="2510" t="s">
        <v>8565</v>
      </c>
    </row>
    <row r="777" spans="1:2" x14ac:dyDescent="0.25">
      <c r="A777" t="s">
        <v>7492</v>
      </c>
      <c r="B777" s="2510" t="s">
        <v>8566</v>
      </c>
    </row>
    <row r="778" spans="1:2" x14ac:dyDescent="0.25">
      <c r="A778" t="s">
        <v>7493</v>
      </c>
      <c r="B778" s="2510" t="s">
        <v>8567</v>
      </c>
    </row>
    <row r="779" spans="1:2" x14ac:dyDescent="0.25">
      <c r="A779" t="s">
        <v>7494</v>
      </c>
      <c r="B779" s="2510" t="s">
        <v>8568</v>
      </c>
    </row>
    <row r="780" spans="1:2" x14ac:dyDescent="0.25">
      <c r="A780" t="s">
        <v>7495</v>
      </c>
      <c r="B780" s="2510" t="s">
        <v>8569</v>
      </c>
    </row>
    <row r="781" spans="1:2" x14ac:dyDescent="0.25">
      <c r="A781" t="s">
        <v>7496</v>
      </c>
      <c r="B781" s="2510" t="s">
        <v>8570</v>
      </c>
    </row>
    <row r="782" spans="1:2" x14ac:dyDescent="0.25">
      <c r="A782" t="s">
        <v>7497</v>
      </c>
      <c r="B782" s="2510" t="s">
        <v>8571</v>
      </c>
    </row>
    <row r="783" spans="1:2" x14ac:dyDescent="0.25">
      <c r="A783" t="s">
        <v>7498</v>
      </c>
      <c r="B783" s="2510" t="s">
        <v>8572</v>
      </c>
    </row>
    <row r="784" spans="1:2" x14ac:dyDescent="0.25">
      <c r="A784" t="s">
        <v>7499</v>
      </c>
      <c r="B784" s="2510" t="s">
        <v>8573</v>
      </c>
    </row>
    <row r="785" spans="1:2" x14ac:dyDescent="0.25">
      <c r="A785" t="s">
        <v>7500</v>
      </c>
      <c r="B785" s="2510" t="s">
        <v>8574</v>
      </c>
    </row>
    <row r="786" spans="1:2" x14ac:dyDescent="0.25">
      <c r="A786" t="s">
        <v>7501</v>
      </c>
      <c r="B786" s="2510" t="s">
        <v>8575</v>
      </c>
    </row>
    <row r="787" spans="1:2" x14ac:dyDescent="0.25">
      <c r="A787" t="s">
        <v>7502</v>
      </c>
      <c r="B787" s="2510" t="s">
        <v>8576</v>
      </c>
    </row>
    <row r="788" spans="1:2" x14ac:dyDescent="0.25">
      <c r="A788" t="s">
        <v>7503</v>
      </c>
      <c r="B788" s="2510" t="s">
        <v>8577</v>
      </c>
    </row>
    <row r="789" spans="1:2" x14ac:dyDescent="0.25">
      <c r="A789" t="s">
        <v>7504</v>
      </c>
      <c r="B789" s="2510" t="s">
        <v>8578</v>
      </c>
    </row>
    <row r="790" spans="1:2" x14ac:dyDescent="0.25">
      <c r="A790" t="s">
        <v>7505</v>
      </c>
      <c r="B790" s="2510" t="s">
        <v>8579</v>
      </c>
    </row>
    <row r="791" spans="1:2" x14ac:dyDescent="0.25">
      <c r="A791" t="s">
        <v>7506</v>
      </c>
      <c r="B791" s="2510" t="s">
        <v>8580</v>
      </c>
    </row>
    <row r="792" spans="1:2" x14ac:dyDescent="0.25">
      <c r="A792" t="s">
        <v>7507</v>
      </c>
      <c r="B792" s="2510" t="s">
        <v>8581</v>
      </c>
    </row>
    <row r="793" spans="1:2" x14ac:dyDescent="0.25">
      <c r="A793" t="s">
        <v>7508</v>
      </c>
      <c r="B793" s="2510" t="s">
        <v>8582</v>
      </c>
    </row>
    <row r="794" spans="1:2" x14ac:dyDescent="0.25">
      <c r="A794" t="s">
        <v>7509</v>
      </c>
      <c r="B794" s="2510" t="s">
        <v>8583</v>
      </c>
    </row>
    <row r="795" spans="1:2" x14ac:dyDescent="0.25">
      <c r="A795" s="2511" t="s">
        <v>7510</v>
      </c>
      <c r="B795" s="2510" t="s">
        <v>8560</v>
      </c>
    </row>
    <row r="796" spans="1:2" x14ac:dyDescent="0.25">
      <c r="A796" t="s">
        <v>7511</v>
      </c>
      <c r="B796" s="2510" t="s">
        <v>8561</v>
      </c>
    </row>
    <row r="797" spans="1:2" x14ac:dyDescent="0.25">
      <c r="A797" t="s">
        <v>7512</v>
      </c>
      <c r="B797" s="2510" t="s">
        <v>8562</v>
      </c>
    </row>
    <row r="798" spans="1:2" x14ac:dyDescent="0.25">
      <c r="A798" t="s">
        <v>7513</v>
      </c>
      <c r="B798" s="2510" t="s">
        <v>8563</v>
      </c>
    </row>
    <row r="799" spans="1:2" x14ac:dyDescent="0.25">
      <c r="A799" t="s">
        <v>7514</v>
      </c>
      <c r="B799" s="2510" t="s">
        <v>8564</v>
      </c>
    </row>
    <row r="800" spans="1:2" x14ac:dyDescent="0.25">
      <c r="A800" t="s">
        <v>7515</v>
      </c>
      <c r="B800" s="2510" t="s">
        <v>8565</v>
      </c>
    </row>
    <row r="801" spans="1:2" x14ac:dyDescent="0.25">
      <c r="A801" t="s">
        <v>7516</v>
      </c>
      <c r="B801" s="2510" t="s">
        <v>8566</v>
      </c>
    </row>
    <row r="802" spans="1:2" x14ac:dyDescent="0.25">
      <c r="A802" t="s">
        <v>7517</v>
      </c>
      <c r="B802" s="2510" t="s">
        <v>8567</v>
      </c>
    </row>
    <row r="803" spans="1:2" x14ac:dyDescent="0.25">
      <c r="A803" t="s">
        <v>7518</v>
      </c>
      <c r="B803" s="2510" t="s">
        <v>8568</v>
      </c>
    </row>
    <row r="804" spans="1:2" x14ac:dyDescent="0.25">
      <c r="A804" t="s">
        <v>7519</v>
      </c>
      <c r="B804" s="2510" t="s">
        <v>8569</v>
      </c>
    </row>
    <row r="805" spans="1:2" x14ac:dyDescent="0.25">
      <c r="A805" t="s">
        <v>7520</v>
      </c>
      <c r="B805" s="2510" t="s">
        <v>8570</v>
      </c>
    </row>
    <row r="806" spans="1:2" x14ac:dyDescent="0.25">
      <c r="A806" t="s">
        <v>7521</v>
      </c>
      <c r="B806" s="2510" t="s">
        <v>8571</v>
      </c>
    </row>
    <row r="807" spans="1:2" x14ac:dyDescent="0.25">
      <c r="A807" t="s">
        <v>7522</v>
      </c>
      <c r="B807" s="2510" t="s">
        <v>8572</v>
      </c>
    </row>
    <row r="808" spans="1:2" x14ac:dyDescent="0.25">
      <c r="A808" t="s">
        <v>7523</v>
      </c>
      <c r="B808" s="2510" t="s">
        <v>8573</v>
      </c>
    </row>
    <row r="809" spans="1:2" x14ac:dyDescent="0.25">
      <c r="A809" t="s">
        <v>7524</v>
      </c>
      <c r="B809" s="2510" t="s">
        <v>8574</v>
      </c>
    </row>
    <row r="810" spans="1:2" x14ac:dyDescent="0.25">
      <c r="A810" t="s">
        <v>7525</v>
      </c>
      <c r="B810" s="2510" t="s">
        <v>8575</v>
      </c>
    </row>
    <row r="811" spans="1:2" x14ac:dyDescent="0.25">
      <c r="A811" t="s">
        <v>7526</v>
      </c>
      <c r="B811" s="2510" t="s">
        <v>8576</v>
      </c>
    </row>
    <row r="812" spans="1:2" x14ac:dyDescent="0.25">
      <c r="A812" t="s">
        <v>7527</v>
      </c>
      <c r="B812" s="2510" t="s">
        <v>8577</v>
      </c>
    </row>
    <row r="813" spans="1:2" x14ac:dyDescent="0.25">
      <c r="A813" t="s">
        <v>7528</v>
      </c>
      <c r="B813" s="2510" t="s">
        <v>8578</v>
      </c>
    </row>
    <row r="814" spans="1:2" x14ac:dyDescent="0.25">
      <c r="A814" t="s">
        <v>7529</v>
      </c>
      <c r="B814" s="2510" t="s">
        <v>8579</v>
      </c>
    </row>
    <row r="815" spans="1:2" x14ac:dyDescent="0.25">
      <c r="A815" t="s">
        <v>7530</v>
      </c>
      <c r="B815" s="2510" t="s">
        <v>8580</v>
      </c>
    </row>
    <row r="816" spans="1:2" x14ac:dyDescent="0.25">
      <c r="A816" t="s">
        <v>7531</v>
      </c>
      <c r="B816" s="2510" t="s">
        <v>8581</v>
      </c>
    </row>
    <row r="817" spans="1:4" x14ac:dyDescent="0.25">
      <c r="A817" t="s">
        <v>7532</v>
      </c>
      <c r="B817" s="2510" t="s">
        <v>8582</v>
      </c>
    </row>
    <row r="818" spans="1:4" x14ac:dyDescent="0.25">
      <c r="A818" t="s">
        <v>7533</v>
      </c>
      <c r="B818" s="2510" t="s">
        <v>8583</v>
      </c>
    </row>
    <row r="819" spans="1:4" x14ac:dyDescent="0.25">
      <c r="A819" t="s">
        <v>8682</v>
      </c>
      <c r="B819" s="2510" t="s">
        <v>8621</v>
      </c>
      <c r="C819" s="2536" t="s">
        <v>8623</v>
      </c>
      <c r="D819" s="2536" t="s">
        <v>8625</v>
      </c>
    </row>
    <row r="820" spans="1:4" x14ac:dyDescent="0.25">
      <c r="A820" t="s">
        <v>8683</v>
      </c>
      <c r="B820" s="2510" t="s">
        <v>8626</v>
      </c>
      <c r="C820" s="2510" t="s">
        <v>8635</v>
      </c>
      <c r="D820" s="2510" t="s">
        <v>8644</v>
      </c>
    </row>
    <row r="821" spans="1:4" x14ac:dyDescent="0.25">
      <c r="A821" t="s">
        <v>8684</v>
      </c>
      <c r="B821" s="2510" t="s">
        <v>8627</v>
      </c>
      <c r="C821" s="2510" t="s">
        <v>8636</v>
      </c>
      <c r="D821" s="2510" t="s">
        <v>8645</v>
      </c>
    </row>
    <row r="822" spans="1:4" x14ac:dyDescent="0.25">
      <c r="A822" t="s">
        <v>8685</v>
      </c>
      <c r="B822" s="2510" t="s">
        <v>8628</v>
      </c>
      <c r="C822" s="2510" t="s">
        <v>8637</v>
      </c>
      <c r="D822" s="2510" t="s">
        <v>8646</v>
      </c>
    </row>
    <row r="823" spans="1:4" x14ac:dyDescent="0.25">
      <c r="A823" t="s">
        <v>8686</v>
      </c>
      <c r="B823" s="2510" t="s">
        <v>8629</v>
      </c>
      <c r="C823" s="2510" t="s">
        <v>8638</v>
      </c>
      <c r="D823" s="2510" t="s">
        <v>8647</v>
      </c>
    </row>
    <row r="824" spans="1:4" x14ac:dyDescent="0.25">
      <c r="A824" t="s">
        <v>8687</v>
      </c>
      <c r="B824" s="2510" t="s">
        <v>8630</v>
      </c>
      <c r="C824" s="2510" t="s">
        <v>8639</v>
      </c>
      <c r="D824" s="2510" t="s">
        <v>8648</v>
      </c>
    </row>
    <row r="825" spans="1:4" x14ac:dyDescent="0.25">
      <c r="A825" t="s">
        <v>8688</v>
      </c>
      <c r="B825" s="2510" t="s">
        <v>8631</v>
      </c>
      <c r="C825" s="2510" t="s">
        <v>8640</v>
      </c>
      <c r="D825" s="2510" t="s">
        <v>8649</v>
      </c>
    </row>
    <row r="826" spans="1:4" x14ac:dyDescent="0.25">
      <c r="A826" t="s">
        <v>8689</v>
      </c>
      <c r="B826" s="2510" t="s">
        <v>8632</v>
      </c>
      <c r="C826" s="2510" t="s">
        <v>8641</v>
      </c>
      <c r="D826" s="2510" t="s">
        <v>8650</v>
      </c>
    </row>
    <row r="827" spans="1:4" x14ac:dyDescent="0.25">
      <c r="A827" t="s">
        <v>8690</v>
      </c>
      <c r="B827" s="2510" t="s">
        <v>8633</v>
      </c>
      <c r="C827" s="2510" t="s">
        <v>8642</v>
      </c>
      <c r="D827" s="2510" t="s">
        <v>8651</v>
      </c>
    </row>
    <row r="828" spans="1:4" x14ac:dyDescent="0.25">
      <c r="A828" t="s">
        <v>8691</v>
      </c>
      <c r="B828" s="2510" t="s">
        <v>8634</v>
      </c>
      <c r="C828" s="2510" t="s">
        <v>8643</v>
      </c>
      <c r="D828" s="2510" t="s">
        <v>8652</v>
      </c>
    </row>
    <row r="829" spans="1:4" x14ac:dyDescent="0.25">
      <c r="A829" t="s">
        <v>8692</v>
      </c>
      <c r="B829" s="2510" t="s">
        <v>8655</v>
      </c>
      <c r="C829" s="2510" t="s">
        <v>8654</v>
      </c>
      <c r="D829" s="2510" t="s">
        <v>8653</v>
      </c>
    </row>
    <row r="830" spans="1:4" x14ac:dyDescent="0.25">
      <c r="A830" t="s">
        <v>8693</v>
      </c>
      <c r="B830" s="2510" t="s">
        <v>8679</v>
      </c>
      <c r="C830" s="2510" t="s">
        <v>8680</v>
      </c>
      <c r="D830" s="2510" t="s">
        <v>8681</v>
      </c>
    </row>
    <row r="831" spans="1:4" x14ac:dyDescent="0.25">
      <c r="A831" t="s">
        <v>8694</v>
      </c>
      <c r="B831" s="2510" t="s">
        <v>8509</v>
      </c>
    </row>
    <row r="832" spans="1:4" x14ac:dyDescent="0.25">
      <c r="A832" t="s">
        <v>8695</v>
      </c>
      <c r="B832" s="2510" t="s">
        <v>8510</v>
      </c>
    </row>
    <row r="833" spans="1:4" x14ac:dyDescent="0.25">
      <c r="A833" t="s">
        <v>8696</v>
      </c>
      <c r="B833" s="2510" t="s">
        <v>8511</v>
      </c>
    </row>
    <row r="834" spans="1:4" x14ac:dyDescent="0.25">
      <c r="A834" t="s">
        <v>8697</v>
      </c>
      <c r="B834" s="2510" t="s">
        <v>8512</v>
      </c>
    </row>
    <row r="835" spans="1:4" x14ac:dyDescent="0.25">
      <c r="A835" t="s">
        <v>8698</v>
      </c>
      <c r="B835" s="2510" t="s">
        <v>8513</v>
      </c>
    </row>
    <row r="836" spans="1:4" x14ac:dyDescent="0.25">
      <c r="A836" t="s">
        <v>8699</v>
      </c>
      <c r="B836" s="2510" t="s">
        <v>8514</v>
      </c>
    </row>
    <row r="837" spans="1:4" x14ac:dyDescent="0.25">
      <c r="A837" t="s">
        <v>8700</v>
      </c>
      <c r="B837" s="2510" t="s">
        <v>8713</v>
      </c>
      <c r="C837" s="2536" t="s">
        <v>8714</v>
      </c>
      <c r="D837" s="2536" t="s">
        <v>8715</v>
      </c>
    </row>
    <row r="838" spans="1:4" x14ac:dyDescent="0.25">
      <c r="A838" t="s">
        <v>8701</v>
      </c>
      <c r="B838" s="2510" t="s">
        <v>8710</v>
      </c>
      <c r="C838" s="2510" t="s">
        <v>8707</v>
      </c>
      <c r="D838" s="2510" t="s">
        <v>8704</v>
      </c>
    </row>
    <row r="839" spans="1:4" x14ac:dyDescent="0.25">
      <c r="A839" t="s">
        <v>8702</v>
      </c>
      <c r="B839" s="2510" t="s">
        <v>8711</v>
      </c>
      <c r="C839" s="2510" t="s">
        <v>8708</v>
      </c>
      <c r="D839" s="2510" t="s">
        <v>8705</v>
      </c>
    </row>
    <row r="840" spans="1:4" x14ac:dyDescent="0.25">
      <c r="A840" t="s">
        <v>8703</v>
      </c>
      <c r="B840" s="2510" t="s">
        <v>8712</v>
      </c>
      <c r="C840" s="2510" t="s">
        <v>8709</v>
      </c>
      <c r="D840" s="2510" t="s">
        <v>8706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53"/>
    </row>
    <row r="2" spans="1:22" ht="18" customHeight="1" thickBot="1" x14ac:dyDescent="0.3">
      <c r="V2" s="2065"/>
    </row>
    <row r="3" spans="1:22" ht="18" customHeight="1" thickTop="1" thickBot="1" x14ac:dyDescent="0.3">
      <c r="A3" s="2355" t="s">
        <v>6516</v>
      </c>
      <c r="D3" s="53"/>
      <c r="E3" s="53"/>
      <c r="F3" s="53"/>
      <c r="G3" s="53"/>
      <c r="H3" s="123"/>
      <c r="I3" s="123"/>
      <c r="J3" s="3970" t="s">
        <v>4562</v>
      </c>
      <c r="K3" s="397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18" t="s">
        <v>6556</v>
      </c>
      <c r="B6" s="11" t="s">
        <v>4208</v>
      </c>
      <c r="C6" s="18" t="s">
        <v>4149</v>
      </c>
      <c r="D6" s="2529" cm="1">
        <f t="array" ref="D6">INDEX('5층_부하량'!F3:F3000,MATCH(1,("5-DaHall 1-CEP-05"='5층_부하량'!A3:A3000)*(1='5층_부하량'!B3:B3000),0))</f>
        <v>0</v>
      </c>
      <c r="E6" s="2529" cm="1">
        <f t="array" ref="E6">INDEX('5층_부하량'!G3:G3000,MATCH(1,("5-DaHall 1-CEP-05"='5층_부하량'!A3:A3000)*(1='5층_부하량'!B3:B3000),0))</f>
        <v>0</v>
      </c>
      <c r="F6" s="2529" cm="1">
        <f t="array" ref="F6">INDEX('5층_부하량'!H3:H3000,MATCH(1,("5-DaHall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8" cm="1">
        <f t="array" ref="N6">INDEX('5층_부하량'!F3:F3000,MATCH(1,("5-DaHall 1-CEP-05"='5층_부하량'!A3:A3000)*(2='5층_부하량'!B3:B3000),0))</f>
        <v>0</v>
      </c>
      <c r="O6" s="2528" cm="1">
        <f t="array" ref="O6">INDEX('5층_부하량'!G3:G3000,MATCH(1,("5-DaHall 1-CEP-05"='5층_부하량'!A3:A3000)*(2='5층_부하량'!B3:B3000),0))</f>
        <v>0</v>
      </c>
      <c r="P6" s="2528" cm="1">
        <f t="array" ref="P6">INDEX('5층_부하량'!H3:H3000,MATCH(1,("5-DaHall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29" cm="1">
        <f t="array" ref="D7">INDEX('5층_부하량'!F3:F3000,MATCH(1,("5-DaHall 1-CEP-05"='5층_부하량'!A3:A3000)*(3='5층_부하량'!B3:B3000),0))</f>
        <v>0</v>
      </c>
      <c r="E7" s="2529" cm="1">
        <f t="array" ref="E7">INDEX('5층_부하량'!G3:G3000,MATCH(1,("5-DaHall 1-CEP-05"='5층_부하량'!A3:A3000)*(3='5층_부하량'!B3:B3000),0))</f>
        <v>0</v>
      </c>
      <c r="F7" s="2529" cm="1">
        <f t="array" ref="F7">INDEX('5층_부하량'!H3:H3000,MATCH(1,("5-DaHall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9" cm="1">
        <f t="array" ref="N7">INDEX('5층_부하량'!F3:F3000,MATCH(1,("5-DaHall 1-CEP-05"='5층_부하량'!A3:A3000)*(4='5층_부하량'!B3:B3000),0))</f>
        <v>0</v>
      </c>
      <c r="O7" s="2529" cm="1">
        <f t="array" ref="O7">INDEX('5층_부하량'!G3:G3000,MATCH(1,("5-DaHall 1-CEP-05"='5층_부하량'!A3:A3000)*(4='5층_부하량'!B3:B3000),0))</f>
        <v>0</v>
      </c>
      <c r="P7" s="2529" cm="1">
        <f t="array" ref="P7">INDEX('5층_부하량'!H3:H3000,MATCH(1,("5-DaHall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31" cm="1">
        <f t="array" ref="D8">INDEX('5층_부하량'!F3:F3000,MATCH(1,("5-DaHall 1-CEP-05"='5층_부하량'!A3:A3000)*(5='5층_부하량'!B3:B3000),0))</f>
        <v>0</v>
      </c>
      <c r="E8" s="2531" cm="1">
        <f t="array" ref="E8">INDEX('5층_부하량'!G3:G3000,MATCH(1,("5-DaHall 1-CEP-05"='5층_부하량'!A3:A3000)*(5='5층_부하량'!B3:B3000),0))</f>
        <v>0</v>
      </c>
      <c r="F8" s="2531" cm="1">
        <f t="array" ref="F8">INDEX('5층_부하량'!H3:H3000,MATCH(1,("5-DaHall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1" cm="1">
        <f t="array" ref="N8">INDEX('5층_부하량'!F3:F3000,MATCH(1,("5-DaHall 1-CEP-05"='5층_부하량'!A3:A3000)*(6='5층_부하량'!B3:B3000),0))</f>
        <v>0</v>
      </c>
      <c r="O8" s="2531" cm="1">
        <f t="array" ref="O8">INDEX('5층_부하량'!G3:G3000,MATCH(1,("5-DaHall 1-CEP-05"='5층_부하량'!A3:A3000)*(6='5층_부하량'!B3:B3000),0))</f>
        <v>0</v>
      </c>
      <c r="P8" s="2531" cm="1">
        <f t="array" ref="P8">INDEX('5층_부하량'!H3:H3000,MATCH(1,("5-DaHall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31" cm="1">
        <f t="array" ref="D9">INDEX('5층_부하량'!F3:F3000,MATCH(1,("5-DaHall 1-CEP-05"='5층_부하량'!A3:A3000)*(7='5층_부하량'!B3:B3000),0))</f>
        <v>0</v>
      </c>
      <c r="E9" s="2531" cm="1">
        <f t="array" ref="E9">INDEX('5층_부하량'!G3:G3000,MATCH(1,("5-DaHall 1-CEP-05"='5층_부하량'!A3:A3000)*(7='5층_부하량'!B3:B3000),0))</f>
        <v>0</v>
      </c>
      <c r="F9" s="2531" cm="1">
        <f t="array" ref="F9">INDEX('5층_부하량'!H3:H3000,MATCH(1,("5-DaHall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1" cm="1">
        <f t="array" ref="N9">INDEX('5층_부하량'!F3:F3000,MATCH(1,("5-DaHall 1-CEP-05"='5층_부하량'!A3:A3000)*(8='5층_부하량'!B3:B3000),0))</f>
        <v>0</v>
      </c>
      <c r="O9" s="2531" cm="1">
        <f t="array" ref="O9">INDEX('5층_부하량'!G3:G3000,MATCH(1,("5-DaHall 1-CEP-05"='5층_부하량'!A3:A3000)*(8='5층_부하량'!B3:B3000),0))</f>
        <v>0</v>
      </c>
      <c r="P9" s="2531" cm="1">
        <f t="array" ref="P9">INDEX('5층_부하량'!H3:H3000,MATCH(1,("5-DaHall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31" cm="1">
        <f t="array" ref="D10">INDEX('5층_부하량'!F3:F3000,MATCH(1,("5-DaHall 1-CEP-05"='5층_부하량'!A3:A3000)*(9='5층_부하량'!B3:B3000),0))</f>
        <v>0</v>
      </c>
      <c r="E10" s="2531" cm="1">
        <f t="array" ref="E10">INDEX('5층_부하량'!G3:G3000,MATCH(1,("5-DaHall 1-CEP-05"='5층_부하량'!A3:A3000)*(9='5층_부하량'!B3:B3000),0))</f>
        <v>0</v>
      </c>
      <c r="F10" s="2531" cm="1">
        <f t="array" ref="F10">INDEX('5층_부하량'!H3:H3000,MATCH(1,("5-DaHall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1" cm="1">
        <f t="array" ref="N10">INDEX('5층_부하량'!F3:F3000,MATCH(1,("5-DaHall 1-CEP-05"='5층_부하량'!A3:A3000)*(10='5층_부하량'!B3:B3000),0))</f>
        <v>0</v>
      </c>
      <c r="O10" s="2531" cm="1">
        <f t="array" ref="O10">INDEX('5층_부하량'!G3:G3000,MATCH(1,("5-DaHall 1-CEP-05"='5층_부하량'!A3:A3000)*(10='5층_부하량'!B3:B3000),0))</f>
        <v>0</v>
      </c>
      <c r="P10" s="2531" cm="1">
        <f t="array" ref="P10">INDEX('5층_부하량'!H3:H3000,MATCH(1,("5-DaHall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32" cm="1">
        <f t="array" ref="D11">INDEX('5층_부하량'!F3:F3000,MATCH(1,("5-DaHall 1-CEP-05"='5층_부하량'!A3:A3000)*(11='5층_부하량'!B3:B3000),0))</f>
        <v>0</v>
      </c>
      <c r="E11" s="2532" cm="1">
        <f t="array" ref="E11">INDEX('5층_부하량'!G3:G3000,MATCH(1,("5-DaHall 1-CEP-05"='5층_부하량'!A3:A3000)*(11='5층_부하량'!B3:B3000),0))</f>
        <v>0</v>
      </c>
      <c r="F11" s="2532" cm="1">
        <f t="array" ref="F11">INDEX('5층_부하량'!H3:H3000,MATCH(1,("5-DaHall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2" cm="1">
        <f t="array" ref="N11">INDEX('5층_부하량'!F3:F3000,MATCH(1,("5-DaHall 1-CEP-05"='5층_부하량'!A3:A3000)*(12='5층_부하량'!B3:B3000),0))</f>
        <v>0</v>
      </c>
      <c r="O11" s="2532" cm="1">
        <f t="array" ref="O11">INDEX('5층_부하량'!G3:G3000,MATCH(1,("5-DaHall 1-CEP-05"='5층_부하량'!A3:A3000)*(12='5층_부하량'!B3:B3000),0))</f>
        <v>0</v>
      </c>
      <c r="P11" s="2532" cm="1">
        <f t="array" ref="P11">INDEX('5층_부하량'!H3:H3000,MATCH(1,("5-DaHall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49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9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31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5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30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8" cm="1">
        <f t="array" ref="P14">INDEX('5층_부하량'!H3:H3000,MATCH(1,("5-DaHall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970" t="s">
        <v>5219</v>
      </c>
      <c r="K16" s="397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8" cm="1">
        <f t="array" ref="N19">INDEX('5층_부하량'!F3:F3000,MATCH(1,("5-DaHall 1-CEP-06"='5층_부하량'!A3:A3000)*(1='5층_부하량'!B3:B3000),0))</f>
        <v>0</v>
      </c>
      <c r="O19" s="2528" cm="1">
        <f t="array" ref="O19">INDEX('5층_부하량'!G3:G3000,MATCH(1,("5-DaHall 1-CEP-06"='5층_부하량'!A3:A3000)*(1='5층_부하량'!B3:B3000),0))</f>
        <v>0</v>
      </c>
      <c r="P19" s="2528" cm="1">
        <f t="array" ref="P19">INDEX('5층_부하량'!H3:H3000,MATCH(1,("5-DaHall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9" cm="1">
        <f t="array" ref="N20">INDEX('5층_부하량'!F3:F3000,MATCH(1,("5-DaHall 1-CEP-06"='5층_부하량'!A3:A3000)*(2='5층_부하량'!B3:B3000),0))</f>
        <v>0</v>
      </c>
      <c r="O20" s="2529" cm="1">
        <f t="array" ref="O20">INDEX('5층_부하량'!G3:G3000,MATCH(1,("5-DaHall 1-CEP-06"='5층_부하량'!A3:A3000)*(2='5층_부하량'!B3:B3000),0))</f>
        <v>0</v>
      </c>
      <c r="P20" s="2529" cm="1">
        <f t="array" ref="P20">INDEX('5층_부하량'!H3:H3000,MATCH(1,("5-DaHall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1" cm="1">
        <f t="array" ref="N21">INDEX('5층_부하량'!F3:F3000,MATCH(1,("5-DaHall 1-CEP-06"='5층_부하량'!A3:A3000)*(3='5층_부하량'!B3:B3000),0))</f>
        <v>0</v>
      </c>
      <c r="O21" s="2531" cm="1">
        <f t="array" ref="O21">INDEX('5층_부하량'!G3:G3000,MATCH(1,("5-DaHall 1-CEP-06"='5층_부하량'!A3:A3000)*(3='5층_부하량'!B3:B3000),0))</f>
        <v>0</v>
      </c>
      <c r="P21" s="2531" cm="1">
        <f t="array" ref="P21">INDEX('5층_부하량'!H3:H3000,MATCH(1,("5-DaHall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30" cm="1">
        <f t="array" ref="N22">INDEX('5층_부하량'!F3:F3000,MATCH(1,("5-DaHall 1-CEP-06"='5층_부하량'!A3:A3000)*(4='5층_부하량'!B3:B3000),0))</f>
        <v>0</v>
      </c>
      <c r="O22" s="2530" cm="1">
        <f t="array" ref="O22">INDEX('5층_부하량'!G3:G3000,MATCH(1,("5-DaHall 1-CEP-06"='5층_부하량'!A3:A3000)*(4='5층_부하량'!B3:B3000),0))</f>
        <v>0</v>
      </c>
      <c r="P22" s="2530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6518</v>
      </c>
      <c r="C24" s="3969" t="s">
        <v>5225</v>
      </c>
      <c r="D24" s="3969"/>
      <c r="E24" s="3969"/>
      <c r="F24" s="3969"/>
      <c r="G24" s="53"/>
      <c r="H24" s="123"/>
      <c r="I24" s="123"/>
      <c r="J24" s="3970" t="s">
        <v>5226</v>
      </c>
      <c r="K24" s="397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28" cm="1">
        <f t="array" ref="D27">INDEX('5층_부하량'!F3:F3000,MATCH(1,("5-DaHall 1-PDU-01"='5층_부하량'!A3:A3000)*(1='5층_부하량'!B3:B3000),0))</f>
        <v>0</v>
      </c>
      <c r="E27" s="2528" cm="1">
        <f t="array" ref="E27">INDEX('5층_부하량'!G3:G3000,MATCH(1,("5-DaHall 1-PDU-01"='5층_부하량'!A3:A3000)*(1='5층_부하량'!B3:B3000),0))</f>
        <v>0</v>
      </c>
      <c r="F27" s="2528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8" cm="1">
        <f t="array" ref="N27">INDEX('5층_부하량'!F3:F3000,MATCH(1,("5-DaHall 1-PDU-01"='5층_부하량'!A3:A3000)*(55='5층_부하량'!B3:B3000),0))</f>
        <v>0</v>
      </c>
      <c r="O27" s="2528" cm="1">
        <f t="array" ref="O27">INDEX('5층_부하량'!G3:G3000,MATCH(1,("5-DaHall 1-PDU-01"='5층_부하량'!A3:A3000)*(55='5층_부하량'!B3:B3000),0))</f>
        <v>0</v>
      </c>
      <c r="P27" s="2528" cm="1">
        <f t="array" ref="P27">INDEX('5층_부하량'!H3:H3000,MATCH(1,("5-DaHall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31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1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0" t="s">
        <v>5233</v>
      </c>
      <c r="D29" s="21"/>
      <c r="E29" s="2531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1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0" t="s">
        <v>5233</v>
      </c>
      <c r="D30" s="21"/>
      <c r="E30" s="21"/>
      <c r="F30" s="2531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1" cm="1">
        <f t="array" ref="P30">INDEX('5층_부하량'!H3:H3000,MATCH(1,("5-DaHall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0" t="s">
        <v>5233</v>
      </c>
      <c r="D31" s="2531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1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28" t="s">
        <v>5238</v>
      </c>
      <c r="B32" s="17" t="s">
        <v>4204</v>
      </c>
      <c r="C32" s="18" t="s">
        <v>4149</v>
      </c>
      <c r="D32" s="21"/>
      <c r="E32" s="2531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1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29" t="s">
        <v>5241</v>
      </c>
      <c r="B33" s="17" t="s">
        <v>4204</v>
      </c>
      <c r="C33" s="18" t="s">
        <v>4149</v>
      </c>
      <c r="D33" s="21"/>
      <c r="E33" s="21"/>
      <c r="F33" s="2531" cm="1">
        <f t="array" ref="F33">INDEX('5층_부하량'!H3:H3000,MATCH(1,("5-DaHall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1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28" t="s">
        <v>5244</v>
      </c>
      <c r="B34" s="17" t="s">
        <v>4204</v>
      </c>
      <c r="C34" s="18" t="s">
        <v>4149</v>
      </c>
      <c r="D34" s="2531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1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29" t="s">
        <v>5245</v>
      </c>
      <c r="B35" s="17" t="s">
        <v>4204</v>
      </c>
      <c r="C35" s="18" t="s">
        <v>4149</v>
      </c>
      <c r="D35" s="21"/>
      <c r="E35" s="2531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1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29" t="s">
        <v>5246</v>
      </c>
      <c r="B36" s="17" t="s">
        <v>4204</v>
      </c>
      <c r="C36" s="18" t="s">
        <v>4149</v>
      </c>
      <c r="D36" s="21"/>
      <c r="E36" s="21"/>
      <c r="F36" s="2531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1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31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1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31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1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31" cm="1">
        <f t="array" ref="F39">INDEX('5층_부하량'!H3:H3000,MATCH(1,("5-DaHall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1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31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1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31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1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31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1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29" t="s">
        <v>5253</v>
      </c>
      <c r="B43" s="17" t="s">
        <v>4204</v>
      </c>
      <c r="C43" s="18" t="s">
        <v>4149</v>
      </c>
      <c r="D43" s="2531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1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29" t="s">
        <v>5255</v>
      </c>
      <c r="B44" s="17" t="s">
        <v>4204</v>
      </c>
      <c r="C44" s="18" t="s">
        <v>4149</v>
      </c>
      <c r="D44" s="21"/>
      <c r="E44" s="2531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1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29" t="s">
        <v>5258</v>
      </c>
      <c r="B45" s="17" t="s">
        <v>4204</v>
      </c>
      <c r="C45" s="18" t="s">
        <v>4149</v>
      </c>
      <c r="D45" s="21"/>
      <c r="E45" s="19"/>
      <c r="F45" s="2529" cm="1">
        <f t="array" ref="F45">INDEX('5층_부하량'!H3:H3000,MATCH(1,("5-DaHall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9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29" t="s">
        <v>5260</v>
      </c>
      <c r="B46" s="17" t="s">
        <v>4204</v>
      </c>
      <c r="C46" s="18" t="s">
        <v>4149</v>
      </c>
      <c r="D46" s="2531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1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29" t="s">
        <v>5262</v>
      </c>
      <c r="B47" s="17" t="s">
        <v>4204</v>
      </c>
      <c r="C47" s="18" t="s">
        <v>4149</v>
      </c>
      <c r="D47" s="21"/>
      <c r="E47" s="2531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1" cm="1">
        <f t="array" ref="O47">INDEX('5층_부하량'!G3:G3000,MATCH(1,("5-DaHall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0" t="s">
        <v>3028</v>
      </c>
      <c r="D48" s="21"/>
      <c r="E48" s="19"/>
      <c r="F48" s="2531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1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0" t="s">
        <v>3028</v>
      </c>
      <c r="D49" s="2531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1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0" t="s">
        <v>3028</v>
      </c>
      <c r="D50" s="21"/>
      <c r="E50" s="2531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1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0" t="s">
        <v>3028</v>
      </c>
      <c r="D51" s="21"/>
      <c r="E51" s="21"/>
      <c r="F51" s="2531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1" cm="1">
        <f t="array" ref="P51">INDEX('5층_부하량'!H3:H3000,MATCH(1,("5-DaHall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30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30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6519</v>
      </c>
      <c r="C54" s="3969" t="s">
        <v>5270</v>
      </c>
      <c r="D54" s="3969"/>
      <c r="E54" s="3969"/>
      <c r="F54" s="3969"/>
      <c r="G54" s="53"/>
      <c r="H54" s="123"/>
      <c r="I54" s="123"/>
      <c r="J54" s="3970" t="s">
        <v>5226</v>
      </c>
      <c r="K54" s="397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28" cm="1">
        <f t="array" ref="D57">INDEX('5층_부하량'!F3:F3000,MATCH(1,("5-DaHall 1-PDU-02"='5층_부하량'!A3:A3000)*(1='5층_부하량'!B3:B3000),0))</f>
        <v>0</v>
      </c>
      <c r="E57" s="2528" cm="1">
        <f t="array" ref="E57">INDEX('5층_부하량'!G3:G3000,MATCH(1,("5-DaHall 1-PDU-02"='5층_부하량'!A3:A3000)*(1='5층_부하량'!B3:B3000),0))</f>
        <v>0</v>
      </c>
      <c r="F57" s="2528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8" cm="1">
        <f t="array" ref="N57">INDEX('5층_부하량'!F3:F3000,MATCH(1,("5-DaHall 1-PDU-02"='5층_부하량'!A3:A3000)*(55='5층_부하량'!B3:B3000),0))</f>
        <v>0</v>
      </c>
      <c r="O57" s="2528" cm="1">
        <f t="array" ref="O57">INDEX('5층_부하량'!G3:G3000,MATCH(1,("5-DaHall 1-PDU-02"='5층_부하량'!A3:A3000)*(55='5층_부하량'!B3:B3000),0))</f>
        <v>0</v>
      </c>
      <c r="P57" s="2528" cm="1">
        <f t="array" ref="P57">INDEX('5층_부하량'!H3:H3000,MATCH(1,("5-DaHall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0" t="s">
        <v>3028</v>
      </c>
      <c r="D58" s="2531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1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0" t="s">
        <v>3028</v>
      </c>
      <c r="D59" s="21"/>
      <c r="E59" s="2531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1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0" t="s">
        <v>3028</v>
      </c>
      <c r="D60" s="21"/>
      <c r="E60" s="21"/>
      <c r="F60" s="2531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1" cm="1">
        <f t="array" ref="P60">INDEX('5층_부하량'!H3:H3000,MATCH(1,("5-DaHall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0" t="s">
        <v>3028</v>
      </c>
      <c r="D61" s="2531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1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28" t="s">
        <v>5274</v>
      </c>
      <c r="B62" s="17" t="s">
        <v>4204</v>
      </c>
      <c r="C62" s="18" t="s">
        <v>4149</v>
      </c>
      <c r="D62" s="21"/>
      <c r="E62" s="2531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1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29" t="s">
        <v>5276</v>
      </c>
      <c r="B63" s="17" t="s">
        <v>4204</v>
      </c>
      <c r="C63" s="18" t="s">
        <v>4149</v>
      </c>
      <c r="D63" s="21"/>
      <c r="E63" s="21"/>
      <c r="F63" s="2531" cm="1">
        <f t="array" ref="F63">INDEX('5층_부하량'!H3:H3000,MATCH(1,("5-DaHall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1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28" t="s">
        <v>5278</v>
      </c>
      <c r="B64" s="17" t="s">
        <v>4204</v>
      </c>
      <c r="C64" s="18" t="s">
        <v>4149</v>
      </c>
      <c r="D64" s="2531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1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29" t="s">
        <v>5279</v>
      </c>
      <c r="B65" s="17" t="s">
        <v>4204</v>
      </c>
      <c r="C65" s="18" t="s">
        <v>4149</v>
      </c>
      <c r="D65" s="21"/>
      <c r="E65" s="2531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1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29" t="s">
        <v>5280</v>
      </c>
      <c r="B66" s="17" t="s">
        <v>4204</v>
      </c>
      <c r="C66" s="18" t="s">
        <v>4149</v>
      </c>
      <c r="D66" s="21"/>
      <c r="E66" s="21"/>
      <c r="F66" s="2531" cm="1">
        <f t="array" ref="F66">INDEX('5층_부하량'!H3:H3000,MATCH(1,("5-DaHall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1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31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1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31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1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31" cm="1">
        <f t="array" ref="F69">INDEX('5층_부하량'!H3:H3000,MATCH(1,("5-DaHall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1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31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1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31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1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31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1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29" t="s">
        <v>5253</v>
      </c>
      <c r="B73" s="17" t="s">
        <v>4204</v>
      </c>
      <c r="C73" s="18" t="s">
        <v>4149</v>
      </c>
      <c r="D73" s="2531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1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29" t="s">
        <v>5284</v>
      </c>
      <c r="B74" s="17" t="s">
        <v>4204</v>
      </c>
      <c r="C74" s="18" t="s">
        <v>4149</v>
      </c>
      <c r="D74" s="21"/>
      <c r="E74" s="2531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1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29" t="s">
        <v>5286</v>
      </c>
      <c r="B75" s="17" t="s">
        <v>4204</v>
      </c>
      <c r="C75" s="18" t="s">
        <v>4149</v>
      </c>
      <c r="D75" s="21"/>
      <c r="E75" s="19"/>
      <c r="F75" s="2529" cm="1">
        <f t="array" ref="F75">INDEX('5층_부하량'!H3:H3000,MATCH(1,("5-DaHall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9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29" t="s">
        <v>5288</v>
      </c>
      <c r="B76" s="17" t="s">
        <v>4204</v>
      </c>
      <c r="C76" s="18" t="s">
        <v>4149</v>
      </c>
      <c r="D76" s="2531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1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29" t="s">
        <v>5290</v>
      </c>
      <c r="B77" s="17" t="s">
        <v>4204</v>
      </c>
      <c r="C77" s="18" t="s">
        <v>4149</v>
      </c>
      <c r="D77" s="21"/>
      <c r="E77" s="2531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1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0" t="s">
        <v>3028</v>
      </c>
      <c r="D78" s="21"/>
      <c r="E78" s="19"/>
      <c r="F78" s="2531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1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0" t="s">
        <v>3028</v>
      </c>
      <c r="D79" s="2531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1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0" t="s">
        <v>3028</v>
      </c>
      <c r="D80" s="21"/>
      <c r="E80" s="2531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1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0" t="s">
        <v>3028</v>
      </c>
      <c r="D81" s="21"/>
      <c r="E81" s="21"/>
      <c r="F81" s="2531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1" cm="1">
        <f t="array" ref="P81">INDEX('5층_부하량'!H3:H3000,MATCH(1,("5-DaHall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30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30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6520</v>
      </c>
      <c r="C84" s="3969" t="s">
        <v>5295</v>
      </c>
      <c r="D84" s="3969"/>
      <c r="E84" s="3969"/>
      <c r="F84" s="3969"/>
      <c r="G84" s="53"/>
      <c r="H84" s="123"/>
      <c r="I84" s="123"/>
      <c r="J84" s="3970" t="s">
        <v>5226</v>
      </c>
      <c r="K84" s="397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28" cm="1">
        <f t="array" ref="D87">INDEX('5층_부하량'!F3:F3000,MATCH(1,("5-DaHall 1-PDU-03"='5층_부하량'!A3:A3000)*(1='5층_부하량'!B3:B3000),0))</f>
        <v>0</v>
      </c>
      <c r="E87" s="2528" cm="1">
        <f t="array" ref="E87">INDEX('5층_부하량'!G3:G3000,MATCH(1,("5-DaHall 1-PDU-03"='5층_부하량'!A3:A3000)*(1='5층_부하량'!B3:B3000),0))</f>
        <v>0</v>
      </c>
      <c r="F87" s="2528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8" cm="1">
        <f t="array" ref="N87">INDEX('5층_부하량'!F3:F3000,MATCH(1,("5-DaHall 1-PDU-03"='5층_부하량'!A3:A3000)*(55='5층_부하량'!B3:B3000),0))</f>
        <v>0</v>
      </c>
      <c r="O87" s="2528" cm="1">
        <f t="array" ref="O87">INDEX('5층_부하량'!G3:G3000,MATCH(1,("5-DaHall 1-PDU-03"='5층_부하량'!A3:A3000)*(55='5층_부하량'!B3:B3000),0))</f>
        <v>0</v>
      </c>
      <c r="P87" s="2528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31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1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31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1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31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1" cm="1">
        <f t="array" ref="P90">INDEX('5층_부하량'!H3:H3000,MATCH(1,("5-DaHall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31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1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31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1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31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1" cm="1">
        <f t="array" ref="P93">INDEX('5층_부하량'!H3:H3000,MATCH(1,("5-DaHall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31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1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31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1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31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1" cm="1">
        <f t="array" ref="P96">INDEX('5층_부하량'!H3:H3000,MATCH(1,("5-DaHall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31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1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31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1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31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1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31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1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31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1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31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1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31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1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31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1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29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9" cm="1">
        <f t="array" ref="P105">INDEX('5층_부하량'!H3:H3000,MATCH(1,("5-DaHall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31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1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31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1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4" t="s">
        <v>5334</v>
      </c>
      <c r="B108" s="17" t="s">
        <v>5335</v>
      </c>
      <c r="C108" s="17" t="s">
        <v>4296</v>
      </c>
      <c r="D108" s="21"/>
      <c r="E108" s="19"/>
      <c r="F108" s="2531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1" cm="1">
        <f t="array" ref="P108">INDEX('5층_부하량'!H3:H3000,MATCH(1,("5-DaHall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4" t="s">
        <v>5337</v>
      </c>
      <c r="B109" s="71" t="s">
        <v>4204</v>
      </c>
      <c r="C109" s="72" t="s">
        <v>4149</v>
      </c>
      <c r="D109" s="2531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1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4" t="s">
        <v>5339</v>
      </c>
      <c r="B110" s="17" t="s">
        <v>4204</v>
      </c>
      <c r="C110" s="18" t="s">
        <v>4149</v>
      </c>
      <c r="D110" s="21"/>
      <c r="E110" s="2531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1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31" cm="1">
        <f t="array" ref="F111">INDEX('5층_부하량'!H3:H3000,MATCH(1,("5-DaHall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1" cm="1">
        <f t="array" ref="P111">INDEX('5층_부하량'!H3:H3000,MATCH(1,("5-DaHall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30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30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6521</v>
      </c>
      <c r="C114" s="3969" t="s">
        <v>5345</v>
      </c>
      <c r="D114" s="3969"/>
      <c r="E114" s="3969"/>
      <c r="F114" s="3969"/>
      <c r="G114" s="53"/>
      <c r="H114" s="123"/>
      <c r="I114" s="123"/>
      <c r="J114" s="3970" t="s">
        <v>5226</v>
      </c>
      <c r="K114" s="397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28" cm="1">
        <f t="array" ref="D117">INDEX('5층_부하량'!F3:F3000,MATCH(1,("5-DaHall 1-PDU-04"='5층_부하량'!A3:A3000)*(1='5층_부하량'!B3:B3000),0))</f>
        <v>0</v>
      </c>
      <c r="E117" s="2528" cm="1">
        <f t="array" ref="E117">INDEX('5층_부하량'!G3:G3000,MATCH(1,("5-DaHall 1-PDU-04"='5층_부하량'!A3:A3000)*(1='5층_부하량'!B3:B3000),0))</f>
        <v>0</v>
      </c>
      <c r="F117" s="2528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8" cm="1">
        <f t="array" ref="N117">INDEX('5층_부하량'!F3:F3000,MATCH(1,("5-DaHall 1-PDU-04"='5층_부하량'!A3:A3000)*(55='5층_부하량'!B3:B3000),0))</f>
        <v>0</v>
      </c>
      <c r="O117" s="2528" cm="1">
        <f t="array" ref="O117">INDEX('5층_부하량'!G3:G3000,MATCH(1,("5-DaHall 1-PDU-04"='5층_부하량'!A3:A3000)*(55='5층_부하량'!B3:B3000),0))</f>
        <v>0</v>
      </c>
      <c r="P117" s="2528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31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1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31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1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31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1" cm="1">
        <f t="array" ref="P120">INDEX('5층_부하량'!H3:H3000,MATCH(1,("5-DaHall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31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1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31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1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31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1" cm="1">
        <f t="array" ref="P123">INDEX('5층_부하량'!H3:H3000,MATCH(1,("5-DaHall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31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1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31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1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31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1" cm="1">
        <f t="array" ref="P126">INDEX('5층_부하량'!H3:H3000,MATCH(1,("5-DaHall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31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1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31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1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31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1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31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1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31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1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31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1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4"/>
      <c r="B133" s="1408" t="s">
        <v>4164</v>
      </c>
      <c r="C133" s="17" t="s">
        <v>4296</v>
      </c>
      <c r="D133" s="2531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1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4"/>
      <c r="B134" s="1408" t="s">
        <v>4164</v>
      </c>
      <c r="C134" s="17" t="s">
        <v>4296</v>
      </c>
      <c r="D134" s="21"/>
      <c r="E134" s="2531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1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4"/>
      <c r="B135" s="1408" t="s">
        <v>4164</v>
      </c>
      <c r="C135" s="17" t="s">
        <v>4296</v>
      </c>
      <c r="D135" s="21"/>
      <c r="E135" s="19"/>
      <c r="F135" s="2529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9" cm="1">
        <f t="array" ref="P135">INDEX('5층_부하량'!H3:H3000,MATCH(1,("5-DaHall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31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1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31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1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4" t="s">
        <v>5334</v>
      </c>
      <c r="B138" s="17" t="s">
        <v>5335</v>
      </c>
      <c r="C138" s="17" t="s">
        <v>4296</v>
      </c>
      <c r="D138" s="21"/>
      <c r="E138" s="19"/>
      <c r="F138" s="2531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1" cm="1">
        <f t="array" ref="P138">INDEX('5층_부하량'!H3:H3000,MATCH(1,("5-DaHall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4" t="s">
        <v>5337</v>
      </c>
      <c r="B139" s="71" t="s">
        <v>4204</v>
      </c>
      <c r="C139" s="72" t="s">
        <v>4149</v>
      </c>
      <c r="D139" s="2531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1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4" t="s">
        <v>5339</v>
      </c>
      <c r="B140" s="17" t="s">
        <v>4204</v>
      </c>
      <c r="C140" s="18" t="s">
        <v>4149</v>
      </c>
      <c r="D140" s="21"/>
      <c r="E140" s="2531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1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4" t="s">
        <v>5353</v>
      </c>
      <c r="B141" s="17" t="s">
        <v>5335</v>
      </c>
      <c r="C141" s="18" t="s">
        <v>4149</v>
      </c>
      <c r="D141" s="21"/>
      <c r="E141" s="21"/>
      <c r="F141" s="2531" cm="1">
        <f t="array" ref="F141">INDEX('5층_부하량'!H3:H3000,MATCH(1,("5-DaHall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1" cm="1">
        <f t="array" ref="P141">INDEX('5층_부하량'!H3:H3000,MATCH(1,("5-DaHall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5" t="s">
        <v>5354</v>
      </c>
      <c r="B142" s="35" t="s">
        <v>5335</v>
      </c>
      <c r="C142" s="39" t="s">
        <v>4149</v>
      </c>
      <c r="D142" s="2530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30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5355</v>
      </c>
      <c r="C144" s="3969" t="s">
        <v>5356</v>
      </c>
      <c r="D144" s="3969"/>
      <c r="E144" s="3969"/>
      <c r="F144" s="53"/>
      <c r="G144" s="53"/>
      <c r="H144" s="123"/>
      <c r="I144" s="123"/>
      <c r="J144" s="3970" t="s">
        <v>5357</v>
      </c>
      <c r="K144" s="3976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56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7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56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7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57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7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57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7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58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1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59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9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57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7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57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7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57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7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57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7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57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60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969" t="s">
        <v>5390</v>
      </c>
      <c r="D161" s="3969"/>
      <c r="E161" s="3969"/>
      <c r="F161" s="3969"/>
      <c r="G161" s="53"/>
      <c r="H161" s="123"/>
      <c r="I161" s="123"/>
      <c r="J161" s="3970" t="s">
        <v>5226</v>
      </c>
      <c r="K161" s="397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28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8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31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1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31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1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31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1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31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1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31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1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31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1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31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1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31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1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31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1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31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1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31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1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31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1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31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1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31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1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31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1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31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1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31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1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31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1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31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1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31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1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31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1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31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1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31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1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31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1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31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1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33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3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969" t="s">
        <v>5397</v>
      </c>
      <c r="D192" s="3969"/>
      <c r="E192" s="3969"/>
      <c r="F192" s="3969"/>
      <c r="G192" s="53"/>
      <c r="H192" s="123"/>
      <c r="I192" s="123"/>
      <c r="J192" s="3970" t="s">
        <v>5226</v>
      </c>
      <c r="K192" s="397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28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8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31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1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31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1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31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1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31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1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31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1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31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1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31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1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31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1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31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1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31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1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31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1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31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1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31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1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2"/>
      <c r="B209" s="71" t="s">
        <v>535</v>
      </c>
      <c r="C209" s="71" t="s">
        <v>4296</v>
      </c>
      <c r="D209" s="21"/>
      <c r="E209" s="2531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1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31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1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31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1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2"/>
      <c r="B212" s="17" t="s">
        <v>535</v>
      </c>
      <c r="C212" s="17" t="s">
        <v>4296</v>
      </c>
      <c r="D212" s="21"/>
      <c r="E212" s="2531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1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31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1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31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1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31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1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31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1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31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1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31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1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31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1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31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1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33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3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969" t="s">
        <v>5399</v>
      </c>
      <c r="D223" s="3969"/>
      <c r="E223" s="3969"/>
      <c r="F223" s="3969"/>
      <c r="G223" s="53"/>
      <c r="H223" s="123"/>
      <c r="I223" s="123"/>
      <c r="J223" s="3970" t="s">
        <v>4636</v>
      </c>
      <c r="K223" s="397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28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8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29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9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31" cm="1">
        <f t="array" ref="F228">INDEX('5층_부하량'!H3:H3000,MATCH(1,("5-DaHall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1" cm="1">
        <f t="array" ref="P228">INDEX('5층_부하량'!H3:H3000,MATCH(1,("5-DaHall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31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1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31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1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32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2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47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7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48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8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31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1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31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1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31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1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31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1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31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1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31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1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31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1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31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1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31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1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30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30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6525</v>
      </c>
      <c r="C245" s="3969" t="s">
        <v>5410</v>
      </c>
      <c r="D245" s="3969"/>
      <c r="E245" s="3969"/>
      <c r="F245" s="3969"/>
      <c r="G245" s="53"/>
      <c r="H245" s="123"/>
      <c r="I245" s="123"/>
      <c r="J245" s="3970" t="s">
        <v>4636</v>
      </c>
      <c r="K245" s="3976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28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8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29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9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31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1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31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1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31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1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32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2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32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2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47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7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48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8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31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1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31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1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31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1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31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1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31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1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31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1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31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1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31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1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31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1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33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3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969" t="s">
        <v>5412</v>
      </c>
      <c r="D268" s="3969"/>
      <c r="E268" s="3969"/>
      <c r="F268" s="3969"/>
      <c r="G268" s="53"/>
      <c r="H268" s="123"/>
      <c r="I268" s="123"/>
      <c r="J268" s="3970" t="s">
        <v>4636</v>
      </c>
      <c r="K268" s="397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28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8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29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9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31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1" cm="1">
        <f t="array" ref="P273">INDEX('5층_부하량'!H3:H3000,MATCH(1,("5-DaHall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31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1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31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1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32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2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47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7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48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8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31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1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31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1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31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1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31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1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31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1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31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1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31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1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31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1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31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1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30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30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6527</v>
      </c>
      <c r="C290" s="3969" t="s">
        <v>5421</v>
      </c>
      <c r="D290" s="3969"/>
      <c r="E290" s="3969"/>
      <c r="F290" s="3969"/>
      <c r="G290" s="53"/>
      <c r="H290" s="123"/>
      <c r="I290" s="123"/>
      <c r="J290" s="3970" t="s">
        <v>4636</v>
      </c>
      <c r="K290" s="3976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28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8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29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9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31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1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31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1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31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1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32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2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32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2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47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7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48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8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31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1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31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1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31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1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31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1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31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1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31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1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31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1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31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1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31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1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33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3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969" t="s">
        <v>5422</v>
      </c>
      <c r="D313" s="3969"/>
      <c r="E313" s="3969"/>
      <c r="F313" s="3969"/>
      <c r="G313" s="53"/>
      <c r="H313" s="123"/>
      <c r="I313" s="123"/>
      <c r="J313" s="3970" t="s">
        <v>5219</v>
      </c>
      <c r="K313" s="397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40" cm="1">
        <f t="array" ref="D316">INDEX('5층_부하량'!F3:F3000,MATCH(1,("5-DaHall 1-PDU-11"='5층_부하량'!A3:A3000)*(1='5층_부하량'!B3:B3000),0))</f>
        <v>0</v>
      </c>
      <c r="E316" s="2540" cm="1">
        <f t="array" ref="E316">INDEX('5층_부하량'!G3:G3000,MATCH(1,("5-DaHall 1-PDU-11"='5층_부하량'!A3:A3000)*(1='5층_부하량'!B3:B3000),0))</f>
        <v>0</v>
      </c>
      <c r="F316" s="2540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40" cm="1">
        <f t="array" ref="N316">INDEX('5층_부하량'!F3:F3000,MATCH(1,("5-DaHall 1-PDU-11"='5층_부하량'!A3:A3000)*(2='5층_부하량'!B3:B3000),0))</f>
        <v>0</v>
      </c>
      <c r="O316" s="2540" cm="1">
        <f t="array" ref="O316">INDEX('5층_부하량'!G3:G3000,MATCH(1,("5-DaHall 1-PDU-11"='5층_부하량'!A3:A3000)*(2='5층_부하량'!B3:B3000),0))</f>
        <v>0</v>
      </c>
      <c r="P316" s="2540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41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1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38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8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38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8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38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8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45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5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37" cm="1">
        <f t="array" ref="F322">INDEX('5층_부하량'!H3:H3000,MATCH(1,("5-DaHall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7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46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6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38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8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38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8" cm="1">
        <f t="array" ref="P325">INDEX('5층_부하량'!H3:H3000,MATCH(1,("5-DaHall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38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8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38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8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38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8" cm="1">
        <f t="array" ref="P328">INDEX('5층_부하량'!H3:H3000,MATCH(1,("5-DaHall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38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8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38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8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39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9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6529</v>
      </c>
      <c r="C333" s="3969" t="s">
        <v>5450</v>
      </c>
      <c r="D333" s="3969"/>
      <c r="E333" s="3969"/>
      <c r="F333" s="3969"/>
      <c r="G333" s="53"/>
      <c r="H333" s="123"/>
      <c r="I333" s="123"/>
      <c r="J333" s="3970" t="s">
        <v>5219</v>
      </c>
      <c r="K333" s="397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40" cm="1">
        <f t="array" ref="D336">INDEX('5층_부하량'!F3:F3000,MATCH(1,("5-DaHall 1-PDU-13"='5층_부하량'!A3:A3000)*(1='5층_부하량'!B3:B3000),0))</f>
        <v>0</v>
      </c>
      <c r="E336" s="2540" cm="1">
        <f t="array" ref="E336">INDEX('5층_부하량'!G3:G3000,MATCH(1,("5-DaHall 1-PDU-13"='5층_부하량'!A3:A3000)*(1='5층_부하량'!B3:B3000),0))</f>
        <v>0</v>
      </c>
      <c r="F336" s="2540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40" cm="1">
        <f t="array" ref="N336">INDEX('5층_부하량'!F3:F3000,MATCH(1,("5-DaHall 1-PDU-13"='5층_부하량'!A3:A3000)*(2='5층_부하량'!B3:B3000),0))</f>
        <v>0</v>
      </c>
      <c r="O336" s="2540" cm="1">
        <f t="array" ref="O336">INDEX('5층_부하량'!G3:G3000,MATCH(1,("5-DaHall 1-PDU-13"='5층_부하량'!A3:A3000)*(2='5층_부하량'!B3:B3000),0))</f>
        <v>0</v>
      </c>
      <c r="P336" s="2540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41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1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38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8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38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8" cm="1">
        <f t="array" ref="P339">INDEX('5층_부하량'!H3:H3000,MATCH(1,("5-DaHall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38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8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45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5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37" cm="1">
        <f t="array" ref="F342">INDEX('5층_부하량'!H3:H3000,MATCH(1,("5-DaHall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7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46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6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38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8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38" cm="1">
        <f t="array" ref="F345">INDEX('5층_부하량'!H3:H3000,MATCH(1,("5-DaHall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8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38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8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38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8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38" cm="1">
        <f t="array" ref="F348">INDEX('5층_부하량'!H3:H3000,MATCH(1,("5-DaHall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8" cm="1">
        <f t="array" ref="P348">INDEX('5층_부하량'!H3:H3000,MATCH(1,("5-DaHall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38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8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38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8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39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9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6530</v>
      </c>
      <c r="C353" s="3969" t="s">
        <v>5464</v>
      </c>
      <c r="D353" s="3969"/>
      <c r="E353" s="3969"/>
      <c r="F353" s="3969"/>
      <c r="G353" s="351"/>
      <c r="H353" s="352"/>
      <c r="I353" s="352"/>
      <c r="J353" s="3979" t="s">
        <v>4288</v>
      </c>
      <c r="K353" s="3980"/>
      <c r="L353" s="2324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78" t="s">
        <v>5465</v>
      </c>
      <c r="B356" s="366" t="s">
        <v>4208</v>
      </c>
      <c r="C356" s="383" t="s">
        <v>4149</v>
      </c>
      <c r="D356" s="2540" cm="1">
        <f t="array" ref="D356">INDEX('5층_부하량'!F3:F3000,MATCH(1,("5-DaHall 1-PDU-15"='5층_부하량'!A3:A3000)*(1='5층_부하량'!B3:B3000),0))</f>
        <v>0</v>
      </c>
      <c r="E356" s="2540" cm="1">
        <f t="array" ref="E356">INDEX('5층_부하량'!G3:G3000,MATCH(1,("5-DaHall 1-PDU-15"='5층_부하량'!A3:A3000)*(1='5층_부하량'!B3:B3000),0))</f>
        <v>0</v>
      </c>
      <c r="F356" s="2540" cm="1">
        <f t="array" ref="F356">INDEX('5층_부하량'!H3:H3000,MATCH(1,("5-DaHall 1-PDU-15"='5층_부하량'!A3:A3000)*(1='5층_부하량'!B3:B3000),0))</f>
        <v>0</v>
      </c>
      <c r="G356" s="371"/>
      <c r="H356" s="367" t="s">
        <v>5466</v>
      </c>
      <c r="I356" s="2325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40" cm="1">
        <f t="array" ref="N356">INDEX('5층_부하량'!F3:F3000,MATCH(1,("5-DaHall 1-PDU-15"='5층_부하량'!A3:A3000)*(2='5층_부하량'!B3:B3000),0))</f>
        <v>0</v>
      </c>
      <c r="O356" s="2540" cm="1">
        <f t="array" ref="O356">INDEX('5층_부하량'!G3:G3000,MATCH(1,("5-DaHall 1-PDU-15"='5층_부하량'!A3:A3000)*(2='5층_부하량'!B3:B3000),0))</f>
        <v>0</v>
      </c>
      <c r="P356" s="2540" cm="1">
        <f t="array" ref="P356">INDEX('5층_부하량'!H3:H3000,MATCH(1,("5-DaHall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79"/>
      <c r="B357" s="376" t="s">
        <v>4164</v>
      </c>
      <c r="C357" s="376" t="s">
        <v>4215</v>
      </c>
      <c r="D357" s="2541" cm="1">
        <f t="array" ref="D357">INDEX('5층_부하량'!F3:F3000,MATCH(1,("5-DaHall 1-PDU-15"='5층_부하량'!A3:A3000)*(3='5층_부하량'!B3:B3000),0))</f>
        <v>0</v>
      </c>
      <c r="E357" s="2541" cm="1">
        <f t="array" ref="E357">INDEX('5층_부하량'!G3:G3000,MATCH(1,("5-DaHall 1-PDU-15"='5층_부하량'!A3:A3000)*(3='5층_부하량'!B3:B3000),0))</f>
        <v>0</v>
      </c>
      <c r="F357" s="2541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26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1" cm="1">
        <f t="array" ref="N357">INDEX('5층_부하량'!F3:F3000,MATCH(1,("5-DaHall 1-PDU-15"='5층_부하량'!A3:A3000)*(4='5층_부하량'!B3:B3000),0))</f>
        <v>0</v>
      </c>
      <c r="O357" s="2541" cm="1">
        <f t="array" ref="O357">INDEX('5층_부하량'!G3:G3000,MATCH(1,("5-DaHall 1-PDU-15"='5층_부하량'!A3:A3000)*(4='5층_부하량'!B3:B3000),0))</f>
        <v>0</v>
      </c>
      <c r="P357" s="2541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38" cm="1">
        <f t="array" ref="D358">INDEX('5층_부하량'!F3:F3000,MATCH(1,("5-DaHall 1-PDU-15"='5층_부하량'!A3:A3000)*(5='5층_부하량'!B3:B3000),0))</f>
        <v>0</v>
      </c>
      <c r="E358" s="2538" cm="1">
        <f t="array" ref="E358">INDEX('5층_부하량'!G3:G3000,MATCH(1,("5-DaHall 1-PDU-15"='5층_부하량'!A3:A3000)*(5='5층_부하량'!B3:B3000),0))</f>
        <v>0</v>
      </c>
      <c r="F358" s="2538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26" t="s">
        <v>5477</v>
      </c>
      <c r="J358" s="1022"/>
      <c r="K358" s="1023"/>
      <c r="L358" s="1151" t="s">
        <v>5478</v>
      </c>
      <c r="M358" s="376" t="s">
        <v>5359</v>
      </c>
      <c r="N358" s="2538" cm="1">
        <f t="array" ref="N358">INDEX('5층_부하량'!F3:F3000,MATCH(1,("5-DaHall 1-PDU-15"='5층_부하량'!A3:A3000)*(6='5층_부하량'!B3:B3000),0))</f>
        <v>0</v>
      </c>
      <c r="O358" s="2538" cm="1">
        <f t="array" ref="O358">INDEX('5층_부하량'!G3:G3000,MATCH(1,("5-DaHall 1-PDU-15"='5층_부하량'!A3:A3000)*(6='5층_부하량'!B3:B3000),0))</f>
        <v>0</v>
      </c>
      <c r="P358" s="2538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0" t="s">
        <v>5480</v>
      </c>
      <c r="B359" s="376" t="s">
        <v>4204</v>
      </c>
      <c r="C359" s="383" t="s">
        <v>4149</v>
      </c>
      <c r="D359" s="2538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8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1" t="s">
        <v>5482</v>
      </c>
      <c r="B360" s="87" t="s">
        <v>4204</v>
      </c>
      <c r="C360" s="88" t="s">
        <v>4149</v>
      </c>
      <c r="D360" s="392"/>
      <c r="E360" s="2532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2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290" t="s">
        <v>5484</v>
      </c>
      <c r="B361" s="2288" t="s">
        <v>4208</v>
      </c>
      <c r="C361" s="383" t="s">
        <v>4149</v>
      </c>
      <c r="D361" s="395"/>
      <c r="E361" s="395"/>
      <c r="F361" s="2542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2" cm="1">
        <f t="array" ref="P361">INDEX('5층_부하량'!H3:H3000,MATCH(1,("5-DaHall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 x14ac:dyDescent="0.25">
      <c r="A362" s="1282" t="s">
        <v>5487</v>
      </c>
      <c r="B362" s="376" t="s">
        <v>4204</v>
      </c>
      <c r="C362" s="383" t="s">
        <v>4149</v>
      </c>
      <c r="D362" s="2538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8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3" t="s">
        <v>5489</v>
      </c>
      <c r="B363" s="376" t="s">
        <v>4164</v>
      </c>
      <c r="C363" s="376" t="s">
        <v>4215</v>
      </c>
      <c r="D363" s="381"/>
      <c r="E363" s="2538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8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2" t="s">
        <v>5490</v>
      </c>
      <c r="B364" s="376" t="s">
        <v>4164</v>
      </c>
      <c r="C364" s="376" t="s">
        <v>4215</v>
      </c>
      <c r="D364" s="381"/>
      <c r="E364" s="381"/>
      <c r="F364" s="2538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8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3" t="s">
        <v>5491</v>
      </c>
      <c r="B365" s="376" t="s">
        <v>4164</v>
      </c>
      <c r="C365" s="376" t="s">
        <v>4215</v>
      </c>
      <c r="D365" s="2538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8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2" t="s">
        <v>5492</v>
      </c>
      <c r="B366" s="376" t="s">
        <v>4513</v>
      </c>
      <c r="C366" s="376" t="s">
        <v>4158</v>
      </c>
      <c r="D366" s="381"/>
      <c r="E366" s="2538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8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2" t="s">
        <v>5493</v>
      </c>
      <c r="B367" s="376" t="s">
        <v>4153</v>
      </c>
      <c r="C367" s="383" t="s">
        <v>4149</v>
      </c>
      <c r="D367" s="381"/>
      <c r="E367" s="381"/>
      <c r="F367" s="2538" cm="1">
        <f t="array" ref="F367">INDEX('5층_부하량'!H3:H3000,MATCH(1,("5-DaHall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8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4" t="s">
        <v>5495</v>
      </c>
      <c r="B368" s="376" t="s">
        <v>4513</v>
      </c>
      <c r="C368" s="376" t="s">
        <v>4158</v>
      </c>
      <c r="D368" s="2538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8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2" t="s">
        <v>5496</v>
      </c>
      <c r="B369" s="376" t="s">
        <v>4513</v>
      </c>
      <c r="C369" s="376" t="s">
        <v>4158</v>
      </c>
      <c r="D369" s="381"/>
      <c r="E369" s="2538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8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5" t="s">
        <v>5498</v>
      </c>
      <c r="B370" s="35" t="s">
        <v>4153</v>
      </c>
      <c r="C370" s="39" t="s">
        <v>4149</v>
      </c>
      <c r="D370" s="402"/>
      <c r="E370" s="402"/>
      <c r="F370" s="2543" cm="1">
        <f t="array" ref="F370">INDEX('5층_부하량'!H3:H3000,MATCH(1,("5-DaHall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3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27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6531</v>
      </c>
      <c r="C372" s="3969" t="s">
        <v>5499</v>
      </c>
      <c r="D372" s="3969"/>
      <c r="E372" s="3969"/>
      <c r="F372" s="3969"/>
      <c r="G372" s="351"/>
      <c r="H372" s="352"/>
      <c r="I372" s="352"/>
      <c r="J372" s="3979" t="s">
        <v>5219</v>
      </c>
      <c r="K372" s="3980"/>
      <c r="L372" s="2324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40" cm="1">
        <f t="array" ref="D375">INDEX('5층_부하량'!F3:F3000,MATCH(1,("5-DaHall 1-PDU-12"='5층_부하량'!A3:A3000)*(1='5층_부하량'!B3:B3000),0))</f>
        <v>0</v>
      </c>
      <c r="E375" s="2540" cm="1">
        <f t="array" ref="E375">INDEX('5층_부하량'!G3:G3000,MATCH(1,("5-DaHall 1-PDU-12"='5층_부하량'!A3:A3000)*(1='5층_부하량'!B3:B3000),0))</f>
        <v>0</v>
      </c>
      <c r="F375" s="2540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28" t="s">
        <v>5467</v>
      </c>
      <c r="J375" s="1029"/>
      <c r="K375" s="1030"/>
      <c r="L375" s="1409" t="s">
        <v>5469</v>
      </c>
      <c r="M375" s="366" t="s">
        <v>5359</v>
      </c>
      <c r="N375" s="2540" cm="1">
        <f t="array" ref="N375">INDEX('5층_부하량'!F3:F3000,MATCH(1,("5-DaHall 1-PDU-12"='5층_부하량'!A3:A3000)*(2='5층_부하량'!B3:B3000),0))</f>
        <v>0</v>
      </c>
      <c r="O375" s="2540" cm="1">
        <f t="array" ref="O375">INDEX('5층_부하량'!G3:G3000,MATCH(1,("5-DaHall 1-PDU-12"='5층_부하량'!A3:A3000)*(2='5층_부하량'!B3:B3000),0))</f>
        <v>0</v>
      </c>
      <c r="P375" s="2540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41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1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38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8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38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8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38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8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45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5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37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7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46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6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38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8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38" cm="1">
        <f t="array" ref="F384">INDEX('5층_부하량'!H3:H3000,MATCH(1,("5-DaHall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8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38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8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38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8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38" cm="1">
        <f t="array" ref="F387">INDEX('5층_부하량'!H3:H3000,MATCH(1,("5-DaHall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8" cm="1">
        <f t="array" ref="P387">INDEX('5층_부하량'!H3:H3000,MATCH(1,("5-DaHall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38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8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38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8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39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9" cm="1">
        <f t="array" ref="P390">INDEX('5층_부하량'!H3:H3000,MATCH(1,("5-DaHall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27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6532</v>
      </c>
      <c r="C392" s="3969" t="s">
        <v>5523</v>
      </c>
      <c r="D392" s="3969"/>
      <c r="E392" s="3969"/>
      <c r="F392" s="3969"/>
      <c r="G392" s="351"/>
      <c r="H392" s="352"/>
      <c r="I392" s="352"/>
      <c r="J392" s="3979" t="s">
        <v>5219</v>
      </c>
      <c r="K392" s="3980"/>
      <c r="L392" s="2324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40" cm="1">
        <f t="array" ref="D395">INDEX('5층_부하량'!F3:F3000,MATCH(1,("5-DaHall 1-PDU-14"='5층_부하량'!A3:A3000)*(1='5층_부하량'!B3:B3000),0))</f>
        <v>0</v>
      </c>
      <c r="E395" s="2540" cm="1">
        <f t="array" ref="E395">INDEX('5층_부하량'!G3:G3000,MATCH(1,("5-DaHall 1-PDU-14"='5층_부하량'!A3:A3000)*(1='5층_부하량'!B3:B3000),0))</f>
        <v>0</v>
      </c>
      <c r="F395" s="2540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28" t="s">
        <v>5467</v>
      </c>
      <c r="J395" s="1029"/>
      <c r="K395" s="1030"/>
      <c r="L395" s="1409" t="s">
        <v>5469</v>
      </c>
      <c r="M395" s="366" t="s">
        <v>5359</v>
      </c>
      <c r="N395" s="2540" cm="1">
        <f t="array" ref="N395">INDEX('5층_부하량'!F3:F3000,MATCH(1,("5-DaHall 1-PDU-14"='5층_부하량'!A3:A3000)*(2='5층_부하량'!B3:B3000),0))</f>
        <v>0</v>
      </c>
      <c r="O395" s="2540" cm="1">
        <f t="array" ref="O395">INDEX('5층_부하량'!G3:G3000,MATCH(1,("5-DaHall 1-PDU-14"='5층_부하량'!A3:A3000)*(2='5층_부하량'!B3:B3000),0))</f>
        <v>0</v>
      </c>
      <c r="P395" s="2540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41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1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38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8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38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8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38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8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45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5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37" cm="1">
        <f t="array" ref="F401">INDEX('5층_부하량'!H3:H3000,MATCH(1,("5-DaHall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7" cm="1">
        <f t="array" ref="P401">INDEX('5층_부하량'!H3:H3000,MATCH(1,("5-DaHall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46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6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38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8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38" cm="1">
        <f t="array" ref="F404">INDEX('5층_부하량'!H3:H3000,MATCH(1,("5-DaHall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8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38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8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38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8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38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8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38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8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38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8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39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9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27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6533</v>
      </c>
      <c r="C412" s="3969" t="s">
        <v>5536</v>
      </c>
      <c r="D412" s="3969"/>
      <c r="E412" s="3969"/>
      <c r="F412" s="3969"/>
      <c r="G412" s="351"/>
      <c r="H412" s="352"/>
      <c r="I412" s="352"/>
      <c r="J412" s="3979" t="s">
        <v>4288</v>
      </c>
      <c r="K412" s="3980"/>
      <c r="L412" s="2324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40" cm="1">
        <f t="array" ref="D415">INDEX('5층_부하량'!F3:F3000,MATCH(1,("5-DaHall 1-PDU-16"='5층_부하량'!A3:A3000)*(1='5층_부하량'!B3:B3000),0))</f>
        <v>0</v>
      </c>
      <c r="E415" s="2540" cm="1">
        <f t="array" ref="E415">INDEX('5층_부하량'!G3:G3000,MATCH(1,("5-DaHall 1-PDU-16"='5층_부하량'!A3:A3000)*(1='5층_부하량'!B3:B3000),0))</f>
        <v>0</v>
      </c>
      <c r="F415" s="2540" cm="1">
        <f t="array" ref="F415">INDEX('5층_부하량'!H3:H3000,MATCH(1,("5-DaHall 1-PDU-16"='5층_부하량'!A3:A3000)*(1='5층_부하량'!B3:B3000),0))</f>
        <v>0</v>
      </c>
      <c r="G415" s="371"/>
      <c r="H415" s="367" t="s">
        <v>5466</v>
      </c>
      <c r="I415" s="2325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40" cm="1">
        <f t="array" ref="N415">INDEX('5층_부하량'!F3:F3000,MATCH(1,("5-DaHall 1-PDU-16"='5층_부하량'!A3:A3000)*(2='5층_부하량'!B3:B3000),0))</f>
        <v>0</v>
      </c>
      <c r="O415" s="2540" cm="1">
        <f t="array" ref="O415">INDEX('5층_부하량'!G3:G3000,MATCH(1,("5-DaHall 1-PDU-16"='5층_부하량'!A3:A3000)*(2='5층_부하량'!B3:B3000),0))</f>
        <v>0</v>
      </c>
      <c r="P415" s="2540" cm="1">
        <f t="array" ref="P415">INDEX('5층_부하량'!H3:H3000,MATCH(1,("5-DaHall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41" cm="1">
        <f t="array" ref="D416">INDEX('5층_부하량'!F3:F3000,MATCH(1,("5-DaHall 1-PDU-16"='5층_부하량'!A3:A3000)*(3='5층_부하량'!B3:B3000),0))</f>
        <v>0</v>
      </c>
      <c r="E416" s="2541" cm="1">
        <f t="array" ref="E416">INDEX('5층_부하량'!G3:G3000,MATCH(1,("5-DaHall 1-PDU-16"='5층_부하량'!A3:A3000)*(3='5층_부하량'!B3:B3000),0))</f>
        <v>0</v>
      </c>
      <c r="F416" s="2541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29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8" cm="1">
        <f t="array" ref="N416">INDEX('5층_부하량'!F3:F3000,MATCH(1,("5-DaHall 1-PDU-16"='5층_부하량'!A3:A3000)*(4='5층_부하량'!B3:B3000),0))</f>
        <v>0</v>
      </c>
      <c r="O416" s="2538" cm="1">
        <f t="array" ref="O416">INDEX('5층_부하량'!G3:G3000,MATCH(1,("5-DaHall 1-PDU-16"='5층_부하량'!A3:A3000)*(4='5층_부하량'!B3:B3000),0))</f>
        <v>0</v>
      </c>
      <c r="P416" s="2538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38" cm="1">
        <f t="array" ref="D417">INDEX('5층_부하량'!F3:F3000,MATCH(1,("5-DaHall 1-PDU-16"='5층_부하량'!A3:A3000)*(5='5층_부하량'!B3:B3000),0))</f>
        <v>0</v>
      </c>
      <c r="E417" s="2538" cm="1">
        <f t="array" ref="E417">INDEX('5층_부하량'!G3:G3000,MATCH(1,("5-DaHall 1-PDU-16"='5층_부하량'!A3:A3000)*(5='5층_부하량'!B3:B3000),0))</f>
        <v>0</v>
      </c>
      <c r="F417" s="2538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29" t="s">
        <v>5477</v>
      </c>
      <c r="J417" s="1022"/>
      <c r="K417" s="1023"/>
      <c r="L417" s="1416" t="s">
        <v>5478</v>
      </c>
      <c r="M417" s="376" t="s">
        <v>5359</v>
      </c>
      <c r="N417" s="2538" cm="1">
        <f t="array" ref="N417">INDEX('5층_부하량'!F3:F3000,MATCH(1,("5-DaHall 1-PDU-16"='5층_부하량'!A3:A3000)*(6='5층_부하량'!B3:B3000),0))</f>
        <v>0</v>
      </c>
      <c r="O417" s="2538" cm="1">
        <f t="array" ref="O417">INDEX('5층_부하량'!G3:G3000,MATCH(1,("5-DaHall 1-PDU-16"='5층_부하량'!A3:A3000)*(6='5층_부하량'!B3:B3000),0))</f>
        <v>0</v>
      </c>
      <c r="P417" s="2538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7" t="s">
        <v>5541</v>
      </c>
      <c r="B418" s="376" t="s">
        <v>4204</v>
      </c>
      <c r="C418" s="383" t="s">
        <v>4149</v>
      </c>
      <c r="D418" s="2538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8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68" t="s">
        <v>5542</v>
      </c>
      <c r="B419" s="87" t="s">
        <v>4204</v>
      </c>
      <c r="C419" s="88" t="s">
        <v>4149</v>
      </c>
      <c r="D419" s="392"/>
      <c r="E419" s="2532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4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289" t="s">
        <v>5543</v>
      </c>
      <c r="B420" s="376" t="s">
        <v>4204</v>
      </c>
      <c r="C420" s="383" t="s">
        <v>4149</v>
      </c>
      <c r="D420" s="395"/>
      <c r="E420" s="395"/>
      <c r="F420" s="2542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2" cm="1">
        <f t="array" ref="P420">INDEX('5층_부하량'!H3:H3000,MATCH(1,("5-DaHall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38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8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2" t="s">
        <v>3490</v>
      </c>
      <c r="B422" s="376" t="s">
        <v>4204</v>
      </c>
      <c r="C422" s="383" t="s">
        <v>4149</v>
      </c>
      <c r="D422" s="381"/>
      <c r="E422" s="2538" cm="1">
        <f t="array" ref="E422">INDEX('5층_부하량'!G3:G3000,MATCH(1,("5-DaHall 1-PDU-16"='5층_부하량'!A3:A3000)*(15='5층_부하량'!B3:B3000),0))</f>
        <v>0</v>
      </c>
      <c r="F422" s="381"/>
      <c r="G422" s="381"/>
      <c r="H422" s="2330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8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2" t="s">
        <v>3494</v>
      </c>
      <c r="B423" s="376" t="s">
        <v>4204</v>
      </c>
      <c r="C423" s="383" t="s">
        <v>4149</v>
      </c>
      <c r="D423" s="381"/>
      <c r="E423" s="381"/>
      <c r="F423" s="2538" cm="1">
        <f t="array" ref="F423">INDEX('5층_부하량'!H3:H3000,MATCH(1,("5-DaHall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8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2" t="s">
        <v>3496</v>
      </c>
      <c r="B424" s="376" t="s">
        <v>4204</v>
      </c>
      <c r="C424" s="383" t="s">
        <v>4149</v>
      </c>
      <c r="D424" s="2538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8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6.4" x14ac:dyDescent="0.25">
      <c r="A425" s="2223" t="s">
        <v>5549</v>
      </c>
      <c r="B425" s="376" t="s">
        <v>4204</v>
      </c>
      <c r="C425" s="383" t="s">
        <v>4149</v>
      </c>
      <c r="D425" s="381"/>
      <c r="E425" s="2538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8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38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8" cm="1">
        <f t="array" ref="P426">INDEX('5층_부하량'!H3:H3000,MATCH(1,("5-DaHall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38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8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38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8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43" cm="1">
        <f t="array" ref="F429">INDEX('5층_부하량'!H3:H3000,MATCH(1,("5-DaHall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3" cm="1">
        <f t="array" ref="P429">INDEX('5층_부하량'!H3:H3000,MATCH(1,("5-DaHall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27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979" t="s">
        <v>5555</v>
      </c>
      <c r="K431" s="3980"/>
      <c r="L431" s="2324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5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6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1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969" t="s">
        <v>5560</v>
      </c>
      <c r="D443" s="3969"/>
      <c r="E443" s="3969"/>
      <c r="F443" s="3969"/>
      <c r="G443" s="351"/>
      <c r="H443" s="352"/>
      <c r="I443" s="352"/>
      <c r="J443" s="3979" t="s">
        <v>4636</v>
      </c>
      <c r="K443" s="3980"/>
      <c r="L443" s="2324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37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32" t="s">
        <v>4171</v>
      </c>
      <c r="I446" s="2333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7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31" cm="1">
        <f t="array" ref="E447">INDEX('5층_부하량'!G3:G3000,MATCH(1,("5-DaHall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1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38" cm="1">
        <f t="array" ref="F448">INDEX('5층_부하량'!H3:H3000,MATCH(1,("5-DaHall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8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38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8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31" cm="1">
        <f t="array" ref="E450">INDEX('5층_부하량'!G3:G3000,MATCH(1,("5-DaHall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1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38" cm="1">
        <f t="array" ref="F451">INDEX('5층_부하량'!H3:H3000,MATCH(1,("5-DaHall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8" cm="1">
        <f t="array" ref="P451">INDEX('5층_부하량'!H3:H3000,MATCH(1,("5-DaHall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38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8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3" t="s">
        <v>4296</v>
      </c>
      <c r="D453" s="381"/>
      <c r="E453" s="2538" cm="1">
        <f t="array" ref="E453">INDEX('5층_부하량'!G3:G3000,MATCH(1,("5-DaHall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8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38" cm="1">
        <f t="array" ref="F454">INDEX('5층_부하량'!H3:H3000,MATCH(1,("5-DaHall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8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3" t="s">
        <v>4296</v>
      </c>
      <c r="D455" s="2538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8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3" t="s">
        <v>4296</v>
      </c>
      <c r="D456" s="381"/>
      <c r="E456" s="2531" cm="1">
        <f t="array" ref="E456">INDEX('5층_부하량'!G3:G3000,MATCH(1,("5-DaHall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1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3" t="s">
        <v>4296</v>
      </c>
      <c r="D457" s="381"/>
      <c r="E457" s="381"/>
      <c r="F457" s="2538" cm="1">
        <f t="array" ref="F457">INDEX('5층_부하량'!H3:H3000,MATCH(1,("5-DaHall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8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38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34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8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 x14ac:dyDescent="0.25">
      <c r="A459" s="390"/>
      <c r="B459" s="1286" t="s">
        <v>535</v>
      </c>
      <c r="C459" s="1287" t="s">
        <v>4296</v>
      </c>
      <c r="D459" s="381"/>
      <c r="E459" s="2538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34" t="s">
        <v>5614</v>
      </c>
      <c r="J459" s="1032"/>
      <c r="K459" s="1289"/>
      <c r="L459" s="583" t="s">
        <v>4479</v>
      </c>
      <c r="M459" s="409" t="s">
        <v>4171</v>
      </c>
      <c r="N459" s="381"/>
      <c r="O459" s="2538" cm="1">
        <f t="array" ref="O459">INDEX('5층_부하량'!G3:G3000,MATCH(1,("5-DaHall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 x14ac:dyDescent="0.25">
      <c r="A460" s="390"/>
      <c r="B460" s="1286" t="s">
        <v>535</v>
      </c>
      <c r="C460" s="1287" t="s">
        <v>4296</v>
      </c>
      <c r="D460" s="381"/>
      <c r="E460" s="381"/>
      <c r="F460" s="2538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34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8" cm="1">
        <f t="array" ref="P460">INDEX('5층_부하량'!H3:H3000,MATCH(1,("5-DaHall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 x14ac:dyDescent="0.25">
      <c r="A461" s="390"/>
      <c r="B461" s="1286" t="s">
        <v>535</v>
      </c>
      <c r="C461" s="1287" t="s">
        <v>4296</v>
      </c>
      <c r="D461" s="2538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34" t="s">
        <v>5616</v>
      </c>
      <c r="J461" s="1032"/>
      <c r="K461" s="1289"/>
      <c r="L461" s="583" t="s">
        <v>4488</v>
      </c>
      <c r="M461" s="409" t="s">
        <v>4171</v>
      </c>
      <c r="N461" s="2538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39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35" t="s">
        <v>5617</v>
      </c>
      <c r="J462" s="1037"/>
      <c r="K462" s="1201"/>
      <c r="L462" s="1202" t="s">
        <v>4492</v>
      </c>
      <c r="M462" s="426" t="s">
        <v>4171</v>
      </c>
      <c r="N462" s="427"/>
      <c r="O462" s="2539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27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6535</v>
      </c>
      <c r="C464" s="3969" t="s">
        <v>5618</v>
      </c>
      <c r="D464" s="3969"/>
      <c r="E464" s="3969"/>
      <c r="F464" s="3969"/>
      <c r="G464" s="351"/>
      <c r="H464" s="352"/>
      <c r="I464" s="352"/>
      <c r="J464" s="3979" t="s">
        <v>4636</v>
      </c>
      <c r="K464" s="3980"/>
      <c r="L464" s="2324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37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32" t="s">
        <v>4171</v>
      </c>
      <c r="I467" s="2333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7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31" cm="1">
        <f t="array" ref="E468">INDEX('5층_부하량'!G3:G3000,MATCH(1,("5-DaHall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1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38" cm="1">
        <f t="array" ref="F469">INDEX('5층_부하량'!H3:H3000,MATCH(1,("5-DaHall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8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38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8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31" cm="1">
        <f t="array" ref="E471">INDEX('5층_부하량'!G3:G3000,MATCH(1,("5-DaHall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1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38" cm="1">
        <f t="array" ref="F472">INDEX('5층_부하량'!H3:H3000,MATCH(1,("5-DaHall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8" cm="1">
        <f t="array" ref="P472">INDEX('5층_부하량'!H3:H3000,MATCH(1,("5-DaHall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38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8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3" t="s">
        <v>4296</v>
      </c>
      <c r="D474" s="381"/>
      <c r="E474" s="2538" cm="1">
        <f t="array" ref="E474">INDEX('5층_부하량'!G3:G3000,MATCH(1,("5-DaHall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8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3" t="s">
        <v>4296</v>
      </c>
      <c r="D475" s="381"/>
      <c r="E475" s="381"/>
      <c r="F475" s="2538" cm="1">
        <f t="array" ref="F475">INDEX('5층_부하량'!H3:H3000,MATCH(1,("5-DaHall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8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3" t="s">
        <v>4296</v>
      </c>
      <c r="D476" s="2538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8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3" t="s">
        <v>4296</v>
      </c>
      <c r="D477" s="381"/>
      <c r="E477" s="2531" cm="1">
        <f t="array" ref="E477">INDEX('5층_부하량'!G3:G3000,MATCH(1,("5-DaHall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1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3" t="s">
        <v>4296</v>
      </c>
      <c r="D478" s="381"/>
      <c r="E478" s="381"/>
      <c r="F478" s="2538" cm="1">
        <f t="array" ref="F478">INDEX('5층_부하량'!H3:H3000,MATCH(1,("5-DaHall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8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38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34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8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 x14ac:dyDescent="0.25">
      <c r="A480" s="390"/>
      <c r="B480" s="1286" t="s">
        <v>535</v>
      </c>
      <c r="C480" s="1287" t="s">
        <v>4296</v>
      </c>
      <c r="D480" s="381"/>
      <c r="E480" s="2538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34" t="s">
        <v>5614</v>
      </c>
      <c r="J480" s="1288"/>
      <c r="K480" s="1289"/>
      <c r="L480" s="583" t="s">
        <v>4479</v>
      </c>
      <c r="M480" s="409" t="s">
        <v>4171</v>
      </c>
      <c r="N480" s="381"/>
      <c r="O480" s="2538" cm="1">
        <f t="array" ref="O480">INDEX('5층_부하량'!G3:G3000,MATCH(1,("5-DaHall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 x14ac:dyDescent="0.25">
      <c r="A481" s="390"/>
      <c r="B481" s="1286" t="s">
        <v>535</v>
      </c>
      <c r="C481" s="1287" t="s">
        <v>4296</v>
      </c>
      <c r="D481" s="381"/>
      <c r="E481" s="381"/>
      <c r="F481" s="2538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34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8" cm="1">
        <f t="array" ref="P481">INDEX('5층_부하량'!H3:H3000,MATCH(1,("5-DaHall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 x14ac:dyDescent="0.25">
      <c r="A482" s="390"/>
      <c r="B482" s="1286" t="s">
        <v>535</v>
      </c>
      <c r="C482" s="1287" t="s">
        <v>4296</v>
      </c>
      <c r="D482" s="2538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34" t="s">
        <v>5616</v>
      </c>
      <c r="J482" s="1288"/>
      <c r="K482" s="1289"/>
      <c r="L482" s="583" t="s">
        <v>4488</v>
      </c>
      <c r="M482" s="409" t="s">
        <v>4171</v>
      </c>
      <c r="N482" s="2538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39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35" t="s">
        <v>5617</v>
      </c>
      <c r="J483" s="1200"/>
      <c r="K483" s="1201"/>
      <c r="L483" s="1202" t="s">
        <v>4492</v>
      </c>
      <c r="M483" s="426" t="s">
        <v>4171</v>
      </c>
      <c r="N483" s="427"/>
      <c r="O483" s="2539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27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6536</v>
      </c>
      <c r="C485" s="3969" t="s">
        <v>5645</v>
      </c>
      <c r="D485" s="3969"/>
      <c r="E485" s="3969"/>
      <c r="F485" s="3969"/>
      <c r="G485" s="351"/>
      <c r="H485" s="352"/>
      <c r="I485" s="352"/>
      <c r="J485" s="3979" t="s">
        <v>4288</v>
      </c>
      <c r="K485" s="3980"/>
      <c r="L485" s="2324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37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32" t="s">
        <v>4509</v>
      </c>
      <c r="I488" s="2333" t="s">
        <v>4151</v>
      </c>
      <c r="J488" s="1018"/>
      <c r="K488" s="1019"/>
      <c r="L488" s="581" t="s">
        <v>4436</v>
      </c>
      <c r="M488" s="366" t="s">
        <v>4574</v>
      </c>
      <c r="N488" s="2537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31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4574</v>
      </c>
      <c r="I489" s="2334" t="s">
        <v>4156</v>
      </c>
      <c r="J489" s="1020"/>
      <c r="K489" s="1021"/>
      <c r="L489" s="582" t="s">
        <v>4438</v>
      </c>
      <c r="M489" s="376" t="s">
        <v>4574</v>
      </c>
      <c r="N489" s="381"/>
      <c r="O489" s="2531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38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34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8" cm="1">
        <f t="array" ref="P490">INDEX('5층_부하량'!H3:H3000,MATCH(1,("5-DaHall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38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8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31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1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38" cm="1">
        <f t="array" ref="F493">INDEX('5층_부하량'!H3:H3000,MATCH(1,("5-DaHall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8" cm="1">
        <f t="array" ref="P493">INDEX('5층_부하량'!H3:H3000,MATCH(1,("5-DaHall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38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8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38" cm="1">
        <f t="array" ref="E495">INDEX('5층_부하량'!G3:G3000,MATCH(1,("5-DaHall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8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38" cm="1">
        <f t="array" ref="F496">INDEX('5층_부하량'!H3:H3000,MATCH(1,("5-DaHall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8" cm="1">
        <f t="array" ref="P496">INDEX('5층_부하량'!H3:H3000,MATCH(1,("5-DaHall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38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8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3" t="s">
        <v>4296</v>
      </c>
      <c r="D498" s="381"/>
      <c r="E498" s="2531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34" t="s">
        <v>5667</v>
      </c>
      <c r="J498" s="1022"/>
      <c r="K498" s="1023"/>
      <c r="L498" s="583" t="s">
        <v>5668</v>
      </c>
      <c r="M498" s="376" t="s">
        <v>4574</v>
      </c>
      <c r="N498" s="381"/>
      <c r="O498" s="2531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39" cm="1">
        <f t="array" ref="F499">INDEX('5층_부하량'!H3:H3000,MATCH(1,("5-DaHall 1-PDU-19"='5층_부하량'!A3:A3000)*(23='5층_부하량'!B3:B3000),0))</f>
        <v>0</v>
      </c>
      <c r="G499" s="427"/>
      <c r="H499" s="426" t="s">
        <v>4574</v>
      </c>
      <c r="I499" s="2335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9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27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6537</v>
      </c>
      <c r="C501" s="3969" t="s">
        <v>5672</v>
      </c>
      <c r="D501" s="3969"/>
      <c r="E501" s="3969"/>
      <c r="F501" s="3969"/>
      <c r="G501" s="351"/>
      <c r="H501" s="352"/>
      <c r="I501" s="352"/>
      <c r="J501" s="3979" t="s">
        <v>4288</v>
      </c>
      <c r="K501" s="3980"/>
      <c r="L501" s="2324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37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32" t="s">
        <v>4509</v>
      </c>
      <c r="I504" s="2333" t="s">
        <v>4151</v>
      </c>
      <c r="J504" s="1018"/>
      <c r="K504" s="1019"/>
      <c r="L504" s="581" t="s">
        <v>4436</v>
      </c>
      <c r="M504" s="366" t="s">
        <v>4574</v>
      </c>
      <c r="N504" s="2537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31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4574</v>
      </c>
      <c r="I505" s="2334" t="s">
        <v>4156</v>
      </c>
      <c r="J505" s="1020"/>
      <c r="K505" s="1021"/>
      <c r="L505" s="582" t="s">
        <v>4438</v>
      </c>
      <c r="M505" s="376" t="s">
        <v>4574</v>
      </c>
      <c r="N505" s="381"/>
      <c r="O505" s="2531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38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34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8" cm="1">
        <f t="array" ref="P506">INDEX('5층_부하량'!H3:H3000,MATCH(1,("5-DaHall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38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8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31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1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38" cm="1">
        <f t="array" ref="F509">INDEX('5층_부하량'!H3:H3000,MATCH(1,("5-DaHall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8" cm="1">
        <f t="array" ref="P509">INDEX('5층_부하량'!H3:H3000,MATCH(1,("5-DaHall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38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8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38" cm="1">
        <f t="array" ref="E511">INDEX('5층_부하량'!G3:G3000,MATCH(1,("5-DaHall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8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38" cm="1">
        <f t="array" ref="F512">INDEX('5층_부하량'!H3:H3000,MATCH(1,("5-DaHall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8" cm="1">
        <f t="array" ref="P512">INDEX('5층_부하량'!H3:H3000,MATCH(1,("5-DaHall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38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8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3" t="s">
        <v>4296</v>
      </c>
      <c r="D514" s="381"/>
      <c r="E514" s="2531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34" t="s">
        <v>5667</v>
      </c>
      <c r="J514" s="1022"/>
      <c r="K514" s="1023"/>
      <c r="L514" s="583" t="s">
        <v>5668</v>
      </c>
      <c r="M514" s="376" t="s">
        <v>4574</v>
      </c>
      <c r="N514" s="381"/>
      <c r="O514" s="2531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39" cm="1">
        <f t="array" ref="F515">INDEX('5층_부하량'!H3:H3000,MATCH(1,("5-DaHall 1-PDU-20"='5층_부하량'!A3:A3000)*(23='5층_부하량'!B3:B3000),0))</f>
        <v>0</v>
      </c>
      <c r="G515" s="427"/>
      <c r="H515" s="426" t="s">
        <v>4574</v>
      </c>
      <c r="I515" s="2335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9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27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6538</v>
      </c>
      <c r="C517" s="3969" t="s">
        <v>5694</v>
      </c>
      <c r="D517" s="3969"/>
      <c r="E517" s="3969"/>
      <c r="F517" s="3969"/>
      <c r="G517" s="351"/>
      <c r="H517" s="352"/>
      <c r="I517" s="352"/>
      <c r="J517" s="3979" t="s">
        <v>4288</v>
      </c>
      <c r="K517" s="3980"/>
      <c r="L517" s="2324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37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32" t="s">
        <v>4509</v>
      </c>
      <c r="I520" s="2333" t="s">
        <v>4151</v>
      </c>
      <c r="J520" s="1018"/>
      <c r="K520" s="1019"/>
      <c r="L520" s="581" t="s">
        <v>4436</v>
      </c>
      <c r="M520" s="366" t="s">
        <v>4574</v>
      </c>
      <c r="N520" s="2537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31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4574</v>
      </c>
      <c r="I521" s="2334" t="s">
        <v>4156</v>
      </c>
      <c r="J521" s="1020"/>
      <c r="K521" s="1021"/>
      <c r="L521" s="582" t="s">
        <v>4438</v>
      </c>
      <c r="M521" s="376" t="s">
        <v>4574</v>
      </c>
      <c r="N521" s="381"/>
      <c r="O521" s="2531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38" cm="1">
        <f t="array" ref="F522">INDEX('5층_부하량'!H3:H3000,MATCH(1,("5-DaHall 1-PDU-21"='5층_부하량'!A3:A3000)*(5='5층_부하량'!B3:B3000),0))</f>
        <v>0</v>
      </c>
      <c r="G522" s="381"/>
      <c r="H522" s="376" t="s">
        <v>4574</v>
      </c>
      <c r="I522" s="2334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8" cm="1">
        <f t="array" ref="P522">INDEX('5층_부하량'!H3:H3000,MATCH(1,("5-DaHall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38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8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31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1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38" cm="1">
        <f t="array" ref="F525">INDEX('5층_부하량'!H3:H3000,MATCH(1,("5-DaHall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8" cm="1">
        <f t="array" ref="P525">INDEX('5층_부하량'!H3:H3000,MATCH(1,("5-DaHall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38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8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38" cm="1">
        <f t="array" ref="E527">INDEX('5층_부하량'!G3:G3000,MATCH(1,("5-DaHall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8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38" cm="1">
        <f t="array" ref="F528">INDEX('5층_부하량'!H3:H3000,MATCH(1,("5-DaHall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8" cm="1">
        <f t="array" ref="P528">INDEX('5층_부하량'!H3:H3000,MATCH(1,("5-DaHall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38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8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3" t="s">
        <v>4296</v>
      </c>
      <c r="D530" s="381"/>
      <c r="E530" s="2531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34" t="s">
        <v>5667</v>
      </c>
      <c r="J530" s="1022"/>
      <c r="K530" s="1023"/>
      <c r="L530" s="583" t="s">
        <v>5668</v>
      </c>
      <c r="M530" s="376" t="s">
        <v>4574</v>
      </c>
      <c r="N530" s="381"/>
      <c r="O530" s="2531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39" cm="1">
        <f t="array" ref="F531">INDEX('5층_부하량'!H3:H3000,MATCH(1,("5-DaHall 1-PDU-21"='5층_부하량'!A3:A3000)*(23='5층_부하량'!B3:B3000),0))</f>
        <v>0</v>
      </c>
      <c r="G531" s="427"/>
      <c r="H531" s="426" t="s">
        <v>4574</v>
      </c>
      <c r="I531" s="2335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9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27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6540</v>
      </c>
      <c r="C533" s="3969" t="s">
        <v>5716</v>
      </c>
      <c r="D533" s="3969"/>
      <c r="E533" s="3969"/>
      <c r="F533" s="3969"/>
      <c r="G533" s="351"/>
      <c r="H533" s="352"/>
      <c r="I533" s="352"/>
      <c r="J533" s="3979" t="s">
        <v>4288</v>
      </c>
      <c r="K533" s="3980"/>
      <c r="L533" s="2324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37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32" t="s">
        <v>4509</v>
      </c>
      <c r="I536" s="2333" t="s">
        <v>4151</v>
      </c>
      <c r="J536" s="1018"/>
      <c r="K536" s="1019"/>
      <c r="L536" s="581" t="s">
        <v>4436</v>
      </c>
      <c r="M536" s="366" t="s">
        <v>4574</v>
      </c>
      <c r="N536" s="2537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31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4574</v>
      </c>
      <c r="I537" s="2334" t="s">
        <v>4156</v>
      </c>
      <c r="J537" s="1020"/>
      <c r="K537" s="1021"/>
      <c r="L537" s="582" t="s">
        <v>4438</v>
      </c>
      <c r="M537" s="376" t="s">
        <v>4574</v>
      </c>
      <c r="N537" s="381"/>
      <c r="O537" s="2531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38" cm="1">
        <f t="array" ref="F538">INDEX('5층_부하량'!H3:H3000,MATCH(1,("5-DaHall 1-PDU-22"='5층_부하량'!A3:A3000)*(5='5층_부하량'!B3:B3000),0))</f>
        <v>0</v>
      </c>
      <c r="G538" s="381"/>
      <c r="H538" s="376" t="s">
        <v>4574</v>
      </c>
      <c r="I538" s="2334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8" cm="1">
        <f t="array" ref="P538">INDEX('5층_부하량'!H3:H3000,MATCH(1,("5-DaHall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38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8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31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1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38" cm="1">
        <f t="array" ref="F541">INDEX('5층_부하량'!H3:H3000,MATCH(1,("5-DaHall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8" cm="1">
        <f t="array" ref="P541">INDEX('5층_부하량'!H3:H3000,MATCH(1,("5-DaHall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38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8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38" cm="1">
        <f t="array" ref="E543">INDEX('5층_부하량'!G3:G3000,MATCH(1,("5-DaHall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8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38" cm="1">
        <f t="array" ref="F544">INDEX('5층_부하량'!H3:H3000,MATCH(1,("5-DaHall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8" cm="1">
        <f t="array" ref="P544">INDEX('5층_부하량'!H3:H3000,MATCH(1,("5-DaHall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38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8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3" t="s">
        <v>4296</v>
      </c>
      <c r="D546" s="381"/>
      <c r="E546" s="2531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34" t="s">
        <v>5667</v>
      </c>
      <c r="J546" s="1022"/>
      <c r="K546" s="1023"/>
      <c r="L546" s="583" t="s">
        <v>5668</v>
      </c>
      <c r="M546" s="376" t="s">
        <v>4574</v>
      </c>
      <c r="N546" s="381"/>
      <c r="O546" s="2531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39" cm="1">
        <f t="array" ref="F547">INDEX('5층_부하량'!H3:H3000,MATCH(1,("5-DaHall 1-PDU-22"='5층_부하량'!A3:A3000)*(23='5층_부하량'!B3:B3000),0))</f>
        <v>0</v>
      </c>
      <c r="G547" s="427"/>
      <c r="H547" s="426" t="s">
        <v>4574</v>
      </c>
      <c r="I547" s="2335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9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27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27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36" t="s">
        <v>5740</v>
      </c>
      <c r="I552" s="2337" t="s">
        <v>5741</v>
      </c>
      <c r="J552" s="369" t="s">
        <v>5742</v>
      </c>
      <c r="K552" s="370" t="s">
        <v>3917</v>
      </c>
      <c r="L552" s="581" t="s">
        <v>4444</v>
      </c>
      <c r="M552" s="2332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38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34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35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27"/>
    </row>
    <row r="556" spans="1:20" s="350" customFormat="1" ht="17.399999999999999" x14ac:dyDescent="0.25">
      <c r="D556" s="350" t="s">
        <v>4542</v>
      </c>
      <c r="E556" s="350" t="s">
        <v>5754</v>
      </c>
      <c r="L556" s="2327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27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39" t="s">
        <v>3509</v>
      </c>
      <c r="D558" s="406">
        <f>SUM(N356:P356,N415:P415,D356:F356,D415:F415,D425:F425)</f>
        <v>0</v>
      </c>
      <c r="E558" s="449">
        <f t="shared" si="0"/>
        <v>0</v>
      </c>
      <c r="L558" s="2327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39" t="s">
        <v>5756</v>
      </c>
      <c r="D559" s="406">
        <f>SUM(D553:F554,N553:P554)</f>
        <v>128.30000000000001</v>
      </c>
      <c r="E559" s="449">
        <f t="shared" si="0"/>
        <v>1</v>
      </c>
      <c r="L559" s="2327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39" t="s">
        <v>5757</v>
      </c>
      <c r="D560" s="986">
        <f>SUM(N463:P463)</f>
        <v>0</v>
      </c>
      <c r="E560" s="987">
        <f t="shared" si="0"/>
        <v>0</v>
      </c>
      <c r="L560" s="2327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39" t="s">
        <v>5758</v>
      </c>
      <c r="D561" s="986">
        <f>SUM(N484:P484)</f>
        <v>0</v>
      </c>
      <c r="E561" s="987">
        <f t="shared" si="0"/>
        <v>0</v>
      </c>
      <c r="F561" s="2340" t="s">
        <v>5759</v>
      </c>
      <c r="G561" s="988">
        <f>SUM(E560:E561)</f>
        <v>0</v>
      </c>
      <c r="H561" s="406"/>
      <c r="L561" s="2327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39" t="s">
        <v>5760</v>
      </c>
      <c r="D562" s="986">
        <f>SUM(D362:F362,D367:F367,D370:F370,D421:F424,D426:F429,N426:P426,N429:P429)</f>
        <v>0</v>
      </c>
      <c r="E562" s="987">
        <f t="shared" si="0"/>
        <v>0</v>
      </c>
      <c r="F562" s="2340"/>
      <c r="G562" s="988"/>
      <c r="L562" s="2327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7" t="s">
        <v>5761</v>
      </c>
      <c r="C563" s="1208"/>
      <c r="D563" s="1209">
        <f>SUM(N500:P500,N516:P516,N532:P532,N548:P548)</f>
        <v>0</v>
      </c>
      <c r="E563" s="1210">
        <f t="shared" si="0"/>
        <v>0</v>
      </c>
      <c r="F563" s="2327"/>
      <c r="L563" s="2327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27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27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27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27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27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27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977" t="s">
        <v>5746</v>
      </c>
      <c r="C570" s="3978"/>
      <c r="J570" s="455"/>
      <c r="L570" s="2327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27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27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27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27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27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5763</v>
      </c>
      <c r="J576" s="455"/>
      <c r="L576" s="2327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27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27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5764</v>
      </c>
      <c r="J579" s="455"/>
      <c r="L579" s="2327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27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27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27"/>
    </row>
    <row r="583" spans="2:18" s="350" customFormat="1" ht="17.399999999999999" x14ac:dyDescent="0.25">
      <c r="B583" s="458"/>
      <c r="F583" s="3977" t="s">
        <v>5765</v>
      </c>
      <c r="G583" s="3978"/>
      <c r="H583" s="464" t="s">
        <v>5766</v>
      </c>
      <c r="I583" s="464"/>
      <c r="J583" s="464" t="s">
        <v>5767</v>
      </c>
      <c r="L583" s="2327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27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27"/>
    </row>
    <row r="586" spans="2:18" s="350" customFormat="1" ht="17.399999999999999" x14ac:dyDescent="0.25">
      <c r="L586" s="2327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53"/>
    </row>
    <row r="2" spans="1:22" ht="18" customHeight="1" thickBot="1" x14ac:dyDescent="0.3">
      <c r="V2" s="2065"/>
    </row>
    <row r="3" spans="1:22" ht="18" customHeight="1" thickTop="1" thickBot="1" x14ac:dyDescent="0.3">
      <c r="A3" s="2355" t="s">
        <v>6516</v>
      </c>
      <c r="D3" s="53"/>
      <c r="E3" s="53"/>
      <c r="F3" s="53"/>
      <c r="G3" s="53"/>
      <c r="H3" s="123"/>
      <c r="I3" s="123"/>
      <c r="J3" s="3970" t="s">
        <v>4562</v>
      </c>
      <c r="K3" s="3976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18" t="s">
        <v>6556</v>
      </c>
      <c r="B6" s="11" t="s">
        <v>4208</v>
      </c>
      <c r="C6" s="18" t="s">
        <v>4149</v>
      </c>
      <c r="D6" s="2529" cm="1">
        <f t="array" ref="D6">INDEX('5층_부하량'!I3:I3000,MATCH(1,("5-DaHall 1-CEP-05"='5층_부하량'!A3:A3000)*(1='5층_부하량'!B3:B3000),0))</f>
        <v>0</v>
      </c>
      <c r="E6" s="2529" cm="1">
        <f t="array" ref="E6">INDEX('5층_부하량'!J3:J3000,MATCH(1,("5-DaHall 1-CEP-05"='5층_부하량'!A3:A3000)*(1='5층_부하량'!B3:B3000),0))</f>
        <v>0</v>
      </c>
      <c r="F6" s="2529" cm="1">
        <f t="array" ref="F6">INDEX('5층_부하량'!K3:K3000,MATCH(1,("5-DaHall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8" cm="1">
        <f t="array" ref="N6">INDEX('5층_부하량'!I3:I3000,MATCH(1,("5-DaHall 1-CEP-05"='5층_부하량'!A3:A3000)*(2='5층_부하량'!B3:B3000),0))</f>
        <v>0</v>
      </c>
      <c r="O6" s="2528" cm="1">
        <f t="array" ref="O6">INDEX('5층_부하량'!J3:J3000,MATCH(1,("5-DaHall 1-CEP-05"='5층_부하량'!A3:A3000)*(2='5층_부하량'!B3:B3000),0))</f>
        <v>0</v>
      </c>
      <c r="P6" s="2528" cm="1">
        <f t="array" ref="P6">INDEX('5층_부하량'!K3:K3000,MATCH(1,("5-DaHall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29" cm="1">
        <f t="array" ref="D7">INDEX('5층_부하량'!I3:I3000,MATCH(1,("5-DaHall 1-CEP-05"='5층_부하량'!A3:A3000)*(3='5층_부하량'!B3:B3000),0))</f>
        <v>0</v>
      </c>
      <c r="E7" s="2529" cm="1">
        <f t="array" ref="E7">INDEX('5층_부하량'!J3:J3000,MATCH(1,("5-DaHall 1-CEP-05"='5층_부하량'!A3:A3000)*(3='5층_부하량'!B3:B3000),0))</f>
        <v>0</v>
      </c>
      <c r="F7" s="2529" cm="1">
        <f t="array" ref="F7">INDEX('5층_부하량'!K3:K3000,MATCH(1,("5-DaHall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9" cm="1">
        <f t="array" ref="N7">INDEX('5층_부하량'!I3:I3000,MATCH(1,("5-DaHall 1-CEP-05"='5층_부하량'!A3:A3000)*(4='5층_부하량'!B3:B3000),0))</f>
        <v>0</v>
      </c>
      <c r="O7" s="2529" cm="1">
        <f t="array" ref="O7">INDEX('5층_부하량'!J3:J3000,MATCH(1,("5-DaHall 1-CEP-05"='5층_부하량'!A3:A3000)*(4='5층_부하량'!B3:B3000),0))</f>
        <v>0</v>
      </c>
      <c r="P7" s="2529" cm="1">
        <f t="array" ref="P7">INDEX('5층_부하량'!K3:K3000,MATCH(1,("5-DaHall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31" cm="1">
        <f t="array" ref="D8">INDEX('5층_부하량'!I3:I3000,MATCH(1,("5-DaHall 1-CEP-05"='5층_부하량'!A3:A3000)*(5='5층_부하량'!B3:B3000),0))</f>
        <v>0</v>
      </c>
      <c r="E8" s="2531" cm="1">
        <f t="array" ref="E8">INDEX('5층_부하량'!J3:J3000,MATCH(1,("5-DaHall 1-CEP-05"='5층_부하량'!A3:A3000)*(5='5층_부하량'!B3:B3000),0))</f>
        <v>0</v>
      </c>
      <c r="F8" s="2531" cm="1">
        <f t="array" ref="F8">INDEX('5층_부하량'!K3:K3000,MATCH(1,("5-DaHall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1" cm="1">
        <f t="array" ref="N8">INDEX('5층_부하량'!I3:I3000,MATCH(1,("5-DaHall 1-CEP-05"='5층_부하량'!A3:A3000)*(6='5층_부하량'!B3:B3000),0))</f>
        <v>0</v>
      </c>
      <c r="O8" s="2531" cm="1">
        <f t="array" ref="O8">INDEX('5층_부하량'!J3:J3000,MATCH(1,("5-DaHall 1-CEP-05"='5층_부하량'!A3:A3000)*(6='5층_부하량'!B3:B3000),0))</f>
        <v>0</v>
      </c>
      <c r="P8" s="2531" cm="1">
        <f t="array" ref="P8">INDEX('5층_부하량'!K3:K3000,MATCH(1,("5-DaHall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31" cm="1">
        <f t="array" ref="D9">INDEX('5층_부하량'!I3:I3000,MATCH(1,("5-DaHall 1-CEP-05"='5층_부하량'!A3:A3000)*(7='5층_부하량'!B3:B3000),0))</f>
        <v>0</v>
      </c>
      <c r="E9" s="2531" cm="1">
        <f t="array" ref="E9">INDEX('5층_부하량'!J3:J3000,MATCH(1,("5-DaHall 1-CEP-05"='5층_부하량'!A3:A3000)*(7='5층_부하량'!B3:B3000),0))</f>
        <v>0</v>
      </c>
      <c r="F9" s="2531" cm="1">
        <f t="array" ref="F9">INDEX('5층_부하량'!K3:K3000,MATCH(1,("5-DaHall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1" cm="1">
        <f t="array" ref="N9">INDEX('5층_부하량'!I3:I3000,MATCH(1,("5-DaHall 1-CEP-05"='5층_부하량'!A3:A3000)*(8='5층_부하량'!B3:B3000),0))</f>
        <v>0</v>
      </c>
      <c r="O9" s="2531" cm="1">
        <f t="array" ref="O9">INDEX('5층_부하량'!J3:J3000,MATCH(1,("5-DaHall 1-CEP-05"='5층_부하량'!A3:A3000)*(8='5층_부하량'!B3:B3000),0))</f>
        <v>0</v>
      </c>
      <c r="P9" s="2531" cm="1">
        <f t="array" ref="P9">INDEX('5층_부하량'!K3:K3000,MATCH(1,("5-DaHall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31" cm="1">
        <f t="array" ref="D10">INDEX('5층_부하량'!I3:I3000,MATCH(1,("5-DaHall 1-CEP-05"='5층_부하량'!A3:A3000)*(9='5층_부하량'!B3:B3000),0))</f>
        <v>0</v>
      </c>
      <c r="E10" s="2531" cm="1">
        <f t="array" ref="E10">INDEX('5층_부하량'!J3:J3000,MATCH(1,("5-DaHall 1-CEP-05"='5층_부하량'!A3:A3000)*(9='5층_부하량'!B3:B3000),0))</f>
        <v>0</v>
      </c>
      <c r="F10" s="2531" cm="1">
        <f t="array" ref="F10">INDEX('5층_부하량'!K3:K3000,MATCH(1,("5-DaHall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1" cm="1">
        <f t="array" ref="N10">INDEX('5층_부하량'!I3:I3000,MATCH(1,("5-DaHall 1-CEP-05"='5층_부하량'!A3:A3000)*(10='5층_부하량'!B3:B3000),0))</f>
        <v>0</v>
      </c>
      <c r="O10" s="2531" cm="1">
        <f t="array" ref="O10">INDEX('5층_부하량'!J3:J3000,MATCH(1,("5-DaHall 1-CEP-05"='5층_부하량'!A3:A3000)*(10='5층_부하량'!B3:B3000),0))</f>
        <v>0</v>
      </c>
      <c r="P10" s="2531" cm="1">
        <f t="array" ref="P10">INDEX('5층_부하량'!K3:K3000,MATCH(1,("5-DaHall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32" cm="1">
        <f t="array" ref="D11">INDEX('5층_부하량'!I3:I3000,MATCH(1,("5-DaHall 1-CEP-05"='5층_부하량'!A3:A3000)*(11='5층_부하량'!B3:B3000),0))</f>
        <v>0</v>
      </c>
      <c r="E11" s="2532" cm="1">
        <f t="array" ref="E11">INDEX('5층_부하량'!J3:J3000,MATCH(1,("5-DaHall 1-CEP-05"='5층_부하량'!A3:A3000)*(11='5층_부하량'!B3:B3000),0))</f>
        <v>0</v>
      </c>
      <c r="F11" s="2532" cm="1">
        <f t="array" ref="F11">INDEX('5층_부하량'!K3:K3000,MATCH(1,("5-DaHall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2" cm="1">
        <f t="array" ref="N11">INDEX('5층_부하량'!I3:I3000,MATCH(1,("5-DaHall 1-CEP-05"='5층_부하량'!A3:A3000)*(12='5층_부하량'!B3:B3000),0))</f>
        <v>0</v>
      </c>
      <c r="O11" s="2532" cm="1">
        <f t="array" ref="O11">INDEX('5층_부하량'!J3:J3000,MATCH(1,("5-DaHall 1-CEP-05"='5층_부하량'!A3:A3000)*(12='5층_부하량'!B3:B3000),0))</f>
        <v>0</v>
      </c>
      <c r="P11" s="2532" cm="1">
        <f t="array" ref="P11">INDEX('5층_부하량'!K3:K3000,MATCH(1,("5-DaHall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49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9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31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5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30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8" cm="1">
        <f t="array" ref="P14">INDEX('5층_부하량'!K3:K3000,MATCH(1,("5-DaHall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970" t="s">
        <v>5219</v>
      </c>
      <c r="K16" s="3976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8" cm="1">
        <f t="array" ref="N19">INDEX('5층_부하량'!I3:I3000,MATCH(1,("5-DaHall 1-CEP-06"='5층_부하량'!A3:A3000)*(1='5층_부하량'!B3:B3000),0))</f>
        <v>0</v>
      </c>
      <c r="O19" s="2528" cm="1">
        <f t="array" ref="O19">INDEX('5층_부하량'!J3:J3000,MATCH(1,("5-DaHall 1-CEP-06"='5층_부하량'!A3:A3000)*(1='5층_부하량'!B3:B3000),0))</f>
        <v>0</v>
      </c>
      <c r="P19" s="2528" cm="1">
        <f t="array" ref="P19">INDEX('5층_부하량'!K3:K3000,MATCH(1,("5-DaHall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9" cm="1">
        <f t="array" ref="N20">INDEX('5층_부하량'!I3:I3000,MATCH(1,("5-DaHall 1-CEP-06"='5층_부하량'!A3:A3000)*(2='5층_부하량'!B3:B3000),0))</f>
        <v>0</v>
      </c>
      <c r="O20" s="2529" cm="1">
        <f t="array" ref="O20">INDEX('5층_부하량'!J3:J3000,MATCH(1,("5-DaHall 1-CEP-06"='5층_부하량'!A3:A3000)*(2='5층_부하량'!B3:B3000),0))</f>
        <v>0</v>
      </c>
      <c r="P20" s="2529" cm="1">
        <f t="array" ref="P20">INDEX('5층_부하량'!K3:K3000,MATCH(1,("5-DaHall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1" cm="1">
        <f t="array" ref="N21">INDEX('5층_부하량'!I3:I3000,MATCH(1,("5-DaHall 1-CEP-06"='5층_부하량'!A3:A3000)*(3='5층_부하량'!B3:B3000),0))</f>
        <v>0</v>
      </c>
      <c r="O21" s="2531" cm="1">
        <f t="array" ref="O21">INDEX('5층_부하량'!J3:J3000,MATCH(1,("5-DaHall 1-CEP-06"='5층_부하량'!A3:A3000)*(3='5층_부하량'!B3:B3000),0))</f>
        <v>0</v>
      </c>
      <c r="P21" s="2531" cm="1">
        <f t="array" ref="P21">INDEX('5층_부하량'!K3:K3000,MATCH(1,("5-DaHall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30" cm="1">
        <f t="array" ref="N22">INDEX('5층_부하량'!I3:I3000,MATCH(1,("5-DaHall 1-CEP-06"='5층_부하량'!A3:A3000)*(4='5층_부하량'!B3:B3000),0))</f>
        <v>0</v>
      </c>
      <c r="O22" s="2530" cm="1">
        <f t="array" ref="O22">INDEX('5층_부하량'!J3:J3000,MATCH(1,("5-DaHall 1-CEP-06"='5층_부하량'!A3:A3000)*(4='5층_부하량'!B3:B3000),0))</f>
        <v>0</v>
      </c>
      <c r="P22" s="2530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6518</v>
      </c>
      <c r="C24" s="3969" t="s">
        <v>5225</v>
      </c>
      <c r="D24" s="3969"/>
      <c r="E24" s="3969"/>
      <c r="F24" s="3969"/>
      <c r="G24" s="53"/>
      <c r="H24" s="123"/>
      <c r="I24" s="123"/>
      <c r="J24" s="3970" t="s">
        <v>5226</v>
      </c>
      <c r="K24" s="3976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28" cm="1">
        <f t="array" ref="D27">INDEX('5층_부하량'!I3:I3000,MATCH(1,("5-DaHall 1-PDU-01"='5층_부하량'!A3:A3000)*(1='5층_부하량'!B3:B3000),0))</f>
        <v>0</v>
      </c>
      <c r="E27" s="2528" cm="1">
        <f t="array" ref="E27">INDEX('5층_부하량'!J3:J3000,MATCH(1,("5-DaHall 1-PDU-01"='5층_부하량'!A3:A3000)*(1='5층_부하량'!B3:B3000),0))</f>
        <v>0</v>
      </c>
      <c r="F27" s="2528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8" cm="1">
        <f t="array" ref="N27">INDEX('5층_부하량'!I3:I3000,MATCH(1,("5-DaHall 1-PDU-01"='5층_부하량'!A3:A3000)*(55='5층_부하량'!B3:B3000),0))</f>
        <v>0</v>
      </c>
      <c r="O27" s="2528" cm="1">
        <f t="array" ref="O27">INDEX('5층_부하량'!J3:J3000,MATCH(1,("5-DaHall 1-PDU-01"='5층_부하량'!A3:A3000)*(55='5층_부하량'!B3:B3000),0))</f>
        <v>0</v>
      </c>
      <c r="P27" s="2528" cm="1">
        <f t="array" ref="P27">INDEX('5층_부하량'!K3:K3000,MATCH(1,("5-DaHall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31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1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0" t="s">
        <v>5233</v>
      </c>
      <c r="D29" s="21"/>
      <c r="E29" s="2531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1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0" t="s">
        <v>5233</v>
      </c>
      <c r="D30" s="21"/>
      <c r="E30" s="21"/>
      <c r="F30" s="2531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1" cm="1">
        <f t="array" ref="P30">INDEX('5층_부하량'!K3:K3000,MATCH(1,("5-DaHall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0" t="s">
        <v>5233</v>
      </c>
      <c r="D31" s="2531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1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28" t="s">
        <v>5238</v>
      </c>
      <c r="B32" s="17" t="s">
        <v>4204</v>
      </c>
      <c r="C32" s="18" t="s">
        <v>4149</v>
      </c>
      <c r="D32" s="21"/>
      <c r="E32" s="2531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1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29" t="s">
        <v>5241</v>
      </c>
      <c r="B33" s="17" t="s">
        <v>4204</v>
      </c>
      <c r="C33" s="18" t="s">
        <v>4149</v>
      </c>
      <c r="D33" s="21"/>
      <c r="E33" s="21"/>
      <c r="F33" s="2531" cm="1">
        <f t="array" ref="F33">INDEX('5층_부하량'!K3:K3000,MATCH(1,("5-DaHall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1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28" t="s">
        <v>5244</v>
      </c>
      <c r="B34" s="17" t="s">
        <v>4204</v>
      </c>
      <c r="C34" s="18" t="s">
        <v>4149</v>
      </c>
      <c r="D34" s="2531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1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29" t="s">
        <v>5245</v>
      </c>
      <c r="B35" s="17" t="s">
        <v>4204</v>
      </c>
      <c r="C35" s="18" t="s">
        <v>4149</v>
      </c>
      <c r="D35" s="21"/>
      <c r="E35" s="2531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1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29" t="s">
        <v>5246</v>
      </c>
      <c r="B36" s="17" t="s">
        <v>4204</v>
      </c>
      <c r="C36" s="18" t="s">
        <v>4149</v>
      </c>
      <c r="D36" s="21"/>
      <c r="E36" s="21"/>
      <c r="F36" s="2531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1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31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1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31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1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31" cm="1">
        <f t="array" ref="F39">INDEX('5층_부하량'!K3:K3000,MATCH(1,("5-DaHall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1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31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1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31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1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31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1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29" t="s">
        <v>5253</v>
      </c>
      <c r="B43" s="17" t="s">
        <v>4204</v>
      </c>
      <c r="C43" s="18" t="s">
        <v>4149</v>
      </c>
      <c r="D43" s="2531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1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29" t="s">
        <v>5255</v>
      </c>
      <c r="B44" s="17" t="s">
        <v>4204</v>
      </c>
      <c r="C44" s="18" t="s">
        <v>4149</v>
      </c>
      <c r="D44" s="21"/>
      <c r="E44" s="2531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1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29" t="s">
        <v>5258</v>
      </c>
      <c r="B45" s="17" t="s">
        <v>4204</v>
      </c>
      <c r="C45" s="18" t="s">
        <v>4149</v>
      </c>
      <c r="D45" s="21"/>
      <c r="E45" s="19"/>
      <c r="F45" s="2529" cm="1">
        <f t="array" ref="F45">INDEX('5층_부하량'!K3:K3000,MATCH(1,("5-DaHall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9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29" t="s">
        <v>5260</v>
      </c>
      <c r="B46" s="17" t="s">
        <v>4204</v>
      </c>
      <c r="C46" s="18" t="s">
        <v>4149</v>
      </c>
      <c r="D46" s="2531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1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29" t="s">
        <v>5262</v>
      </c>
      <c r="B47" s="17" t="s">
        <v>4204</v>
      </c>
      <c r="C47" s="18" t="s">
        <v>4149</v>
      </c>
      <c r="D47" s="21"/>
      <c r="E47" s="2531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1" cm="1">
        <f t="array" ref="O47">INDEX('5층_부하량'!J3:J3000,MATCH(1,("5-DaHall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0" t="s">
        <v>3028</v>
      </c>
      <c r="D48" s="21"/>
      <c r="E48" s="19"/>
      <c r="F48" s="2531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1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0" t="s">
        <v>3028</v>
      </c>
      <c r="D49" s="2531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1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0" t="s">
        <v>3028</v>
      </c>
      <c r="D50" s="21"/>
      <c r="E50" s="2531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1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0" t="s">
        <v>3028</v>
      </c>
      <c r="D51" s="21"/>
      <c r="E51" s="21"/>
      <c r="F51" s="2531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1" cm="1">
        <f t="array" ref="P51">INDEX('5층_부하량'!K3:K3000,MATCH(1,("5-DaHall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30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30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6519</v>
      </c>
      <c r="C54" s="3969" t="s">
        <v>5270</v>
      </c>
      <c r="D54" s="3969"/>
      <c r="E54" s="3969"/>
      <c r="F54" s="3969"/>
      <c r="G54" s="53"/>
      <c r="H54" s="123"/>
      <c r="I54" s="123"/>
      <c r="J54" s="3970" t="s">
        <v>5226</v>
      </c>
      <c r="K54" s="3976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28" cm="1">
        <f t="array" ref="D57">INDEX('5층_부하량'!I3:I3000,MATCH(1,("5-DaHall 1-PDU-02"='5층_부하량'!A3:A3000)*(1='5층_부하량'!B3:B3000),0))</f>
        <v>0</v>
      </c>
      <c r="E57" s="2528" cm="1">
        <f t="array" ref="E57">INDEX('5층_부하량'!J3:J3000,MATCH(1,("5-DaHall 1-PDU-02"='5층_부하량'!A3:A3000)*(1='5층_부하량'!B3:B3000),0))</f>
        <v>0</v>
      </c>
      <c r="F57" s="2528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8" cm="1">
        <f t="array" ref="N57">INDEX('5층_부하량'!I3:I3000,MATCH(1,("5-DaHall 1-PDU-02"='5층_부하량'!A3:A3000)*(55='5층_부하량'!B3:B3000),0))</f>
        <v>0</v>
      </c>
      <c r="O57" s="2528" cm="1">
        <f t="array" ref="O57">INDEX('5층_부하량'!J3:J3000,MATCH(1,("5-DaHall 1-PDU-02"='5층_부하량'!A3:A3000)*(55='5층_부하량'!B3:B3000),0))</f>
        <v>0</v>
      </c>
      <c r="P57" s="2528" cm="1">
        <f t="array" ref="P57">INDEX('5층_부하량'!K3:K3000,MATCH(1,("5-DaHall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0" t="s">
        <v>3028</v>
      </c>
      <c r="D58" s="2531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1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0" t="s">
        <v>3028</v>
      </c>
      <c r="D59" s="21"/>
      <c r="E59" s="2531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1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0" t="s">
        <v>3028</v>
      </c>
      <c r="D60" s="21"/>
      <c r="E60" s="21"/>
      <c r="F60" s="2531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1" cm="1">
        <f t="array" ref="P60">INDEX('5층_부하량'!K3:K3000,MATCH(1,("5-DaHall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0" t="s">
        <v>3028</v>
      </c>
      <c r="D61" s="2531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1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28" t="s">
        <v>5274</v>
      </c>
      <c r="B62" s="17" t="s">
        <v>4204</v>
      </c>
      <c r="C62" s="18" t="s">
        <v>4149</v>
      </c>
      <c r="D62" s="21"/>
      <c r="E62" s="2531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1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29" t="s">
        <v>5276</v>
      </c>
      <c r="B63" s="17" t="s">
        <v>4204</v>
      </c>
      <c r="C63" s="18" t="s">
        <v>4149</v>
      </c>
      <c r="D63" s="21"/>
      <c r="E63" s="21"/>
      <c r="F63" s="2531" cm="1">
        <f t="array" ref="F63">INDEX('5층_부하량'!K3:K3000,MATCH(1,("5-DaHall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1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28" t="s">
        <v>5278</v>
      </c>
      <c r="B64" s="17" t="s">
        <v>4204</v>
      </c>
      <c r="C64" s="18" t="s">
        <v>4149</v>
      </c>
      <c r="D64" s="2531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1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29" t="s">
        <v>5279</v>
      </c>
      <c r="B65" s="17" t="s">
        <v>4204</v>
      </c>
      <c r="C65" s="18" t="s">
        <v>4149</v>
      </c>
      <c r="D65" s="21"/>
      <c r="E65" s="2531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1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29" t="s">
        <v>5280</v>
      </c>
      <c r="B66" s="17" t="s">
        <v>4204</v>
      </c>
      <c r="C66" s="18" t="s">
        <v>4149</v>
      </c>
      <c r="D66" s="21"/>
      <c r="E66" s="21"/>
      <c r="F66" s="2531" cm="1">
        <f t="array" ref="F66">INDEX('5층_부하량'!K3:K3000,MATCH(1,("5-DaHall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1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31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1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31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1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31" cm="1">
        <f t="array" ref="F69">INDEX('5층_부하량'!K3:K3000,MATCH(1,("5-DaHall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1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31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1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31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1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31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1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29" t="s">
        <v>5253</v>
      </c>
      <c r="B73" s="17" t="s">
        <v>4204</v>
      </c>
      <c r="C73" s="18" t="s">
        <v>4149</v>
      </c>
      <c r="D73" s="2531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1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29" t="s">
        <v>5284</v>
      </c>
      <c r="B74" s="17" t="s">
        <v>4204</v>
      </c>
      <c r="C74" s="18" t="s">
        <v>4149</v>
      </c>
      <c r="D74" s="21"/>
      <c r="E74" s="2531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1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29" t="s">
        <v>5286</v>
      </c>
      <c r="B75" s="17" t="s">
        <v>4204</v>
      </c>
      <c r="C75" s="18" t="s">
        <v>4149</v>
      </c>
      <c r="D75" s="21"/>
      <c r="E75" s="19"/>
      <c r="F75" s="2529" cm="1">
        <f t="array" ref="F75">INDEX('5층_부하량'!K3:K3000,MATCH(1,("5-DaHall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9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29" t="s">
        <v>5288</v>
      </c>
      <c r="B76" s="17" t="s">
        <v>4204</v>
      </c>
      <c r="C76" s="18" t="s">
        <v>4149</v>
      </c>
      <c r="D76" s="2531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1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29" t="s">
        <v>5290</v>
      </c>
      <c r="B77" s="17" t="s">
        <v>4204</v>
      </c>
      <c r="C77" s="18" t="s">
        <v>4149</v>
      </c>
      <c r="D77" s="21"/>
      <c r="E77" s="2531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1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0" t="s">
        <v>3028</v>
      </c>
      <c r="D78" s="21"/>
      <c r="E78" s="19"/>
      <c r="F78" s="2531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1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0" t="s">
        <v>3028</v>
      </c>
      <c r="D79" s="2531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1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0" t="s">
        <v>3028</v>
      </c>
      <c r="D80" s="21"/>
      <c r="E80" s="2531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1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0" t="s">
        <v>3028</v>
      </c>
      <c r="D81" s="21"/>
      <c r="E81" s="21"/>
      <c r="F81" s="2531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1" cm="1">
        <f t="array" ref="P81">INDEX('5층_부하량'!K3:K3000,MATCH(1,("5-DaHall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30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30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6520</v>
      </c>
      <c r="C84" s="3969" t="s">
        <v>5295</v>
      </c>
      <c r="D84" s="3969"/>
      <c r="E84" s="3969"/>
      <c r="F84" s="3969"/>
      <c r="G84" s="53"/>
      <c r="H84" s="123"/>
      <c r="I84" s="123"/>
      <c r="J84" s="3970" t="s">
        <v>5226</v>
      </c>
      <c r="K84" s="3976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28" cm="1">
        <f t="array" ref="D87">INDEX('5층_부하량'!I3:I3000,MATCH(1,("5-DaHall 1-PDU-03"='5층_부하량'!A3:A3000)*(1='5층_부하량'!B3:B3000),0))</f>
        <v>0</v>
      </c>
      <c r="E87" s="2528" cm="1">
        <f t="array" ref="E87">INDEX('5층_부하량'!J3:J3000,MATCH(1,("5-DaHall 1-PDU-03"='5층_부하량'!A3:A3000)*(1='5층_부하량'!B3:B3000),0))</f>
        <v>0</v>
      </c>
      <c r="F87" s="2528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8" cm="1">
        <f t="array" ref="N87">INDEX('5층_부하량'!I3:I3000,MATCH(1,("5-DaHall 1-PDU-03"='5층_부하량'!A3:A3000)*(55='5층_부하량'!B3:B3000),0))</f>
        <v>0</v>
      </c>
      <c r="O87" s="2528" cm="1">
        <f t="array" ref="O87">INDEX('5층_부하량'!J3:J3000,MATCH(1,("5-DaHall 1-PDU-03"='5층_부하량'!A3:A3000)*(55='5층_부하량'!B3:B3000),0))</f>
        <v>0</v>
      </c>
      <c r="P87" s="2528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31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1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31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1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31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1" cm="1">
        <f t="array" ref="P90">INDEX('5층_부하량'!K3:K3000,MATCH(1,("5-DaHall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31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1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31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1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31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1" cm="1">
        <f t="array" ref="P93">INDEX('5층_부하량'!K3:K3000,MATCH(1,("5-DaHall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31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1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31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1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31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1" cm="1">
        <f t="array" ref="P96">INDEX('5층_부하량'!K3:K3000,MATCH(1,("5-DaHall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31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1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31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1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31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1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31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1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31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1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31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1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31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1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31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1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29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9" cm="1">
        <f t="array" ref="P105">INDEX('5층_부하량'!K3:K3000,MATCH(1,("5-DaHall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31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1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31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1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4" t="s">
        <v>5334</v>
      </c>
      <c r="B108" s="17" t="s">
        <v>5335</v>
      </c>
      <c r="C108" s="17" t="s">
        <v>4296</v>
      </c>
      <c r="D108" s="21"/>
      <c r="E108" s="19"/>
      <c r="F108" s="2531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1" cm="1">
        <f t="array" ref="P108">INDEX('5층_부하량'!K3:K3000,MATCH(1,("5-DaHall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4" t="s">
        <v>5337</v>
      </c>
      <c r="B109" s="71" t="s">
        <v>4204</v>
      </c>
      <c r="C109" s="72" t="s">
        <v>4149</v>
      </c>
      <c r="D109" s="2531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1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4" t="s">
        <v>5339</v>
      </c>
      <c r="B110" s="17" t="s">
        <v>4204</v>
      </c>
      <c r="C110" s="18" t="s">
        <v>4149</v>
      </c>
      <c r="D110" s="21"/>
      <c r="E110" s="2531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1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31" cm="1">
        <f t="array" ref="F111">INDEX('5층_부하량'!K3:K3000,MATCH(1,("5-DaHall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1" cm="1">
        <f t="array" ref="P111">INDEX('5층_부하량'!K3:K3000,MATCH(1,("5-DaHall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30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30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6521</v>
      </c>
      <c r="C114" s="3969" t="s">
        <v>5345</v>
      </c>
      <c r="D114" s="3969"/>
      <c r="E114" s="3969"/>
      <c r="F114" s="3969"/>
      <c r="G114" s="53"/>
      <c r="H114" s="123"/>
      <c r="I114" s="123"/>
      <c r="J114" s="3970" t="s">
        <v>5226</v>
      </c>
      <c r="K114" s="3976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28" cm="1">
        <f t="array" ref="D117">INDEX('5층_부하량'!I3:I3000,MATCH(1,("5-DaHall 1-PDU-04"='5층_부하량'!A3:A3000)*(1='5층_부하량'!B3:B3000),0))</f>
        <v>0</v>
      </c>
      <c r="E117" s="2528" cm="1">
        <f t="array" ref="E117">INDEX('5층_부하량'!J3:J3000,MATCH(1,("5-DaHall 1-PDU-04"='5층_부하량'!A3:A3000)*(1='5층_부하량'!B3:B3000),0))</f>
        <v>0</v>
      </c>
      <c r="F117" s="2528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8" cm="1">
        <f t="array" ref="N117">INDEX('5층_부하량'!I3:I3000,MATCH(1,("5-DaHall 1-PDU-04"='5층_부하량'!A3:A3000)*(55='5층_부하량'!B3:B3000),0))</f>
        <v>0</v>
      </c>
      <c r="O117" s="2528" cm="1">
        <f t="array" ref="O117">INDEX('5층_부하량'!J3:J3000,MATCH(1,("5-DaHall 1-PDU-04"='5층_부하량'!A3:A3000)*(55='5층_부하량'!B3:B3000),0))</f>
        <v>0</v>
      </c>
      <c r="P117" s="2528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31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1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31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1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31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1" cm="1">
        <f t="array" ref="P120">INDEX('5층_부하량'!K3:K3000,MATCH(1,("5-DaHall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31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1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31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1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31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1" cm="1">
        <f t="array" ref="P123">INDEX('5층_부하량'!K3:K3000,MATCH(1,("5-DaHall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31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1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31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1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31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1" cm="1">
        <f t="array" ref="P126">INDEX('5층_부하량'!K3:K3000,MATCH(1,("5-DaHall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31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1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31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1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31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1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31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1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31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1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31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1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4"/>
      <c r="B133" s="1408" t="s">
        <v>4164</v>
      </c>
      <c r="C133" s="17" t="s">
        <v>4296</v>
      </c>
      <c r="D133" s="2531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1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4"/>
      <c r="B134" s="1408" t="s">
        <v>4164</v>
      </c>
      <c r="C134" s="17" t="s">
        <v>4296</v>
      </c>
      <c r="D134" s="21"/>
      <c r="E134" s="2531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1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4"/>
      <c r="B135" s="1408" t="s">
        <v>4164</v>
      </c>
      <c r="C135" s="17" t="s">
        <v>4296</v>
      </c>
      <c r="D135" s="21"/>
      <c r="E135" s="19"/>
      <c r="F135" s="2529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9" cm="1">
        <f t="array" ref="P135">INDEX('5층_부하량'!K3:K3000,MATCH(1,("5-DaHall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31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1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31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1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4" t="s">
        <v>5334</v>
      </c>
      <c r="B138" s="17" t="s">
        <v>5335</v>
      </c>
      <c r="C138" s="17" t="s">
        <v>4296</v>
      </c>
      <c r="D138" s="21"/>
      <c r="E138" s="19"/>
      <c r="F138" s="2531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1" cm="1">
        <f t="array" ref="P138">INDEX('5층_부하량'!K3:K3000,MATCH(1,("5-DaHall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4" t="s">
        <v>5337</v>
      </c>
      <c r="B139" s="71" t="s">
        <v>4204</v>
      </c>
      <c r="C139" s="72" t="s">
        <v>4149</v>
      </c>
      <c r="D139" s="2531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1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4" t="s">
        <v>5339</v>
      </c>
      <c r="B140" s="17" t="s">
        <v>4204</v>
      </c>
      <c r="C140" s="18" t="s">
        <v>4149</v>
      </c>
      <c r="D140" s="21"/>
      <c r="E140" s="2531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1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4" t="s">
        <v>5353</v>
      </c>
      <c r="B141" s="17" t="s">
        <v>5335</v>
      </c>
      <c r="C141" s="18" t="s">
        <v>4149</v>
      </c>
      <c r="D141" s="21"/>
      <c r="E141" s="21"/>
      <c r="F141" s="2531" cm="1">
        <f t="array" ref="F141">INDEX('5층_부하량'!K3:K3000,MATCH(1,("5-DaHall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1" cm="1">
        <f t="array" ref="P141">INDEX('5층_부하량'!K3:K3000,MATCH(1,("5-DaHall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5" t="s">
        <v>5354</v>
      </c>
      <c r="B142" s="35" t="s">
        <v>5335</v>
      </c>
      <c r="C142" s="39" t="s">
        <v>4149</v>
      </c>
      <c r="D142" s="2530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30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5355</v>
      </c>
      <c r="C144" s="3969" t="s">
        <v>5356</v>
      </c>
      <c r="D144" s="3969"/>
      <c r="E144" s="3969"/>
      <c r="F144" s="53"/>
      <c r="G144" s="53"/>
      <c r="H144" s="123"/>
      <c r="I144" s="123"/>
      <c r="J144" s="3970" t="s">
        <v>5357</v>
      </c>
      <c r="K144" s="3976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56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7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56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7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57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7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57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7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58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1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59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9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57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7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57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7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57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7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57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7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57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60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969" t="s">
        <v>5390</v>
      </c>
      <c r="D161" s="3969"/>
      <c r="E161" s="3969"/>
      <c r="F161" s="3969"/>
      <c r="G161" s="53"/>
      <c r="H161" s="123"/>
      <c r="I161" s="123"/>
      <c r="J161" s="3970" t="s">
        <v>5226</v>
      </c>
      <c r="K161" s="3976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28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8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31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1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31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1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31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1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31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1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31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1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31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1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31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1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31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1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31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1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31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1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31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1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31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1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31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1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31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1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31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1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31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1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31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1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31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1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31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1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31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1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31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1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31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1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31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1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31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1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31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1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33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3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969" t="s">
        <v>5397</v>
      </c>
      <c r="D192" s="3969"/>
      <c r="E192" s="3969"/>
      <c r="F192" s="3969"/>
      <c r="G192" s="53"/>
      <c r="H192" s="123"/>
      <c r="I192" s="123"/>
      <c r="J192" s="3970" t="s">
        <v>5226</v>
      </c>
      <c r="K192" s="3976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28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8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31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1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31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1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31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1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31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1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31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1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31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1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31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1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31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1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31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1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31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1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31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1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31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1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31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1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2"/>
      <c r="B209" s="71" t="s">
        <v>535</v>
      </c>
      <c r="C209" s="71" t="s">
        <v>4296</v>
      </c>
      <c r="D209" s="21"/>
      <c r="E209" s="2531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1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31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1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31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1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2"/>
      <c r="B212" s="17" t="s">
        <v>535</v>
      </c>
      <c r="C212" s="17" t="s">
        <v>4296</v>
      </c>
      <c r="D212" s="21"/>
      <c r="E212" s="2531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1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31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1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31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1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31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1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31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1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31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1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31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1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31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1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31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1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33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3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969" t="s">
        <v>5399</v>
      </c>
      <c r="D223" s="3969"/>
      <c r="E223" s="3969"/>
      <c r="F223" s="3969"/>
      <c r="G223" s="53"/>
      <c r="H223" s="123"/>
      <c r="I223" s="123"/>
      <c r="J223" s="3970" t="s">
        <v>4636</v>
      </c>
      <c r="K223" s="3976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28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8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29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9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31" cm="1">
        <f t="array" ref="F228">INDEX('5층_부하량'!K3:K3000,MATCH(1,("5-DaHall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1" cm="1">
        <f t="array" ref="P228">INDEX('5층_부하량'!K3:K3000,MATCH(1,("5-DaHall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31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1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31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1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32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2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47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7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48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8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31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1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31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1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31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1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31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1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31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1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31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1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31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1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31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1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31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1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30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30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6525</v>
      </c>
      <c r="C245" s="3969" t="s">
        <v>5410</v>
      </c>
      <c r="D245" s="3969"/>
      <c r="E245" s="3969"/>
      <c r="F245" s="3969"/>
      <c r="G245" s="53"/>
      <c r="H245" s="123"/>
      <c r="I245" s="123"/>
      <c r="J245" s="3970" t="s">
        <v>4636</v>
      </c>
      <c r="K245" s="3976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28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8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29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9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31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1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31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1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31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1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32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2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32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2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47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7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48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8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31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1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31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1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31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1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31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1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31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1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31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1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31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1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31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1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31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1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33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3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969" t="s">
        <v>5412</v>
      </c>
      <c r="D268" s="3969"/>
      <c r="E268" s="3969"/>
      <c r="F268" s="3969"/>
      <c r="G268" s="53"/>
      <c r="H268" s="123"/>
      <c r="I268" s="123"/>
      <c r="J268" s="3970" t="s">
        <v>4636</v>
      </c>
      <c r="K268" s="3976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28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8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29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9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31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1" cm="1">
        <f t="array" ref="P273">INDEX('5층_부하량'!K3:K3000,MATCH(1,("5-DaHall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31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1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31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1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32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2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47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7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48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8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31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1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31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1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31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1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31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1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31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1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31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1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31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1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31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1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31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1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30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30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6527</v>
      </c>
      <c r="C290" s="3969" t="s">
        <v>5421</v>
      </c>
      <c r="D290" s="3969"/>
      <c r="E290" s="3969"/>
      <c r="F290" s="3969"/>
      <c r="G290" s="53"/>
      <c r="H290" s="123"/>
      <c r="I290" s="123"/>
      <c r="J290" s="3970" t="s">
        <v>4636</v>
      </c>
      <c r="K290" s="3976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28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8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29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9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31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1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31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1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31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1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32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2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32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2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47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7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48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8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31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1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31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1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31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1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31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1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31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1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31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1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31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1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31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1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31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1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33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3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969" t="s">
        <v>5422</v>
      </c>
      <c r="D313" s="3969"/>
      <c r="E313" s="3969"/>
      <c r="F313" s="3969"/>
      <c r="G313" s="53"/>
      <c r="H313" s="123"/>
      <c r="I313" s="123"/>
      <c r="J313" s="3970" t="s">
        <v>5219</v>
      </c>
      <c r="K313" s="3976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40" cm="1">
        <f t="array" ref="D316">INDEX('5층_부하량'!I3:I3000,MATCH(1,("5-DaHall 1-PDU-11"='5층_부하량'!A3:A3000)*(1='5층_부하량'!B3:B3000),0))</f>
        <v>0</v>
      </c>
      <c r="E316" s="2540" cm="1">
        <f t="array" ref="E316">INDEX('5층_부하량'!J3:J3000,MATCH(1,("5-DaHall 1-PDU-11"='5층_부하량'!A3:A3000)*(1='5층_부하량'!B3:B3000),0))</f>
        <v>0</v>
      </c>
      <c r="F316" s="2540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40" cm="1">
        <f t="array" ref="N316">INDEX('5층_부하량'!I3:I3000,MATCH(1,("5-DaHall 1-PDU-11"='5층_부하량'!A3:A3000)*(2='5층_부하량'!B3:B3000),0))</f>
        <v>0</v>
      </c>
      <c r="O316" s="2540" cm="1">
        <f t="array" ref="O316">INDEX('5층_부하량'!J3:J3000,MATCH(1,("5-DaHall 1-PDU-11"='5층_부하량'!A3:A3000)*(2='5층_부하량'!B3:B3000),0))</f>
        <v>0</v>
      </c>
      <c r="P316" s="2540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41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1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38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8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38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8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38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8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45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5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37" cm="1">
        <f t="array" ref="F322">INDEX('5층_부하량'!K3:K3000,MATCH(1,("5-DaHall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7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46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6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38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8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38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8" cm="1">
        <f t="array" ref="P325">INDEX('5층_부하량'!K3:K3000,MATCH(1,("5-DaHall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38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8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38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8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38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8" cm="1">
        <f t="array" ref="P328">INDEX('5층_부하량'!K3:K3000,MATCH(1,("5-DaHall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38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8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38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8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39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9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6529</v>
      </c>
      <c r="C333" s="3969" t="s">
        <v>5450</v>
      </c>
      <c r="D333" s="3969"/>
      <c r="E333" s="3969"/>
      <c r="F333" s="3969"/>
      <c r="G333" s="53"/>
      <c r="H333" s="123"/>
      <c r="I333" s="123"/>
      <c r="J333" s="3970" t="s">
        <v>5219</v>
      </c>
      <c r="K333" s="3976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40" cm="1">
        <f t="array" ref="D336">INDEX('5층_부하량'!I3:I3000,MATCH(1,("5-DaHall 1-PDU-13"='5층_부하량'!A3:A3000)*(1='5층_부하량'!B3:B3000),0))</f>
        <v>0</v>
      </c>
      <c r="E336" s="2540" cm="1">
        <f t="array" ref="E336">INDEX('5층_부하량'!J3:J3000,MATCH(1,("5-DaHall 1-PDU-13"='5층_부하량'!A3:A3000)*(1='5층_부하량'!B3:B3000),0))</f>
        <v>0</v>
      </c>
      <c r="F336" s="2540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40" cm="1">
        <f t="array" ref="N336">INDEX('5층_부하량'!I3:I3000,MATCH(1,("5-DaHall 1-PDU-13"='5층_부하량'!A3:A3000)*(2='5층_부하량'!B3:B3000),0))</f>
        <v>0</v>
      </c>
      <c r="O336" s="2540" cm="1">
        <f t="array" ref="O336">INDEX('5층_부하량'!J3:J3000,MATCH(1,("5-DaHall 1-PDU-13"='5층_부하량'!A3:A3000)*(2='5층_부하량'!B3:B3000),0))</f>
        <v>0</v>
      </c>
      <c r="P336" s="2540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41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1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38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8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38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8" cm="1">
        <f t="array" ref="P339">INDEX('5층_부하량'!K3:K3000,MATCH(1,("5-DaHall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38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8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45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5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37" cm="1">
        <f t="array" ref="F342">INDEX('5층_부하량'!K3:K3000,MATCH(1,("5-DaHall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7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46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6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38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8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38" cm="1">
        <f t="array" ref="F345">INDEX('5층_부하량'!K3:K3000,MATCH(1,("5-DaHall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8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38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8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38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8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38" cm="1">
        <f t="array" ref="F348">INDEX('5층_부하량'!K3:K3000,MATCH(1,("5-DaHall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8" cm="1">
        <f t="array" ref="P348">INDEX('5층_부하량'!K3:K3000,MATCH(1,("5-DaHall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38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8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38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8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39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9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6530</v>
      </c>
      <c r="C353" s="3969" t="s">
        <v>5464</v>
      </c>
      <c r="D353" s="3969"/>
      <c r="E353" s="3969"/>
      <c r="F353" s="3969"/>
      <c r="G353" s="351"/>
      <c r="H353" s="352"/>
      <c r="I353" s="352"/>
      <c r="J353" s="3979" t="s">
        <v>4288</v>
      </c>
      <c r="K353" s="3980"/>
      <c r="L353" s="2324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78" t="s">
        <v>5465</v>
      </c>
      <c r="B356" s="366" t="s">
        <v>4208</v>
      </c>
      <c r="C356" s="383" t="s">
        <v>4149</v>
      </c>
      <c r="D356" s="2540" cm="1">
        <f t="array" ref="D356">INDEX('5층_부하량'!I3:I3000,MATCH(1,("5-DaHall 1-PDU-15"='5층_부하량'!A3:A3000)*(1='5층_부하량'!B3:B3000),0))</f>
        <v>0</v>
      </c>
      <c r="E356" s="2540" cm="1">
        <f t="array" ref="E356">INDEX('5층_부하량'!J3:J3000,MATCH(1,("5-DaHall 1-PDU-15"='5층_부하량'!A3:A3000)*(1='5층_부하량'!B3:B3000),0))</f>
        <v>0</v>
      </c>
      <c r="F356" s="2540" cm="1">
        <f t="array" ref="F356">INDEX('5층_부하량'!K3:K3000,MATCH(1,("5-DaHall 1-PDU-15"='5층_부하량'!A3:A3000)*(1='5층_부하량'!B3:B3000),0))</f>
        <v>0</v>
      </c>
      <c r="G356" s="371"/>
      <c r="H356" s="367" t="s">
        <v>5466</v>
      </c>
      <c r="I356" s="2325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40" cm="1">
        <f t="array" ref="N356">INDEX('5층_부하량'!I3:I3000,MATCH(1,("5-DaHall 1-PDU-15"='5층_부하량'!A3:A3000)*(2='5층_부하량'!B3:B3000),0))</f>
        <v>0</v>
      </c>
      <c r="O356" s="2540" cm="1">
        <f t="array" ref="O356">INDEX('5층_부하량'!J3:J3000,MATCH(1,("5-DaHall 1-PDU-15"='5층_부하량'!A3:A3000)*(2='5층_부하량'!B3:B3000),0))</f>
        <v>0</v>
      </c>
      <c r="P356" s="2540" cm="1">
        <f t="array" ref="P356">INDEX('5층_부하량'!K3:K3000,MATCH(1,("5-DaHall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79"/>
      <c r="B357" s="376" t="s">
        <v>4164</v>
      </c>
      <c r="C357" s="376" t="s">
        <v>4215</v>
      </c>
      <c r="D357" s="2541" cm="1">
        <f t="array" ref="D357">INDEX('5층_부하량'!I3:I3000,MATCH(1,("5-DaHall 1-PDU-15"='5층_부하량'!A3:A3000)*(3='5층_부하량'!B3:B3000),0))</f>
        <v>0</v>
      </c>
      <c r="E357" s="2541" cm="1">
        <f t="array" ref="E357">INDEX('5층_부하량'!J3:J3000,MATCH(1,("5-DaHall 1-PDU-15"='5층_부하량'!A3:A3000)*(3='5층_부하량'!B3:B3000),0))</f>
        <v>0</v>
      </c>
      <c r="F357" s="2541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26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1" cm="1">
        <f t="array" ref="N357">INDEX('5층_부하량'!I3:I3000,MATCH(1,("5-DaHall 1-PDU-15"='5층_부하량'!A3:A3000)*(4='5층_부하량'!B3:B3000),0))</f>
        <v>0</v>
      </c>
      <c r="O357" s="2541" cm="1">
        <f t="array" ref="O357">INDEX('5층_부하량'!J3:J3000,MATCH(1,("5-DaHall 1-PDU-15"='5층_부하량'!A3:A3000)*(4='5층_부하량'!B3:B3000),0))</f>
        <v>0</v>
      </c>
      <c r="P357" s="2541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38" cm="1">
        <f t="array" ref="D358">INDEX('5층_부하량'!I3:I3000,MATCH(1,("5-DaHall 1-PDU-15"='5층_부하량'!A3:A3000)*(5='5층_부하량'!B3:B3000),0))</f>
        <v>0</v>
      </c>
      <c r="E358" s="2538" cm="1">
        <f t="array" ref="E358">INDEX('5층_부하량'!J3:J3000,MATCH(1,("5-DaHall 1-PDU-15"='5층_부하량'!A3:A3000)*(5='5층_부하량'!B3:B3000),0))</f>
        <v>0</v>
      </c>
      <c r="F358" s="2538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26" t="s">
        <v>5477</v>
      </c>
      <c r="J358" s="1022"/>
      <c r="K358" s="1023"/>
      <c r="L358" s="1151" t="s">
        <v>5478</v>
      </c>
      <c r="M358" s="376" t="s">
        <v>5359</v>
      </c>
      <c r="N358" s="2538" cm="1">
        <f t="array" ref="N358">INDEX('5층_부하량'!I3:I3000,MATCH(1,("5-DaHall 1-PDU-15"='5층_부하량'!A3:A3000)*(6='5층_부하량'!B3:B3000),0))</f>
        <v>0</v>
      </c>
      <c r="O358" s="2538" cm="1">
        <f t="array" ref="O358">INDEX('5층_부하량'!J3:J3000,MATCH(1,("5-DaHall 1-PDU-15"='5층_부하량'!A3:A3000)*(6='5층_부하량'!B3:B3000),0))</f>
        <v>0</v>
      </c>
      <c r="P358" s="2538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0" t="s">
        <v>5480</v>
      </c>
      <c r="B359" s="376" t="s">
        <v>4204</v>
      </c>
      <c r="C359" s="383" t="s">
        <v>4149</v>
      </c>
      <c r="D359" s="2538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8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1" t="s">
        <v>5482</v>
      </c>
      <c r="B360" s="87" t="s">
        <v>4204</v>
      </c>
      <c r="C360" s="88" t="s">
        <v>4149</v>
      </c>
      <c r="D360" s="392"/>
      <c r="E360" s="2532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2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290" t="s">
        <v>5484</v>
      </c>
      <c r="B361" s="2288" t="s">
        <v>4208</v>
      </c>
      <c r="C361" s="383" t="s">
        <v>4149</v>
      </c>
      <c r="D361" s="395"/>
      <c r="E361" s="395"/>
      <c r="F361" s="2542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2" cm="1">
        <f t="array" ref="P361">INDEX('5층_부하량'!K3:K3000,MATCH(1,("5-DaHall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 x14ac:dyDescent="0.25">
      <c r="A362" s="1282" t="s">
        <v>5487</v>
      </c>
      <c r="B362" s="376" t="s">
        <v>4204</v>
      </c>
      <c r="C362" s="383" t="s">
        <v>4149</v>
      </c>
      <c r="D362" s="2538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8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3" t="s">
        <v>5489</v>
      </c>
      <c r="B363" s="376" t="s">
        <v>4164</v>
      </c>
      <c r="C363" s="376" t="s">
        <v>4215</v>
      </c>
      <c r="D363" s="381"/>
      <c r="E363" s="2538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8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2" t="s">
        <v>5490</v>
      </c>
      <c r="B364" s="376" t="s">
        <v>4164</v>
      </c>
      <c r="C364" s="376" t="s">
        <v>4215</v>
      </c>
      <c r="D364" s="381"/>
      <c r="E364" s="381"/>
      <c r="F364" s="2538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8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3" t="s">
        <v>5491</v>
      </c>
      <c r="B365" s="376" t="s">
        <v>4164</v>
      </c>
      <c r="C365" s="376" t="s">
        <v>4215</v>
      </c>
      <c r="D365" s="2538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8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2" t="s">
        <v>5492</v>
      </c>
      <c r="B366" s="376" t="s">
        <v>4513</v>
      </c>
      <c r="C366" s="376" t="s">
        <v>4158</v>
      </c>
      <c r="D366" s="381"/>
      <c r="E366" s="2538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8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2" t="s">
        <v>5493</v>
      </c>
      <c r="B367" s="376" t="s">
        <v>4153</v>
      </c>
      <c r="C367" s="383" t="s">
        <v>4149</v>
      </c>
      <c r="D367" s="381"/>
      <c r="E367" s="381"/>
      <c r="F367" s="2538" cm="1">
        <f t="array" ref="F367">INDEX('5층_부하량'!K3:K3000,MATCH(1,("5-DaHall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8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4" t="s">
        <v>5495</v>
      </c>
      <c r="B368" s="376" t="s">
        <v>4513</v>
      </c>
      <c r="C368" s="376" t="s">
        <v>4158</v>
      </c>
      <c r="D368" s="2538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8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2" t="s">
        <v>5496</v>
      </c>
      <c r="B369" s="376" t="s">
        <v>4513</v>
      </c>
      <c r="C369" s="376" t="s">
        <v>4158</v>
      </c>
      <c r="D369" s="381"/>
      <c r="E369" s="2538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8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5" t="s">
        <v>5498</v>
      </c>
      <c r="B370" s="35" t="s">
        <v>4153</v>
      </c>
      <c r="C370" s="39" t="s">
        <v>4149</v>
      </c>
      <c r="D370" s="402"/>
      <c r="E370" s="402"/>
      <c r="F370" s="2543" cm="1">
        <f t="array" ref="F370">INDEX('5층_부하량'!K3:K3000,MATCH(1,("5-DaHall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3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27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6531</v>
      </c>
      <c r="C372" s="3969" t="s">
        <v>5499</v>
      </c>
      <c r="D372" s="3969"/>
      <c r="E372" s="3969"/>
      <c r="F372" s="3969"/>
      <c r="G372" s="351"/>
      <c r="H372" s="352"/>
      <c r="I372" s="352"/>
      <c r="J372" s="3979" t="s">
        <v>5219</v>
      </c>
      <c r="K372" s="3980"/>
      <c r="L372" s="2324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40" cm="1">
        <f t="array" ref="D375">INDEX('5층_부하량'!I3:I3000,MATCH(1,("5-DaHall 1-PDU-12"='5층_부하량'!A3:A3000)*(1='5층_부하량'!B3:B3000),0))</f>
        <v>0</v>
      </c>
      <c r="E375" s="2540" cm="1">
        <f t="array" ref="E375">INDEX('5층_부하량'!J3:J3000,MATCH(1,("5-DaHall 1-PDU-12"='5층_부하량'!A3:A3000)*(1='5층_부하량'!B3:B3000),0))</f>
        <v>0</v>
      </c>
      <c r="F375" s="2540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28" t="s">
        <v>5467</v>
      </c>
      <c r="J375" s="1029"/>
      <c r="K375" s="1030"/>
      <c r="L375" s="1409" t="s">
        <v>5469</v>
      </c>
      <c r="M375" s="366" t="s">
        <v>5359</v>
      </c>
      <c r="N375" s="2540" cm="1">
        <f t="array" ref="N375">INDEX('5층_부하량'!I3:I3000,MATCH(1,("5-DaHall 1-PDU-12"='5층_부하량'!A3:A3000)*(2='5층_부하량'!B3:B3000),0))</f>
        <v>0</v>
      </c>
      <c r="O375" s="2540" cm="1">
        <f t="array" ref="O375">INDEX('5층_부하량'!J3:J3000,MATCH(1,("5-DaHall 1-PDU-12"='5층_부하량'!A3:A3000)*(2='5층_부하량'!B3:B3000),0))</f>
        <v>0</v>
      </c>
      <c r="P375" s="2540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41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1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38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8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38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8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38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8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45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5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37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7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46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6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38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8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38" cm="1">
        <f t="array" ref="F384">INDEX('5층_부하량'!K3:K3000,MATCH(1,("5-DaHall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8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38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8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38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8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38" cm="1">
        <f t="array" ref="F387">INDEX('5층_부하량'!K3:K3000,MATCH(1,("5-DaHall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8" cm="1">
        <f t="array" ref="P387">INDEX('5층_부하량'!K3:K3000,MATCH(1,("5-DaHall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38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8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38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8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39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9" cm="1">
        <f t="array" ref="P390">INDEX('5층_부하량'!K3:K3000,MATCH(1,("5-DaHall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27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6532</v>
      </c>
      <c r="C392" s="3969" t="s">
        <v>5523</v>
      </c>
      <c r="D392" s="3969"/>
      <c r="E392" s="3969"/>
      <c r="F392" s="3969"/>
      <c r="G392" s="351"/>
      <c r="H392" s="352"/>
      <c r="I392" s="352"/>
      <c r="J392" s="3979" t="s">
        <v>5219</v>
      </c>
      <c r="K392" s="3980"/>
      <c r="L392" s="2324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40" cm="1">
        <f t="array" ref="D395">INDEX('5층_부하량'!I3:I3000,MATCH(1,("5-DaHall 1-PDU-14"='5층_부하량'!A3:A3000)*(1='5층_부하량'!B3:B3000),0))</f>
        <v>0</v>
      </c>
      <c r="E395" s="2540" cm="1">
        <f t="array" ref="E395">INDEX('5층_부하량'!J3:J3000,MATCH(1,("5-DaHall 1-PDU-14"='5층_부하량'!A3:A3000)*(1='5층_부하량'!B3:B3000),0))</f>
        <v>0</v>
      </c>
      <c r="F395" s="2540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28" t="s">
        <v>5467</v>
      </c>
      <c r="J395" s="1029"/>
      <c r="K395" s="1030"/>
      <c r="L395" s="1409" t="s">
        <v>5469</v>
      </c>
      <c r="M395" s="366" t="s">
        <v>5359</v>
      </c>
      <c r="N395" s="2540" cm="1">
        <f t="array" ref="N395">INDEX('5층_부하량'!I3:I3000,MATCH(1,("5-DaHall 1-PDU-14"='5층_부하량'!A3:A3000)*(2='5층_부하량'!B3:B3000),0))</f>
        <v>0</v>
      </c>
      <c r="O395" s="2540" cm="1">
        <f t="array" ref="O395">INDEX('5층_부하량'!J3:J3000,MATCH(1,("5-DaHall 1-PDU-14"='5층_부하량'!A3:A3000)*(2='5층_부하량'!B3:B3000),0))</f>
        <v>0</v>
      </c>
      <c r="P395" s="2540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41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1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38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8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38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8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38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8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45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5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37" cm="1">
        <f t="array" ref="F401">INDEX('5층_부하량'!K3:K3000,MATCH(1,("5-DaHall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7" cm="1">
        <f t="array" ref="P401">INDEX('5층_부하량'!K3:K3000,MATCH(1,("5-DaHall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46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6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38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8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38" cm="1">
        <f t="array" ref="F404">INDEX('5층_부하량'!K3:K3000,MATCH(1,("5-DaHall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8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38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8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38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8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38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8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38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8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38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8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39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9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27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6533</v>
      </c>
      <c r="C412" s="3969" t="s">
        <v>5536</v>
      </c>
      <c r="D412" s="3969"/>
      <c r="E412" s="3969"/>
      <c r="F412" s="3969"/>
      <c r="G412" s="351"/>
      <c r="H412" s="352"/>
      <c r="I412" s="352"/>
      <c r="J412" s="3979" t="s">
        <v>4288</v>
      </c>
      <c r="K412" s="3980"/>
      <c r="L412" s="2324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40" cm="1">
        <f t="array" ref="D415">INDEX('5층_부하량'!I3:I3000,MATCH(1,("5-DaHall 1-PDU-16"='5층_부하량'!A3:A3000)*(1='5층_부하량'!B3:B3000),0))</f>
        <v>0</v>
      </c>
      <c r="E415" s="2540" cm="1">
        <f t="array" ref="E415">INDEX('5층_부하량'!J3:J3000,MATCH(1,("5-DaHall 1-PDU-16"='5층_부하량'!A3:A3000)*(1='5층_부하량'!B3:B3000),0))</f>
        <v>0</v>
      </c>
      <c r="F415" s="2540" cm="1">
        <f t="array" ref="F415">INDEX('5층_부하량'!K3:K3000,MATCH(1,("5-DaHall 1-PDU-16"='5층_부하량'!A3:A3000)*(1='5층_부하량'!B3:B3000),0))</f>
        <v>0</v>
      </c>
      <c r="G415" s="371"/>
      <c r="H415" s="367" t="s">
        <v>5466</v>
      </c>
      <c r="I415" s="2325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40" cm="1">
        <f t="array" ref="N415">INDEX('5층_부하량'!I3:I3000,MATCH(1,("5-DaHall 1-PDU-16"='5층_부하량'!A3:A3000)*(2='5층_부하량'!B3:B3000),0))</f>
        <v>0</v>
      </c>
      <c r="O415" s="2540" cm="1">
        <f t="array" ref="O415">INDEX('5층_부하량'!J3:J3000,MATCH(1,("5-DaHall 1-PDU-16"='5층_부하량'!A3:A3000)*(2='5층_부하량'!B3:B3000),0))</f>
        <v>0</v>
      </c>
      <c r="P415" s="2540" cm="1">
        <f t="array" ref="P415">INDEX('5층_부하량'!K3:K3000,MATCH(1,("5-DaHall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41" cm="1">
        <f t="array" ref="D416">INDEX('5층_부하량'!I3:I3000,MATCH(1,("5-DaHall 1-PDU-16"='5층_부하량'!A3:A3000)*(3='5층_부하량'!B3:B3000),0))</f>
        <v>0</v>
      </c>
      <c r="E416" s="2541" cm="1">
        <f t="array" ref="E416">INDEX('5층_부하량'!J3:J3000,MATCH(1,("5-DaHall 1-PDU-16"='5층_부하량'!A3:A3000)*(3='5층_부하량'!B3:B3000),0))</f>
        <v>0</v>
      </c>
      <c r="F416" s="2541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29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8" cm="1">
        <f t="array" ref="N416">INDEX('5층_부하량'!I3:I3000,MATCH(1,("5-DaHall 1-PDU-16"='5층_부하량'!A3:A3000)*(4='5층_부하량'!B3:B3000),0))</f>
        <v>0</v>
      </c>
      <c r="O416" s="2538" cm="1">
        <f t="array" ref="O416">INDEX('5층_부하량'!J3:J3000,MATCH(1,("5-DaHall 1-PDU-16"='5층_부하량'!A3:A3000)*(4='5층_부하량'!B3:B3000),0))</f>
        <v>0</v>
      </c>
      <c r="P416" s="2538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38" cm="1">
        <f t="array" ref="D417">INDEX('5층_부하량'!I3:I3000,MATCH(1,("5-DaHall 1-PDU-16"='5층_부하량'!A3:A3000)*(5='5층_부하량'!B3:B3000),0))</f>
        <v>0</v>
      </c>
      <c r="E417" s="2538" cm="1">
        <f t="array" ref="E417">INDEX('5층_부하량'!J3:J3000,MATCH(1,("5-DaHall 1-PDU-16"='5층_부하량'!A3:A3000)*(5='5층_부하량'!B3:B3000),0))</f>
        <v>0</v>
      </c>
      <c r="F417" s="2538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29" t="s">
        <v>5477</v>
      </c>
      <c r="J417" s="1022"/>
      <c r="K417" s="1023"/>
      <c r="L417" s="1416" t="s">
        <v>5478</v>
      </c>
      <c r="M417" s="376" t="s">
        <v>5359</v>
      </c>
      <c r="N417" s="2538" cm="1">
        <f t="array" ref="N417">INDEX('5층_부하량'!I3:I3000,MATCH(1,("5-DaHall 1-PDU-16"='5층_부하량'!A3:A3000)*(6='5층_부하량'!B3:B3000),0))</f>
        <v>0</v>
      </c>
      <c r="O417" s="2538" cm="1">
        <f t="array" ref="O417">INDEX('5층_부하량'!J3:J3000,MATCH(1,("5-DaHall 1-PDU-16"='5층_부하량'!A3:A3000)*(6='5층_부하량'!B3:B3000),0))</f>
        <v>0</v>
      </c>
      <c r="P417" s="2538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7" t="s">
        <v>5541</v>
      </c>
      <c r="B418" s="376" t="s">
        <v>4204</v>
      </c>
      <c r="C418" s="383" t="s">
        <v>4149</v>
      </c>
      <c r="D418" s="2538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8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68" t="s">
        <v>5542</v>
      </c>
      <c r="B419" s="87" t="s">
        <v>4204</v>
      </c>
      <c r="C419" s="88" t="s">
        <v>4149</v>
      </c>
      <c r="D419" s="392"/>
      <c r="E419" s="2532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4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289" t="s">
        <v>5543</v>
      </c>
      <c r="B420" s="376" t="s">
        <v>4204</v>
      </c>
      <c r="C420" s="383" t="s">
        <v>4149</v>
      </c>
      <c r="D420" s="395"/>
      <c r="E420" s="395"/>
      <c r="F420" s="2542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2" cm="1">
        <f t="array" ref="P420">INDEX('5층_부하량'!K3:K3000,MATCH(1,("5-DaHall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38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8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2" t="s">
        <v>3490</v>
      </c>
      <c r="B422" s="376" t="s">
        <v>4204</v>
      </c>
      <c r="C422" s="383" t="s">
        <v>4149</v>
      </c>
      <c r="D422" s="381"/>
      <c r="E422" s="2538" cm="1">
        <f t="array" ref="E422">INDEX('5층_부하량'!J3:J3000,MATCH(1,("5-DaHall 1-PDU-16"='5층_부하량'!A3:A3000)*(15='5층_부하량'!B3:B3000),0))</f>
        <v>0</v>
      </c>
      <c r="F422" s="381"/>
      <c r="G422" s="381"/>
      <c r="H422" s="2330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8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2" t="s">
        <v>3494</v>
      </c>
      <c r="B423" s="376" t="s">
        <v>4204</v>
      </c>
      <c r="C423" s="383" t="s">
        <v>4149</v>
      </c>
      <c r="D423" s="381"/>
      <c r="E423" s="381"/>
      <c r="F423" s="2538" cm="1">
        <f t="array" ref="F423">INDEX('5층_부하량'!K3:K3000,MATCH(1,("5-DaHall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8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2" t="s">
        <v>3496</v>
      </c>
      <c r="B424" s="376" t="s">
        <v>4204</v>
      </c>
      <c r="C424" s="383" t="s">
        <v>4149</v>
      </c>
      <c r="D424" s="2538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8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6.4" x14ac:dyDescent="0.25">
      <c r="A425" s="2223" t="s">
        <v>5549</v>
      </c>
      <c r="B425" s="376" t="s">
        <v>4204</v>
      </c>
      <c r="C425" s="383" t="s">
        <v>4149</v>
      </c>
      <c r="D425" s="381"/>
      <c r="E425" s="2538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8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38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8" cm="1">
        <f t="array" ref="P426">INDEX('5층_부하량'!K3:K3000,MATCH(1,("5-DaHall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38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8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38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8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43" cm="1">
        <f t="array" ref="F429">INDEX('5층_부하량'!K3:K3000,MATCH(1,("5-DaHall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3" cm="1">
        <f t="array" ref="P429">INDEX('5층_부하량'!K3:K3000,MATCH(1,("5-DaHall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27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979" t="s">
        <v>5555</v>
      </c>
      <c r="K431" s="3980"/>
      <c r="L431" s="2324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5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6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1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969" t="s">
        <v>5560</v>
      </c>
      <c r="D443" s="3969"/>
      <c r="E443" s="3969"/>
      <c r="F443" s="3969"/>
      <c r="G443" s="351"/>
      <c r="H443" s="352"/>
      <c r="I443" s="352"/>
      <c r="J443" s="3979" t="s">
        <v>4636</v>
      </c>
      <c r="K443" s="3980"/>
      <c r="L443" s="2324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37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32" t="s">
        <v>4171</v>
      </c>
      <c r="I446" s="2333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7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31" cm="1">
        <f t="array" ref="E447">INDEX('5층_부하량'!J3:J3000,MATCH(1,("5-DaHall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1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38" cm="1">
        <f t="array" ref="F448">INDEX('5층_부하량'!K3:K3000,MATCH(1,("5-DaHall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8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38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8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31" cm="1">
        <f t="array" ref="E450">INDEX('5층_부하량'!J3:J3000,MATCH(1,("5-DaHall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1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38" cm="1">
        <f t="array" ref="F451">INDEX('5층_부하량'!K3:K3000,MATCH(1,("5-DaHall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8" cm="1">
        <f t="array" ref="P451">INDEX('5층_부하량'!K3:K3000,MATCH(1,("5-DaHall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38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8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3" t="s">
        <v>4296</v>
      </c>
      <c r="D453" s="381"/>
      <c r="E453" s="2538" cm="1">
        <f t="array" ref="E453">INDEX('5층_부하량'!J3:J3000,MATCH(1,("5-DaHall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8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38" cm="1">
        <f t="array" ref="F454">INDEX('5층_부하량'!K3:K3000,MATCH(1,("5-DaHall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8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3" t="s">
        <v>4296</v>
      </c>
      <c r="D455" s="2538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8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3" t="s">
        <v>4296</v>
      </c>
      <c r="D456" s="381"/>
      <c r="E456" s="2531" cm="1">
        <f t="array" ref="E456">INDEX('5층_부하량'!J3:J3000,MATCH(1,("5-DaHall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1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3" t="s">
        <v>4296</v>
      </c>
      <c r="D457" s="381"/>
      <c r="E457" s="381"/>
      <c r="F457" s="2538" cm="1">
        <f t="array" ref="F457">INDEX('5층_부하량'!K3:K3000,MATCH(1,("5-DaHall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8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38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34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8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 x14ac:dyDescent="0.25">
      <c r="A459" s="390"/>
      <c r="B459" s="1286" t="s">
        <v>535</v>
      </c>
      <c r="C459" s="1287" t="s">
        <v>4296</v>
      </c>
      <c r="D459" s="381"/>
      <c r="E459" s="2538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34" t="s">
        <v>5614</v>
      </c>
      <c r="J459" s="1032"/>
      <c r="K459" s="1289"/>
      <c r="L459" s="583" t="s">
        <v>4479</v>
      </c>
      <c r="M459" s="409" t="s">
        <v>4171</v>
      </c>
      <c r="N459" s="381"/>
      <c r="O459" s="2538" cm="1">
        <f t="array" ref="O459">INDEX('5층_부하량'!J3:J3000,MATCH(1,("5-DaHall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 x14ac:dyDescent="0.25">
      <c r="A460" s="390"/>
      <c r="B460" s="1286" t="s">
        <v>535</v>
      </c>
      <c r="C460" s="1287" t="s">
        <v>4296</v>
      </c>
      <c r="D460" s="381"/>
      <c r="E460" s="381"/>
      <c r="F460" s="2538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34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8" cm="1">
        <f t="array" ref="P460">INDEX('5층_부하량'!K3:K3000,MATCH(1,("5-DaHall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 x14ac:dyDescent="0.25">
      <c r="A461" s="390"/>
      <c r="B461" s="1286" t="s">
        <v>535</v>
      </c>
      <c r="C461" s="1287" t="s">
        <v>4296</v>
      </c>
      <c r="D461" s="2538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34" t="s">
        <v>5616</v>
      </c>
      <c r="J461" s="1032"/>
      <c r="K461" s="1289"/>
      <c r="L461" s="583" t="s">
        <v>4488</v>
      </c>
      <c r="M461" s="409" t="s">
        <v>4171</v>
      </c>
      <c r="N461" s="2538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39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35" t="s">
        <v>5617</v>
      </c>
      <c r="J462" s="1037"/>
      <c r="K462" s="1201"/>
      <c r="L462" s="1202" t="s">
        <v>4492</v>
      </c>
      <c r="M462" s="426" t="s">
        <v>4171</v>
      </c>
      <c r="N462" s="427"/>
      <c r="O462" s="2539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27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6535</v>
      </c>
      <c r="C464" s="3969" t="s">
        <v>5618</v>
      </c>
      <c r="D464" s="3969"/>
      <c r="E464" s="3969"/>
      <c r="F464" s="3969"/>
      <c r="G464" s="351"/>
      <c r="H464" s="352"/>
      <c r="I464" s="352"/>
      <c r="J464" s="3979" t="s">
        <v>4636</v>
      </c>
      <c r="K464" s="3980"/>
      <c r="L464" s="2324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37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32" t="s">
        <v>4171</v>
      </c>
      <c r="I467" s="2333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7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31" cm="1">
        <f t="array" ref="E468">INDEX('5층_부하량'!J3:J3000,MATCH(1,("5-DaHall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1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38" cm="1">
        <f t="array" ref="F469">INDEX('5층_부하량'!K3:K3000,MATCH(1,("5-DaHall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8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38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8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31" cm="1">
        <f t="array" ref="E471">INDEX('5층_부하량'!J3:J3000,MATCH(1,("5-DaHall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1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38" cm="1">
        <f t="array" ref="F472">INDEX('5층_부하량'!K3:K3000,MATCH(1,("5-DaHall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8" cm="1">
        <f t="array" ref="P472">INDEX('5층_부하량'!K3:K3000,MATCH(1,("5-DaHall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38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8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3" t="s">
        <v>4296</v>
      </c>
      <c r="D474" s="381"/>
      <c r="E474" s="2538" cm="1">
        <f t="array" ref="E474">INDEX('5층_부하량'!J3:J3000,MATCH(1,("5-DaHall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8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3" t="s">
        <v>4296</v>
      </c>
      <c r="D475" s="381"/>
      <c r="E475" s="381"/>
      <c r="F475" s="2538" cm="1">
        <f t="array" ref="F475">INDEX('5층_부하량'!K3:K3000,MATCH(1,("5-DaHall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8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3" t="s">
        <v>4296</v>
      </c>
      <c r="D476" s="2538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8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3" t="s">
        <v>4296</v>
      </c>
      <c r="D477" s="381"/>
      <c r="E477" s="2531" cm="1">
        <f t="array" ref="E477">INDEX('5층_부하량'!J3:J3000,MATCH(1,("5-DaHall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1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3" t="s">
        <v>4296</v>
      </c>
      <c r="D478" s="381"/>
      <c r="E478" s="381"/>
      <c r="F478" s="2538" cm="1">
        <f t="array" ref="F478">INDEX('5층_부하량'!K3:K3000,MATCH(1,("5-DaHall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8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38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34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8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 x14ac:dyDescent="0.25">
      <c r="A480" s="390"/>
      <c r="B480" s="1286" t="s">
        <v>535</v>
      </c>
      <c r="C480" s="1287" t="s">
        <v>4296</v>
      </c>
      <c r="D480" s="381"/>
      <c r="E480" s="2538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34" t="s">
        <v>5614</v>
      </c>
      <c r="J480" s="1288"/>
      <c r="K480" s="1289"/>
      <c r="L480" s="583" t="s">
        <v>4479</v>
      </c>
      <c r="M480" s="409" t="s">
        <v>4171</v>
      </c>
      <c r="N480" s="381"/>
      <c r="O480" s="2538" cm="1">
        <f t="array" ref="O480">INDEX('5층_부하량'!J3:J3000,MATCH(1,("5-DaHall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 x14ac:dyDescent="0.25">
      <c r="A481" s="390"/>
      <c r="B481" s="1286" t="s">
        <v>535</v>
      </c>
      <c r="C481" s="1287" t="s">
        <v>4296</v>
      </c>
      <c r="D481" s="381"/>
      <c r="E481" s="381"/>
      <c r="F481" s="2538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34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8" cm="1">
        <f t="array" ref="P481">INDEX('5층_부하량'!K3:K3000,MATCH(1,("5-DaHall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 x14ac:dyDescent="0.25">
      <c r="A482" s="390"/>
      <c r="B482" s="1286" t="s">
        <v>535</v>
      </c>
      <c r="C482" s="1287" t="s">
        <v>4296</v>
      </c>
      <c r="D482" s="2538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34" t="s">
        <v>5616</v>
      </c>
      <c r="J482" s="1288"/>
      <c r="K482" s="1289"/>
      <c r="L482" s="583" t="s">
        <v>4488</v>
      </c>
      <c r="M482" s="409" t="s">
        <v>4171</v>
      </c>
      <c r="N482" s="2538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39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35" t="s">
        <v>5617</v>
      </c>
      <c r="J483" s="1200"/>
      <c r="K483" s="1201"/>
      <c r="L483" s="1202" t="s">
        <v>4492</v>
      </c>
      <c r="M483" s="426" t="s">
        <v>4171</v>
      </c>
      <c r="N483" s="427"/>
      <c r="O483" s="2539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27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6536</v>
      </c>
      <c r="C485" s="3969" t="s">
        <v>5645</v>
      </c>
      <c r="D485" s="3969"/>
      <c r="E485" s="3969"/>
      <c r="F485" s="3969"/>
      <c r="G485" s="351"/>
      <c r="H485" s="352"/>
      <c r="I485" s="352"/>
      <c r="J485" s="3979" t="s">
        <v>4288</v>
      </c>
      <c r="K485" s="3980"/>
      <c r="L485" s="2324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37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32" t="s">
        <v>4509</v>
      </c>
      <c r="I488" s="2333" t="s">
        <v>4151</v>
      </c>
      <c r="J488" s="1018"/>
      <c r="K488" s="1019"/>
      <c r="L488" s="581" t="s">
        <v>4436</v>
      </c>
      <c r="M488" s="366" t="s">
        <v>4574</v>
      </c>
      <c r="N488" s="2537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31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4574</v>
      </c>
      <c r="I489" s="2334" t="s">
        <v>4156</v>
      </c>
      <c r="J489" s="1020"/>
      <c r="K489" s="1021"/>
      <c r="L489" s="582" t="s">
        <v>4438</v>
      </c>
      <c r="M489" s="376" t="s">
        <v>4574</v>
      </c>
      <c r="N489" s="381"/>
      <c r="O489" s="2531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38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34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8" cm="1">
        <f t="array" ref="P490">INDEX('5층_부하량'!K3:K3000,MATCH(1,("5-DaHall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38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8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31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1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38" cm="1">
        <f t="array" ref="F493">INDEX('5층_부하량'!K3:K3000,MATCH(1,("5-DaHall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8" cm="1">
        <f t="array" ref="P493">INDEX('5층_부하량'!K3:K3000,MATCH(1,("5-DaHall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38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8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38" cm="1">
        <f t="array" ref="E495">INDEX('5층_부하량'!J3:J3000,MATCH(1,("5-DaHall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8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38" cm="1">
        <f t="array" ref="F496">INDEX('5층_부하량'!K3:K3000,MATCH(1,("5-DaHall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8" cm="1">
        <f t="array" ref="P496">INDEX('5층_부하량'!K3:K3000,MATCH(1,("5-DaHall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38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8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3" t="s">
        <v>4296</v>
      </c>
      <c r="D498" s="381"/>
      <c r="E498" s="2531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34" t="s">
        <v>5667</v>
      </c>
      <c r="J498" s="1022"/>
      <c r="K498" s="1023"/>
      <c r="L498" s="583" t="s">
        <v>5668</v>
      </c>
      <c r="M498" s="376" t="s">
        <v>4574</v>
      </c>
      <c r="N498" s="381"/>
      <c r="O498" s="2531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39" cm="1">
        <f t="array" ref="F499">INDEX('5층_부하량'!K3:K3000,MATCH(1,("5-DaHall 1-PDU-19"='5층_부하량'!A3:A3000)*(23='5층_부하량'!B3:B3000),0))</f>
        <v>0</v>
      </c>
      <c r="G499" s="427"/>
      <c r="H499" s="426" t="s">
        <v>4574</v>
      </c>
      <c r="I499" s="2335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9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27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6537</v>
      </c>
      <c r="C501" s="3969" t="s">
        <v>5672</v>
      </c>
      <c r="D501" s="3969"/>
      <c r="E501" s="3969"/>
      <c r="F501" s="3969"/>
      <c r="G501" s="351"/>
      <c r="H501" s="352"/>
      <c r="I501" s="352"/>
      <c r="J501" s="3979" t="s">
        <v>4288</v>
      </c>
      <c r="K501" s="3980"/>
      <c r="L501" s="2324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37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32" t="s">
        <v>4509</v>
      </c>
      <c r="I504" s="2333" t="s">
        <v>4151</v>
      </c>
      <c r="J504" s="1018"/>
      <c r="K504" s="1019"/>
      <c r="L504" s="581" t="s">
        <v>4436</v>
      </c>
      <c r="M504" s="366" t="s">
        <v>4574</v>
      </c>
      <c r="N504" s="2537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31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4574</v>
      </c>
      <c r="I505" s="2334" t="s">
        <v>4156</v>
      </c>
      <c r="J505" s="1020"/>
      <c r="K505" s="1021"/>
      <c r="L505" s="582" t="s">
        <v>4438</v>
      </c>
      <c r="M505" s="376" t="s">
        <v>4574</v>
      </c>
      <c r="N505" s="381"/>
      <c r="O505" s="2531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38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34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8" cm="1">
        <f t="array" ref="P506">INDEX('5층_부하량'!K3:K3000,MATCH(1,("5-DaHall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38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8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31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1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38" cm="1">
        <f t="array" ref="F509">INDEX('5층_부하량'!K3:K3000,MATCH(1,("5-DaHall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8" cm="1">
        <f t="array" ref="P509">INDEX('5층_부하량'!K3:K3000,MATCH(1,("5-DaHall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38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8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38" cm="1">
        <f t="array" ref="E511">INDEX('5층_부하량'!J3:J3000,MATCH(1,("5-DaHall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8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38" cm="1">
        <f t="array" ref="F512">INDEX('5층_부하량'!K3:K3000,MATCH(1,("5-DaHall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8" cm="1">
        <f t="array" ref="P512">INDEX('5층_부하량'!K3:K3000,MATCH(1,("5-DaHall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38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8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3" t="s">
        <v>4296</v>
      </c>
      <c r="D514" s="381"/>
      <c r="E514" s="2531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34" t="s">
        <v>5667</v>
      </c>
      <c r="J514" s="1022"/>
      <c r="K514" s="1023"/>
      <c r="L514" s="583" t="s">
        <v>5668</v>
      </c>
      <c r="M514" s="376" t="s">
        <v>4574</v>
      </c>
      <c r="N514" s="381"/>
      <c r="O514" s="2531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39" cm="1">
        <f t="array" ref="F515">INDEX('5층_부하량'!K3:K3000,MATCH(1,("5-DaHall 1-PDU-20"='5층_부하량'!A3:A3000)*(23='5층_부하량'!B3:B3000),0))</f>
        <v>0</v>
      </c>
      <c r="G515" s="427"/>
      <c r="H515" s="426" t="s">
        <v>4574</v>
      </c>
      <c r="I515" s="2335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9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27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6538</v>
      </c>
      <c r="C517" s="3969" t="s">
        <v>5694</v>
      </c>
      <c r="D517" s="3969"/>
      <c r="E517" s="3969"/>
      <c r="F517" s="3969"/>
      <c r="G517" s="351"/>
      <c r="H517" s="352"/>
      <c r="I517" s="352"/>
      <c r="J517" s="3979" t="s">
        <v>4288</v>
      </c>
      <c r="K517" s="3980"/>
      <c r="L517" s="2324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37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32" t="s">
        <v>4509</v>
      </c>
      <c r="I520" s="2333" t="s">
        <v>4151</v>
      </c>
      <c r="J520" s="1018"/>
      <c r="K520" s="1019"/>
      <c r="L520" s="581" t="s">
        <v>4436</v>
      </c>
      <c r="M520" s="366" t="s">
        <v>4574</v>
      </c>
      <c r="N520" s="2537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31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4574</v>
      </c>
      <c r="I521" s="2334" t="s">
        <v>4156</v>
      </c>
      <c r="J521" s="1020"/>
      <c r="K521" s="1021"/>
      <c r="L521" s="582" t="s">
        <v>4438</v>
      </c>
      <c r="M521" s="376" t="s">
        <v>4574</v>
      </c>
      <c r="N521" s="381"/>
      <c r="O521" s="2531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38" cm="1">
        <f t="array" ref="F522">INDEX('5층_부하량'!K3:K3000,MATCH(1,("5-DaHall 1-PDU-21"='5층_부하량'!A3:A3000)*(5='5층_부하량'!B3:B3000),0))</f>
        <v>0</v>
      </c>
      <c r="G522" s="381"/>
      <c r="H522" s="376" t="s">
        <v>4574</v>
      </c>
      <c r="I522" s="2334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8" cm="1">
        <f t="array" ref="P522">INDEX('5층_부하량'!K3:K3000,MATCH(1,("5-DaHall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38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8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31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1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38" cm="1">
        <f t="array" ref="F525">INDEX('5층_부하량'!K3:K3000,MATCH(1,("5-DaHall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8" cm="1">
        <f t="array" ref="P525">INDEX('5층_부하량'!K3:K3000,MATCH(1,("5-DaHall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38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8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38" cm="1">
        <f t="array" ref="E527">INDEX('5층_부하량'!J3:J3000,MATCH(1,("5-DaHall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8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38" cm="1">
        <f t="array" ref="F528">INDEX('5층_부하량'!K3:K3000,MATCH(1,("5-DaHall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8" cm="1">
        <f t="array" ref="P528">INDEX('5층_부하량'!K3:K3000,MATCH(1,("5-DaHall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38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8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3" t="s">
        <v>4296</v>
      </c>
      <c r="D530" s="381"/>
      <c r="E530" s="2531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34" t="s">
        <v>5667</v>
      </c>
      <c r="J530" s="1022"/>
      <c r="K530" s="1023"/>
      <c r="L530" s="583" t="s">
        <v>5668</v>
      </c>
      <c r="M530" s="376" t="s">
        <v>4574</v>
      </c>
      <c r="N530" s="381"/>
      <c r="O530" s="2531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39" cm="1">
        <f t="array" ref="F531">INDEX('5층_부하량'!K3:K3000,MATCH(1,("5-DaHall 1-PDU-21"='5층_부하량'!A3:A3000)*(23='5층_부하량'!B3:B3000),0))</f>
        <v>0</v>
      </c>
      <c r="G531" s="427"/>
      <c r="H531" s="426" t="s">
        <v>4574</v>
      </c>
      <c r="I531" s="2335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9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27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6540</v>
      </c>
      <c r="C533" s="3969" t="s">
        <v>5716</v>
      </c>
      <c r="D533" s="3969"/>
      <c r="E533" s="3969"/>
      <c r="F533" s="3969"/>
      <c r="G533" s="351"/>
      <c r="H533" s="352"/>
      <c r="I533" s="352"/>
      <c r="J533" s="3979" t="s">
        <v>4288</v>
      </c>
      <c r="K533" s="3980"/>
      <c r="L533" s="2324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37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32" t="s">
        <v>4509</v>
      </c>
      <c r="I536" s="2333" t="s">
        <v>4151</v>
      </c>
      <c r="J536" s="1018"/>
      <c r="K536" s="1019"/>
      <c r="L536" s="581" t="s">
        <v>4436</v>
      </c>
      <c r="M536" s="366" t="s">
        <v>4574</v>
      </c>
      <c r="N536" s="2537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31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4574</v>
      </c>
      <c r="I537" s="2334" t="s">
        <v>4156</v>
      </c>
      <c r="J537" s="1020"/>
      <c r="K537" s="1021"/>
      <c r="L537" s="582" t="s">
        <v>4438</v>
      </c>
      <c r="M537" s="376" t="s">
        <v>4574</v>
      </c>
      <c r="N537" s="381"/>
      <c r="O537" s="2531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38" cm="1">
        <f t="array" ref="F538">INDEX('5층_부하량'!K3:K3000,MATCH(1,("5-DaHall 1-PDU-22"='5층_부하량'!A3:A3000)*(5='5층_부하량'!B3:B3000),0))</f>
        <v>0</v>
      </c>
      <c r="G538" s="381"/>
      <c r="H538" s="376" t="s">
        <v>4574</v>
      </c>
      <c r="I538" s="2334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8" cm="1">
        <f t="array" ref="P538">INDEX('5층_부하량'!K3:K3000,MATCH(1,("5-DaHall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38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8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31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1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38" cm="1">
        <f t="array" ref="F541">INDEX('5층_부하량'!K3:K3000,MATCH(1,("5-DaHall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8" cm="1">
        <f t="array" ref="P541">INDEX('5층_부하량'!K3:K3000,MATCH(1,("5-DaHall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38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8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38" cm="1">
        <f t="array" ref="E543">INDEX('5층_부하량'!J3:J3000,MATCH(1,("5-DaHall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8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38" cm="1">
        <f t="array" ref="F544">INDEX('5층_부하량'!K3:K3000,MATCH(1,("5-DaHall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8" cm="1">
        <f t="array" ref="P544">INDEX('5층_부하량'!K3:K3000,MATCH(1,("5-DaHall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38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8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3" t="s">
        <v>4296</v>
      </c>
      <c r="D546" s="381"/>
      <c r="E546" s="2531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34" t="s">
        <v>5667</v>
      </c>
      <c r="J546" s="1022"/>
      <c r="K546" s="1023"/>
      <c r="L546" s="583" t="s">
        <v>5668</v>
      </c>
      <c r="M546" s="376" t="s">
        <v>4574</v>
      </c>
      <c r="N546" s="381"/>
      <c r="O546" s="2531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39" cm="1">
        <f t="array" ref="F547">INDEX('5층_부하량'!K3:K3000,MATCH(1,("5-DaHall 1-PDU-22"='5층_부하량'!A3:A3000)*(23='5층_부하량'!B3:B3000),0))</f>
        <v>0</v>
      </c>
      <c r="G547" s="427"/>
      <c r="H547" s="426" t="s">
        <v>4574</v>
      </c>
      <c r="I547" s="2335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9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27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27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5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36" t="s">
        <v>5740</v>
      </c>
      <c r="I552" s="2337" t="s">
        <v>5741</v>
      </c>
      <c r="J552" s="369" t="s">
        <v>5742</v>
      </c>
      <c r="K552" s="370" t="s">
        <v>3917</v>
      </c>
      <c r="L552" s="581" t="s">
        <v>4444</v>
      </c>
      <c r="M552" s="2332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38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34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35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27"/>
    </row>
    <row r="556" spans="1:20" s="350" customFormat="1" ht="17.399999999999999" x14ac:dyDescent="0.25">
      <c r="D556" s="350" t="s">
        <v>4542</v>
      </c>
      <c r="E556" s="350" t="s">
        <v>5754</v>
      </c>
      <c r="L556" s="2327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27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39" t="s">
        <v>3509</v>
      </c>
      <c r="D558" s="406">
        <f>SUM(N356:P356,N415:P415,D356:F356,D415:F415,D425:F425)</f>
        <v>0</v>
      </c>
      <c r="E558" s="449" t="e">
        <f t="shared" si="0"/>
        <v>#DIV/0!</v>
      </c>
      <c r="L558" s="2327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39" t="s">
        <v>5756</v>
      </c>
      <c r="D559" s="406">
        <f>SUM(D553:F554,N553:P554)</f>
        <v>0</v>
      </c>
      <c r="E559" s="449" t="e">
        <f t="shared" si="0"/>
        <v>#DIV/0!</v>
      </c>
      <c r="L559" s="2327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39" t="s">
        <v>5757</v>
      </c>
      <c r="D560" s="986">
        <f>SUM(N463:P463)</f>
        <v>0</v>
      </c>
      <c r="E560" s="987" t="e">
        <f t="shared" si="0"/>
        <v>#DIV/0!</v>
      </c>
      <c r="L560" s="2327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39" t="s">
        <v>5758</v>
      </c>
      <c r="D561" s="986">
        <f>SUM(N484:P484)</f>
        <v>0</v>
      </c>
      <c r="E561" s="987" t="e">
        <f t="shared" si="0"/>
        <v>#DIV/0!</v>
      </c>
      <c r="F561" s="2340" t="s">
        <v>5759</v>
      </c>
      <c r="G561" s="988" t="e">
        <f>SUM(E560:E561)</f>
        <v>#DIV/0!</v>
      </c>
      <c r="H561" s="406"/>
      <c r="L561" s="2327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39" t="s">
        <v>5760</v>
      </c>
      <c r="D562" s="986">
        <f>SUM(D362:F362,D367:F367,D370:F370,D421:F424,D426:F429,N426:P426,N429:P429)</f>
        <v>0</v>
      </c>
      <c r="E562" s="987" t="e">
        <f t="shared" si="0"/>
        <v>#DIV/0!</v>
      </c>
      <c r="F562" s="2340"/>
      <c r="G562" s="988"/>
      <c r="L562" s="2327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7" t="s">
        <v>5761</v>
      </c>
      <c r="C563" s="1208"/>
      <c r="D563" s="1209">
        <f>SUM(N500:P500,N516:P516,N532:P532,N548:P548)</f>
        <v>0</v>
      </c>
      <c r="E563" s="1210" t="e">
        <f t="shared" si="0"/>
        <v>#DIV/0!</v>
      </c>
      <c r="F563" s="2327"/>
      <c r="L563" s="2327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0</v>
      </c>
      <c r="E564" s="451" t="e">
        <f t="shared" si="0"/>
        <v>#DIV/0!</v>
      </c>
      <c r="J564" s="406"/>
      <c r="L564" s="2327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27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27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27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27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27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977" t="s">
        <v>5746</v>
      </c>
      <c r="C570" s="3978"/>
      <c r="J570" s="455"/>
      <c r="L570" s="2327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27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27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27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27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27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5763</v>
      </c>
      <c r="J576" s="455"/>
      <c r="L576" s="2327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27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27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5764</v>
      </c>
      <c r="J579" s="455"/>
      <c r="L579" s="2327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27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27"/>
      <c r="Q581" s="406">
        <f>SUM(Q579:Q580)</f>
        <v>0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27"/>
    </row>
    <row r="583" spans="2:18" s="350" customFormat="1" ht="17.399999999999999" x14ac:dyDescent="0.25">
      <c r="B583" s="458"/>
      <c r="F583" s="3977" t="s">
        <v>5765</v>
      </c>
      <c r="G583" s="3978"/>
      <c r="H583" s="464" t="s">
        <v>5766</v>
      </c>
      <c r="I583" s="464"/>
      <c r="J583" s="464" t="s">
        <v>5767</v>
      </c>
      <c r="L583" s="2327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27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27"/>
    </row>
    <row r="586" spans="2:18" s="350" customFormat="1" ht="17.399999999999999" x14ac:dyDescent="0.25">
      <c r="L586" s="2327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239"/>
  <sheetViews>
    <sheetView view="pageBreakPreview" topLeftCell="A185" zoomScale="85" zoomScaleNormal="80" zoomScaleSheetLayoutView="85" workbookViewId="0">
      <selection activeCell="D202" sqref="D202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53"/>
    </row>
    <row r="2" spans="1:22" ht="15" thickBot="1" x14ac:dyDescent="0.3">
      <c r="V2" s="2065"/>
    </row>
    <row r="3" spans="1:22" ht="18.600000000000001" thickTop="1" thickBot="1" x14ac:dyDescent="0.3">
      <c r="A3" s="2" t="s">
        <v>6506</v>
      </c>
      <c r="D3" s="3970" t="s">
        <v>5769</v>
      </c>
      <c r="E3" s="3976"/>
      <c r="F3" s="123"/>
      <c r="G3" s="3969" t="s">
        <v>5770</v>
      </c>
      <c r="H3" s="3969"/>
      <c r="I3" s="3969"/>
      <c r="K3" s="2" t="s">
        <v>6507</v>
      </c>
      <c r="N3" s="3970" t="s">
        <v>5769</v>
      </c>
      <c r="O3" s="3976"/>
      <c r="P3" s="123"/>
      <c r="Q3" s="3969" t="s">
        <v>5772</v>
      </c>
      <c r="R3" s="3969"/>
      <c r="S3" s="3969"/>
    </row>
    <row r="4" spans="1:22" ht="18" thickTop="1" thickBot="1" x14ac:dyDescent="0.3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28" cm="1">
        <f t="array" ref="D6">INDEX('4층_부하량'!C3:C3000,MATCH(1,("4-DaHall 1-PDU-02"='4층_부하량'!A3:A3000)*(1='4층_부하량'!B3:B3000),0))</f>
        <v>0</v>
      </c>
      <c r="E6" s="2528" cm="1">
        <f t="array" ref="E6">INDEX('4층_부하량'!D3:D3000,MATCH(1,("4-DaHall 1-PDU-02"='4층_부하량'!A3:A3000)*(1='4층_부하량'!B3:B3000),0))</f>
        <v>0</v>
      </c>
      <c r="F6" s="2528" cm="1">
        <f t="array" ref="F6">INDEX('4층_부하량'!E3:E3000,MATCH(1,("4-DaHall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8" cm="1">
        <f t="array" ref="N6">INDEX('4층_부하량'!C3:C3000,MATCH(1,("4-DaHall 1-PDU-04"='4층_부하량'!A3:A3000)*(1='4층_부하량'!B3:B3000),0))</f>
        <v>0</v>
      </c>
      <c r="O6" s="2528" cm="1">
        <f t="array" ref="O6">INDEX('4층_부하량'!D3:D3000,MATCH(1,("4-DaHall 1-PDU-04"='4층_부하량'!A3:A3000)*(1='4층_부하량'!B3:B3000),0))</f>
        <v>0</v>
      </c>
      <c r="P6" s="2528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29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9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31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1" cm="1">
        <f t="array" ref="O8">INDEX('4층_부하량'!D3:D3000,MATCH(1,("4-DaHall 1-PDU-04"='4층_부하량'!A3:A3000)*(3='4층_부하량'!B3:B3000),0))</f>
        <v>0</v>
      </c>
      <c r="P8" s="21"/>
      <c r="Q8" s="2554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31" cm="1">
        <f t="array" ref="F9">INDEX('4층_부하량'!E3:E3000,MATCH(1,("4-DaHall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1" cm="1">
        <f t="array" ref="P9">INDEX('4층_부하량'!E3:E3000,MATCH(1,("4-DaHall 1-PDU-04"='4층_부하량'!A3:A3000)*(4='4층_부하량'!B3:B3000),0))</f>
        <v>0</v>
      </c>
      <c r="Q9" s="2554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32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2" cm="1">
        <f t="array" ref="N10">INDEX('4층_부하량'!C3:C3000,MATCH(1,("4-DaHall 1-PDU-04"='4층_부하량'!A3:A3000)*(5='4층_부하량'!B3:B3000),0))</f>
        <v>0</v>
      </c>
      <c r="O10" s="25"/>
      <c r="P10" s="25"/>
      <c r="Q10" s="2555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31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1" cm="1">
        <f t="array" ref="O11">INDEX('4층_부하량'!D3:D3000,MATCH(1,("4-DaHall 1-PDU-04"='4층_부하량'!A3:A3000)*(6='4층_부하량'!B3:B3000),0))</f>
        <v>0</v>
      </c>
      <c r="P11" s="21"/>
      <c r="Q11" s="2554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32" cm="1">
        <f t="array" ref="F12">INDEX('4층_부하량'!E3:E3000,MATCH(1,("4-DaHall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2" cm="1">
        <f t="array" ref="P12">INDEX('4층_부하량'!E3:E3000,MATCH(1,("4-DaHall 1-PDU-04"='4층_부하량'!A3:A3000)*(7='4층_부하량'!B3:B3000),0))</f>
        <v>0</v>
      </c>
      <c r="Q12" s="2555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31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1" cm="1">
        <f t="array" ref="N13">INDEX('4층_부하량'!C3:C3000,MATCH(1,("4-DaHall 1-PDU-04"='4층_부하량'!A3:A3000)*(8='4층_부하량'!B3:B3000),0))</f>
        <v>0</v>
      </c>
      <c r="O13" s="21"/>
      <c r="P13" s="21"/>
      <c r="Q13" s="2554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33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3" cm="1">
        <f t="array" ref="O14">INDEX('4층_부하량'!D3:D3000,MATCH(1,("4-DaHall 1-PDU-04"='4층_부하량'!A3:A3000)*(9='4층_부하량'!B3:B3000),0))</f>
        <v>0</v>
      </c>
      <c r="P14" s="30"/>
      <c r="Q14" s="2556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6508</v>
      </c>
      <c r="D16" s="3970" t="s">
        <v>5769</v>
      </c>
      <c r="E16" s="3976"/>
      <c r="F16" s="123"/>
      <c r="G16" s="3969" t="s">
        <v>5792</v>
      </c>
      <c r="H16" s="3969"/>
      <c r="I16" s="3969"/>
      <c r="K16" s="636" t="s">
        <v>6509</v>
      </c>
      <c r="N16" s="3970" t="s">
        <v>5769</v>
      </c>
      <c r="O16" s="3976"/>
      <c r="P16" s="123"/>
      <c r="Q16" s="3969" t="s">
        <v>5794</v>
      </c>
      <c r="R16" s="3969"/>
      <c r="S16" s="3969"/>
    </row>
    <row r="17" spans="1:20" ht="18" thickTop="1" thickBot="1" x14ac:dyDescent="0.3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28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8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29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9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31" cm="1">
        <f t="array" ref="F21">INDEX('4층_부하량'!E3:E3000,MATCH(1,("4-DaHall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1" cm="1">
        <f t="array" ref="P21">INDEX('4층_부하량'!E3:E3000,MATCH(1,("4-DaHall 1-PDU-08"='4층_부하량'!A3:A3000)*(3='4층_부하량'!B3:B3000),0))</f>
        <v>0</v>
      </c>
      <c r="Q21" s="2554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31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1" cm="1">
        <f t="array" ref="N22">INDEX('4층_부하량'!C3:C3000,MATCH(1,("4-DaHall 1-PDU-08"='4층_부하량'!A3:A3000)*(4='4층_부하량'!B3:B3000),0))</f>
        <v>0</v>
      </c>
      <c r="O22" s="21"/>
      <c r="P22" s="21"/>
      <c r="Q22" s="2554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31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1" cm="1">
        <f t="array" ref="O23">INDEX('4층_부하량'!D3:D3000,MATCH(1,("4-DaHall 1-PDU-08"='4층_부하량'!A3:A3000)*(5='4층_부하량'!B3:B3000),0))</f>
        <v>0</v>
      </c>
      <c r="P23" s="25"/>
      <c r="Q23" s="2555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31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1" cm="1">
        <f t="array" ref="P24">INDEX('4층_부하량'!E3:E3000,MATCH(1,("4-DaHall 1-PDU-08"='4층_부하량'!A3:A3000)*(6='4층_부하량'!B3:B3000),0))</f>
        <v>0</v>
      </c>
      <c r="Q24" s="2554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32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2" cm="1">
        <f t="array" ref="N25">INDEX('4층_부하량'!C3:C3000,MATCH(1,("4-DaHall 1-PDU-08"='4층_부하량'!A3:A3000)*(7='4층_부하량'!B3:B3000),0))</f>
        <v>0</v>
      </c>
      <c r="O25" s="25"/>
      <c r="P25" s="25"/>
      <c r="Q25" s="2555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31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1" cm="1">
        <f t="array" ref="O26">INDEX('4층_부하량'!D3:D3000,MATCH(1,("4-DaHall 1-PDU-08"='4층_부하량'!A3:A3000)*(8='4층_부하량'!B3:B3000),0))</f>
        <v>0</v>
      </c>
      <c r="P26" s="21"/>
      <c r="Q26" s="2554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31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1" cm="1">
        <f t="array" ref="P27">INDEX('4층_부하량'!E3:E3000,MATCH(1,("4-DaHall 1-PDU-08"='4층_부하량'!A3:A3000)*(9='4층_부하량'!B3:B3000),0))</f>
        <v>0</v>
      </c>
      <c r="Q27" s="2554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31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1" cm="1">
        <f t="array" ref="N28">INDEX('4층_부하량'!C3:C3000,MATCH(1,("4-DaHall 1-PDU-08"='4층_부하량'!A3:A3000)*(10='4층_부하량'!B3:B3000),0))</f>
        <v>0</v>
      </c>
      <c r="O28" s="21"/>
      <c r="P28" s="21"/>
      <c r="Q28" s="2554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31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1" cm="1">
        <f t="array" ref="O29">INDEX('4층_부하량'!D3:D3000,MATCH(1,("4-DaHall 1-PDU-08"='4층_부하량'!A3:A3000)*(11='4층_부하량'!B3:B3000),0))</f>
        <v>0</v>
      </c>
      <c r="P29" s="21"/>
      <c r="Q29" s="2554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30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30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6510</v>
      </c>
      <c r="D32" s="3970" t="s">
        <v>5769</v>
      </c>
      <c r="E32" s="3976"/>
      <c r="F32" s="123"/>
      <c r="G32" s="3969" t="s">
        <v>5821</v>
      </c>
      <c r="H32" s="3969"/>
      <c r="I32" s="3969"/>
      <c r="K32" s="2" t="s">
        <v>6511</v>
      </c>
      <c r="N32" s="3970" t="s">
        <v>5769</v>
      </c>
      <c r="O32" s="3976"/>
      <c r="P32" s="123"/>
      <c r="Q32" s="3969" t="s">
        <v>5823</v>
      </c>
      <c r="R32" s="3969"/>
      <c r="S32" s="3969"/>
    </row>
    <row r="33" spans="1:20" ht="18" thickTop="1" thickBot="1" x14ac:dyDescent="0.3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28" cm="1">
        <f t="array" ref="D35">INDEX('4층_부하량'!C3:C3000,MATCH(1,("4-DaHall 1-PDU-10"='4층_부하량'!A3:A3000)*(1='4층_부하량'!B3:B3000),0))</f>
        <v>0</v>
      </c>
      <c r="E35" s="2528" cm="1">
        <f t="array" ref="E35">INDEX('4층_부하량'!D3:D3000,MATCH(1,("4-DaHall 1-PDU-10"='4층_부하량'!A3:A3000)*(1='4층_부하량'!B3:B3000),0))</f>
        <v>0</v>
      </c>
      <c r="F35" s="2528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8" cm="1">
        <f t="array" ref="N35">INDEX('4층_부하량'!C3:C3000,MATCH(1,("4-DaHall 1-PDU-01"='4층_부하량'!A3:A3000)*(1='4층_부하량'!B3:B3000),0))</f>
        <v>0</v>
      </c>
      <c r="O35" s="2528" cm="1">
        <f t="array" ref="O35">INDEX('4층_부하량'!D3:D3000,MATCH(1,("4-DaHall 1-PDU-01"='4층_부하량'!A3:A3000)*(1='4층_부하량'!B3:B3000),0))</f>
        <v>0</v>
      </c>
      <c r="P35" s="2528" cm="1">
        <f t="array" ref="P35">INDEX('4층_부하량'!E3:E3000,MATCH(1,("4-DaHall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29" cm="1">
        <f t="array" ref="D36">INDEX('4층_부하량'!C3:C3000,MATCH(1,("4-DaHall 1-PDU-10"='4층_부하량'!A3:A3000)*(2='4층_부하량'!B3:B3000),0))</f>
        <v>0</v>
      </c>
      <c r="E36" s="2529" cm="1">
        <f t="array" ref="E36">INDEX('4층_부하량'!D3:D3000,MATCH(1,("4-DaHall 1-PDU-10"='4층_부하량'!A3:A3000)*(2='4층_부하량'!B3:B3000),0))</f>
        <v>0</v>
      </c>
      <c r="F36" s="2529" cm="1">
        <f t="array" ref="F36">INDEX('4층_부하량'!E3:E3000,MATCH(1,("4-DaHall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9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30" cm="1">
        <f t="array" ref="D37">INDEX('4층_부하량'!C3:C3000,MATCH(1,("4-DaHall 1-PDU-10"='4층_부하량'!A3:A3000)*(3='4층_부하량'!B3:B3000),0))</f>
        <v>0</v>
      </c>
      <c r="E37" s="2530" cm="1">
        <f t="array" ref="E37">INDEX('4층_부하량'!D3:D3000,MATCH(1,("4-DaHall 1-PDU-10"='4층_부하량'!A3:A3000)*(3='4층_부하량'!B3:B3000),0))</f>
        <v>0</v>
      </c>
      <c r="F37" s="2530" cm="1">
        <f t="array" ref="F37">INDEX('4층_부하량'!E3:E3000,MATCH(1,("4-DaHall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1" cm="1">
        <f t="array" ref="O37">INDEX('4층_부하량'!D3:D3000,MATCH(1,("4-DaHall 1-PDU-01"='4층_부하량'!A3:A3000)*(3='4층_부하량'!B3:B3000),0))</f>
        <v>0</v>
      </c>
      <c r="P37" s="21"/>
      <c r="Q37" s="2554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1" cm="1">
        <f t="array" ref="P38">INDEX('4층_부하량'!E3:E3000,MATCH(1,("4-DaHall 1-PDU-01"='4층_부하량'!A3:A3000)*(4='4층_부하량'!B3:B3000),0))</f>
        <v>0</v>
      </c>
      <c r="Q38" s="2554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2" cm="1">
        <f t="array" ref="N39">INDEX('4층_부하량'!C3:C3000,MATCH(1,("4-DaHall 1-PDU-01"='4층_부하량'!A3:A3000)*(5='4층_부하량'!B3:B3000),0))</f>
        <v>0</v>
      </c>
      <c r="O39" s="25"/>
      <c r="P39" s="25"/>
      <c r="Q39" s="2555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1" cm="1">
        <f t="array" ref="O40">INDEX('4층_부하량'!D3:D3000,MATCH(1,("4-DaHall 1-PDU-01"='4층_부하량'!A3:A3000)*(6='4층_부하량'!B3:B3000),0))</f>
        <v>0</v>
      </c>
      <c r="P40" s="21"/>
      <c r="Q40" s="2554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2" cm="1">
        <f t="array" ref="P41">INDEX('4층_부하량'!E3:E3000,MATCH(1,("4-DaHall 1-PDU-01"='4층_부하량'!A3:A3000)*(7='4층_부하량'!B3:B3000),0))</f>
        <v>0</v>
      </c>
      <c r="Q41" s="2555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1" cm="1">
        <f t="array" ref="N42">INDEX('4층_부하량'!C3:C3000,MATCH(1,("4-DaHall 1-PDU-01"='4층_부하량'!A3:A3000)*(8='4층_부하량'!B3:B3000),0))</f>
        <v>0</v>
      </c>
      <c r="O42" s="21"/>
      <c r="P42" s="21"/>
      <c r="Q42" s="2554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30" cm="1">
        <f t="array" ref="O43">INDEX('4층_부하량'!D3:D3000,MATCH(1,("4-DaHall 1-PDU-01"='4층_부하량'!A3:A3000)*(9='4층_부하량'!B3:B3000),0))</f>
        <v>0</v>
      </c>
      <c r="P43" s="30"/>
      <c r="Q43" s="2556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6512</v>
      </c>
      <c r="D45" s="3970" t="s">
        <v>4288</v>
      </c>
      <c r="E45" s="3976"/>
      <c r="F45" s="123"/>
      <c r="G45" s="3969" t="s">
        <v>5837</v>
      </c>
      <c r="H45" s="3969"/>
      <c r="I45" s="3969"/>
      <c r="K45" s="2" t="s">
        <v>6513</v>
      </c>
      <c r="N45" s="3970" t="s">
        <v>4288</v>
      </c>
      <c r="O45" s="3976"/>
      <c r="P45" s="123"/>
      <c r="Q45" s="3969" t="s">
        <v>5839</v>
      </c>
      <c r="R45" s="3969"/>
      <c r="S45" s="3969"/>
    </row>
    <row r="46" spans="1:20" ht="18" thickTop="1" thickBot="1" x14ac:dyDescent="0.3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28" cm="1">
        <f t="array" ref="D48">INDEX('4층_부하량'!C3:C3000,MATCH(1,("4-DaHall 1-PDU-03"='4층_부하량'!A3:A3000)*(1='4층_부하량'!B3:B3000),0))</f>
        <v>0</v>
      </c>
      <c r="E48" s="2528" cm="1">
        <f t="array" ref="E48">INDEX('4층_부하량'!D3:D3000,MATCH(1,("4-DaHall 1-PDU-03"='4층_부하량'!A3:A3000)*(1='4층_부하량'!B3:B3000),0))</f>
        <v>0</v>
      </c>
      <c r="F48" s="2528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8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29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9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31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1" cm="1">
        <f t="array" ref="P50">INDEX('4층_부하량'!E3:E3000,MATCH(1,("4-DaHall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31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1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32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1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31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1" cm="1">
        <f t="array" ref="P53">INDEX('4층_부하량'!E3:E3000,MATCH(1,("4-DaHall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32" cm="1">
        <f t="array" ref="F54">INDEX('4층_부하량'!E3:E3000,MATCH(1,("4-DaHall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2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31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1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33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1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31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31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30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6514</v>
      </c>
      <c r="D61" s="3970" t="s">
        <v>4288</v>
      </c>
      <c r="E61" s="3976"/>
      <c r="F61" s="123"/>
      <c r="G61" s="3969" t="s">
        <v>5858</v>
      </c>
      <c r="H61" s="3969"/>
      <c r="I61" s="3969"/>
      <c r="K61" s="2" t="s">
        <v>6515</v>
      </c>
      <c r="N61" s="3970" t="s">
        <v>4288</v>
      </c>
      <c r="O61" s="3976"/>
      <c r="P61" s="123"/>
      <c r="Q61" s="3969" t="s">
        <v>5860</v>
      </c>
      <c r="R61" s="3969"/>
      <c r="S61" s="3969"/>
    </row>
    <row r="62" spans="1:20" ht="15" customHeight="1" thickTop="1" thickBot="1" x14ac:dyDescent="0.3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28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8" cm="1">
        <f t="array" ref="N64">INDEX('4층_부하량'!C3:C3000,MATCH(1,("4-DaHall 1-PDU-09"='4층_부하량'!A3:A3000)*(1='4층_부하량'!B3:B3000),0))</f>
        <v>0</v>
      </c>
      <c r="O64" s="2528" cm="1">
        <f t="array" ref="O64">INDEX('4층_부하량'!D3:D3000,MATCH(1,("4-DaHall 1-PDU-09"='4층_부하량'!A3:A3000)*(1='4층_부하량'!B3:B3000),0))</f>
        <v>0</v>
      </c>
      <c r="P64" s="2528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29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8" cm="1">
        <f t="array" ref="N65">INDEX('4층_부하량'!C3:C3000,MATCH(1,("4-DaHall 1-PDU-09"='4층_부하량'!A3:A3000)*(2='4층_부하량'!B3:B3000),0))</f>
        <v>0</v>
      </c>
      <c r="O65" s="2528" cm="1">
        <f t="array" ref="O65">INDEX('4층_부하량'!D3:D3000,MATCH(1,("4-DaHall 1-PDU-09"='4층_부하량'!A3:A3000)*(2='4층_부하량'!B3:B3000),0))</f>
        <v>0</v>
      </c>
      <c r="P65" s="2528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31" cm="1">
        <f t="array" ref="F66">INDEX('4층_부하량'!E3:E3000,MATCH(1,("4-DaHall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8" cm="1">
        <f t="array" ref="N66">INDEX('4층_부하량'!C3:C3000,MATCH(1,("4-DaHall 1-PDU-09"='4층_부하량'!A3:A3000)*(3='4층_부하량'!B3:B3000),0))</f>
        <v>0</v>
      </c>
      <c r="O66" s="2528" cm="1">
        <f t="array" ref="O66">INDEX('4층_부하량'!D3:D3000,MATCH(1,("4-DaHall 1-PDU-09"='4층_부하량'!A3:A3000)*(3='4층_부하량'!B3:B3000),0))</f>
        <v>0</v>
      </c>
      <c r="P66" s="2528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31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32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31" cm="1">
        <f t="array" ref="F69">INDEX('4층_부하량'!E3:E3000,MATCH(1,("4-DaHall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32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31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31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31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31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30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 x14ac:dyDescent="0.3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7" spans="1:20" s="350" customFormat="1" ht="18.600000000000001" thickTop="1" thickBot="1" x14ac:dyDescent="0.3">
      <c r="A77" s="349" t="s">
        <v>10855</v>
      </c>
      <c r="C77" s="3981"/>
      <c r="D77" s="3981"/>
      <c r="E77" s="3981"/>
      <c r="F77" s="3981"/>
      <c r="G77" s="351"/>
      <c r="H77" s="352"/>
      <c r="I77" s="352"/>
      <c r="J77" s="3979" t="s">
        <v>4288</v>
      </c>
      <c r="K77" s="3980"/>
      <c r="L77" s="3277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 x14ac:dyDescent="0.3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.600000000000001" thickTop="1" thickBot="1" x14ac:dyDescent="0.3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 x14ac:dyDescent="0.25">
      <c r="A80" s="468" t="s">
        <v>10856</v>
      </c>
      <c r="B80" s="372" t="s">
        <v>5562</v>
      </c>
      <c r="C80" s="373" t="s">
        <v>4149</v>
      </c>
      <c r="D80" s="2537" cm="1">
        <f t="array" ref="D80">INDEX('4층_부하량'!$C$3:$C$3000,MATCH(1,("4-DaHall 1-PDU-11"='4층_부하량'!$A$3:$A$3000)*(1='4층_부하량'!$B$3:$B$3000),0))</f>
        <v>0</v>
      </c>
      <c r="E80" s="2537" cm="1">
        <f t="array" ref="E80">INDEX('4층_부하량'!$D$3:$D$3000,MATCH(1,("4-DaHall 1-PDU-11"='4층_부하량'!$A$3:$A$3000)*(1='4층_부하량'!$B$3:$B$3000),0))</f>
        <v>0</v>
      </c>
      <c r="F80" s="2537" cm="1">
        <f t="array" ref="F80">INDEX('4층_부하량'!$E$3:$E$3000,MATCH(1,("4-DaHall 1-PDU-11"='4층_부하량'!$A$3:$A$3000)*(1='4층_부하량'!$B$3:$B$3000),0))</f>
        <v>0</v>
      </c>
      <c r="G80" s="368"/>
      <c r="H80" s="3278" t="s">
        <v>10857</v>
      </c>
      <c r="I80" s="3279" t="s">
        <v>4151</v>
      </c>
      <c r="J80" s="1018"/>
      <c r="K80" s="1019"/>
      <c r="L80" s="581" t="s">
        <v>4436</v>
      </c>
      <c r="M80" s="366" t="s">
        <v>4574</v>
      </c>
      <c r="N80" s="2537" cm="1">
        <f t="array" ref="N80">INDEX('4층_부하량'!$C$3:$C$3000,MATCH(1,("4-DaHall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7.399999999999999" x14ac:dyDescent="0.25">
      <c r="A81" s="385"/>
      <c r="B81" s="1286" t="s">
        <v>535</v>
      </c>
      <c r="C81" s="1287" t="s">
        <v>4296</v>
      </c>
      <c r="D81" s="381"/>
      <c r="E81" s="2531" cm="1">
        <f t="array" ref="E81">INDEX('4층_부하량'!$D$3:$D$3000,MATCH(1,("4-DaHall 1-PDU-11"='4층_부하량'!$A$3:$A$3000)*(3='4층_부하량'!$B$3:$B$3000),0))</f>
        <v>0</v>
      </c>
      <c r="F81" s="381"/>
      <c r="G81" s="377"/>
      <c r="H81" s="376" t="s">
        <v>4574</v>
      </c>
      <c r="I81" s="3280" t="s">
        <v>4156</v>
      </c>
      <c r="J81" s="1020"/>
      <c r="K81" s="1021"/>
      <c r="L81" s="582" t="s">
        <v>4438</v>
      </c>
      <c r="M81" s="376" t="s">
        <v>4574</v>
      </c>
      <c r="N81" s="381"/>
      <c r="O81" s="2531" cm="1">
        <f t="array" ref="O81">INDEX('4층_부하량'!$D$3:$D$3000,MATCH(1,("4-DaHall 1-PDU-11"='4층_부하량'!$A$3:$A$3000)*(4='4층_부하량'!$B$3:$B$3000),0))</f>
        <v>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7.399999999999999" x14ac:dyDescent="0.25">
      <c r="A82" s="385"/>
      <c r="B82" s="1286" t="s">
        <v>535</v>
      </c>
      <c r="C82" s="1287" t="s">
        <v>4296</v>
      </c>
      <c r="D82" s="381"/>
      <c r="E82" s="381"/>
      <c r="F82" s="2538" cm="1">
        <f t="array" ref="F82">INDEX('4층_부하량'!$E$3:$E$3000,MATCH(1,("4-DaHall 1-PDU-11"='4층_부하량'!$A$3:$A$3000)*(5='4층_부하량'!$B$3:$B$3000),0))</f>
        <v>0</v>
      </c>
      <c r="G82" s="381"/>
      <c r="H82" s="376" t="s">
        <v>4574</v>
      </c>
      <c r="I82" s="3280" t="s">
        <v>4161</v>
      </c>
      <c r="J82" s="1022"/>
      <c r="K82" s="1023"/>
      <c r="L82" s="583" t="s">
        <v>4441</v>
      </c>
      <c r="M82" s="3281" t="s">
        <v>4150</v>
      </c>
      <c r="N82" s="381"/>
      <c r="O82" s="381"/>
      <c r="P82" s="2538" cm="1">
        <f t="array" ref="P82">INDEX('4층_부하량'!$E$3:$E$3000,MATCH(1,("4-DaHall 1-PDU-11"='4층_부하량'!$A$3:$A$3000)*(6='4층_부하량'!$B$3:$B$3000),0))</f>
        <v>0</v>
      </c>
      <c r="Q82" s="381"/>
      <c r="R82" s="382" t="s">
        <v>535</v>
      </c>
      <c r="S82" s="1287" t="s">
        <v>4296</v>
      </c>
      <c r="T82" s="389"/>
    </row>
    <row r="83" spans="1:20" s="350" customFormat="1" ht="17.399999999999999" x14ac:dyDescent="0.25">
      <c r="A83" s="385" t="s">
        <v>10858</v>
      </c>
      <c r="B83" s="382" t="s">
        <v>5562</v>
      </c>
      <c r="C83" s="383" t="s">
        <v>4149</v>
      </c>
      <c r="D83" s="2538" cm="1">
        <f t="array" ref="D83">INDEX('4층_부하량'!$C$3:$C$3000,MATCH(1,("4-DaHall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8" cm="1">
        <f t="array" ref="N83">INDEX('4층_부하량'!$C$3:$C$3000,MATCH(1,("4-DaHall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10859</v>
      </c>
    </row>
    <row r="84" spans="1:20" s="350" customFormat="1" ht="17.399999999999999" x14ac:dyDescent="0.25">
      <c r="A84" s="385" t="s">
        <v>10860</v>
      </c>
      <c r="B84" s="382" t="s">
        <v>5562</v>
      </c>
      <c r="C84" s="383" t="s">
        <v>4149</v>
      </c>
      <c r="D84" s="381"/>
      <c r="E84" s="2531" cm="1">
        <f t="array" ref="E84">INDEX('4층_부하량'!$D$3:$D$3000,MATCH(1,("4-DaHall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1" cm="1">
        <f t="array" ref="O84">INDEX('4층_부하량'!$D$3:$D$3000,MATCH(1,("4-DaHall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10861</v>
      </c>
    </row>
    <row r="85" spans="1:20" s="350" customFormat="1" ht="17.399999999999999" x14ac:dyDescent="0.25">
      <c r="A85" s="385" t="s">
        <v>10862</v>
      </c>
      <c r="B85" s="382" t="s">
        <v>5562</v>
      </c>
      <c r="C85" s="383" t="s">
        <v>4149</v>
      </c>
      <c r="D85" s="381"/>
      <c r="E85" s="381"/>
      <c r="F85" s="2538" cm="1">
        <f t="array" ref="F85">INDEX('4층_부하량'!$E$3:$E$3000,MATCH(1,("4-DaHall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8" cm="1">
        <f t="array" ref="P85">INDEX('4층_부하량'!$E$3:$E$3000,MATCH(1,("4-DaHall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10863</v>
      </c>
    </row>
    <row r="86" spans="1:20" s="350" customFormat="1" ht="17.399999999999999" x14ac:dyDescent="0.25">
      <c r="A86" s="385" t="s">
        <v>10864</v>
      </c>
      <c r="B86" s="382" t="s">
        <v>5562</v>
      </c>
      <c r="C86" s="383" t="s">
        <v>4149</v>
      </c>
      <c r="D86" s="2538" cm="1">
        <f t="array" ref="D86">INDEX('4층_부하량'!$C$3:$C$3000,MATCH(1,("4-DaHall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8" cm="1">
        <f t="array" ref="N86">INDEX('4층_부하량'!$C$3:$C$3000,MATCH(1,("4-DaHall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10865</v>
      </c>
    </row>
    <row r="87" spans="1:20" s="350" customFormat="1" ht="17.399999999999999" x14ac:dyDescent="0.25">
      <c r="A87" s="442" t="s">
        <v>10866</v>
      </c>
      <c r="B87" s="382" t="s">
        <v>5562</v>
      </c>
      <c r="C87" s="383" t="s">
        <v>4149</v>
      </c>
      <c r="D87" s="381"/>
      <c r="E87" s="2538" cm="1">
        <f t="array" ref="E87">INDEX('4층_부하량'!$D$3:$D$3000,MATCH(1,("4-DaHall 1-PDU-11"='4층_부하량'!$A$3:$A$3000)*(15='4층_부하량'!$B$3:$B$3000),0))</f>
        <v>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8" cm="1">
        <f t="array" ref="O87">INDEX('4층_부하량'!$D$3:$D$3000,MATCH(1,("4-DaHall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10867</v>
      </c>
    </row>
    <row r="88" spans="1:20" s="350" customFormat="1" ht="17.399999999999999" x14ac:dyDescent="0.25">
      <c r="A88" s="442" t="s">
        <v>10868</v>
      </c>
      <c r="B88" s="382" t="s">
        <v>5562</v>
      </c>
      <c r="C88" s="383" t="s">
        <v>4149</v>
      </c>
      <c r="D88" s="381"/>
      <c r="E88" s="381"/>
      <c r="F88" s="2538" cm="1">
        <f t="array" ref="F88">INDEX('4층_부하량'!$E$3:$E$3000,MATCH(1,("4-DaHall 1-PDU-11"='4층_부하량'!$A$3:$A$3000)*(17='4층_부하량'!$B$3:$B$3000),0))</f>
        <v>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8" cm="1">
        <f t="array" ref="P88">INDEX('4층_부하량'!$E$3:$E$3000,MATCH(1,("4-DaHall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10869</v>
      </c>
    </row>
    <row r="89" spans="1:20" s="350" customFormat="1" ht="17.399999999999999" x14ac:dyDescent="0.25">
      <c r="A89" s="442" t="s">
        <v>10870</v>
      </c>
      <c r="B89" s="382" t="s">
        <v>5562</v>
      </c>
      <c r="C89" s="383" t="s">
        <v>4149</v>
      </c>
      <c r="D89" s="2538" cm="1">
        <f t="array" ref="D89">INDEX('4층_부하량'!$C$3:$C$3000,MATCH(1,("4-DaHall 1-PDU-11"='4층_부하량'!$A$3:$A$3000)*(19='4층_부하량'!$B$3:$B$3000),0))</f>
        <v>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8" cm="1">
        <f t="array" ref="N89">INDEX('4층_부하량'!$C$3:$C$3000,MATCH(1,("4-DaHall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10871</v>
      </c>
    </row>
    <row r="90" spans="1:20" s="350" customFormat="1" ht="17.399999999999999" x14ac:dyDescent="0.25">
      <c r="A90" s="442" t="s">
        <v>10872</v>
      </c>
      <c r="B90" s="382" t="s">
        <v>5562</v>
      </c>
      <c r="C90" s="383" t="s">
        <v>4149</v>
      </c>
      <c r="D90" s="381"/>
      <c r="E90" s="2538" cm="1">
        <f t="array" ref="E90">INDEX('4층_부하량'!$D$3:$D$3000,MATCH(1,("4-DaHall 1-PDU-11"='4층_부하량'!$A$3:$A$3000)*(21='4층_부하량'!$B$3:$B$3000),0))</f>
        <v>0</v>
      </c>
      <c r="F90" s="381"/>
      <c r="G90" s="381"/>
      <c r="H90" s="1203" t="s">
        <v>4171</v>
      </c>
      <c r="I90" s="3280" t="s">
        <v>4247</v>
      </c>
      <c r="J90" s="1022"/>
      <c r="K90" s="1023"/>
      <c r="L90" s="583" t="s">
        <v>5668</v>
      </c>
      <c r="M90" s="376" t="s">
        <v>4171</v>
      </c>
      <c r="N90" s="381"/>
      <c r="O90" s="2538" cm="1">
        <f t="array" ref="O90">INDEX('4층_부하량'!$D$3:$D$3000,MATCH(1,("4-DaHall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10873</v>
      </c>
    </row>
    <row r="91" spans="1:20" s="350" customFormat="1" ht="17.399999999999999" x14ac:dyDescent="0.25">
      <c r="A91" s="390" t="s">
        <v>10874</v>
      </c>
      <c r="B91" s="382" t="s">
        <v>5562</v>
      </c>
      <c r="C91" s="383" t="s">
        <v>4149</v>
      </c>
      <c r="D91" s="381"/>
      <c r="E91" s="381"/>
      <c r="F91" s="2538" cm="1">
        <f t="array" ref="F91">INDEX('4층_부하량'!$E$3:$E$3000,MATCH(1,("4-DaHall 1-PDU-11"='4층_부하량'!$A$3:$A$3000)*(23='4층_부하량'!$B$3:$B$3000),0))</f>
        <v>0</v>
      </c>
      <c r="G91" s="411"/>
      <c r="H91" s="1287" t="s">
        <v>4171</v>
      </c>
      <c r="I91" s="3282" t="s">
        <v>4251</v>
      </c>
      <c r="J91" s="1288"/>
      <c r="K91" s="1289"/>
      <c r="L91" s="3283" t="s">
        <v>4253</v>
      </c>
      <c r="M91" s="409" t="s">
        <v>4171</v>
      </c>
      <c r="N91" s="381"/>
      <c r="O91" s="381"/>
      <c r="P91" s="2538" cm="1">
        <f t="array" ref="P91">INDEX('4층_부하량'!$E$3:$E$3000,MATCH(1,("4-DaHall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10875</v>
      </c>
    </row>
    <row r="92" spans="1:20" s="350" customFormat="1" ht="17.399999999999999" x14ac:dyDescent="0.25">
      <c r="A92" s="390" t="s">
        <v>10876</v>
      </c>
      <c r="B92" s="382" t="s">
        <v>5562</v>
      </c>
      <c r="C92" s="383" t="s">
        <v>4149</v>
      </c>
      <c r="D92" s="2538" cm="1">
        <f t="array" ref="D92">INDEX('4층_부하량'!$C$3:$C$3000,MATCH(1,("4-DaHall 1-PDU-11"='4층_부하량'!$A$3:$A$3000)*(25='4층_부하량'!$B$3:$B$3000),0))</f>
        <v>0</v>
      </c>
      <c r="E92" s="381"/>
      <c r="F92" s="381"/>
      <c r="G92" s="411"/>
      <c r="H92" s="1287" t="s">
        <v>4171</v>
      </c>
      <c r="I92" s="3282" t="s">
        <v>4256</v>
      </c>
      <c r="J92" s="1288"/>
      <c r="K92" s="1289"/>
      <c r="L92" s="3283" t="s">
        <v>4258</v>
      </c>
      <c r="M92" s="409" t="s">
        <v>4171</v>
      </c>
      <c r="N92" s="2538" cm="1">
        <f t="array" ref="N92">INDEX('4층_부하량'!$C$3:$C$3000,MATCH(1,("4-DaHall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10877</v>
      </c>
    </row>
    <row r="93" spans="1:20" s="350" customFormat="1" ht="17.399999999999999" x14ac:dyDescent="0.25">
      <c r="A93" s="390" t="s">
        <v>10878</v>
      </c>
      <c r="B93" s="382" t="s">
        <v>5562</v>
      </c>
      <c r="C93" s="383" t="s">
        <v>4149</v>
      </c>
      <c r="D93" s="381"/>
      <c r="E93" s="2538" cm="1">
        <f t="array" ref="E93">INDEX('4층_부하량'!$D$3:$D$3000,MATCH(1,("4-DaHall 1-PDU-11"='4층_부하량'!$A$3:$A$3000)*(27='4층_부하량'!$B$3:$B$3000),0))</f>
        <v>0</v>
      </c>
      <c r="F93" s="381"/>
      <c r="G93" s="411"/>
      <c r="H93" s="1287" t="s">
        <v>4171</v>
      </c>
      <c r="I93" s="3282" t="s">
        <v>4261</v>
      </c>
      <c r="J93" s="1288"/>
      <c r="K93" s="1289"/>
      <c r="L93" s="3283" t="s">
        <v>4262</v>
      </c>
      <c r="M93" s="409" t="s">
        <v>4171</v>
      </c>
      <c r="N93" s="381"/>
      <c r="O93" s="2538" cm="1">
        <f t="array" ref="O93">INDEX('4층_부하량'!$D$3:$D$3000,MATCH(1,("4-DaHall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10879</v>
      </c>
    </row>
    <row r="94" spans="1:20" s="350" customFormat="1" ht="17.399999999999999" x14ac:dyDescent="0.25">
      <c r="A94" s="390" t="s">
        <v>10880</v>
      </c>
      <c r="B94" s="382" t="s">
        <v>5562</v>
      </c>
      <c r="C94" s="383" t="s">
        <v>4149</v>
      </c>
      <c r="D94" s="381"/>
      <c r="E94" s="381"/>
      <c r="F94" s="2538" cm="1">
        <f t="array" ref="F94">INDEX('4층_부하량'!$E$3:$E$3000,MATCH(1,("4-DaHall 1-PDU-11"='4층_부하량'!$A$3:$A$3000)*(29='4층_부하량'!$B$3:$B$3000),0))</f>
        <v>0</v>
      </c>
      <c r="G94" s="411"/>
      <c r="H94" s="1287" t="s">
        <v>4171</v>
      </c>
      <c r="I94" s="3282" t="s">
        <v>4264</v>
      </c>
      <c r="J94" s="1288"/>
      <c r="K94" s="1289"/>
      <c r="L94" s="3283" t="s">
        <v>4265</v>
      </c>
      <c r="M94" s="409" t="s">
        <v>4171</v>
      </c>
      <c r="N94" s="381"/>
      <c r="O94" s="381"/>
      <c r="P94" s="2538" cm="1">
        <f t="array" ref="P94">INDEX('4층_부하량'!$E$3:$E$3000,MATCH(1,("4-DaHall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10881</v>
      </c>
    </row>
    <row r="95" spans="1:20" s="350" customFormat="1" ht="17.399999999999999" x14ac:dyDescent="0.25">
      <c r="A95" s="390" t="s">
        <v>10882</v>
      </c>
      <c r="B95" s="382" t="s">
        <v>5562</v>
      </c>
      <c r="C95" s="383" t="s">
        <v>4149</v>
      </c>
      <c r="D95" s="2538" cm="1">
        <f t="array" ref="D95">INDEX('4층_부하량'!$C$3:$C$3000,MATCH(1,("4-DaHall 1-PDU-11"='4층_부하량'!$A$3:$A$3000)*(31='4층_부하량'!$B$3:$B$3000),0))</f>
        <v>0</v>
      </c>
      <c r="E95" s="381"/>
      <c r="F95" s="381"/>
      <c r="G95" s="411"/>
      <c r="H95" s="1287" t="s">
        <v>4171</v>
      </c>
      <c r="I95" s="3282" t="s">
        <v>4266</v>
      </c>
      <c r="J95" s="1288"/>
      <c r="K95" s="1289"/>
      <c r="L95" s="3283" t="s">
        <v>4267</v>
      </c>
      <c r="M95" s="409" t="s">
        <v>4171</v>
      </c>
      <c r="N95" s="2538" cm="1">
        <f t="array" ref="N95">INDEX('4층_부하량'!$C$3:$C$3000,MATCH(1,("4-DaHall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10883</v>
      </c>
    </row>
    <row r="96" spans="1:20" s="350" customFormat="1" ht="17.399999999999999" x14ac:dyDescent="0.25">
      <c r="A96" s="390" t="s">
        <v>10884</v>
      </c>
      <c r="B96" s="382" t="s">
        <v>5562</v>
      </c>
      <c r="C96" s="383" t="s">
        <v>4149</v>
      </c>
      <c r="D96" s="381"/>
      <c r="E96" s="2538" cm="1">
        <f t="array" ref="E96">INDEX('4층_부하량'!$D$3:$D$3000,MATCH(1,("4-DaHall 1-PDU-11"='4층_부하량'!$A$3:$A$3000)*(33='4층_부하량'!$B$3:$B$3000),0))</f>
        <v>0</v>
      </c>
      <c r="F96" s="381"/>
      <c r="G96" s="411"/>
      <c r="H96" s="1287" t="s">
        <v>4171</v>
      </c>
      <c r="I96" s="3282" t="s">
        <v>4270</v>
      </c>
      <c r="J96" s="1288"/>
      <c r="K96" s="1289"/>
      <c r="L96" s="3283" t="s">
        <v>4271</v>
      </c>
      <c r="M96" s="409" t="s">
        <v>4171</v>
      </c>
      <c r="N96" s="381"/>
      <c r="O96" s="2538" cm="1">
        <f t="array" ref="O96">INDEX('4층_부하량'!$D$3:$D$3000,MATCH(1,("4-DaHall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10885</v>
      </c>
    </row>
    <row r="97" spans="1:20" s="350" customFormat="1" ht="17.399999999999999" x14ac:dyDescent="0.25">
      <c r="A97" s="390" t="s">
        <v>10886</v>
      </c>
      <c r="B97" s="382" t="s">
        <v>5562</v>
      </c>
      <c r="C97" s="383" t="s">
        <v>4149</v>
      </c>
      <c r="D97" s="381"/>
      <c r="E97" s="381"/>
      <c r="F97" s="2538" cm="1">
        <f t="array" ref="F97">INDEX('4층_부하량'!$E$3:$E$3000,MATCH(1,("4-DaHall 1-PDU-11"='4층_부하량'!$A$3:$A$3000)*(35='4층_부하량'!$B$3:$B$3000),0))</f>
        <v>0</v>
      </c>
      <c r="G97" s="411"/>
      <c r="H97" s="1287" t="s">
        <v>4171</v>
      </c>
      <c r="I97" s="3282" t="s">
        <v>4274</v>
      </c>
      <c r="J97" s="1288"/>
      <c r="K97" s="1289"/>
      <c r="L97" s="3283" t="s">
        <v>4276</v>
      </c>
      <c r="M97" s="409" t="s">
        <v>4171</v>
      </c>
      <c r="N97" s="381"/>
      <c r="O97" s="381"/>
      <c r="P97" s="2538" cm="1">
        <f t="array" ref="P97">INDEX('4층_부하량'!$E$3:$E$3000,MATCH(1,("4-DaHall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10887</v>
      </c>
    </row>
    <row r="98" spans="1:20" s="350" customFormat="1" ht="17.399999999999999" x14ac:dyDescent="0.25">
      <c r="A98" s="390" t="s">
        <v>10888</v>
      </c>
      <c r="B98" s="382" t="s">
        <v>5562</v>
      </c>
      <c r="C98" s="383" t="s">
        <v>4149</v>
      </c>
      <c r="D98" s="2538" cm="1">
        <f t="array" ref="D98">INDEX('4층_부하량'!$C$3:$C$3000,MATCH(1,("4-DaHall 1-PDU-11"='4층_부하량'!$A$3:$A$3000)*(37='4층_부하량'!$B$3:$B$3000),0))</f>
        <v>0</v>
      </c>
      <c r="E98" s="381"/>
      <c r="F98" s="381"/>
      <c r="G98" s="411"/>
      <c r="H98" s="1287" t="s">
        <v>4171</v>
      </c>
      <c r="I98" s="3282" t="s">
        <v>4279</v>
      </c>
      <c r="J98" s="1288"/>
      <c r="K98" s="1289"/>
      <c r="L98" s="3283" t="s">
        <v>4280</v>
      </c>
      <c r="M98" s="409" t="s">
        <v>4171</v>
      </c>
      <c r="N98" s="2538" cm="1">
        <f t="array" ref="N98">INDEX('4층_부하량'!$C$3:$C$3000,MATCH(1,("4-DaHall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10889</v>
      </c>
    </row>
    <row r="99" spans="1:20" s="350" customFormat="1" ht="17.399999999999999" x14ac:dyDescent="0.25">
      <c r="A99" s="390" t="s">
        <v>10890</v>
      </c>
      <c r="B99" s="382" t="s">
        <v>5562</v>
      </c>
      <c r="C99" s="383" t="s">
        <v>4149</v>
      </c>
      <c r="D99" s="381"/>
      <c r="E99" s="2538" cm="1">
        <f t="array" ref="E99">INDEX('4층_부하량'!$D$3:$D$3000,MATCH(1,("4-DaHall 1-PDU-11"='4층_부하량'!$A$3:$A$3000)*(39='4층_부하량'!$B$3:$B$3000),0))</f>
        <v>0</v>
      </c>
      <c r="F99" s="381"/>
      <c r="G99" s="411"/>
      <c r="H99" s="1287" t="s">
        <v>4171</v>
      </c>
      <c r="I99" s="3282" t="s">
        <v>4283</v>
      </c>
      <c r="J99" s="1288"/>
      <c r="K99" s="1289"/>
      <c r="L99" s="3283" t="s">
        <v>4284</v>
      </c>
      <c r="M99" s="409" t="s">
        <v>4171</v>
      </c>
      <c r="N99" s="381"/>
      <c r="O99" s="2538" cm="1">
        <f t="array" ref="O99">INDEX('4층_부하량'!$D$3:$D$3000,MATCH(1,("4-DaHall 1-PDU-11"='4층_부하량'!$A$3:$A$3000)*(40='4층_부하량'!$B$3:$B$3000),0))</f>
        <v>0</v>
      </c>
      <c r="P99" s="381"/>
      <c r="Q99" s="411"/>
      <c r="R99" s="382" t="s">
        <v>5562</v>
      </c>
      <c r="S99" s="1287" t="s">
        <v>4296</v>
      </c>
      <c r="T99" s="407" t="s">
        <v>10891</v>
      </c>
    </row>
    <row r="100" spans="1:20" s="350" customFormat="1" ht="17.399999999999999" x14ac:dyDescent="0.25">
      <c r="A100" s="390" t="s">
        <v>10892</v>
      </c>
      <c r="B100" s="382" t="s">
        <v>5562</v>
      </c>
      <c r="C100" s="1287" t="s">
        <v>4296</v>
      </c>
      <c r="D100" s="381"/>
      <c r="E100" s="381"/>
      <c r="F100" s="2538" cm="1">
        <f t="array" ref="F100">INDEX('4층_부하량'!$E$3:$E$3000,MATCH(1,("4-DaHall 1-PDU-11"='4층_부하량'!$A$3:$A$3000)*(41='4층_부하량'!$B$3:$B$3000),0))</f>
        <v>0</v>
      </c>
      <c r="G100" s="411"/>
      <c r="H100" s="1287" t="s">
        <v>4171</v>
      </c>
      <c r="I100" s="3282" t="s">
        <v>4628</v>
      </c>
      <c r="J100" s="1288"/>
      <c r="K100" s="1289"/>
      <c r="L100" s="3283" t="s">
        <v>4416</v>
      </c>
      <c r="M100" s="409" t="s">
        <v>4171</v>
      </c>
      <c r="N100" s="381"/>
      <c r="O100" s="381"/>
      <c r="P100" s="2538" cm="1">
        <f t="array" ref="P100">INDEX('4층_부하량'!$E$3:$E$3000,MATCH(1,("4-DaHall 1-PDU-11"='4층_부하량'!$A$3:$A$3000)*(42='4층_부하량'!$B$3:$B$3000),0))</f>
        <v>0</v>
      </c>
      <c r="Q100" s="411"/>
      <c r="R100" s="382" t="s">
        <v>5562</v>
      </c>
      <c r="S100" s="1287" t="s">
        <v>4296</v>
      </c>
      <c r="T100" s="407" t="s">
        <v>10893</v>
      </c>
    </row>
    <row r="101" spans="1:20" s="350" customFormat="1" ht="17.399999999999999" x14ac:dyDescent="0.25">
      <c r="A101" s="390" t="s">
        <v>10894</v>
      </c>
      <c r="B101" s="382" t="s">
        <v>5562</v>
      </c>
      <c r="C101" s="1287" t="s">
        <v>4296</v>
      </c>
      <c r="D101" s="2538" cm="1">
        <f t="array" ref="D101">INDEX('4층_부하량'!$C$3:$C$3000,MATCH(1,("4-DaHall 1-PDU-11"='4층_부하량'!$A$3:$A$3000)*(43='4층_부하량'!$B$3:$B$3000),0))</f>
        <v>0</v>
      </c>
      <c r="E101" s="381"/>
      <c r="F101" s="381"/>
      <c r="G101" s="411"/>
      <c r="H101" s="1287" t="s">
        <v>4171</v>
      </c>
      <c r="I101" s="3282" t="s">
        <v>4418</v>
      </c>
      <c r="J101" s="1288"/>
      <c r="K101" s="1289"/>
      <c r="L101" s="3283" t="s">
        <v>4419</v>
      </c>
      <c r="M101" s="409" t="s">
        <v>4171</v>
      </c>
      <c r="N101" s="2538" cm="1">
        <f t="array" ref="N101">INDEX('4층_부하량'!$C$3:$C$3000,MATCH(1,("4-DaHall 1-PDU-11"='4층_부하량'!$A$3:$A$3000)*(44='4층_부하량'!$B$3:$B$3000),0))</f>
        <v>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7.399999999999999" x14ac:dyDescent="0.25">
      <c r="A102" s="390"/>
      <c r="B102" s="1286" t="s">
        <v>535</v>
      </c>
      <c r="C102" s="1287" t="s">
        <v>4296</v>
      </c>
      <c r="D102" s="381"/>
      <c r="E102" s="2538" cm="1">
        <f t="array" ref="E102">INDEX('4층_부하량'!$D$3:$D$3000,MATCH(1,("4-DaHall 1-PDU-11"='4층_부하량'!$A$3:$A$3000)*(45='4층_부하량'!$B$3:$B$3000),0))</f>
        <v>0</v>
      </c>
      <c r="F102" s="381"/>
      <c r="G102" s="411"/>
      <c r="H102" s="1287" t="s">
        <v>4171</v>
      </c>
      <c r="I102" s="3282" t="s">
        <v>4420</v>
      </c>
      <c r="J102" s="1288"/>
      <c r="K102" s="1289"/>
      <c r="L102" s="3283" t="s">
        <v>4421</v>
      </c>
      <c r="M102" s="409" t="s">
        <v>4171</v>
      </c>
      <c r="N102" s="381"/>
      <c r="O102" s="2538" cm="1">
        <f t="array" ref="O102">INDEX('4층_부하량'!$D$3:$D$3000,MATCH(1,("4-DaHall 1-PDU-11"='4층_부하량'!$A$3:$A$3000)*(46='4층_부하량'!$B$3:$B$3000),0))</f>
        <v>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7.399999999999999" x14ac:dyDescent="0.25">
      <c r="A103" s="390"/>
      <c r="B103" s="1286" t="s">
        <v>535</v>
      </c>
      <c r="C103" s="1287" t="s">
        <v>4296</v>
      </c>
      <c r="D103" s="381"/>
      <c r="E103" s="381"/>
      <c r="F103" s="2538" cm="1">
        <f t="array" ref="F103">INDEX('4층_부하량'!$E$3:$E$3000,MATCH(1,("4-DaHall 1-PDU-11"='4층_부하량'!$A$3:$A$3000)*(47='4층_부하량'!$B$3:$B$3000),0))</f>
        <v>0</v>
      </c>
      <c r="G103" s="411"/>
      <c r="H103" s="1287" t="s">
        <v>4171</v>
      </c>
      <c r="I103" s="3282" t="s">
        <v>4422</v>
      </c>
      <c r="J103" s="1288"/>
      <c r="K103" s="1289"/>
      <c r="L103" s="3283" t="s">
        <v>4423</v>
      </c>
      <c r="M103" s="409" t="s">
        <v>4171</v>
      </c>
      <c r="N103" s="381"/>
      <c r="O103" s="381"/>
      <c r="P103" s="2538" cm="1">
        <f t="array" ref="P103">INDEX('4층_부하량'!$E$3:$E$3000,MATCH(1,("4-DaHall 1-PDU-11"='4층_부하량'!$A$3:$A$3000)*(48='4층_부하량'!$B$3:$B$3000),0))</f>
        <v>0</v>
      </c>
      <c r="Q103" s="411"/>
      <c r="R103" s="1286" t="s">
        <v>535</v>
      </c>
      <c r="S103" s="1287" t="s">
        <v>4296</v>
      </c>
      <c r="T103" s="407"/>
    </row>
    <row r="104" spans="1:20" s="350" customFormat="1" ht="18" thickBot="1" x14ac:dyDescent="0.3">
      <c r="A104" s="425"/>
      <c r="B104" s="430" t="s">
        <v>4164</v>
      </c>
      <c r="C104" s="426" t="s">
        <v>4215</v>
      </c>
      <c r="D104" s="2539" cm="1">
        <f t="array" ref="D104">INDEX('4층_부하량'!$C$3:$C$3000,MATCH(1,("4-DaHall 1-PDU-11"='4층_부하량'!$A$3:$A$3000)*(49='4층_부하량'!$B$3:$B$3000),0))</f>
        <v>0</v>
      </c>
      <c r="E104" s="427"/>
      <c r="F104" s="427"/>
      <c r="G104" s="427"/>
      <c r="H104" s="426" t="s">
        <v>4171</v>
      </c>
      <c r="I104" s="3284" t="s">
        <v>4424</v>
      </c>
      <c r="J104" s="1200"/>
      <c r="K104" s="1201"/>
      <c r="L104" s="1202" t="s">
        <v>4425</v>
      </c>
      <c r="M104" s="426" t="s">
        <v>4171</v>
      </c>
      <c r="N104" s="2539" cm="1">
        <f t="array" ref="N104">INDEX('4층_부하량'!$C$3:$C$3000,MATCH(1,("4-DaHall 1-PDU-11"='4층_부하량'!$A$3:$A$3000)*(50='4층_부하량'!$B$3:$B$3000),0))</f>
        <v>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 x14ac:dyDescent="0.3">
      <c r="L105" s="3285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 x14ac:dyDescent="0.3">
      <c r="A106" s="349" t="s">
        <v>10895</v>
      </c>
      <c r="C106" s="3981"/>
      <c r="D106" s="3981"/>
      <c r="E106" s="3981"/>
      <c r="F106" s="3981"/>
      <c r="G106" s="351"/>
      <c r="H106" s="352"/>
      <c r="I106" s="352"/>
      <c r="J106" s="3979" t="s">
        <v>4288</v>
      </c>
      <c r="K106" s="3980"/>
      <c r="L106" s="3277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 x14ac:dyDescent="0.3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.600000000000001" thickTop="1" thickBot="1" x14ac:dyDescent="0.3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 x14ac:dyDescent="0.25">
      <c r="A109" s="468" t="s">
        <v>10856</v>
      </c>
      <c r="B109" s="372" t="s">
        <v>5562</v>
      </c>
      <c r="C109" s="373" t="s">
        <v>4149</v>
      </c>
      <c r="D109" s="2537" cm="1">
        <f t="array" ref="D109">INDEX('4층_부하량'!$C$3:$C$3000,MATCH(1,("4-DaHall 1-PDU-12"='4층_부하량'!$A$3:$A$3000)*(1='4층_부하량'!$B$3:$B$3000),0))</f>
        <v>0</v>
      </c>
      <c r="E109" s="2537" cm="1">
        <f t="array" ref="E109">INDEX('4층_부하량'!$D$3:$D$3000,MATCH(1,("4-DaHall 1-PDU-12"='4층_부하량'!$A$3:$A$3000)*(1='4층_부하량'!$B$3:$B$3000),0))</f>
        <v>0</v>
      </c>
      <c r="F109" s="2537" cm="1">
        <f t="array" ref="F109">INDEX('4층_부하량'!$E$3:$E$3000,MATCH(1,("4-DaHall 1-PDU-12"='4층_부하량'!$A$3:$A$3000)*(1='4층_부하량'!$B$3:$B$3000),0))</f>
        <v>0</v>
      </c>
      <c r="G109" s="368"/>
      <c r="H109" s="3278" t="s">
        <v>10857</v>
      </c>
      <c r="I109" s="3279" t="s">
        <v>4151</v>
      </c>
      <c r="J109" s="1018"/>
      <c r="K109" s="1019"/>
      <c r="L109" s="581" t="s">
        <v>4436</v>
      </c>
      <c r="M109" s="366" t="s">
        <v>4574</v>
      </c>
      <c r="N109" s="2537" cm="1">
        <f t="array" ref="N109">INDEX('4층_부하량'!$C$3:$C$3000,MATCH(1,("4-DaHall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7.399999999999999" x14ac:dyDescent="0.25">
      <c r="A110" s="385"/>
      <c r="B110" s="1286" t="s">
        <v>535</v>
      </c>
      <c r="C110" s="1287" t="s">
        <v>4296</v>
      </c>
      <c r="D110" s="381"/>
      <c r="E110" s="2531" cm="1">
        <f t="array" ref="E110">INDEX('4층_부하량'!$D$3:$D$3000,MATCH(1,("4-DaHall 1-PDU-12"='4층_부하량'!$A$3:$A$3000)*(3='4층_부하량'!$B$3:$B$3000),0))</f>
        <v>0</v>
      </c>
      <c r="F110" s="381"/>
      <c r="G110" s="377"/>
      <c r="H110" s="376" t="s">
        <v>4574</v>
      </c>
      <c r="I110" s="3280" t="s">
        <v>4156</v>
      </c>
      <c r="J110" s="1020"/>
      <c r="K110" s="1021"/>
      <c r="L110" s="582" t="s">
        <v>4438</v>
      </c>
      <c r="M110" s="376" t="s">
        <v>4574</v>
      </c>
      <c r="N110" s="381"/>
      <c r="O110" s="2531" cm="1">
        <f t="array" ref="O110">INDEX('4층_부하량'!$D$3:$D$3000,MATCH(1,("4-DaHall 1-PDU-12"='4층_부하량'!$A$3:$A$3000)*(4='4층_부하량'!$B$3:$B$3000),0))</f>
        <v>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7.399999999999999" x14ac:dyDescent="0.25">
      <c r="A111" s="385"/>
      <c r="B111" s="1286" t="s">
        <v>535</v>
      </c>
      <c r="C111" s="1287" t="s">
        <v>4296</v>
      </c>
      <c r="D111" s="381"/>
      <c r="E111" s="381"/>
      <c r="F111" s="2538" cm="1">
        <f t="array" ref="F111">INDEX('4층_부하량'!$E$3:$E$3000,MATCH(1,("4-DaHall 1-PDU-12"='4층_부하량'!$A$3:$A$3000)*(5='4층_부하량'!$B$3:$B$3000),0))</f>
        <v>0</v>
      </c>
      <c r="G111" s="381"/>
      <c r="H111" s="376" t="s">
        <v>4574</v>
      </c>
      <c r="I111" s="3280" t="s">
        <v>4161</v>
      </c>
      <c r="J111" s="1022"/>
      <c r="K111" s="1023"/>
      <c r="L111" s="583" t="s">
        <v>4441</v>
      </c>
      <c r="M111" s="3281" t="s">
        <v>4150</v>
      </c>
      <c r="N111" s="381"/>
      <c r="O111" s="381"/>
      <c r="P111" s="2538" cm="1">
        <f t="array" ref="P111">INDEX('4층_부하량'!$E$3:$E$3000,MATCH(1,("4-DaHall 1-PDU-12"='4층_부하량'!$A$3:$A$3000)*(6='4층_부하량'!$B$3:$B$3000),0))</f>
        <v>0</v>
      </c>
      <c r="Q111" s="381"/>
      <c r="R111" s="382" t="s">
        <v>535</v>
      </c>
      <c r="S111" s="1287" t="s">
        <v>4296</v>
      </c>
      <c r="T111" s="389"/>
    </row>
    <row r="112" spans="1:20" s="350" customFormat="1" ht="17.399999999999999" x14ac:dyDescent="0.25">
      <c r="A112" s="385" t="s">
        <v>10896</v>
      </c>
      <c r="B112" s="382" t="s">
        <v>5562</v>
      </c>
      <c r="C112" s="383" t="s">
        <v>4149</v>
      </c>
      <c r="D112" s="2538" cm="1">
        <f t="array" ref="D112">INDEX('4층_부하량'!$C$3:$C$3000,MATCH(1,("4-DaHall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8" cm="1">
        <f t="array" ref="N112">INDEX('4층_부하량'!$C$3:$C$3000,MATCH(1,("4-DaHall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10897</v>
      </c>
    </row>
    <row r="113" spans="1:20" s="350" customFormat="1" ht="17.399999999999999" x14ac:dyDescent="0.25">
      <c r="A113" s="385" t="s">
        <v>10898</v>
      </c>
      <c r="B113" s="382" t="s">
        <v>5562</v>
      </c>
      <c r="C113" s="383" t="s">
        <v>4149</v>
      </c>
      <c r="D113" s="381"/>
      <c r="E113" s="2531" cm="1">
        <f t="array" ref="E113">INDEX('4층_부하량'!$D$3:$D$3000,MATCH(1,("4-DaHall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1" cm="1">
        <f t="array" ref="O113">INDEX('4층_부하량'!$D$3:$D$3000,MATCH(1,("4-DaHall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10899</v>
      </c>
    </row>
    <row r="114" spans="1:20" s="350" customFormat="1" ht="17.399999999999999" x14ac:dyDescent="0.25">
      <c r="A114" s="385" t="s">
        <v>10900</v>
      </c>
      <c r="B114" s="382" t="s">
        <v>5562</v>
      </c>
      <c r="C114" s="383" t="s">
        <v>4149</v>
      </c>
      <c r="D114" s="381"/>
      <c r="E114" s="381"/>
      <c r="F114" s="2538" cm="1">
        <f t="array" ref="F114">INDEX('4층_부하량'!$E$3:$E$3000,MATCH(1,("4-DaHall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8" cm="1">
        <f t="array" ref="P114">INDEX('4층_부하량'!$E$3:$E$3000,MATCH(1,("4-DaHall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10901</v>
      </c>
    </row>
    <row r="115" spans="1:20" s="350" customFormat="1" ht="17.399999999999999" x14ac:dyDescent="0.25">
      <c r="A115" s="385" t="s">
        <v>10902</v>
      </c>
      <c r="B115" s="382" t="s">
        <v>5562</v>
      </c>
      <c r="C115" s="383" t="s">
        <v>4149</v>
      </c>
      <c r="D115" s="2538" cm="1">
        <f t="array" ref="D115">INDEX('4층_부하량'!$C$3:$C$3000,MATCH(1,("4-DaHall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8" cm="1">
        <f t="array" ref="N115">INDEX('4층_부하량'!$C$3:$C$3000,MATCH(1,("4-DaHall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10903</v>
      </c>
    </row>
    <row r="116" spans="1:20" s="350" customFormat="1" ht="17.399999999999999" x14ac:dyDescent="0.25">
      <c r="A116" s="442" t="s">
        <v>10904</v>
      </c>
      <c r="B116" s="382" t="s">
        <v>5562</v>
      </c>
      <c r="C116" s="383" t="s">
        <v>4149</v>
      </c>
      <c r="D116" s="381"/>
      <c r="E116" s="2538" cm="1">
        <f t="array" ref="E116">INDEX('4층_부하량'!$D$3:$D$3000,MATCH(1,("4-DaHall 1-PDU-12"='4층_부하량'!$A$3:$A$3000)*(15='4층_부하량'!$B$3:$B$3000),0))</f>
        <v>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8" cm="1">
        <f t="array" ref="O116">INDEX('4층_부하량'!$D$3:$D$3000,MATCH(1,("4-DaHall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10905</v>
      </c>
    </row>
    <row r="117" spans="1:20" s="350" customFormat="1" ht="17.399999999999999" x14ac:dyDescent="0.25">
      <c r="A117" s="442" t="s">
        <v>10906</v>
      </c>
      <c r="B117" s="382" t="s">
        <v>5562</v>
      </c>
      <c r="C117" s="383" t="s">
        <v>4149</v>
      </c>
      <c r="D117" s="381"/>
      <c r="E117" s="381"/>
      <c r="F117" s="2538" cm="1">
        <f t="array" ref="F117">INDEX('4층_부하량'!$E$3:$E$3000,MATCH(1,("4-DaHall 1-PDU-12"='4층_부하량'!$A$3:$A$3000)*(17='4층_부하량'!$B$3:$B$3000),0))</f>
        <v>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8" cm="1">
        <f t="array" ref="P117">INDEX('4층_부하량'!$E$3:$E$3000,MATCH(1,("4-DaHall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10907</v>
      </c>
    </row>
    <row r="118" spans="1:20" s="350" customFormat="1" ht="17.399999999999999" x14ac:dyDescent="0.25">
      <c r="A118" s="442" t="s">
        <v>10908</v>
      </c>
      <c r="B118" s="382" t="s">
        <v>5562</v>
      </c>
      <c r="C118" s="383" t="s">
        <v>4149</v>
      </c>
      <c r="D118" s="2538" cm="1">
        <f t="array" ref="D118">INDEX('4층_부하량'!$C$3:$C$3000,MATCH(1,("4-DaHall 1-PDU-12"='4층_부하량'!$A$3:$A$3000)*(19='4층_부하량'!$B$3:$B$3000),0))</f>
        <v>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8" cm="1">
        <f t="array" ref="N118">INDEX('4층_부하량'!$C$3:$C$3000,MATCH(1,("4-DaHall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10909</v>
      </c>
    </row>
    <row r="119" spans="1:20" s="350" customFormat="1" ht="17.399999999999999" x14ac:dyDescent="0.25">
      <c r="A119" s="442" t="s">
        <v>10910</v>
      </c>
      <c r="B119" s="382" t="s">
        <v>5562</v>
      </c>
      <c r="C119" s="383" t="s">
        <v>4149</v>
      </c>
      <c r="D119" s="381"/>
      <c r="E119" s="2538" cm="1">
        <f t="array" ref="E119">INDEX('4층_부하량'!$D$3:$D$3000,MATCH(1,("4-DaHall 1-PDU-12"='4층_부하량'!$A$3:$A$3000)*(21='4층_부하량'!$B$3:$B$3000),0))</f>
        <v>0</v>
      </c>
      <c r="F119" s="381"/>
      <c r="G119" s="381"/>
      <c r="H119" s="1203" t="s">
        <v>4171</v>
      </c>
      <c r="I119" s="3280" t="s">
        <v>4247</v>
      </c>
      <c r="J119" s="1022"/>
      <c r="K119" s="1023"/>
      <c r="L119" s="583" t="s">
        <v>5668</v>
      </c>
      <c r="M119" s="376" t="s">
        <v>4171</v>
      </c>
      <c r="N119" s="381"/>
      <c r="O119" s="2538" cm="1">
        <f t="array" ref="O119">INDEX('4층_부하량'!$D$3:$D$3000,MATCH(1,("4-DaHall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10911</v>
      </c>
    </row>
    <row r="120" spans="1:20" s="350" customFormat="1" ht="17.399999999999999" x14ac:dyDescent="0.25">
      <c r="A120" s="390" t="s">
        <v>10912</v>
      </c>
      <c r="B120" s="382" t="s">
        <v>5562</v>
      </c>
      <c r="C120" s="383" t="s">
        <v>4149</v>
      </c>
      <c r="D120" s="381"/>
      <c r="E120" s="381"/>
      <c r="F120" s="2538" cm="1">
        <f t="array" ref="F120">INDEX('4층_부하량'!$E$3:$E$3000,MATCH(1,("4-DaHall 1-PDU-12"='4층_부하량'!$A$3:$A$3000)*(23='4층_부하량'!$B$3:$B$3000),0))</f>
        <v>0</v>
      </c>
      <c r="G120" s="411"/>
      <c r="H120" s="1287" t="s">
        <v>4171</v>
      </c>
      <c r="I120" s="3282" t="s">
        <v>4251</v>
      </c>
      <c r="J120" s="1288"/>
      <c r="K120" s="1289"/>
      <c r="L120" s="3283" t="s">
        <v>4253</v>
      </c>
      <c r="M120" s="409" t="s">
        <v>4171</v>
      </c>
      <c r="N120" s="381"/>
      <c r="O120" s="381"/>
      <c r="P120" s="2538" cm="1">
        <f t="array" ref="P120">INDEX('4층_부하량'!$E$3:$E$3000,MATCH(1,("4-DaHall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10913</v>
      </c>
    </row>
    <row r="121" spans="1:20" s="350" customFormat="1" ht="17.399999999999999" x14ac:dyDescent="0.25">
      <c r="A121" s="390" t="s">
        <v>10914</v>
      </c>
      <c r="B121" s="382" t="s">
        <v>5562</v>
      </c>
      <c r="C121" s="383" t="s">
        <v>4149</v>
      </c>
      <c r="D121" s="2538" cm="1">
        <f t="array" ref="D121">INDEX('4층_부하량'!$C$3:$C$3000,MATCH(1,("4-DaHall 1-PDU-12"='4층_부하량'!$A$3:$A$3000)*(25='4층_부하량'!$B$3:$B$3000),0))</f>
        <v>0</v>
      </c>
      <c r="E121" s="381"/>
      <c r="F121" s="381"/>
      <c r="G121" s="411"/>
      <c r="H121" s="1287" t="s">
        <v>4171</v>
      </c>
      <c r="I121" s="3282" t="s">
        <v>4256</v>
      </c>
      <c r="J121" s="1288"/>
      <c r="K121" s="1289"/>
      <c r="L121" s="3283" t="s">
        <v>4258</v>
      </c>
      <c r="M121" s="409" t="s">
        <v>4171</v>
      </c>
      <c r="N121" s="2538" cm="1">
        <f t="array" ref="N121">INDEX('4층_부하량'!$C$3:$C$3000,MATCH(1,("4-DaHall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10915</v>
      </c>
    </row>
    <row r="122" spans="1:20" s="350" customFormat="1" ht="17.399999999999999" x14ac:dyDescent="0.25">
      <c r="A122" s="390" t="s">
        <v>10916</v>
      </c>
      <c r="B122" s="382" t="s">
        <v>5562</v>
      </c>
      <c r="C122" s="383" t="s">
        <v>4149</v>
      </c>
      <c r="D122" s="381"/>
      <c r="E122" s="2538" cm="1">
        <f t="array" ref="E122">INDEX('4층_부하량'!$D$3:$D$3000,MATCH(1,("4-DaHall 1-PDU-12"='4층_부하량'!$A$3:$A$3000)*(27='4층_부하량'!$B$3:$B$3000),0))</f>
        <v>0</v>
      </c>
      <c r="F122" s="381"/>
      <c r="G122" s="411"/>
      <c r="H122" s="1287" t="s">
        <v>4171</v>
      </c>
      <c r="I122" s="3282" t="s">
        <v>4261</v>
      </c>
      <c r="J122" s="1288"/>
      <c r="K122" s="1289"/>
      <c r="L122" s="3283" t="s">
        <v>4262</v>
      </c>
      <c r="M122" s="409" t="s">
        <v>4171</v>
      </c>
      <c r="N122" s="381"/>
      <c r="O122" s="2538" cm="1">
        <f t="array" ref="O122">INDEX('4층_부하량'!$D$3:$D$3000,MATCH(1,("4-DaHall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10917</v>
      </c>
    </row>
    <row r="123" spans="1:20" s="350" customFormat="1" ht="17.399999999999999" x14ac:dyDescent="0.25">
      <c r="A123" s="390" t="s">
        <v>10918</v>
      </c>
      <c r="B123" s="382" t="s">
        <v>5562</v>
      </c>
      <c r="C123" s="383" t="s">
        <v>4149</v>
      </c>
      <c r="D123" s="381"/>
      <c r="E123" s="381"/>
      <c r="F123" s="2538" cm="1">
        <f t="array" ref="F123">INDEX('4층_부하량'!$E$3:$E$3000,MATCH(1,("4-DaHall 1-PDU-12"='4층_부하량'!$A$3:$A$3000)*(29='4층_부하량'!$B$3:$B$3000),0))</f>
        <v>0</v>
      </c>
      <c r="G123" s="411"/>
      <c r="H123" s="1287" t="s">
        <v>4171</v>
      </c>
      <c r="I123" s="3282" t="s">
        <v>4264</v>
      </c>
      <c r="J123" s="1288"/>
      <c r="K123" s="1289"/>
      <c r="L123" s="3283" t="s">
        <v>4265</v>
      </c>
      <c r="M123" s="409" t="s">
        <v>4171</v>
      </c>
      <c r="N123" s="381"/>
      <c r="O123" s="381"/>
      <c r="P123" s="2538" cm="1">
        <f t="array" ref="P123">INDEX('4층_부하량'!$E$3:$E$3000,MATCH(1,("4-DaHall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10919</v>
      </c>
    </row>
    <row r="124" spans="1:20" s="350" customFormat="1" ht="17.399999999999999" x14ac:dyDescent="0.25">
      <c r="A124" s="390" t="s">
        <v>10920</v>
      </c>
      <c r="B124" s="382" t="s">
        <v>5562</v>
      </c>
      <c r="C124" s="383" t="s">
        <v>4149</v>
      </c>
      <c r="D124" s="2538" cm="1">
        <f t="array" ref="D124">INDEX('4층_부하량'!$C$3:$C$3000,MATCH(1,("4-DaHall 1-PDU-12"='4층_부하량'!$A$3:$A$3000)*(31='4층_부하량'!$B$3:$B$3000),0))</f>
        <v>0</v>
      </c>
      <c r="E124" s="381"/>
      <c r="F124" s="381"/>
      <c r="G124" s="411"/>
      <c r="H124" s="1287" t="s">
        <v>4171</v>
      </c>
      <c r="I124" s="3282" t="s">
        <v>4266</v>
      </c>
      <c r="J124" s="1288"/>
      <c r="K124" s="1289"/>
      <c r="L124" s="3283" t="s">
        <v>4267</v>
      </c>
      <c r="M124" s="409" t="s">
        <v>4171</v>
      </c>
      <c r="N124" s="2538" cm="1">
        <f t="array" ref="N124">INDEX('4층_부하량'!$C$3:$C$3000,MATCH(1,("4-DaHall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10921</v>
      </c>
    </row>
    <row r="125" spans="1:20" s="350" customFormat="1" ht="17.399999999999999" x14ac:dyDescent="0.25">
      <c r="A125" s="390" t="s">
        <v>10922</v>
      </c>
      <c r="B125" s="382" t="s">
        <v>5562</v>
      </c>
      <c r="C125" s="383" t="s">
        <v>4149</v>
      </c>
      <c r="D125" s="381"/>
      <c r="E125" s="2538" cm="1">
        <f t="array" ref="E125">INDEX('4층_부하량'!$D$3:$D$3000,MATCH(1,("4-DaHall 1-PDU-12"='4층_부하량'!$A$3:$A$3000)*(33='4층_부하량'!$B$3:$B$3000),0))</f>
        <v>0</v>
      </c>
      <c r="F125" s="381"/>
      <c r="G125" s="411"/>
      <c r="H125" s="1287" t="s">
        <v>4171</v>
      </c>
      <c r="I125" s="3282" t="s">
        <v>4270</v>
      </c>
      <c r="J125" s="1288"/>
      <c r="K125" s="1289"/>
      <c r="L125" s="3283" t="s">
        <v>4271</v>
      </c>
      <c r="M125" s="409" t="s">
        <v>4171</v>
      </c>
      <c r="N125" s="381"/>
      <c r="O125" s="2538" cm="1">
        <f t="array" ref="O125">INDEX('4층_부하량'!$D$3:$D$3000,MATCH(1,("4-DaHall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10923</v>
      </c>
    </row>
    <row r="126" spans="1:20" s="350" customFormat="1" ht="17.399999999999999" x14ac:dyDescent="0.25">
      <c r="A126" s="390" t="s">
        <v>10924</v>
      </c>
      <c r="B126" s="382" t="s">
        <v>5562</v>
      </c>
      <c r="C126" s="383" t="s">
        <v>4149</v>
      </c>
      <c r="D126" s="381"/>
      <c r="E126" s="381"/>
      <c r="F126" s="2538" cm="1">
        <f t="array" ref="F126">INDEX('4층_부하량'!$E$3:$E$3000,MATCH(1,("4-DaHall 1-PDU-12"='4층_부하량'!$A$3:$A$3000)*(35='4층_부하량'!$B$3:$B$3000),0))</f>
        <v>0</v>
      </c>
      <c r="G126" s="411"/>
      <c r="H126" s="1287" t="s">
        <v>4171</v>
      </c>
      <c r="I126" s="3282" t="s">
        <v>4274</v>
      </c>
      <c r="J126" s="1288"/>
      <c r="K126" s="1289"/>
      <c r="L126" s="3283" t="s">
        <v>4276</v>
      </c>
      <c r="M126" s="409" t="s">
        <v>4171</v>
      </c>
      <c r="N126" s="381"/>
      <c r="O126" s="381"/>
      <c r="P126" s="2538" cm="1">
        <f t="array" ref="P126">INDEX('4층_부하량'!$E$3:$E$3000,MATCH(1,("4-DaHall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10925</v>
      </c>
    </row>
    <row r="127" spans="1:20" s="350" customFormat="1" ht="17.399999999999999" x14ac:dyDescent="0.25">
      <c r="A127" s="390" t="s">
        <v>10926</v>
      </c>
      <c r="B127" s="382" t="s">
        <v>5562</v>
      </c>
      <c r="C127" s="383" t="s">
        <v>4149</v>
      </c>
      <c r="D127" s="2538" cm="1">
        <f t="array" ref="D127">INDEX('4층_부하량'!$C$3:$C$3000,MATCH(1,("4-DaHall 1-PDU-12"='4층_부하량'!$A$3:$A$3000)*(37='4층_부하량'!$B$3:$B$3000),0))</f>
        <v>0</v>
      </c>
      <c r="E127" s="381"/>
      <c r="F127" s="381"/>
      <c r="G127" s="411"/>
      <c r="H127" s="1287" t="s">
        <v>4171</v>
      </c>
      <c r="I127" s="3282" t="s">
        <v>4279</v>
      </c>
      <c r="J127" s="1288"/>
      <c r="K127" s="1289"/>
      <c r="L127" s="3283" t="s">
        <v>4280</v>
      </c>
      <c r="M127" s="409" t="s">
        <v>4171</v>
      </c>
      <c r="N127" s="2538" cm="1">
        <f t="array" ref="N127">INDEX('4층_부하량'!$C$3:$C$3000,MATCH(1,("4-DaHall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10927</v>
      </c>
    </row>
    <row r="128" spans="1:20" s="350" customFormat="1" ht="17.399999999999999" x14ac:dyDescent="0.25">
      <c r="A128" s="390" t="s">
        <v>10928</v>
      </c>
      <c r="B128" s="382" t="s">
        <v>5562</v>
      </c>
      <c r="C128" s="383" t="s">
        <v>4149</v>
      </c>
      <c r="D128" s="381"/>
      <c r="E128" s="2538" cm="1">
        <f t="array" ref="E128">INDEX('4층_부하량'!$D$3:$D$3000,MATCH(1,("4-DaHall 1-PDU-12"='4층_부하량'!$A$3:$A$3000)*(39='4층_부하량'!$B$3:$B$3000),0))</f>
        <v>0</v>
      </c>
      <c r="F128" s="381"/>
      <c r="G128" s="411"/>
      <c r="H128" s="1287" t="s">
        <v>4171</v>
      </c>
      <c r="I128" s="3282" t="s">
        <v>4283</v>
      </c>
      <c r="J128" s="1288"/>
      <c r="K128" s="1289"/>
      <c r="L128" s="3283" t="s">
        <v>4284</v>
      </c>
      <c r="M128" s="409" t="s">
        <v>4171</v>
      </c>
      <c r="N128" s="381"/>
      <c r="O128" s="2538" cm="1">
        <f t="array" ref="O128">INDEX('4층_부하량'!$D$3:$D$3000,MATCH(1,("4-DaHall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7" t="s">
        <v>4296</v>
      </c>
      <c r="T128" s="407" t="s">
        <v>10929</v>
      </c>
    </row>
    <row r="129" spans="1:20" s="350" customFormat="1" ht="17.399999999999999" x14ac:dyDescent="0.25">
      <c r="A129" s="390" t="s">
        <v>10930</v>
      </c>
      <c r="B129" s="382" t="s">
        <v>5562</v>
      </c>
      <c r="C129" s="1287" t="s">
        <v>4296</v>
      </c>
      <c r="D129" s="381"/>
      <c r="E129" s="381"/>
      <c r="F129" s="2538" cm="1">
        <f t="array" ref="F129">INDEX('4층_부하량'!$E$3:$E$3000,MATCH(1,("4-DaHall 1-PDU-12"='4층_부하량'!$A$3:$A$3000)*(41='4층_부하량'!$B$3:$B$3000),0))</f>
        <v>0</v>
      </c>
      <c r="G129" s="411"/>
      <c r="H129" s="1287" t="s">
        <v>4171</v>
      </c>
      <c r="I129" s="3282" t="s">
        <v>4628</v>
      </c>
      <c r="J129" s="1288"/>
      <c r="K129" s="1289"/>
      <c r="L129" s="3283" t="s">
        <v>4416</v>
      </c>
      <c r="M129" s="409" t="s">
        <v>4171</v>
      </c>
      <c r="N129" s="381"/>
      <c r="O129" s="381"/>
      <c r="P129" s="2538" cm="1">
        <f t="array" ref="P129">INDEX('4층_부하량'!$E$3:$E$3000,MATCH(1,("4-DaHall 1-PDU-12"='4층_부하량'!$A$3:$A$3000)*(42='4층_부하량'!$B$3:$B$3000),0))</f>
        <v>0</v>
      </c>
      <c r="Q129" s="411"/>
      <c r="R129" s="382" t="s">
        <v>5562</v>
      </c>
      <c r="S129" s="1287" t="s">
        <v>4296</v>
      </c>
      <c r="T129" s="407" t="s">
        <v>10931</v>
      </c>
    </row>
    <row r="130" spans="1:20" s="350" customFormat="1" ht="17.399999999999999" x14ac:dyDescent="0.25">
      <c r="A130" s="390" t="s">
        <v>10932</v>
      </c>
      <c r="B130" s="382" t="s">
        <v>5562</v>
      </c>
      <c r="C130" s="1287" t="s">
        <v>4296</v>
      </c>
      <c r="D130" s="2538" cm="1">
        <f t="array" ref="D130">INDEX('4층_부하량'!$C$3:$C$3000,MATCH(1,("4-DaHall 1-PDU-12"='4층_부하량'!$A$3:$A$3000)*(43='4층_부하량'!$B$3:$B$3000),0))</f>
        <v>0</v>
      </c>
      <c r="E130" s="381"/>
      <c r="F130" s="381"/>
      <c r="G130" s="411"/>
      <c r="H130" s="1287" t="s">
        <v>4171</v>
      </c>
      <c r="I130" s="3282" t="s">
        <v>4418</v>
      </c>
      <c r="J130" s="1288"/>
      <c r="K130" s="1289"/>
      <c r="L130" s="3283" t="s">
        <v>4419</v>
      </c>
      <c r="M130" s="409" t="s">
        <v>4171</v>
      </c>
      <c r="N130" s="2538" cm="1">
        <f t="array" ref="N130">INDEX('4층_부하량'!$C$3:$C$3000,MATCH(1,("4-DaHall 1-PDU-12"='4층_부하량'!$A$3:$A$3000)*(44='4층_부하량'!$B$3:$B$3000),0))</f>
        <v>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7.399999999999999" x14ac:dyDescent="0.25">
      <c r="A131" s="390"/>
      <c r="B131" s="1286" t="s">
        <v>535</v>
      </c>
      <c r="C131" s="1287" t="s">
        <v>4296</v>
      </c>
      <c r="D131" s="381"/>
      <c r="E131" s="2538" cm="1">
        <f t="array" ref="E131">INDEX('4층_부하량'!$D$3:$D$3000,MATCH(1,("4-DaHall 1-PDU-12"='4층_부하량'!$A$3:$A$3000)*(45='4층_부하량'!$B$3:$B$3000),0))</f>
        <v>0</v>
      </c>
      <c r="F131" s="381"/>
      <c r="G131" s="411"/>
      <c r="H131" s="1287" t="s">
        <v>4171</v>
      </c>
      <c r="I131" s="3282" t="s">
        <v>4420</v>
      </c>
      <c r="J131" s="1288"/>
      <c r="K131" s="1289"/>
      <c r="L131" s="3283" t="s">
        <v>4421</v>
      </c>
      <c r="M131" s="409" t="s">
        <v>4171</v>
      </c>
      <c r="N131" s="381"/>
      <c r="O131" s="2538" cm="1">
        <f t="array" ref="O131">INDEX('4층_부하량'!$D$3:$D$3000,MATCH(1,("4-DaHall 1-PDU-12"='4층_부하량'!$A$3:$A$3000)*(46='4층_부하량'!$B$3:$B$3000),0))</f>
        <v>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7.399999999999999" x14ac:dyDescent="0.25">
      <c r="A132" s="390"/>
      <c r="B132" s="1286" t="s">
        <v>535</v>
      </c>
      <c r="C132" s="1287" t="s">
        <v>4296</v>
      </c>
      <c r="D132" s="381"/>
      <c r="E132" s="381"/>
      <c r="F132" s="2538" cm="1">
        <f t="array" ref="F132">INDEX('4층_부하량'!$E$3:$E$3000,MATCH(1,("4-DaHall 1-PDU-12"='4층_부하량'!$A$3:$A$3000)*(47='4층_부하량'!$B$3:$B$3000),0))</f>
        <v>0</v>
      </c>
      <c r="G132" s="411"/>
      <c r="H132" s="1287" t="s">
        <v>4171</v>
      </c>
      <c r="I132" s="3282" t="s">
        <v>4422</v>
      </c>
      <c r="J132" s="1288"/>
      <c r="K132" s="1289"/>
      <c r="L132" s="3283" t="s">
        <v>4423</v>
      </c>
      <c r="M132" s="409" t="s">
        <v>4171</v>
      </c>
      <c r="N132" s="381"/>
      <c r="O132" s="381"/>
      <c r="P132" s="2538" cm="1">
        <f t="array" ref="P132">INDEX('4층_부하량'!$E$3:$E$3000,MATCH(1,("4-DaHall 1-PDU-12"='4층_부하량'!$A$3:$A$3000)*(48='4층_부하량'!$B$3:$B$3000),0))</f>
        <v>0</v>
      </c>
      <c r="Q132" s="411"/>
      <c r="R132" s="1286" t="s">
        <v>535</v>
      </c>
      <c r="S132" s="1287" t="s">
        <v>4296</v>
      </c>
      <c r="T132" s="407"/>
    </row>
    <row r="133" spans="1:20" s="350" customFormat="1" ht="18" thickBot="1" x14ac:dyDescent="0.3">
      <c r="A133" s="425"/>
      <c r="B133" s="430" t="s">
        <v>4164</v>
      </c>
      <c r="C133" s="426" t="s">
        <v>4215</v>
      </c>
      <c r="D133" s="2539" cm="1">
        <f t="array" ref="D133">INDEX('4층_부하량'!$C$3:$C$3000,MATCH(1,("4-DaHall 1-PDU-12"='4층_부하량'!$A$3:$A$3000)*(49='4층_부하량'!$B$3:$B$3000),0))</f>
        <v>0</v>
      </c>
      <c r="E133" s="427"/>
      <c r="F133" s="427"/>
      <c r="G133" s="427"/>
      <c r="H133" s="426" t="s">
        <v>4171</v>
      </c>
      <c r="I133" s="3284" t="s">
        <v>4424</v>
      </c>
      <c r="J133" s="1200"/>
      <c r="K133" s="1201"/>
      <c r="L133" s="1202" t="s">
        <v>4425</v>
      </c>
      <c r="M133" s="426" t="s">
        <v>4171</v>
      </c>
      <c r="N133" s="2539" cm="1">
        <f t="array" ref="N133">INDEX('4층_부하량'!$C$3:$C$3000,MATCH(1,("4-DaHall 1-PDU-12"='4층_부하량'!$A$3:$A$3000)*(50='4층_부하량'!$B$3:$B$3000),0))</f>
        <v>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 x14ac:dyDescent="0.3">
      <c r="L134" s="3285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 x14ac:dyDescent="0.3">
      <c r="A135" s="349" t="s">
        <v>10933</v>
      </c>
      <c r="C135" s="3981"/>
      <c r="D135" s="3981"/>
      <c r="E135" s="3981"/>
      <c r="F135" s="3981"/>
      <c r="G135" s="351"/>
      <c r="H135" s="352"/>
      <c r="I135" s="352"/>
      <c r="J135" s="3979" t="s">
        <v>4288</v>
      </c>
      <c r="K135" s="3980"/>
      <c r="L135" s="3277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 x14ac:dyDescent="0.3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.600000000000001" thickTop="1" thickBot="1" x14ac:dyDescent="0.3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 x14ac:dyDescent="0.25">
      <c r="A138" s="468"/>
      <c r="B138" s="372" t="s">
        <v>535</v>
      </c>
      <c r="C138" s="3286" t="s">
        <v>4296</v>
      </c>
      <c r="D138" s="2537" cm="1">
        <f t="array" ref="D138">INDEX('4층_부하량'!$C$3:$C$3000,MATCH(1,("4-DaHall 1-PDU-13"='4층_부하량'!$A$3:$A$3000)*(1='4층_부하량'!$B$3:$B$3000),0))</f>
        <v>0</v>
      </c>
      <c r="E138" s="395"/>
      <c r="F138" s="395"/>
      <c r="G138" s="368"/>
      <c r="H138" s="3278" t="s">
        <v>4574</v>
      </c>
      <c r="I138" s="3279" t="s">
        <v>4151</v>
      </c>
      <c r="J138" s="1018"/>
      <c r="K138" s="1019"/>
      <c r="L138" s="581" t="s">
        <v>4436</v>
      </c>
      <c r="M138" s="366" t="s">
        <v>4574</v>
      </c>
      <c r="N138" s="2537" cm="1">
        <f t="array" ref="N138">INDEX('4층_부하량'!$C$3:$C$3000,MATCH(1,("4-DaHall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86" t="s">
        <v>4296</v>
      </c>
      <c r="T138" s="1204"/>
    </row>
    <row r="139" spans="1:20" s="350" customFormat="1" ht="17.399999999999999" x14ac:dyDescent="0.25">
      <c r="A139" s="385"/>
      <c r="B139" s="382" t="s">
        <v>535</v>
      </c>
      <c r="C139" s="1203" t="s">
        <v>4296</v>
      </c>
      <c r="D139" s="381"/>
      <c r="E139" s="2531" cm="1">
        <f t="array" ref="E139">INDEX('4층_부하량'!$D$3:$D$3000,MATCH(1,("4-DaHall 1-PDU-13"='4층_부하량'!$A$3:$A$3000)*(3='4층_부하량'!$B$3:$B$3000),0))</f>
        <v>0</v>
      </c>
      <c r="F139" s="381"/>
      <c r="G139" s="377"/>
      <c r="H139" s="376" t="s">
        <v>4574</v>
      </c>
      <c r="I139" s="3280" t="s">
        <v>4156</v>
      </c>
      <c r="J139" s="1020"/>
      <c r="K139" s="1021"/>
      <c r="L139" s="582" t="s">
        <v>4438</v>
      </c>
      <c r="M139" s="376" t="s">
        <v>4574</v>
      </c>
      <c r="N139" s="381"/>
      <c r="O139" s="2531" cm="1">
        <f t="array" ref="O139">INDEX('4층_부하량'!$D$3:$D$3000,MATCH(1,("4-DaHall 1-PDU-13"='4층_부하량'!$A$3:$A$3000)*(4='4층_부하량'!$B$3:$B$3000),0))</f>
        <v>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7.399999999999999" x14ac:dyDescent="0.25">
      <c r="A140" s="385" t="s">
        <v>10934</v>
      </c>
      <c r="B140" s="382" t="s">
        <v>5562</v>
      </c>
      <c r="C140" s="383" t="s">
        <v>4149</v>
      </c>
      <c r="D140" s="381"/>
      <c r="E140" s="381"/>
      <c r="F140" s="2538" cm="1">
        <f t="array" ref="F140">INDEX('4층_부하량'!$E$3:$E$3000,MATCH(1,("4-DaHall 1-PDU-13"='4층_부하량'!$A$3:$A$3000)*(5='4층_부하량'!$B$3:$B$3000),0))</f>
        <v>0</v>
      </c>
      <c r="G140" s="381"/>
      <c r="H140" s="376" t="s">
        <v>4171</v>
      </c>
      <c r="I140" s="3280" t="s">
        <v>4161</v>
      </c>
      <c r="J140" s="1022"/>
      <c r="K140" s="1023"/>
      <c r="L140" s="583" t="s">
        <v>4441</v>
      </c>
      <c r="M140" s="3281" t="s">
        <v>4150</v>
      </c>
      <c r="N140" s="381"/>
      <c r="O140" s="381"/>
      <c r="P140" s="2538" cm="1">
        <f t="array" ref="P140">INDEX('4층_부하량'!$E$3:$E$3000,MATCH(1,("4-DaHall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10935</v>
      </c>
    </row>
    <row r="141" spans="1:20" s="350" customFormat="1" ht="17.399999999999999" x14ac:dyDescent="0.25">
      <c r="A141" s="385" t="s">
        <v>10936</v>
      </c>
      <c r="B141" s="382" t="s">
        <v>5562</v>
      </c>
      <c r="C141" s="383" t="s">
        <v>4149</v>
      </c>
      <c r="D141" s="2538" cm="1">
        <f t="array" ref="D141">INDEX('4층_부하량'!$C$3:$C$3000,MATCH(1,("4-DaHall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8" cm="1">
        <f t="array" ref="N141">INDEX('4층_부하량'!$C$3:$C$3000,MATCH(1,("4-DaHall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10937</v>
      </c>
    </row>
    <row r="142" spans="1:20" s="350" customFormat="1" ht="17.399999999999999" x14ac:dyDescent="0.25">
      <c r="A142" s="385" t="s">
        <v>10938</v>
      </c>
      <c r="B142" s="382" t="s">
        <v>5562</v>
      </c>
      <c r="C142" s="383" t="s">
        <v>4149</v>
      </c>
      <c r="D142" s="381"/>
      <c r="E142" s="2531" cm="1">
        <f t="array" ref="E142">INDEX('4층_부하량'!$D$3:$D$3000,MATCH(1,("4-DaHall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1" cm="1">
        <f t="array" ref="O142">INDEX('4층_부하량'!$D$3:$D$3000,MATCH(1,("4-DaHall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10939</v>
      </c>
    </row>
    <row r="143" spans="1:20" s="350" customFormat="1" ht="17.399999999999999" x14ac:dyDescent="0.25">
      <c r="A143" s="385" t="s">
        <v>10940</v>
      </c>
      <c r="B143" s="382" t="s">
        <v>5562</v>
      </c>
      <c r="C143" s="383" t="s">
        <v>4149</v>
      </c>
      <c r="D143" s="381"/>
      <c r="E143" s="381"/>
      <c r="F143" s="2538" cm="1">
        <f t="array" ref="F143">INDEX('4층_부하량'!$E$3:$E$3000,MATCH(1,("4-DaHall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8" cm="1">
        <f t="array" ref="P143">INDEX('4층_부하량'!$E$3:$E$3000,MATCH(1,("4-DaHall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10941</v>
      </c>
    </row>
    <row r="144" spans="1:20" s="350" customFormat="1" ht="17.399999999999999" x14ac:dyDescent="0.25">
      <c r="A144" s="385" t="s">
        <v>10942</v>
      </c>
      <c r="B144" s="382" t="s">
        <v>5562</v>
      </c>
      <c r="C144" s="383" t="s">
        <v>4149</v>
      </c>
      <c r="D144" s="2538" cm="1">
        <f t="array" ref="D144">INDEX('4층_부하량'!$C$3:$C$3000,MATCH(1,("4-DaHall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8" cm="1">
        <f t="array" ref="N144">INDEX('4층_부하량'!$C$3:$C$3000,MATCH(1,("4-DaHall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10943</v>
      </c>
    </row>
    <row r="145" spans="1:20" s="350" customFormat="1" ht="17.399999999999999" x14ac:dyDescent="0.25">
      <c r="A145" s="442" t="s">
        <v>10944</v>
      </c>
      <c r="B145" s="382" t="s">
        <v>5562</v>
      </c>
      <c r="C145" s="383" t="s">
        <v>4149</v>
      </c>
      <c r="D145" s="381"/>
      <c r="E145" s="2538" cm="1">
        <f t="array" ref="E145">INDEX('4층_부하량'!$D$3:$D$3000,MATCH(1,("4-DaHall 1-PDU-13"='4층_부하량'!$A$3:$A$3000)*(15='4층_부하량'!$B$3:$B$3000),0))</f>
        <v>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8" cm="1">
        <f t="array" ref="O145">INDEX('4층_부하량'!$D$3:$D$3000,MATCH(1,("4-DaHall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10945</v>
      </c>
    </row>
    <row r="146" spans="1:20" s="350" customFormat="1" ht="17.399999999999999" x14ac:dyDescent="0.25">
      <c r="A146" s="442" t="s">
        <v>10946</v>
      </c>
      <c r="B146" s="382" t="s">
        <v>5562</v>
      </c>
      <c r="C146" s="383" t="s">
        <v>4149</v>
      </c>
      <c r="D146" s="381"/>
      <c r="E146" s="381"/>
      <c r="F146" s="2538" cm="1">
        <f t="array" ref="F146">INDEX('4층_부하량'!$E$3:$E$3000,MATCH(1,("4-DaHall 1-PDU-13"='4층_부하량'!$A$3:$A$3000)*(17='4층_부하량'!$B$3:$B$3000),0))</f>
        <v>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8" cm="1">
        <f t="array" ref="P146">INDEX('4층_부하량'!$E$3:$E$3000,MATCH(1,("4-DaHall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10947</v>
      </c>
    </row>
    <row r="147" spans="1:20" s="350" customFormat="1" ht="17.399999999999999" x14ac:dyDescent="0.25">
      <c r="A147" s="442" t="s">
        <v>10948</v>
      </c>
      <c r="B147" s="382" t="s">
        <v>5562</v>
      </c>
      <c r="C147" s="383" t="s">
        <v>4149</v>
      </c>
      <c r="D147" s="2538" cm="1">
        <f t="array" ref="D147">INDEX('4층_부하량'!$C$3:$C$3000,MATCH(1,("4-DaHall 1-PDU-13"='4층_부하량'!$A$3:$A$3000)*(19='4층_부하량'!$B$3:$B$3000),0))</f>
        <v>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8" cm="1">
        <f t="array" ref="N147">INDEX('4층_부하량'!$C$3:$C$3000,MATCH(1,("4-DaHall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10949</v>
      </c>
    </row>
    <row r="148" spans="1:20" s="350" customFormat="1" ht="17.399999999999999" x14ac:dyDescent="0.25">
      <c r="A148" s="442" t="s">
        <v>10950</v>
      </c>
      <c r="B148" s="382" t="s">
        <v>5562</v>
      </c>
      <c r="C148" s="383" t="s">
        <v>4149</v>
      </c>
      <c r="D148" s="381"/>
      <c r="E148" s="2538" cm="1">
        <f t="array" ref="E148">INDEX('4층_부하량'!$D$3:$D$3000,MATCH(1,("4-DaHall 1-PDU-13"='4층_부하량'!$A$3:$A$3000)*(21='4층_부하량'!$B$3:$B$3000),0))</f>
        <v>0</v>
      </c>
      <c r="F148" s="381"/>
      <c r="G148" s="381"/>
      <c r="H148" s="1203" t="s">
        <v>4171</v>
      </c>
      <c r="I148" s="3280" t="s">
        <v>4247</v>
      </c>
      <c r="J148" s="1022"/>
      <c r="K148" s="1023"/>
      <c r="L148" s="583" t="s">
        <v>5668</v>
      </c>
      <c r="M148" s="376" t="s">
        <v>4171</v>
      </c>
      <c r="N148" s="381"/>
      <c r="O148" s="2538" cm="1">
        <f t="array" ref="O148">INDEX('4층_부하량'!$D$3:$D$3000,MATCH(1,("4-DaHall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10951</v>
      </c>
    </row>
    <row r="149" spans="1:20" s="350" customFormat="1" ht="17.399999999999999" x14ac:dyDescent="0.25">
      <c r="A149" s="390" t="s">
        <v>10952</v>
      </c>
      <c r="B149" s="382" t="s">
        <v>5562</v>
      </c>
      <c r="C149" s="383" t="s">
        <v>4149</v>
      </c>
      <c r="D149" s="381"/>
      <c r="E149" s="381"/>
      <c r="F149" s="2538" cm="1">
        <f t="array" ref="F149">INDEX('4층_부하량'!$E$3:$E$3000,MATCH(1,("4-DaHall 1-PDU-13"='4층_부하량'!$A$3:$A$3000)*(23='4층_부하량'!$B$3:$B$3000),0))</f>
        <v>0</v>
      </c>
      <c r="G149" s="411"/>
      <c r="H149" s="1287" t="s">
        <v>4171</v>
      </c>
      <c r="I149" s="3282" t="s">
        <v>4251</v>
      </c>
      <c r="J149" s="1288"/>
      <c r="K149" s="1289"/>
      <c r="L149" s="3283" t="s">
        <v>4253</v>
      </c>
      <c r="M149" s="409" t="s">
        <v>4171</v>
      </c>
      <c r="N149" s="381"/>
      <c r="O149" s="381"/>
      <c r="P149" s="2538" cm="1">
        <f t="array" ref="P149">INDEX('4층_부하량'!$E$3:$E$3000,MATCH(1,("4-DaHall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10953</v>
      </c>
    </row>
    <row r="150" spans="1:20" s="350" customFormat="1" ht="17.399999999999999" x14ac:dyDescent="0.25">
      <c r="A150" s="390" t="s">
        <v>10954</v>
      </c>
      <c r="B150" s="382" t="s">
        <v>5562</v>
      </c>
      <c r="C150" s="383" t="s">
        <v>4149</v>
      </c>
      <c r="D150" s="2538" cm="1">
        <f t="array" ref="D150">INDEX('4층_부하량'!$C$3:$C$3000,MATCH(1,("4-DaHall 1-PDU-13"='4층_부하량'!$A$3:$A$3000)*(25='4층_부하량'!$B$3:$B$3000),0))</f>
        <v>0</v>
      </c>
      <c r="E150" s="381"/>
      <c r="F150" s="381"/>
      <c r="G150" s="411"/>
      <c r="H150" s="1287" t="s">
        <v>4171</v>
      </c>
      <c r="I150" s="3282" t="s">
        <v>4256</v>
      </c>
      <c r="J150" s="1288"/>
      <c r="K150" s="1289"/>
      <c r="L150" s="3283" t="s">
        <v>4258</v>
      </c>
      <c r="M150" s="409" t="s">
        <v>4171</v>
      </c>
      <c r="N150" s="2538" cm="1">
        <f t="array" ref="N150">INDEX('4층_부하량'!$C$3:$C$3000,MATCH(1,("4-DaHall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10955</v>
      </c>
    </row>
    <row r="151" spans="1:20" s="350" customFormat="1" ht="17.399999999999999" x14ac:dyDescent="0.25">
      <c r="A151" s="390" t="s">
        <v>10956</v>
      </c>
      <c r="B151" s="382" t="s">
        <v>5562</v>
      </c>
      <c r="C151" s="383" t="s">
        <v>4149</v>
      </c>
      <c r="D151" s="381"/>
      <c r="E151" s="2538" cm="1">
        <f t="array" ref="E151">INDEX('4층_부하량'!$D$3:$D$3000,MATCH(1,("4-DaHall 1-PDU-13"='4층_부하량'!$A$3:$A$3000)*(27='4층_부하량'!$B$3:$B$3000),0))</f>
        <v>0</v>
      </c>
      <c r="F151" s="381"/>
      <c r="G151" s="411"/>
      <c r="H151" s="1287" t="s">
        <v>4171</v>
      </c>
      <c r="I151" s="3282" t="s">
        <v>4261</v>
      </c>
      <c r="J151" s="1288"/>
      <c r="K151" s="1289"/>
      <c r="L151" s="3283" t="s">
        <v>4262</v>
      </c>
      <c r="M151" s="409" t="s">
        <v>4171</v>
      </c>
      <c r="N151" s="381"/>
      <c r="O151" s="2538" cm="1">
        <f t="array" ref="O151">INDEX('4층_부하량'!$D$3:$D$3000,MATCH(1,("4-DaHall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10957</v>
      </c>
    </row>
    <row r="152" spans="1:20" s="350" customFormat="1" ht="17.399999999999999" x14ac:dyDescent="0.25">
      <c r="A152" s="390" t="s">
        <v>10958</v>
      </c>
      <c r="B152" s="382" t="s">
        <v>5562</v>
      </c>
      <c r="C152" s="383" t="s">
        <v>4149</v>
      </c>
      <c r="D152" s="381"/>
      <c r="E152" s="381"/>
      <c r="F152" s="2538" cm="1">
        <f t="array" ref="F152">INDEX('4층_부하량'!$E$3:$E$3000,MATCH(1,("4-DaHall 1-PDU-13"='4층_부하량'!$A$3:$A$3000)*(29='4층_부하량'!$B$3:$B$3000),0))</f>
        <v>0</v>
      </c>
      <c r="G152" s="411"/>
      <c r="H152" s="1287" t="s">
        <v>4171</v>
      </c>
      <c r="I152" s="3282" t="s">
        <v>4264</v>
      </c>
      <c r="J152" s="1288"/>
      <c r="K152" s="1289"/>
      <c r="L152" s="3283" t="s">
        <v>4265</v>
      </c>
      <c r="M152" s="409" t="s">
        <v>4171</v>
      </c>
      <c r="N152" s="381"/>
      <c r="O152" s="381"/>
      <c r="P152" s="2538" cm="1">
        <f t="array" ref="P152">INDEX('4층_부하량'!$E$3:$E$3000,MATCH(1,("4-DaHall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10959</v>
      </c>
    </row>
    <row r="153" spans="1:20" s="350" customFormat="1" ht="17.399999999999999" x14ac:dyDescent="0.25">
      <c r="A153" s="390" t="s">
        <v>10960</v>
      </c>
      <c r="B153" s="382" t="s">
        <v>5562</v>
      </c>
      <c r="C153" s="383" t="s">
        <v>4149</v>
      </c>
      <c r="D153" s="2538" cm="1">
        <f t="array" ref="D153">INDEX('4층_부하량'!$C$3:$C$3000,MATCH(1,("4-DaHall 1-PDU-13"='4층_부하량'!$A$3:$A$3000)*(31='4층_부하량'!$B$3:$B$3000),0))</f>
        <v>0</v>
      </c>
      <c r="E153" s="381"/>
      <c r="F153" s="381"/>
      <c r="G153" s="411"/>
      <c r="H153" s="1287" t="s">
        <v>4171</v>
      </c>
      <c r="I153" s="3282" t="s">
        <v>4266</v>
      </c>
      <c r="J153" s="1288"/>
      <c r="K153" s="1289"/>
      <c r="L153" s="3283" t="s">
        <v>4267</v>
      </c>
      <c r="M153" s="409" t="s">
        <v>4171</v>
      </c>
      <c r="N153" s="2538" cm="1">
        <f t="array" ref="N153">INDEX('4층_부하량'!$C$3:$C$3000,MATCH(1,("4-DaHall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10961</v>
      </c>
    </row>
    <row r="154" spans="1:20" s="350" customFormat="1" ht="17.399999999999999" x14ac:dyDescent="0.25">
      <c r="A154" s="390" t="s">
        <v>10962</v>
      </c>
      <c r="B154" s="382" t="s">
        <v>5562</v>
      </c>
      <c r="C154" s="383" t="s">
        <v>4149</v>
      </c>
      <c r="D154" s="381"/>
      <c r="E154" s="2538" cm="1">
        <f t="array" ref="E154">INDEX('4층_부하량'!$D$3:$D$3000,MATCH(1,("4-DaHall 1-PDU-13"='4층_부하량'!$A$3:$A$3000)*(33='4층_부하량'!$B$3:$B$3000),0))</f>
        <v>0</v>
      </c>
      <c r="F154" s="381"/>
      <c r="G154" s="411"/>
      <c r="H154" s="1287" t="s">
        <v>4171</v>
      </c>
      <c r="I154" s="3282" t="s">
        <v>4270</v>
      </c>
      <c r="J154" s="1288"/>
      <c r="K154" s="1289"/>
      <c r="L154" s="3283" t="s">
        <v>4271</v>
      </c>
      <c r="M154" s="409" t="s">
        <v>4171</v>
      </c>
      <c r="N154" s="381"/>
      <c r="O154" s="2538" cm="1">
        <f t="array" ref="O154">INDEX('4층_부하량'!$D$3:$D$3000,MATCH(1,("4-DaHall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10963</v>
      </c>
    </row>
    <row r="155" spans="1:20" s="350" customFormat="1" ht="17.399999999999999" x14ac:dyDescent="0.25">
      <c r="A155" s="390" t="s">
        <v>10964</v>
      </c>
      <c r="B155" s="382" t="s">
        <v>5562</v>
      </c>
      <c r="C155" s="383" t="s">
        <v>4149</v>
      </c>
      <c r="D155" s="381"/>
      <c r="E155" s="381"/>
      <c r="F155" s="2538" cm="1">
        <f t="array" ref="F155">INDEX('4층_부하량'!$E$3:$E$3000,MATCH(1,("4-DaHall 1-PDU-13"='4층_부하량'!$A$3:$A$3000)*(35='4층_부하량'!$B$3:$B$3000),0))</f>
        <v>0</v>
      </c>
      <c r="G155" s="411"/>
      <c r="H155" s="1287" t="s">
        <v>4171</v>
      </c>
      <c r="I155" s="3282" t="s">
        <v>4274</v>
      </c>
      <c r="J155" s="1288"/>
      <c r="K155" s="1289"/>
      <c r="L155" s="3283" t="s">
        <v>4276</v>
      </c>
      <c r="M155" s="409" t="s">
        <v>4171</v>
      </c>
      <c r="N155" s="381"/>
      <c r="O155" s="381"/>
      <c r="P155" s="2538" cm="1">
        <f t="array" ref="P155">INDEX('4층_부하량'!$E$3:$E$3000,MATCH(1,("4-DaHall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10965</v>
      </c>
    </row>
    <row r="156" spans="1:20" s="350" customFormat="1" ht="17.399999999999999" x14ac:dyDescent="0.25">
      <c r="A156" s="390" t="s">
        <v>10966</v>
      </c>
      <c r="B156" s="382" t="s">
        <v>5562</v>
      </c>
      <c r="C156" s="383" t="s">
        <v>4149</v>
      </c>
      <c r="D156" s="2538" cm="1">
        <f t="array" ref="D156">INDEX('4층_부하량'!$C$3:$C$3000,MATCH(1,("4-DaHall 1-PDU-13"='4층_부하량'!$A$3:$A$3000)*(37='4층_부하량'!$B$3:$B$3000),0))</f>
        <v>0</v>
      </c>
      <c r="E156" s="381"/>
      <c r="F156" s="381"/>
      <c r="G156" s="411"/>
      <c r="H156" s="1287" t="s">
        <v>4171</v>
      </c>
      <c r="I156" s="3282" t="s">
        <v>4279</v>
      </c>
      <c r="J156" s="1288"/>
      <c r="K156" s="1289"/>
      <c r="L156" s="3283" t="s">
        <v>4280</v>
      </c>
      <c r="M156" s="409" t="s">
        <v>4171</v>
      </c>
      <c r="N156" s="2538" cm="1">
        <f t="array" ref="N156">INDEX('4층_부하량'!$C$3:$C$3000,MATCH(1,("4-DaHall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10967</v>
      </c>
    </row>
    <row r="157" spans="1:20" s="350" customFormat="1" ht="17.399999999999999" x14ac:dyDescent="0.25">
      <c r="A157" s="390" t="s">
        <v>10968</v>
      </c>
      <c r="B157" s="382" t="s">
        <v>5562</v>
      </c>
      <c r="C157" s="383" t="s">
        <v>4149</v>
      </c>
      <c r="D157" s="381"/>
      <c r="E157" s="2538" cm="1">
        <f t="array" ref="E157">INDEX('4층_부하량'!$D$3:$D$3000,MATCH(1,("4-DaHall 1-PDU-13"='4층_부하량'!$A$3:$A$3000)*(39='4층_부하량'!$B$3:$B$3000),0))</f>
        <v>0</v>
      </c>
      <c r="F157" s="381"/>
      <c r="G157" s="411"/>
      <c r="H157" s="1287" t="s">
        <v>4171</v>
      </c>
      <c r="I157" s="3282" t="s">
        <v>4283</v>
      </c>
      <c r="J157" s="1288"/>
      <c r="K157" s="1289"/>
      <c r="L157" s="3283" t="s">
        <v>4284</v>
      </c>
      <c r="M157" s="409" t="s">
        <v>4171</v>
      </c>
      <c r="N157" s="381"/>
      <c r="O157" s="2538" cm="1">
        <f t="array" ref="O157">INDEX('4층_부하량'!$D$3:$D$3000,MATCH(1,("4-DaHall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10969</v>
      </c>
    </row>
    <row r="158" spans="1:20" s="350" customFormat="1" ht="17.399999999999999" x14ac:dyDescent="0.25">
      <c r="A158" s="390" t="s">
        <v>10970</v>
      </c>
      <c r="B158" s="382" t="s">
        <v>5562</v>
      </c>
      <c r="C158" s="383" t="s">
        <v>4149</v>
      </c>
      <c r="D158" s="381"/>
      <c r="E158" s="381"/>
      <c r="F158" s="2538" cm="1">
        <f t="array" ref="F158">INDEX('4층_부하량'!$E$3:$E$3000,MATCH(1,("4-DaHall 1-PDU-13"='4층_부하량'!$A$3:$A$3000)*(41='4층_부하량'!$B$3:$B$3000),0))</f>
        <v>0</v>
      </c>
      <c r="G158" s="411"/>
      <c r="H158" s="1287" t="s">
        <v>4171</v>
      </c>
      <c r="I158" s="3282" t="s">
        <v>4628</v>
      </c>
      <c r="J158" s="1288"/>
      <c r="K158" s="1289"/>
      <c r="L158" s="3283" t="s">
        <v>4416</v>
      </c>
      <c r="M158" s="409" t="s">
        <v>4171</v>
      </c>
      <c r="N158" s="381"/>
      <c r="O158" s="381"/>
      <c r="P158" s="2538" cm="1">
        <f t="array" ref="P158">INDEX('4층_부하량'!$E$3:$E$3000,MATCH(1,("4-DaHall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10971</v>
      </c>
    </row>
    <row r="159" spans="1:20" s="350" customFormat="1" ht="17.399999999999999" x14ac:dyDescent="0.25">
      <c r="A159" s="390" t="s">
        <v>10972</v>
      </c>
      <c r="B159" s="382" t="s">
        <v>5562</v>
      </c>
      <c r="C159" s="383" t="s">
        <v>4149</v>
      </c>
      <c r="D159" s="2538" cm="1">
        <f t="array" ref="D159">INDEX('4층_부하량'!$C$3:$C$3000,MATCH(1,("4-DaHall 1-PDU-13"='4층_부하량'!$A$3:$A$3000)*(43='4층_부하량'!$B$3:$B$3000),0))</f>
        <v>0</v>
      </c>
      <c r="E159" s="381"/>
      <c r="F159" s="381"/>
      <c r="G159" s="411"/>
      <c r="H159" s="1287" t="s">
        <v>4171</v>
      </c>
      <c r="I159" s="3282" t="s">
        <v>4418</v>
      </c>
      <c r="J159" s="1288"/>
      <c r="K159" s="1289"/>
      <c r="L159" s="3283" t="s">
        <v>4419</v>
      </c>
      <c r="M159" s="409" t="s">
        <v>4171</v>
      </c>
      <c r="N159" s="2538" cm="1">
        <f t="array" ref="N159">INDEX('4층_부하량'!$C$3:$C$3000,MATCH(1,("4-DaHall 1-PDU-13"='4층_부하량'!$A$3:$A$3000)*(44='4층_부하량'!$B$3:$B$3000),0))</f>
        <v>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7.399999999999999" x14ac:dyDescent="0.25">
      <c r="A160" s="390"/>
      <c r="B160" s="1286" t="s">
        <v>535</v>
      </c>
      <c r="C160" s="1287" t="s">
        <v>4296</v>
      </c>
      <c r="D160" s="381"/>
      <c r="E160" s="2538" cm="1">
        <f t="array" ref="E160">INDEX('4층_부하량'!$D$3:$D$3000,MATCH(1,("4-DaHall 1-PDU-13"='4층_부하량'!$A$3:$A$3000)*(45='4층_부하량'!$B$3:$B$3000),0))</f>
        <v>0</v>
      </c>
      <c r="F160" s="381"/>
      <c r="G160" s="411"/>
      <c r="H160" s="1287" t="s">
        <v>4171</v>
      </c>
      <c r="I160" s="3282" t="s">
        <v>4420</v>
      </c>
      <c r="J160" s="1288"/>
      <c r="K160" s="1289"/>
      <c r="L160" s="3283" t="s">
        <v>4421</v>
      </c>
      <c r="M160" s="409" t="s">
        <v>4171</v>
      </c>
      <c r="N160" s="381"/>
      <c r="O160" s="2538" cm="1">
        <f t="array" ref="O160">INDEX('4층_부하량'!$D$3:$D$3000,MATCH(1,("4-DaHall 1-PDU-13"='4층_부하량'!$A$3:$A$3000)*(46='4층_부하량'!$B$3:$B$3000),0))</f>
        <v>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7.399999999999999" x14ac:dyDescent="0.25">
      <c r="A161" s="390"/>
      <c r="B161" s="1286" t="s">
        <v>535</v>
      </c>
      <c r="C161" s="1287" t="s">
        <v>4296</v>
      </c>
      <c r="D161" s="381"/>
      <c r="E161" s="381"/>
      <c r="F161" s="2538" cm="1">
        <f t="array" ref="F161">INDEX('4층_부하량'!$E$3:$E$3000,MATCH(1,("4-DaHall 1-PDU-13"='4층_부하량'!$A$3:$A$3000)*(47='4층_부하량'!$B$3:$B$3000),0))</f>
        <v>0</v>
      </c>
      <c r="G161" s="411"/>
      <c r="H161" s="1287" t="s">
        <v>4171</v>
      </c>
      <c r="I161" s="3282" t="s">
        <v>4422</v>
      </c>
      <c r="J161" s="1288"/>
      <c r="K161" s="1289"/>
      <c r="L161" s="3283" t="s">
        <v>4423</v>
      </c>
      <c r="M161" s="409" t="s">
        <v>4171</v>
      </c>
      <c r="N161" s="381"/>
      <c r="O161" s="381"/>
      <c r="P161" s="2538" cm="1">
        <f t="array" ref="P161">INDEX('4층_부하량'!$E$3:$E$3000,MATCH(1,("4-DaHall 1-PDU-13"='4층_부하량'!$A$3:$A$3000)*(48='4층_부하량'!$B$3:$B$3000),0))</f>
        <v>0</v>
      </c>
      <c r="Q161" s="411"/>
      <c r="R161" s="1286" t="s">
        <v>535</v>
      </c>
      <c r="S161" s="1287" t="s">
        <v>4296</v>
      </c>
      <c r="T161" s="407"/>
    </row>
    <row r="162" spans="1:20" s="350" customFormat="1" ht="17.399999999999999" x14ac:dyDescent="0.25">
      <c r="A162" s="390"/>
      <c r="B162" s="1286" t="s">
        <v>535</v>
      </c>
      <c r="C162" s="1287" t="s">
        <v>4296</v>
      </c>
      <c r="D162" s="2538" cm="1">
        <f t="array" ref="D162">INDEX('4층_부하량'!$C$3:$C$3000,MATCH(1,("4-DaHall 1-PDU-13"='4층_부하량'!$A$3:$A$3000)*(49='4층_부하량'!$B$3:$B$3000),0))</f>
        <v>0</v>
      </c>
      <c r="E162" s="381"/>
      <c r="F162" s="381"/>
      <c r="G162" s="411"/>
      <c r="H162" s="1287" t="s">
        <v>4171</v>
      </c>
      <c r="I162" s="3282" t="s">
        <v>4360</v>
      </c>
      <c r="J162" s="1288"/>
      <c r="K162" s="1289"/>
      <c r="L162" s="3283" t="s">
        <v>4362</v>
      </c>
      <c r="M162" s="409" t="s">
        <v>4171</v>
      </c>
      <c r="N162" s="2538" cm="1">
        <f t="array" ref="N162">INDEX('4층_부하량'!$C$3:$C$3000,MATCH(1,("4-DaHall 1-PDU-13"='4층_부하량'!$A$3:$A$3000)*(50='4층_부하량'!$B$3:$B$3000),0))</f>
        <v>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7.399999999999999" x14ac:dyDescent="0.25">
      <c r="A163" s="390"/>
      <c r="B163" s="1286" t="s">
        <v>535</v>
      </c>
      <c r="C163" s="1287" t="s">
        <v>4296</v>
      </c>
      <c r="D163" s="381"/>
      <c r="E163" s="2538" cm="1">
        <f t="array" ref="E163">INDEX('4층_부하량'!$D$3:$D$3000,MATCH(1,("4-DaHall 1-PDU-13"='4층_부하량'!$A$3:$A$3000)*(51='4층_부하량'!$B$3:$B$3000),0))</f>
        <v>0</v>
      </c>
      <c r="F163" s="381"/>
      <c r="G163" s="411"/>
      <c r="H163" s="1287" t="s">
        <v>4171</v>
      </c>
      <c r="I163" s="3282" t="s">
        <v>4364</v>
      </c>
      <c r="J163" s="1288"/>
      <c r="K163" s="1289"/>
      <c r="L163" s="3283" t="s">
        <v>4366</v>
      </c>
      <c r="M163" s="409" t="s">
        <v>4171</v>
      </c>
      <c r="N163" s="381"/>
      <c r="O163" s="2538" cm="1">
        <f t="array" ref="O163">INDEX('4층_부하량'!$D$3:$D$3000,MATCH(1,("4-DaHall 1-PDU-13"='4층_부하량'!$A$3:$A$3000)*(52='4층_부하량'!$B$3:$B$3000),0))</f>
        <v>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8" thickBot="1" x14ac:dyDescent="0.3">
      <c r="A164" s="3287"/>
      <c r="B164" s="3288" t="s">
        <v>535</v>
      </c>
      <c r="C164" s="3289" t="s">
        <v>4296</v>
      </c>
      <c r="D164" s="427"/>
      <c r="E164" s="427"/>
      <c r="F164" s="2539" cm="1">
        <f t="array" ref="F164">INDEX('4층_부하량'!$E$3:$E$3000,MATCH(1,("4-DaHall 1-PDU-13"='4층_부하량'!$A$3:$A$3000)*(53='4층_부하량'!$B$3:$B$3000),0))</f>
        <v>0</v>
      </c>
      <c r="G164" s="427"/>
      <c r="H164" s="3289" t="s">
        <v>4171</v>
      </c>
      <c r="I164" s="3284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9" cm="1">
        <f t="array" ref="P164">INDEX('4층_부하량'!$E$3:$E$3000,MATCH(1,("4-DaHall 1-PDU-13"='4층_부하량'!$A$3:$A$3000)*(54='4층_부하량'!$B$3:$B$3000),0))</f>
        <v>0</v>
      </c>
      <c r="Q164" s="427"/>
      <c r="R164" s="3288" t="s">
        <v>535</v>
      </c>
      <c r="S164" s="3289" t="s">
        <v>4296</v>
      </c>
      <c r="T164" s="432"/>
    </row>
    <row r="165" spans="1:20" s="350" customFormat="1" ht="18.600000000000001" thickTop="1" thickBot="1" x14ac:dyDescent="0.3">
      <c r="L165" s="3285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 x14ac:dyDescent="0.3">
      <c r="A166" s="349" t="s">
        <v>10973</v>
      </c>
      <c r="C166" s="3981"/>
      <c r="D166" s="3981"/>
      <c r="E166" s="3981"/>
      <c r="F166" s="3981"/>
      <c r="G166" s="351"/>
      <c r="H166" s="352"/>
      <c r="I166" s="352"/>
      <c r="J166" s="3979" t="s">
        <v>4288</v>
      </c>
      <c r="K166" s="3980"/>
      <c r="L166" s="3277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 x14ac:dyDescent="0.3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.600000000000001" thickTop="1" thickBot="1" x14ac:dyDescent="0.3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 x14ac:dyDescent="0.25">
      <c r="A169" s="468"/>
      <c r="B169" s="372" t="s">
        <v>535</v>
      </c>
      <c r="C169" s="3286" t="s">
        <v>4296</v>
      </c>
      <c r="D169" s="2537" cm="1">
        <f t="array" ref="D169">INDEX('4층_부하량'!$C$3:$C$3000,MATCH(1,("4-DaHall 1-PDU-14"='4층_부하량'!$A$3:$A$3000)*(1='4층_부하량'!$B$3:$B$3000),0))</f>
        <v>0</v>
      </c>
      <c r="E169" s="395"/>
      <c r="F169" s="395"/>
      <c r="G169" s="368"/>
      <c r="H169" s="3278" t="s">
        <v>4574</v>
      </c>
      <c r="I169" s="3279" t="s">
        <v>4151</v>
      </c>
      <c r="J169" s="1018"/>
      <c r="K169" s="1019"/>
      <c r="L169" s="581" t="s">
        <v>4436</v>
      </c>
      <c r="M169" s="366" t="s">
        <v>4574</v>
      </c>
      <c r="N169" s="2537" cm="1">
        <f t="array" ref="N169">INDEX('4층_부하량'!$C$3:$C$3000,MATCH(1,("4-DaHall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86" t="s">
        <v>4296</v>
      </c>
      <c r="T169" s="1204"/>
    </row>
    <row r="170" spans="1:20" s="350" customFormat="1" ht="17.399999999999999" x14ac:dyDescent="0.25">
      <c r="A170" s="385"/>
      <c r="B170" s="382" t="s">
        <v>535</v>
      </c>
      <c r="C170" s="1203" t="s">
        <v>4296</v>
      </c>
      <c r="D170" s="381"/>
      <c r="E170" s="2531" cm="1">
        <f t="array" ref="E170">INDEX('4층_부하량'!$D$3:$D$3000,MATCH(1,("4-DaHall 1-PDU-14"='4층_부하량'!$A$3:$A$3000)*(3='4층_부하량'!$B$3:$B$3000),0))</f>
        <v>0</v>
      </c>
      <c r="F170" s="381"/>
      <c r="G170" s="377"/>
      <c r="H170" s="376" t="s">
        <v>4574</v>
      </c>
      <c r="I170" s="3280" t="s">
        <v>4156</v>
      </c>
      <c r="J170" s="1020"/>
      <c r="K170" s="1021"/>
      <c r="L170" s="582" t="s">
        <v>4438</v>
      </c>
      <c r="M170" s="376" t="s">
        <v>4574</v>
      </c>
      <c r="N170" s="381"/>
      <c r="O170" s="2531" cm="1">
        <f t="array" ref="O170">INDEX('4층_부하량'!$D$3:$D$3000,MATCH(1,("4-DaHall 1-PDU-14"='4층_부하량'!$A$3:$A$3000)*(4='4층_부하량'!$B$3:$B$3000),0))</f>
        <v>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7.399999999999999" x14ac:dyDescent="0.25">
      <c r="A171" s="385" t="s">
        <v>10974</v>
      </c>
      <c r="B171" s="382" t="s">
        <v>5562</v>
      </c>
      <c r="C171" s="383" t="s">
        <v>4149</v>
      </c>
      <c r="D171" s="381"/>
      <c r="E171" s="381"/>
      <c r="F171" s="2538" cm="1">
        <f t="array" ref="F171">INDEX('4층_부하량'!$E$3:$E$3000,MATCH(1,("4-DaHall 1-PDU-14"='4층_부하량'!$A$3:$A$3000)*(5='4층_부하량'!$B$3:$B$3000),0))</f>
        <v>0</v>
      </c>
      <c r="G171" s="381"/>
      <c r="H171" s="376" t="s">
        <v>4171</v>
      </c>
      <c r="I171" s="3280" t="s">
        <v>4161</v>
      </c>
      <c r="J171" s="1022"/>
      <c r="K171" s="1023"/>
      <c r="L171" s="583" t="s">
        <v>4441</v>
      </c>
      <c r="M171" s="3281" t="s">
        <v>4150</v>
      </c>
      <c r="N171" s="381"/>
      <c r="O171" s="381"/>
      <c r="P171" s="2538" cm="1">
        <f t="array" ref="P171">INDEX('4층_부하량'!$E$3:$E$3000,MATCH(1,("4-DaHall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10975</v>
      </c>
    </row>
    <row r="172" spans="1:20" s="350" customFormat="1" ht="17.399999999999999" x14ac:dyDescent="0.25">
      <c r="A172" s="385" t="s">
        <v>10976</v>
      </c>
      <c r="B172" s="382" t="s">
        <v>5562</v>
      </c>
      <c r="C172" s="383" t="s">
        <v>4149</v>
      </c>
      <c r="D172" s="2538" cm="1">
        <f t="array" ref="D172">INDEX('4층_부하량'!$C$3:$C$3000,MATCH(1,("4-DaHall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8" cm="1">
        <f t="array" ref="N172">INDEX('4층_부하량'!$C$3:$C$3000,MATCH(1,("4-DaHall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10977</v>
      </c>
    </row>
    <row r="173" spans="1:20" s="350" customFormat="1" ht="17.399999999999999" x14ac:dyDescent="0.25">
      <c r="A173" s="385" t="s">
        <v>10978</v>
      </c>
      <c r="B173" s="382" t="s">
        <v>5562</v>
      </c>
      <c r="C173" s="383" t="s">
        <v>4149</v>
      </c>
      <c r="D173" s="381"/>
      <c r="E173" s="2531" cm="1">
        <f t="array" ref="E173">INDEX('4층_부하량'!$D$3:$D$3000,MATCH(1,("4-DaHall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1" cm="1">
        <f t="array" ref="O173">INDEX('4층_부하량'!$D$3:$D$3000,MATCH(1,("4-DaHall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10979</v>
      </c>
    </row>
    <row r="174" spans="1:20" s="350" customFormat="1" ht="17.399999999999999" x14ac:dyDescent="0.25">
      <c r="A174" s="385" t="s">
        <v>10980</v>
      </c>
      <c r="B174" s="382" t="s">
        <v>5562</v>
      </c>
      <c r="C174" s="383" t="s">
        <v>4149</v>
      </c>
      <c r="D174" s="381"/>
      <c r="E174" s="381"/>
      <c r="F174" s="2538" cm="1">
        <f t="array" ref="F174">INDEX('4층_부하량'!$E$3:$E$3000,MATCH(1,("4-DaHall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8" cm="1">
        <f t="array" ref="P174">INDEX('4층_부하량'!$E$3:$E$3000,MATCH(1,("4-DaHall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10981</v>
      </c>
    </row>
    <row r="175" spans="1:20" s="350" customFormat="1" ht="17.399999999999999" x14ac:dyDescent="0.25">
      <c r="A175" s="385" t="s">
        <v>10982</v>
      </c>
      <c r="B175" s="382" t="s">
        <v>5562</v>
      </c>
      <c r="C175" s="383" t="s">
        <v>4149</v>
      </c>
      <c r="D175" s="2538" cm="1">
        <f t="array" ref="D175">INDEX('4층_부하량'!$C$3:$C$3000,MATCH(1,("4-DaHall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8" cm="1">
        <f t="array" ref="N175">INDEX('4층_부하량'!$C$3:$C$3000,MATCH(1,("4-DaHall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10983</v>
      </c>
    </row>
    <row r="176" spans="1:20" s="350" customFormat="1" ht="17.399999999999999" x14ac:dyDescent="0.25">
      <c r="A176" s="442" t="s">
        <v>10984</v>
      </c>
      <c r="B176" s="382" t="s">
        <v>5562</v>
      </c>
      <c r="C176" s="383" t="s">
        <v>4149</v>
      </c>
      <c r="D176" s="381"/>
      <c r="E176" s="2538" cm="1">
        <f t="array" ref="E176">INDEX('4층_부하량'!$D$3:$D$3000,MATCH(1,("4-DaHall 1-PDU-14"='4층_부하량'!$A$3:$A$3000)*(15='4층_부하량'!$B$3:$B$3000),0))</f>
        <v>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8" cm="1">
        <f t="array" ref="O176">INDEX('4층_부하량'!$D$3:$D$3000,MATCH(1,("4-DaHall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10985</v>
      </c>
    </row>
    <row r="177" spans="1:20" s="350" customFormat="1" ht="17.399999999999999" x14ac:dyDescent="0.25">
      <c r="A177" s="442" t="s">
        <v>10986</v>
      </c>
      <c r="B177" s="382" t="s">
        <v>5562</v>
      </c>
      <c r="C177" s="383" t="s">
        <v>4149</v>
      </c>
      <c r="D177" s="381"/>
      <c r="E177" s="381"/>
      <c r="F177" s="2538" cm="1">
        <f t="array" ref="F177">INDEX('4층_부하량'!$E$3:$E$3000,MATCH(1,("4-DaHall 1-PDU-14"='4층_부하량'!$A$3:$A$3000)*(17='4층_부하량'!$B$3:$B$3000),0))</f>
        <v>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8" cm="1">
        <f t="array" ref="P177">INDEX('4층_부하량'!$E$3:$E$3000,MATCH(1,("4-DaHall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10987</v>
      </c>
    </row>
    <row r="178" spans="1:20" s="350" customFormat="1" ht="17.399999999999999" x14ac:dyDescent="0.25">
      <c r="A178" s="442" t="s">
        <v>10988</v>
      </c>
      <c r="B178" s="382" t="s">
        <v>5562</v>
      </c>
      <c r="C178" s="383" t="s">
        <v>4149</v>
      </c>
      <c r="D178" s="2538" cm="1">
        <f t="array" ref="D178">INDEX('4층_부하량'!$C$3:$C$3000,MATCH(1,("4-DaHall 1-PDU-14"='4층_부하량'!$A$3:$A$3000)*(19='4층_부하량'!$B$3:$B$3000),0))</f>
        <v>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8" cm="1">
        <f t="array" ref="N178">INDEX('4층_부하량'!$C$3:$C$3000,MATCH(1,("4-DaHall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10989</v>
      </c>
    </row>
    <row r="179" spans="1:20" s="350" customFormat="1" ht="17.399999999999999" x14ac:dyDescent="0.25">
      <c r="A179" s="442" t="s">
        <v>10990</v>
      </c>
      <c r="B179" s="382" t="s">
        <v>5562</v>
      </c>
      <c r="C179" s="383" t="s">
        <v>4149</v>
      </c>
      <c r="D179" s="381"/>
      <c r="E179" s="2538" cm="1">
        <f t="array" ref="E179">INDEX('4층_부하량'!$D$3:$D$3000,MATCH(1,("4-DaHall 1-PDU-14"='4층_부하량'!$A$3:$A$3000)*(21='4층_부하량'!$B$3:$B$3000),0))</f>
        <v>0</v>
      </c>
      <c r="F179" s="381"/>
      <c r="G179" s="381"/>
      <c r="H179" s="1203" t="s">
        <v>4171</v>
      </c>
      <c r="I179" s="3280" t="s">
        <v>4247</v>
      </c>
      <c r="J179" s="1022"/>
      <c r="K179" s="1023"/>
      <c r="L179" s="583" t="s">
        <v>5668</v>
      </c>
      <c r="M179" s="376" t="s">
        <v>4171</v>
      </c>
      <c r="N179" s="381"/>
      <c r="O179" s="2538" cm="1">
        <f t="array" ref="O179">INDEX('4층_부하량'!$D$3:$D$3000,MATCH(1,("4-DaHall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10991</v>
      </c>
    </row>
    <row r="180" spans="1:20" s="350" customFormat="1" ht="17.399999999999999" x14ac:dyDescent="0.25">
      <c r="A180" s="390" t="s">
        <v>10992</v>
      </c>
      <c r="B180" s="382" t="s">
        <v>5562</v>
      </c>
      <c r="C180" s="383" t="s">
        <v>4149</v>
      </c>
      <c r="D180" s="381"/>
      <c r="E180" s="381"/>
      <c r="F180" s="2538" cm="1">
        <f t="array" ref="F180">INDEX('4층_부하량'!$E$3:$E$3000,MATCH(1,("4-DaHall 1-PDU-14"='4층_부하량'!$A$3:$A$3000)*(23='4층_부하량'!$B$3:$B$3000),0))</f>
        <v>0</v>
      </c>
      <c r="G180" s="411"/>
      <c r="H180" s="1287" t="s">
        <v>4171</v>
      </c>
      <c r="I180" s="3282" t="s">
        <v>4251</v>
      </c>
      <c r="J180" s="1288"/>
      <c r="K180" s="1289"/>
      <c r="L180" s="3283" t="s">
        <v>4253</v>
      </c>
      <c r="M180" s="409" t="s">
        <v>4171</v>
      </c>
      <c r="N180" s="381"/>
      <c r="O180" s="381"/>
      <c r="P180" s="2538" cm="1">
        <f t="array" ref="P180">INDEX('4층_부하량'!$E$3:$E$3000,MATCH(1,("4-DaHall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10993</v>
      </c>
    </row>
    <row r="181" spans="1:20" s="350" customFormat="1" ht="17.399999999999999" x14ac:dyDescent="0.25">
      <c r="A181" s="390" t="s">
        <v>10994</v>
      </c>
      <c r="B181" s="382" t="s">
        <v>5562</v>
      </c>
      <c r="C181" s="383" t="s">
        <v>4149</v>
      </c>
      <c r="D181" s="2538" cm="1">
        <f t="array" ref="D181">INDEX('4층_부하량'!$C$3:$C$3000,MATCH(1,("4-DaHall 1-PDU-14"='4층_부하량'!$A$3:$A$3000)*(25='4층_부하량'!$B$3:$B$3000),0))</f>
        <v>0</v>
      </c>
      <c r="E181" s="381"/>
      <c r="F181" s="381"/>
      <c r="G181" s="411"/>
      <c r="H181" s="1287" t="s">
        <v>4171</v>
      </c>
      <c r="I181" s="3282" t="s">
        <v>4256</v>
      </c>
      <c r="J181" s="1288"/>
      <c r="K181" s="1289"/>
      <c r="L181" s="3283" t="s">
        <v>4258</v>
      </c>
      <c r="M181" s="409" t="s">
        <v>4171</v>
      </c>
      <c r="N181" s="2538" cm="1">
        <f t="array" ref="N181">INDEX('4층_부하량'!$C$3:$C$3000,MATCH(1,("4-DaHall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10995</v>
      </c>
    </row>
    <row r="182" spans="1:20" s="350" customFormat="1" ht="17.399999999999999" x14ac:dyDescent="0.25">
      <c r="A182" s="390" t="s">
        <v>10996</v>
      </c>
      <c r="B182" s="382" t="s">
        <v>5562</v>
      </c>
      <c r="C182" s="383" t="s">
        <v>4149</v>
      </c>
      <c r="D182" s="381"/>
      <c r="E182" s="2538" cm="1">
        <f t="array" ref="E182">INDEX('4층_부하량'!$D$3:$D$3000,MATCH(1,("4-DaHall 1-PDU-14"='4층_부하량'!$A$3:$A$3000)*(27='4층_부하량'!$B$3:$B$3000),0))</f>
        <v>0</v>
      </c>
      <c r="F182" s="381"/>
      <c r="G182" s="411"/>
      <c r="H182" s="1287" t="s">
        <v>4171</v>
      </c>
      <c r="I182" s="3282" t="s">
        <v>4261</v>
      </c>
      <c r="J182" s="1288"/>
      <c r="K182" s="1289"/>
      <c r="L182" s="3283" t="s">
        <v>4262</v>
      </c>
      <c r="M182" s="409" t="s">
        <v>4171</v>
      </c>
      <c r="N182" s="381"/>
      <c r="O182" s="2538" cm="1">
        <f t="array" ref="O182">INDEX('4층_부하량'!$D$3:$D$3000,MATCH(1,("4-DaHall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10997</v>
      </c>
    </row>
    <row r="183" spans="1:20" s="350" customFormat="1" ht="17.399999999999999" x14ac:dyDescent="0.25">
      <c r="A183" s="390" t="s">
        <v>10998</v>
      </c>
      <c r="B183" s="382" t="s">
        <v>5562</v>
      </c>
      <c r="C183" s="383" t="s">
        <v>4149</v>
      </c>
      <c r="D183" s="381"/>
      <c r="E183" s="381"/>
      <c r="F183" s="2538" cm="1">
        <f t="array" ref="F183">INDEX('4층_부하량'!$E$3:$E$3000,MATCH(1,("4-DaHall 1-PDU-14"='4층_부하량'!$A$3:$A$3000)*(29='4층_부하량'!$B$3:$B$3000),0))</f>
        <v>0</v>
      </c>
      <c r="G183" s="411"/>
      <c r="H183" s="1287" t="s">
        <v>4171</v>
      </c>
      <c r="I183" s="3282" t="s">
        <v>4264</v>
      </c>
      <c r="J183" s="1288"/>
      <c r="K183" s="1289"/>
      <c r="L183" s="3283" t="s">
        <v>4265</v>
      </c>
      <c r="M183" s="409" t="s">
        <v>4171</v>
      </c>
      <c r="N183" s="381"/>
      <c r="O183" s="381"/>
      <c r="P183" s="2538" cm="1">
        <f t="array" ref="P183">INDEX('4층_부하량'!$E$3:$E$3000,MATCH(1,("4-DaHall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10999</v>
      </c>
    </row>
    <row r="184" spans="1:20" s="350" customFormat="1" ht="17.399999999999999" x14ac:dyDescent="0.25">
      <c r="A184" s="390" t="s">
        <v>11000</v>
      </c>
      <c r="B184" s="382" t="s">
        <v>5562</v>
      </c>
      <c r="C184" s="383" t="s">
        <v>4149</v>
      </c>
      <c r="D184" s="2538" cm="1">
        <f t="array" ref="D184">INDEX('4층_부하량'!$C$3:$C$3000,MATCH(1,("4-DaHall 1-PDU-14"='4층_부하량'!$A$3:$A$3000)*(31='4층_부하량'!$B$3:$B$3000),0))</f>
        <v>0</v>
      </c>
      <c r="E184" s="381"/>
      <c r="F184" s="381"/>
      <c r="G184" s="411"/>
      <c r="H184" s="1287" t="s">
        <v>4171</v>
      </c>
      <c r="I184" s="3282" t="s">
        <v>4266</v>
      </c>
      <c r="J184" s="1288"/>
      <c r="K184" s="1289"/>
      <c r="L184" s="3283" t="s">
        <v>4267</v>
      </c>
      <c r="M184" s="409" t="s">
        <v>4171</v>
      </c>
      <c r="N184" s="2538" cm="1">
        <f t="array" ref="N184">INDEX('4층_부하량'!$C$3:$C$3000,MATCH(1,("4-DaHall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11001</v>
      </c>
    </row>
    <row r="185" spans="1:20" s="350" customFormat="1" ht="17.399999999999999" x14ac:dyDescent="0.25">
      <c r="A185" s="390" t="s">
        <v>11002</v>
      </c>
      <c r="B185" s="382" t="s">
        <v>5562</v>
      </c>
      <c r="C185" s="383" t="s">
        <v>4149</v>
      </c>
      <c r="D185" s="381"/>
      <c r="E185" s="2538" cm="1">
        <f t="array" ref="E185">INDEX('4층_부하량'!$D$3:$D$3000,MATCH(1,("4-DaHall 1-PDU-14"='4층_부하량'!$A$3:$A$3000)*(33='4층_부하량'!$B$3:$B$3000),0))</f>
        <v>0</v>
      </c>
      <c r="F185" s="381"/>
      <c r="G185" s="411"/>
      <c r="H185" s="1287" t="s">
        <v>4171</v>
      </c>
      <c r="I185" s="3282" t="s">
        <v>4270</v>
      </c>
      <c r="J185" s="1288"/>
      <c r="K185" s="1289"/>
      <c r="L185" s="3283" t="s">
        <v>4271</v>
      </c>
      <c r="M185" s="409" t="s">
        <v>4171</v>
      </c>
      <c r="N185" s="381"/>
      <c r="O185" s="2538" cm="1">
        <f t="array" ref="O185">INDEX('4층_부하량'!$D$3:$D$3000,MATCH(1,("4-DaHall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11003</v>
      </c>
    </row>
    <row r="186" spans="1:20" s="350" customFormat="1" ht="17.399999999999999" x14ac:dyDescent="0.25">
      <c r="A186" s="390" t="s">
        <v>11004</v>
      </c>
      <c r="B186" s="382" t="s">
        <v>5562</v>
      </c>
      <c r="C186" s="383" t="s">
        <v>4149</v>
      </c>
      <c r="D186" s="381"/>
      <c r="E186" s="381"/>
      <c r="F186" s="2538" cm="1">
        <f t="array" ref="F186">INDEX('4층_부하량'!$E$3:$E$3000,MATCH(1,("4-DaHall 1-PDU-14"='4층_부하량'!$A$3:$A$3000)*(35='4층_부하량'!$B$3:$B$3000),0))</f>
        <v>0</v>
      </c>
      <c r="G186" s="411"/>
      <c r="H186" s="1287" t="s">
        <v>4171</v>
      </c>
      <c r="I186" s="3282" t="s">
        <v>4274</v>
      </c>
      <c r="J186" s="1288"/>
      <c r="K186" s="1289"/>
      <c r="L186" s="3283" t="s">
        <v>4276</v>
      </c>
      <c r="M186" s="409" t="s">
        <v>4171</v>
      </c>
      <c r="N186" s="381"/>
      <c r="O186" s="381"/>
      <c r="P186" s="2538" cm="1">
        <f t="array" ref="P186">INDEX('4층_부하량'!$E$3:$E$3000,MATCH(1,("4-DaHall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11005</v>
      </c>
    </row>
    <row r="187" spans="1:20" s="350" customFormat="1" ht="17.399999999999999" x14ac:dyDescent="0.25">
      <c r="A187" s="390" t="s">
        <v>11006</v>
      </c>
      <c r="B187" s="382" t="s">
        <v>5562</v>
      </c>
      <c r="C187" s="383" t="s">
        <v>4149</v>
      </c>
      <c r="D187" s="2538" cm="1">
        <f t="array" ref="D187">INDEX('4층_부하량'!$C$3:$C$3000,MATCH(1,("4-DaHall 1-PDU-14"='4층_부하량'!$A$3:$A$3000)*(37='4층_부하량'!$B$3:$B$3000),0))</f>
        <v>0</v>
      </c>
      <c r="E187" s="381"/>
      <c r="F187" s="381"/>
      <c r="G187" s="411"/>
      <c r="H187" s="1287" t="s">
        <v>4171</v>
      </c>
      <c r="I187" s="3282" t="s">
        <v>4279</v>
      </c>
      <c r="J187" s="1288"/>
      <c r="K187" s="1289"/>
      <c r="L187" s="3283" t="s">
        <v>4280</v>
      </c>
      <c r="M187" s="409" t="s">
        <v>4171</v>
      </c>
      <c r="N187" s="2538" cm="1">
        <f t="array" ref="N187">INDEX('4층_부하량'!$C$3:$C$3000,MATCH(1,("4-DaHall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11007</v>
      </c>
    </row>
    <row r="188" spans="1:20" s="350" customFormat="1" ht="17.399999999999999" x14ac:dyDescent="0.25">
      <c r="A188" s="390" t="s">
        <v>11008</v>
      </c>
      <c r="B188" s="382" t="s">
        <v>5562</v>
      </c>
      <c r="C188" s="383" t="s">
        <v>4149</v>
      </c>
      <c r="D188" s="381"/>
      <c r="E188" s="2538" cm="1">
        <f t="array" ref="E188">INDEX('4층_부하량'!$D$3:$D$3000,MATCH(1,("4-DaHall 1-PDU-14"='4층_부하량'!$A$3:$A$3000)*(39='4층_부하량'!$B$3:$B$3000),0))</f>
        <v>0</v>
      </c>
      <c r="F188" s="381"/>
      <c r="G188" s="411"/>
      <c r="H188" s="1287" t="s">
        <v>4171</v>
      </c>
      <c r="I188" s="3282" t="s">
        <v>4283</v>
      </c>
      <c r="J188" s="1288"/>
      <c r="K188" s="1289"/>
      <c r="L188" s="3283" t="s">
        <v>4284</v>
      </c>
      <c r="M188" s="409" t="s">
        <v>4171</v>
      </c>
      <c r="N188" s="381"/>
      <c r="O188" s="2538" cm="1">
        <f t="array" ref="O188">INDEX('4층_부하량'!$D$3:$D$3000,MATCH(1,("4-DaHall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11009</v>
      </c>
    </row>
    <row r="189" spans="1:20" s="350" customFormat="1" ht="17.399999999999999" x14ac:dyDescent="0.25">
      <c r="A189" s="390" t="s">
        <v>11010</v>
      </c>
      <c r="B189" s="382" t="s">
        <v>5562</v>
      </c>
      <c r="C189" s="383" t="s">
        <v>4149</v>
      </c>
      <c r="D189" s="381"/>
      <c r="E189" s="381"/>
      <c r="F189" s="2538" cm="1">
        <f t="array" ref="F189">INDEX('4층_부하량'!$E$3:$E$3000,MATCH(1,("4-DaHall 1-PDU-14"='4층_부하량'!$A$3:$A$3000)*(41='4층_부하량'!$B$3:$B$3000),0))</f>
        <v>0</v>
      </c>
      <c r="G189" s="411"/>
      <c r="H189" s="1287" t="s">
        <v>4171</v>
      </c>
      <c r="I189" s="3282" t="s">
        <v>4628</v>
      </c>
      <c r="J189" s="1288"/>
      <c r="K189" s="1289"/>
      <c r="L189" s="3283" t="s">
        <v>4416</v>
      </c>
      <c r="M189" s="409" t="s">
        <v>4171</v>
      </c>
      <c r="N189" s="381"/>
      <c r="O189" s="381"/>
      <c r="P189" s="2538" cm="1">
        <f t="array" ref="P189">INDEX('4층_부하량'!$E$3:$E$3000,MATCH(1,("4-DaHall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11011</v>
      </c>
    </row>
    <row r="190" spans="1:20" s="350" customFormat="1" ht="17.399999999999999" x14ac:dyDescent="0.25">
      <c r="A190" s="390" t="s">
        <v>11012</v>
      </c>
      <c r="B190" s="382" t="s">
        <v>5562</v>
      </c>
      <c r="C190" s="383" t="s">
        <v>4149</v>
      </c>
      <c r="D190" s="2538" cm="1">
        <f t="array" ref="D190">INDEX('4층_부하량'!$C$3:$C$3000,MATCH(1,("4-DaHall 1-PDU-14"='4층_부하량'!$A$3:$A$3000)*(43='4층_부하량'!$B$3:$B$3000),0))</f>
        <v>0</v>
      </c>
      <c r="E190" s="381"/>
      <c r="F190" s="381"/>
      <c r="G190" s="411"/>
      <c r="H190" s="1287" t="s">
        <v>4171</v>
      </c>
      <c r="I190" s="3282" t="s">
        <v>4418</v>
      </c>
      <c r="J190" s="1288"/>
      <c r="K190" s="1289"/>
      <c r="L190" s="3283" t="s">
        <v>4419</v>
      </c>
      <c r="M190" s="409" t="s">
        <v>4171</v>
      </c>
      <c r="N190" s="2538" cm="1">
        <f t="array" ref="N190">INDEX('4층_부하량'!$C$3:$C$3000,MATCH(1,("4-DaHall 1-PDU-14"='4층_부하량'!$A$3:$A$3000)*(44='4층_부하량'!$B$3:$B$3000),0))</f>
        <v>0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7.399999999999999" x14ac:dyDescent="0.25">
      <c r="A191" s="390"/>
      <c r="B191" s="1286" t="s">
        <v>535</v>
      </c>
      <c r="C191" s="1287" t="s">
        <v>4296</v>
      </c>
      <c r="D191" s="381"/>
      <c r="E191" s="2538" cm="1">
        <f t="array" ref="E191">INDEX('4층_부하량'!$D$3:$D$3000,MATCH(1,("4-DaHall 1-PDU-14"='4층_부하량'!$A$3:$A$3000)*(45='4층_부하량'!$B$3:$B$3000),0))</f>
        <v>0</v>
      </c>
      <c r="F191" s="381"/>
      <c r="G191" s="411"/>
      <c r="H191" s="1287" t="s">
        <v>4171</v>
      </c>
      <c r="I191" s="3282" t="s">
        <v>4420</v>
      </c>
      <c r="J191" s="1288"/>
      <c r="K191" s="1289"/>
      <c r="L191" s="3283" t="s">
        <v>4421</v>
      </c>
      <c r="M191" s="409" t="s">
        <v>4171</v>
      </c>
      <c r="N191" s="381"/>
      <c r="O191" s="2538" cm="1">
        <f t="array" ref="O191">INDEX('4층_부하량'!$D$3:$D$3000,MATCH(1,("4-DaHall 1-PDU-14"='4층_부하량'!$A$3:$A$3000)*(46='4층_부하량'!$B$3:$B$3000),0))</f>
        <v>0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7.399999999999999" x14ac:dyDescent="0.25">
      <c r="A192" s="390"/>
      <c r="B192" s="1286" t="s">
        <v>535</v>
      </c>
      <c r="C192" s="1287" t="s">
        <v>4296</v>
      </c>
      <c r="D192" s="381"/>
      <c r="E192" s="381"/>
      <c r="F192" s="2538" cm="1">
        <f t="array" ref="F192">INDEX('4층_부하량'!$E$3:$E$3000,MATCH(1,("4-DaHall 1-PDU-14"='4층_부하량'!$A$3:$A$3000)*(47='4층_부하량'!$B$3:$B$3000),0))</f>
        <v>0</v>
      </c>
      <c r="G192" s="411"/>
      <c r="H192" s="1287" t="s">
        <v>4171</v>
      </c>
      <c r="I192" s="3282" t="s">
        <v>4422</v>
      </c>
      <c r="J192" s="1288"/>
      <c r="K192" s="1289"/>
      <c r="L192" s="3283" t="s">
        <v>4423</v>
      </c>
      <c r="M192" s="409" t="s">
        <v>4171</v>
      </c>
      <c r="N192" s="381"/>
      <c r="O192" s="381"/>
      <c r="P192" s="2538" cm="1">
        <f t="array" ref="P192">INDEX('4층_부하량'!$E$3:$E$3000,MATCH(1,("4-DaHall 1-PDU-14"='4층_부하량'!$A$3:$A$3000)*(48='4층_부하량'!$B$3:$B$3000),0))</f>
        <v>0</v>
      </c>
      <c r="Q192" s="411"/>
      <c r="R192" s="1286" t="s">
        <v>535</v>
      </c>
      <c r="S192" s="1287" t="s">
        <v>4296</v>
      </c>
      <c r="T192" s="407"/>
    </row>
    <row r="193" spans="1:20" s="350" customFormat="1" ht="17.399999999999999" x14ac:dyDescent="0.25">
      <c r="A193" s="390"/>
      <c r="B193" s="1286" t="s">
        <v>535</v>
      </c>
      <c r="C193" s="1287" t="s">
        <v>4296</v>
      </c>
      <c r="D193" s="2538" cm="1">
        <f t="array" ref="D193">INDEX('4층_부하량'!$C$3:$C$3000,MATCH(1,("4-DaHall 1-PDU-14"='4층_부하량'!$A$3:$A$3000)*(49='4층_부하량'!$B$3:$B$3000),0))</f>
        <v>0</v>
      </c>
      <c r="E193" s="381"/>
      <c r="F193" s="381"/>
      <c r="G193" s="411"/>
      <c r="H193" s="1287" t="s">
        <v>4171</v>
      </c>
      <c r="I193" s="3282" t="s">
        <v>4360</v>
      </c>
      <c r="J193" s="1288"/>
      <c r="K193" s="1289"/>
      <c r="L193" s="3283" t="s">
        <v>4362</v>
      </c>
      <c r="M193" s="409" t="s">
        <v>4171</v>
      </c>
      <c r="N193" s="2538" cm="1">
        <f t="array" ref="N193">INDEX('4층_부하량'!$C$3:$C$3000,MATCH(1,("4-DaHall 1-PDU-14"='4층_부하량'!$A$3:$A$3000)*(50='4층_부하량'!$B$3:$B$3000),0))</f>
        <v>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7.399999999999999" x14ac:dyDescent="0.25">
      <c r="A194" s="390"/>
      <c r="B194" s="1286" t="s">
        <v>535</v>
      </c>
      <c r="C194" s="1287" t="s">
        <v>4296</v>
      </c>
      <c r="D194" s="381"/>
      <c r="E194" s="2538" cm="1">
        <f t="array" ref="E194">INDEX('4층_부하량'!$D$3:$D$3000,MATCH(1,("4-DaHall 1-PDU-14"='4층_부하량'!$A$3:$A$3000)*(51='4층_부하량'!$B$3:$B$3000),0))</f>
        <v>0</v>
      </c>
      <c r="F194" s="381"/>
      <c r="G194" s="411"/>
      <c r="H194" s="1287" t="s">
        <v>4171</v>
      </c>
      <c r="I194" s="3282" t="s">
        <v>4364</v>
      </c>
      <c r="J194" s="1288"/>
      <c r="K194" s="1289"/>
      <c r="L194" s="3283" t="s">
        <v>4366</v>
      </c>
      <c r="M194" s="409" t="s">
        <v>4171</v>
      </c>
      <c r="N194" s="381"/>
      <c r="O194" s="2538" cm="1">
        <f t="array" ref="O194">INDEX('4층_부하량'!$D$3:$D$3000,MATCH(1,("4-DaHall 1-PDU-14"='4층_부하량'!$A$3:$A$3000)*(52='4층_부하량'!$B$3:$B$3000),0))</f>
        <v>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8" thickBot="1" x14ac:dyDescent="0.3">
      <c r="A195" s="3287"/>
      <c r="B195" s="3288" t="s">
        <v>535</v>
      </c>
      <c r="C195" s="3289" t="s">
        <v>4296</v>
      </c>
      <c r="D195" s="427"/>
      <c r="E195" s="427"/>
      <c r="F195" s="2539" cm="1">
        <f t="array" ref="F195">INDEX('4층_부하량'!$E$3:$E$3000,MATCH(1,("4-DaHall 1-PDU-14"='4층_부하량'!$A$3:$A$3000)*(53='4층_부하량'!$B$3:$B$3000),0))</f>
        <v>0</v>
      </c>
      <c r="G195" s="427"/>
      <c r="H195" s="3289" t="s">
        <v>4171</v>
      </c>
      <c r="I195" s="3284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9" cm="1">
        <f t="array" ref="P195">INDEX('4층_부하량'!$E$3:$E$3000,MATCH(1,("4-DaHall 1-PDU-14"='4층_부하량'!$A$3:$A$3000)*(54='4층_부하량'!$B$3:$B$3000),0))</f>
        <v>0</v>
      </c>
      <c r="Q195" s="427"/>
      <c r="R195" s="3288" t="s">
        <v>535</v>
      </c>
      <c r="S195" s="3289" t="s">
        <v>4296</v>
      </c>
      <c r="T195" s="432"/>
    </row>
    <row r="196" spans="1:20" s="350" customFormat="1" ht="18.600000000000001" thickTop="1" thickBot="1" x14ac:dyDescent="0.3">
      <c r="L196" s="3285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 x14ac:dyDescent="0.3">
      <c r="A197" s="2" t="s">
        <v>10853</v>
      </c>
      <c r="D197" s="3970" t="s">
        <v>11013</v>
      </c>
      <c r="E197" s="3976"/>
      <c r="F197" s="3266"/>
      <c r="G197" s="3981"/>
      <c r="H197" s="3981"/>
      <c r="I197" s="3981"/>
      <c r="K197" s="2" t="s">
        <v>10854</v>
      </c>
      <c r="N197" s="3970" t="s">
        <v>11013</v>
      </c>
      <c r="O197" s="3976"/>
      <c r="P197" s="3266"/>
      <c r="Q197" s="3981"/>
      <c r="R197" s="3981"/>
      <c r="S197" s="3981"/>
    </row>
    <row r="198" spans="1:20" ht="18" thickTop="1" thickBot="1" x14ac:dyDescent="0.3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.6" thickTop="1" thickBot="1" x14ac:dyDescent="0.3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 x14ac:dyDescent="0.25">
      <c r="A200" s="10" t="s">
        <v>11014</v>
      </c>
      <c r="B200" s="17" t="s">
        <v>4204</v>
      </c>
      <c r="C200" s="18" t="s">
        <v>4149</v>
      </c>
      <c r="D200" s="2528" cm="1">
        <f t="array" ref="D200">INDEX('4층_부하량'!$C$3:$C$3000,MATCH(1,("4-DaHall 1-RPP-01"='4층_부하량'!$A$3:$A$3000)*(1='4층_부하량'!$B$3:$B$3000),0))</f>
        <v>0</v>
      </c>
      <c r="E200" s="2528" cm="1">
        <f t="array" ref="E200">INDEX('4층_부하량'!$D$3:$D$3000,MATCH(1,("4-DaHall 1-RPP-01"='4층_부하량'!$A$3:$A$3000)*(1='4층_부하량'!$B$3:$B$3000),0))</f>
        <v>0</v>
      </c>
      <c r="F200" s="2528" cm="1">
        <f t="array" ref="F200">INDEX('4층_부하량'!$E$3:$E$3000,MATCH(1,("4-DaHall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11015</v>
      </c>
      <c r="L200" s="17" t="s">
        <v>4204</v>
      </c>
      <c r="M200" s="18" t="s">
        <v>4149</v>
      </c>
      <c r="N200" s="2528" cm="1">
        <f t="array" ref="N200">INDEX('4층_부하량'!$C$3:$C$3000,MATCH(1,("4-DaHall 1-RPP-02"='4층_부하량'!$A$3:$A$3000)*(1='4층_부하량'!$B$3:$B$3000),0))</f>
        <v>0</v>
      </c>
      <c r="O200" s="2528" cm="1">
        <f t="array" ref="O200">INDEX('4층_부하량'!$D$3:$D$3000,MATCH(1,("4-DaHall 1-RPP-02"='4층_부하량'!$A$3:$A$3000)*(1='4층_부하량'!$B$3:$B$3000),0))</f>
        <v>0</v>
      </c>
      <c r="P200" s="2528" cm="1">
        <f t="array" ref="P200">INDEX('4층_부하량'!$E$3:$E$3000,MATCH(1,("4-DaHall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 x14ac:dyDescent="0.25">
      <c r="A201" s="16" t="s">
        <v>11016</v>
      </c>
      <c r="B201" s="17" t="s">
        <v>4204</v>
      </c>
      <c r="C201" s="18" t="s">
        <v>4149</v>
      </c>
      <c r="D201" s="2529" cm="1">
        <f t="array" ref="D201">INDEX('4층_부하량'!$C$3:$C$3000,MATCH(1,("4-DaHall 1-RPP-01"='4층_부하량'!$A$3:$A$3000)*(2='4층_부하량'!$B$3:$B$3000),0))</f>
        <v>0</v>
      </c>
      <c r="E201" s="2529" cm="1">
        <f t="array" ref="E201">INDEX('4층_부하량'!$D$3:$D$3000,MATCH(1,("4-DaHall 1-RPP-01"='4층_부하량'!$A$3:$A$3000)*(2='4층_부하량'!$B$3:$B$3000),0))</f>
        <v>0</v>
      </c>
      <c r="F201" s="2529" cm="1">
        <f t="array" ref="F201">INDEX('4층_부하량'!$E$3:$E$3000,MATCH(1,("4-DaHall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16" t="s">
        <v>11017</v>
      </c>
      <c r="L201" s="17" t="s">
        <v>4204</v>
      </c>
      <c r="M201" s="18" t="s">
        <v>4149</v>
      </c>
      <c r="N201" s="2529" cm="1">
        <f t="array" ref="N201">INDEX('4층_부하량'!$C$3:$C$3000,MATCH(1,("4-DaHall 1-RPP-02"='4층_부하량'!$A$3:$A$3000)*(2='4층_부하량'!$B$3:$B$3000),0))</f>
        <v>0</v>
      </c>
      <c r="O201" s="2529" cm="1">
        <f t="array" ref="O201">INDEX('4층_부하량'!$D$3:$D$3000,MATCH(1,("4-DaHall 1-RPP-02"='4층_부하량'!$A$3:$A$3000)*(2='4층_부하량'!$B$3:$B$3000),0))</f>
        <v>0</v>
      </c>
      <c r="P201" s="2529" cm="1">
        <f t="array" ref="P201">INDEX('4층_부하량'!$E$3:$E$3000,MATCH(1,("4-DaHall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 x14ac:dyDescent="0.25">
      <c r="A202" s="22" t="s">
        <v>11018</v>
      </c>
      <c r="B202" s="17" t="s">
        <v>4204</v>
      </c>
      <c r="C202" s="18" t="s">
        <v>4149</v>
      </c>
      <c r="D202" s="2529" cm="1">
        <f t="array" ref="D202">INDEX('4층_부하량'!$C$3:$C$3000,MATCH(1,("4-DaHall 1-RPP-01"='4층_부하량'!$A$3:$A$3000)*(3='4층_부하량'!$B$3:$B$3000),0))</f>
        <v>0</v>
      </c>
      <c r="E202" s="2529" cm="1">
        <f t="array" ref="E202">INDEX('4층_부하량'!$D$3:$D$3000,MATCH(1,("4-DaHall 1-RPP-01"='4층_부하량'!$A$3:$A$3000)*(3='4층_부하량'!$B$3:$B$3000),0))</f>
        <v>0</v>
      </c>
      <c r="F202" s="2529" cm="1">
        <f t="array" ref="F202">INDEX('4층_부하량'!$E$3:$E$3000,MATCH(1,("4-DaHall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22" t="s">
        <v>11019</v>
      </c>
      <c r="L202" s="17" t="s">
        <v>4204</v>
      </c>
      <c r="M202" s="18" t="s">
        <v>4149</v>
      </c>
      <c r="N202" s="2529" cm="1">
        <f t="array" ref="N202">INDEX('4층_부하량'!$C$3:$C$3000,MATCH(1,("4-DaHall 1-RPP-02"='4층_부하량'!$A$3:$A$3000)*(3='4층_부하량'!$B$3:$B$3000),0))</f>
        <v>0</v>
      </c>
      <c r="O202" s="2529" cm="1">
        <f t="array" ref="O202">INDEX('4층_부하량'!$D$3:$D$3000,MATCH(1,("4-DaHall 1-RPP-02"='4층_부하량'!$A$3:$A$3000)*(3='4층_부하량'!$B$3:$B$3000),0))</f>
        <v>0</v>
      </c>
      <c r="P202" s="2529" cm="1">
        <f t="array" ref="P202">INDEX('4층_부하량'!$E$3:$E$3000,MATCH(1,("4-DaHall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 x14ac:dyDescent="0.25">
      <c r="A203" s="22" t="s">
        <v>11020</v>
      </c>
      <c r="B203" s="17" t="s">
        <v>4204</v>
      </c>
      <c r="C203" s="18" t="s">
        <v>4149</v>
      </c>
      <c r="D203" s="2529" cm="1">
        <f t="array" ref="D203">INDEX('4층_부하량'!$C$3:$C$3000,MATCH(1,("4-DaHall 1-RPP-01"='4층_부하량'!$A$3:$A$3000)*(4='4층_부하량'!$B$3:$B$3000),0))</f>
        <v>0</v>
      </c>
      <c r="E203" s="2529" cm="1">
        <f t="array" ref="E203">INDEX('4층_부하량'!$D$3:$D$3000,MATCH(1,("4-DaHall 1-RPP-01"='4층_부하량'!$A$3:$A$3000)*(4='4층_부하량'!$B$3:$B$3000),0))</f>
        <v>0</v>
      </c>
      <c r="F203" s="2529" cm="1">
        <f t="array" ref="F203">INDEX('4층_부하량'!$E$3:$E$3000,MATCH(1,("4-DaHall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22" t="s">
        <v>11021</v>
      </c>
      <c r="L203" s="17" t="s">
        <v>4204</v>
      </c>
      <c r="M203" s="18" t="s">
        <v>4149</v>
      </c>
      <c r="N203" s="2529" cm="1">
        <f t="array" ref="N203">INDEX('4층_부하량'!$C$3:$C$3000,MATCH(1,("4-DaHall 1-RPP-02"='4층_부하량'!$A$3:$A$3000)*(4='4층_부하량'!$B$3:$B$3000),0))</f>
        <v>0</v>
      </c>
      <c r="O203" s="2529" cm="1">
        <f t="array" ref="O203">INDEX('4층_부하량'!$D$3:$D$3000,MATCH(1,("4-DaHall 1-RPP-02"='4층_부하량'!$A$3:$A$3000)*(4='4층_부하량'!$B$3:$B$3000),0))</f>
        <v>0</v>
      </c>
      <c r="P203" s="2529" cm="1">
        <f t="array" ref="P203">INDEX('4층_부하량'!$E$3:$E$3000,MATCH(1,("4-DaHall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 x14ac:dyDescent="0.25">
      <c r="A204" s="22"/>
      <c r="B204" s="23" t="s">
        <v>535</v>
      </c>
      <c r="C204" s="3290" t="s">
        <v>4296</v>
      </c>
      <c r="D204" s="2529" cm="1">
        <f t="array" ref="D204">INDEX('4층_부하량'!$C$3:$C$3000,MATCH(1,("4-DaHall 1-RPP-01"='4층_부하량'!$A$3:$A$3000)*(5='4층_부하량'!$B$3:$B$3000),0))</f>
        <v>0</v>
      </c>
      <c r="E204" s="2529" cm="1">
        <f t="array" ref="E204">INDEX('4층_부하량'!$D$3:$D$3000,MATCH(1,("4-DaHall 1-RPP-01"='4층_부하량'!$A$3:$A$3000)*(5='4층_부하량'!$B$3:$B$3000),0))</f>
        <v>0</v>
      </c>
      <c r="F204" s="2529" cm="1">
        <f t="array" ref="F204">INDEX('4층_부하량'!$E$3:$E$3000,MATCH(1,("4-DaHall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90" t="s">
        <v>4296</v>
      </c>
      <c r="N204" s="2529" cm="1">
        <f t="array" ref="N204">INDEX('4층_부하량'!$C$3:$C$3000,MATCH(1,("4-DaHall 1-RPP-02"='4층_부하량'!$A$3:$A$3000)*(5='4층_부하량'!$B$3:$B$3000),0))</f>
        <v>0</v>
      </c>
      <c r="O204" s="2529" cm="1">
        <f t="array" ref="O204">INDEX('4층_부하량'!$D$3:$D$3000,MATCH(1,("4-DaHall 1-RPP-02"='4층_부하량'!$A$3:$A$3000)*(5='4층_부하량'!$B$3:$B$3000),0))</f>
        <v>0</v>
      </c>
      <c r="P204" s="2529" cm="1">
        <f t="array" ref="P204">INDEX('4층_부하량'!$E$3:$E$3000,MATCH(1,("4-DaHall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 x14ac:dyDescent="0.25">
      <c r="A205" s="22"/>
      <c r="B205" s="17" t="s">
        <v>535</v>
      </c>
      <c r="C205" s="1402" t="s">
        <v>4296</v>
      </c>
      <c r="D205" s="2529" cm="1">
        <f t="array" ref="D205">INDEX('4층_부하량'!$C$3:$C$3000,MATCH(1,("4-DaHall 1-RPP-01"='4층_부하량'!$A$3:$A$3000)*(6='4층_부하량'!$B$3:$B$3000),0))</f>
        <v>0</v>
      </c>
      <c r="E205" s="2529" cm="1">
        <f t="array" ref="E205">INDEX('4층_부하량'!$D$3:$D$3000,MATCH(1,("4-DaHall 1-RPP-01"='4층_부하량'!$A$3:$A$3000)*(6='4층_부하량'!$B$3:$B$3000),0))</f>
        <v>0</v>
      </c>
      <c r="F205" s="2529" cm="1">
        <f t="array" ref="F205">INDEX('4층_부하량'!$E$3:$E$3000,MATCH(1,("4-DaHall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9" cm="1">
        <f t="array" ref="N205">INDEX('4층_부하량'!$C$3:$C$3000,MATCH(1,("4-DaHall 1-RPP-02"='4층_부하량'!$A$3:$A$3000)*(6='4층_부하량'!$B$3:$B$3000),0))</f>
        <v>0</v>
      </c>
      <c r="O205" s="2529" cm="1">
        <f t="array" ref="O205">INDEX('4층_부하량'!$D$3:$D$3000,MATCH(1,("4-DaHall 1-RPP-02"='4층_부하량'!$A$3:$A$3000)*(6='4층_부하량'!$B$3:$B$3000),0))</f>
        <v>0</v>
      </c>
      <c r="P205" s="2529" cm="1">
        <f t="array" ref="P205">INDEX('4층_부하량'!$E$3:$E$3000,MATCH(1,("4-DaHall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 x14ac:dyDescent="0.25">
      <c r="A206" s="22"/>
      <c r="B206" s="23" t="s">
        <v>535</v>
      </c>
      <c r="C206" s="3290" t="s">
        <v>4296</v>
      </c>
      <c r="D206" s="2529" cm="1">
        <f t="array" ref="D206">INDEX('4층_부하량'!$C$3:$C$3000,MATCH(1,("4-DaHall 1-RPP-01"='4층_부하량'!$A$3:$A$3000)*(7='4층_부하량'!$B$3:$B$3000),0))</f>
        <v>0</v>
      </c>
      <c r="E206" s="2529" cm="1">
        <f t="array" ref="E206">INDEX('4층_부하량'!$D$3:$D$3000,MATCH(1,("4-DaHall 1-RPP-01"='4층_부하량'!$A$3:$A$3000)*(7='4층_부하량'!$B$3:$B$3000),0))</f>
        <v>0</v>
      </c>
      <c r="F206" s="2529" cm="1">
        <f t="array" ref="F206">INDEX('4층_부하량'!$E$3:$E$3000,MATCH(1,("4-DaHall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90" t="s">
        <v>4296</v>
      </c>
      <c r="N206" s="2529" cm="1">
        <f t="array" ref="N206">INDEX('4층_부하량'!$C$3:$C$3000,MATCH(1,("4-DaHall 1-RPP-02"='4층_부하량'!$A$3:$A$3000)*(7='4층_부하량'!$B$3:$B$3000),0))</f>
        <v>0</v>
      </c>
      <c r="O206" s="2529" cm="1">
        <f t="array" ref="O206">INDEX('4층_부하량'!$D$3:$D$3000,MATCH(1,("4-DaHall 1-RPP-02"='4층_부하량'!$A$3:$A$3000)*(7='4층_부하량'!$B$3:$B$3000),0))</f>
        <v>0</v>
      </c>
      <c r="P206" s="2529" cm="1">
        <f t="array" ref="P206">INDEX('4층_부하량'!$E$3:$E$3000,MATCH(1,("4-DaHall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 x14ac:dyDescent="0.3">
      <c r="A207" s="34"/>
      <c r="B207" s="35" t="s">
        <v>535</v>
      </c>
      <c r="C207" s="3291" t="s">
        <v>4296</v>
      </c>
      <c r="D207" s="3292" cm="1">
        <f t="array" ref="D207">INDEX('4층_부하량'!$C$3:$C$3000,MATCH(1,("4-DaHall 1-RPP-01"='4층_부하량'!$A$3:$A$3000)*(8='4층_부하량'!$B$3:$B$3000),0))</f>
        <v>0</v>
      </c>
      <c r="E207" s="3292" cm="1">
        <f t="array" ref="E207">INDEX('4층_부하량'!$D$3:$D$3000,MATCH(1,("4-DaHall 1-RPP-01"='4층_부하량'!$A$3:$A$3000)*(8='4층_부하량'!$B$3:$B$3000),0))</f>
        <v>0</v>
      </c>
      <c r="F207" s="3292" cm="1">
        <f t="array" ref="F207">INDEX('4층_부하량'!$E$3:$E$3000,MATCH(1,("4-DaHall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91" t="s">
        <v>4296</v>
      </c>
      <c r="N207" s="3292" cm="1">
        <f t="array" ref="N207">INDEX('4층_부하량'!$C$3:$C$3000,MATCH(1,("4-DaHall 1-RPP-02"='4층_부하량'!$A$3:$A$3000)*(8='4층_부하량'!$B$3:$B$3000),0))</f>
        <v>0</v>
      </c>
      <c r="O207" s="3292" cm="1">
        <f t="array" ref="O207">INDEX('4층_부하량'!$D$3:$D$3000,MATCH(1,("4-DaHall 1-RPP-02"='4층_부하량'!$A$3:$A$3000)*(8='4층_부하량'!$B$3:$B$3000),0))</f>
        <v>0</v>
      </c>
      <c r="P207" s="3292" cm="1">
        <f t="array" ref="P207">INDEX('4층_부하량'!$E$3:$E$3000,MATCH(1,("4-DaHall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 x14ac:dyDescent="0.25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 x14ac:dyDescent="0.25">
      <c r="E210" t="s">
        <v>4542</v>
      </c>
      <c r="F210" t="s">
        <v>5878</v>
      </c>
    </row>
    <row r="211" spans="1:21" x14ac:dyDescent="0.25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211" s="51" t="e">
        <f>E211/$E$215</f>
        <v>#DIV/0!</v>
      </c>
    </row>
    <row r="212" spans="1:21" x14ac:dyDescent="0.25">
      <c r="B212" s="50" t="s">
        <v>5880</v>
      </c>
      <c r="C212" s="50" t="s">
        <v>5881</v>
      </c>
      <c r="D212" s="50"/>
      <c r="E212" s="33">
        <f>SUM(D73,N28)</f>
        <v>0</v>
      </c>
      <c r="F212" s="51" t="e">
        <f>E212/$E$215</f>
        <v>#DIV/0!</v>
      </c>
      <c r="N212" s="33"/>
    </row>
    <row r="213" spans="1:21" x14ac:dyDescent="0.25">
      <c r="B213" s="50" t="s">
        <v>4239</v>
      </c>
      <c r="C213" s="50" t="s">
        <v>5881</v>
      </c>
      <c r="D213" s="50"/>
      <c r="E213" s="33"/>
      <c r="F213" s="51"/>
    </row>
    <row r="214" spans="1:21" x14ac:dyDescent="0.25">
      <c r="B214" s="50" t="s">
        <v>5880</v>
      </c>
      <c r="C214" s="50" t="s">
        <v>5882</v>
      </c>
      <c r="D214" s="50"/>
      <c r="E214" s="33">
        <f>SUM(F51,E50,D49,N39,P38,O37,N36,N35:P35,P9,O8,N7,D10,F9,E8,D7,D6:F6)</f>
        <v>0</v>
      </c>
      <c r="F214" s="51" t="e">
        <f>E214/$E$215</f>
        <v>#DIV/0!</v>
      </c>
    </row>
    <row r="215" spans="1:21" x14ac:dyDescent="0.25">
      <c r="A215" t="s">
        <v>5883</v>
      </c>
      <c r="B215" s="50"/>
      <c r="C215" s="50"/>
      <c r="E215" s="33">
        <f>SUM(E211:E214)</f>
        <v>0</v>
      </c>
      <c r="F215" s="52" t="e">
        <f>SUM(F211:F214)</f>
        <v>#DIV/0!</v>
      </c>
    </row>
    <row r="216" spans="1:21" ht="15" thickBot="1" x14ac:dyDescent="0.3"/>
    <row r="217" spans="1:21" ht="18.600000000000001" thickTop="1" thickBot="1" x14ac:dyDescent="0.3">
      <c r="A217" s="2" t="s">
        <v>5884</v>
      </c>
      <c r="D217" s="53"/>
      <c r="E217" s="53"/>
      <c r="F217" s="53"/>
      <c r="G217" s="53"/>
      <c r="H217" s="123"/>
      <c r="I217" s="123"/>
      <c r="J217" s="3970" t="s">
        <v>5885</v>
      </c>
      <c r="K217" s="3976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 x14ac:dyDescent="0.3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.6" thickTop="1" thickBot="1" x14ac:dyDescent="0.3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 x14ac:dyDescent="0.25">
      <c r="A220" s="122" t="s">
        <v>5886</v>
      </c>
      <c r="B220" s="17" t="s">
        <v>4204</v>
      </c>
      <c r="C220" s="18" t="s">
        <v>4149</v>
      </c>
      <c r="D220" s="2528"/>
      <c r="E220" s="2528"/>
      <c r="F220" s="2528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8"/>
      <c r="N220" s="2528"/>
      <c r="O220" s="2528"/>
      <c r="P220" s="306"/>
      <c r="Q220" s="17" t="s">
        <v>4204</v>
      </c>
      <c r="R220" s="18" t="s">
        <v>4149</v>
      </c>
      <c r="S220" s="859"/>
      <c r="T220" s="97"/>
    </row>
    <row r="221" spans="1:21" ht="17.399999999999999" x14ac:dyDescent="0.25">
      <c r="A221" s="106" t="s">
        <v>5888</v>
      </c>
      <c r="B221" s="17" t="s">
        <v>4204</v>
      </c>
      <c r="C221" s="18" t="s">
        <v>4149</v>
      </c>
      <c r="D221" s="2529"/>
      <c r="E221" s="2529"/>
      <c r="F221" s="2529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9"/>
      <c r="N221" s="2529"/>
      <c r="O221" s="2529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 x14ac:dyDescent="0.3">
      <c r="A222" s="108" t="s">
        <v>5889</v>
      </c>
      <c r="B222" s="35" t="s">
        <v>4204</v>
      </c>
      <c r="C222" s="39" t="s">
        <v>4149</v>
      </c>
      <c r="D222" s="2530"/>
      <c r="E222" s="2530"/>
      <c r="F222" s="2530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30"/>
      <c r="N222" s="2530"/>
      <c r="O222" s="2530"/>
      <c r="P222" s="312"/>
      <c r="Q222" s="35" t="s">
        <v>4164</v>
      </c>
      <c r="R222" s="35" t="s">
        <v>4215</v>
      </c>
      <c r="S222" s="545"/>
      <c r="T222" s="78"/>
    </row>
    <row r="223" spans="1:21" ht="15" thickTop="1" x14ac:dyDescent="0.25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 x14ac:dyDescent="0.25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239"/>
  <sheetViews>
    <sheetView view="pageBreakPreview" topLeftCell="A180" zoomScale="85" zoomScaleNormal="80" zoomScaleSheetLayoutView="85" workbookViewId="0">
      <selection activeCell="A77" sqref="A77:XFD208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53"/>
    </row>
    <row r="2" spans="1:22" ht="15" thickBot="1" x14ac:dyDescent="0.3">
      <c r="V2" s="2065"/>
    </row>
    <row r="3" spans="1:22" ht="18.600000000000001" thickTop="1" thickBot="1" x14ac:dyDescent="0.3">
      <c r="A3" s="2" t="s">
        <v>6506</v>
      </c>
      <c r="D3" s="3970" t="s">
        <v>5769</v>
      </c>
      <c r="E3" s="3976"/>
      <c r="F3" s="123"/>
      <c r="G3" s="3969" t="s">
        <v>5770</v>
      </c>
      <c r="H3" s="3969"/>
      <c r="I3" s="3969"/>
      <c r="K3" s="2" t="s">
        <v>6507</v>
      </c>
      <c r="N3" s="3970" t="s">
        <v>5769</v>
      </c>
      <c r="O3" s="3976"/>
      <c r="P3" s="123"/>
      <c r="Q3" s="3969" t="s">
        <v>5772</v>
      </c>
      <c r="R3" s="3969"/>
      <c r="S3" s="3969"/>
    </row>
    <row r="4" spans="1:22" ht="18" thickTop="1" thickBot="1" x14ac:dyDescent="0.3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28" cm="1">
        <f t="array" ref="D6">INDEX('4층_부하량'!F3:F3000,MATCH(1,("4-DaHall 1-PDU-02"='4층_부하량'!A3:A3000)*(1='4층_부하량'!B3:B3000),0))</f>
        <v>0</v>
      </c>
      <c r="E6" s="2528" cm="1">
        <f t="array" ref="E6">INDEX('4층_부하량'!G3:G3000,MATCH(1,("4-DaHall 1-PDU-02"='4층_부하량'!A3:A3000)*(1='4층_부하량'!B3:B3000),0))</f>
        <v>0</v>
      </c>
      <c r="F6" s="2528" cm="1">
        <f t="array" ref="F6">INDEX('4층_부하량'!H3:H3000,MATCH(1,("4-DaHall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8" cm="1">
        <f t="array" ref="N6">INDEX('4층_부하량'!F3:F3000,MATCH(1,("4-DaHall 1-PDU-04"='4층_부하량'!A3:A3000)*(1='4층_부하량'!B3:B3000),0))</f>
        <v>0</v>
      </c>
      <c r="O6" s="2528" cm="1">
        <f t="array" ref="O6">INDEX('4층_부하량'!G3:G3000,MATCH(1,("4-DaHall 1-PDU-04"='4층_부하량'!A3:A3000)*(1='4층_부하량'!B3:B3000),0))</f>
        <v>0</v>
      </c>
      <c r="P6" s="2528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29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9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31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1" cm="1">
        <f t="array" ref="O8">INDEX('4층_부하량'!G3:G3000,MATCH(1,("4-DaHall 1-PDU-04"='4층_부하량'!A3:A3000)*(3='4층_부하량'!B3:B3000),0))</f>
        <v>0</v>
      </c>
      <c r="P8" s="21"/>
      <c r="Q8" s="2554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31" cm="1">
        <f t="array" ref="F9">INDEX('4층_부하량'!H3:H3000,MATCH(1,("4-DaHall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1" cm="1">
        <f t="array" ref="P9">INDEX('4층_부하량'!H3:H3000,MATCH(1,("4-DaHall 1-PDU-04"='4층_부하량'!A3:A3000)*(4='4층_부하량'!B3:B3000),0))</f>
        <v>0</v>
      </c>
      <c r="Q9" s="2554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32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2" cm="1">
        <f t="array" ref="N10">INDEX('4층_부하량'!F3:F3000,MATCH(1,("4-DaHall 1-PDU-04"='4층_부하량'!A3:A3000)*(5='4층_부하량'!B3:B3000),0))</f>
        <v>0</v>
      </c>
      <c r="O10" s="25"/>
      <c r="P10" s="25"/>
      <c r="Q10" s="2555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31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1" cm="1">
        <f t="array" ref="O11">INDEX('4층_부하량'!G3:G3000,MATCH(1,("4-DaHall 1-PDU-04"='4층_부하량'!A3:A3000)*(6='4층_부하량'!B3:B3000),0))</f>
        <v>0</v>
      </c>
      <c r="P11" s="21"/>
      <c r="Q11" s="2554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32" cm="1">
        <f t="array" ref="F12">INDEX('4층_부하량'!H3:H3000,MATCH(1,("4-DaHall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2" cm="1">
        <f t="array" ref="P12">INDEX('4층_부하량'!H3:H3000,MATCH(1,("4-DaHall 1-PDU-04"='4층_부하량'!A3:A3000)*(7='4층_부하량'!B3:B3000),0))</f>
        <v>0</v>
      </c>
      <c r="Q12" s="2555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31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1" cm="1">
        <f t="array" ref="N13">INDEX('4층_부하량'!F3:F3000,MATCH(1,("4-DaHall 1-PDU-04"='4층_부하량'!A3:A3000)*(8='4층_부하량'!B3:B3000),0))</f>
        <v>0</v>
      </c>
      <c r="O13" s="21"/>
      <c r="P13" s="21"/>
      <c r="Q13" s="2554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33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3" cm="1">
        <f t="array" ref="O14">INDEX('4층_부하량'!G3:G3000,MATCH(1,("4-DaHall 1-PDU-04"='4층_부하량'!A3:A3000)*(9='4층_부하량'!B3:B3000),0))</f>
        <v>0</v>
      </c>
      <c r="P14" s="30"/>
      <c r="Q14" s="2556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6508</v>
      </c>
      <c r="D16" s="3970" t="s">
        <v>5769</v>
      </c>
      <c r="E16" s="3976"/>
      <c r="F16" s="123"/>
      <c r="G16" s="3969" t="s">
        <v>5792</v>
      </c>
      <c r="H16" s="3969"/>
      <c r="I16" s="3969"/>
      <c r="K16" s="636" t="s">
        <v>6509</v>
      </c>
      <c r="N16" s="3970" t="s">
        <v>5769</v>
      </c>
      <c r="O16" s="3976"/>
      <c r="P16" s="123"/>
      <c r="Q16" s="3969" t="s">
        <v>5794</v>
      </c>
      <c r="R16" s="3969"/>
      <c r="S16" s="3969"/>
    </row>
    <row r="17" spans="1:20" ht="18" thickTop="1" thickBot="1" x14ac:dyDescent="0.3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28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8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29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9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31" cm="1">
        <f t="array" ref="F21">INDEX('4층_부하량'!H3:H3000,MATCH(1,("4-DaHall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1" cm="1">
        <f t="array" ref="P21">INDEX('4층_부하량'!H3:H3000,MATCH(1,("4-DaHall 1-PDU-08"='4층_부하량'!A3:A3000)*(3='4층_부하량'!B3:B3000),0))</f>
        <v>0</v>
      </c>
      <c r="Q21" s="2554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31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1" cm="1">
        <f t="array" ref="N22">INDEX('4층_부하량'!F3:F3000,MATCH(1,("4-DaHall 1-PDU-08"='4층_부하량'!A3:A3000)*(4='4층_부하량'!B3:B3000),0))</f>
        <v>0</v>
      </c>
      <c r="O22" s="21"/>
      <c r="P22" s="21"/>
      <c r="Q22" s="2554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31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1" cm="1">
        <f t="array" ref="O23">INDEX('4층_부하량'!G3:G3000,MATCH(1,("4-DaHall 1-PDU-08"='4층_부하량'!A3:A3000)*(5='4층_부하량'!B3:B3000),0))</f>
        <v>0</v>
      </c>
      <c r="P23" s="25"/>
      <c r="Q23" s="2555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31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1" cm="1">
        <f t="array" ref="P24">INDEX('4층_부하량'!H3:H3000,MATCH(1,("4-DaHall 1-PDU-08"='4층_부하량'!A3:A3000)*(6='4층_부하량'!B3:B3000),0))</f>
        <v>0</v>
      </c>
      <c r="Q24" s="2554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32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2" cm="1">
        <f t="array" ref="N25">INDEX('4층_부하량'!F3:F3000,MATCH(1,("4-DaHall 1-PDU-08"='4층_부하량'!A3:A3000)*(7='4층_부하량'!B3:B3000),0))</f>
        <v>0</v>
      </c>
      <c r="O25" s="25"/>
      <c r="P25" s="25"/>
      <c r="Q25" s="2555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31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1" cm="1">
        <f t="array" ref="O26">INDEX('4층_부하량'!G3:G3000,MATCH(1,("4-DaHall 1-PDU-08"='4층_부하량'!A3:A3000)*(8='4층_부하량'!B3:B3000),0))</f>
        <v>0</v>
      </c>
      <c r="P26" s="21"/>
      <c r="Q26" s="2554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31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1" cm="1">
        <f t="array" ref="P27">INDEX('4층_부하량'!H3:H3000,MATCH(1,("4-DaHall 1-PDU-08"='4층_부하량'!A3:A3000)*(9='4층_부하량'!B3:B3000),0))</f>
        <v>0</v>
      </c>
      <c r="Q27" s="2554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31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1" cm="1">
        <f t="array" ref="N28">INDEX('4층_부하량'!F3:F3000,MATCH(1,("4-DaHall 1-PDU-08"='4층_부하량'!A3:A3000)*(10='4층_부하량'!B3:B3000),0))</f>
        <v>0</v>
      </c>
      <c r="O28" s="21"/>
      <c r="P28" s="21"/>
      <c r="Q28" s="2554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31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1" cm="1">
        <f t="array" ref="O29">INDEX('4층_부하량'!G3:G3000,MATCH(1,("4-DaHall 1-PDU-08"='4층_부하량'!A3:A3000)*(11='4층_부하량'!B3:B3000),0))</f>
        <v>0</v>
      </c>
      <c r="P29" s="21"/>
      <c r="Q29" s="2554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30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30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6510</v>
      </c>
      <c r="D32" s="3970" t="s">
        <v>5769</v>
      </c>
      <c r="E32" s="3976"/>
      <c r="F32" s="123"/>
      <c r="G32" s="3969" t="s">
        <v>5821</v>
      </c>
      <c r="H32" s="3969"/>
      <c r="I32" s="3969"/>
      <c r="K32" s="2" t="s">
        <v>6511</v>
      </c>
      <c r="N32" s="3970" t="s">
        <v>5769</v>
      </c>
      <c r="O32" s="3976"/>
      <c r="P32" s="123"/>
      <c r="Q32" s="3969" t="s">
        <v>5823</v>
      </c>
      <c r="R32" s="3969"/>
      <c r="S32" s="3969"/>
    </row>
    <row r="33" spans="1:20" ht="18" thickTop="1" thickBot="1" x14ac:dyDescent="0.3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28" cm="1">
        <f t="array" ref="D35">INDEX('4층_부하량'!F3:F3000,MATCH(1,("4-DaHall 1-PDU-10"='4층_부하량'!A3:A3000)*(1='4층_부하량'!B3:B3000),0))</f>
        <v>0</v>
      </c>
      <c r="E35" s="2528" cm="1">
        <f t="array" ref="E35">INDEX('4층_부하량'!G3:G3000,MATCH(1,("4-DaHall 1-PDU-10"='4층_부하량'!A3:A3000)*(1='4층_부하량'!B3:B3000),0))</f>
        <v>0</v>
      </c>
      <c r="F35" s="2528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8" cm="1">
        <f t="array" ref="N35">INDEX('4층_부하량'!F3:F3000,MATCH(1,("4-DaHall 1-PDU-01"='4층_부하량'!A3:A3000)*(1='4층_부하량'!B3:B3000),0))</f>
        <v>0</v>
      </c>
      <c r="O35" s="2528" cm="1">
        <f t="array" ref="O35">INDEX('4층_부하량'!G3:G3000,MATCH(1,("4-DaHall 1-PDU-01"='4층_부하량'!A3:A3000)*(1='4층_부하량'!B3:B3000),0))</f>
        <v>0</v>
      </c>
      <c r="P35" s="2528" cm="1">
        <f t="array" ref="P35">INDEX('4층_부하량'!H3:H3000,MATCH(1,("4-DaHall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29" cm="1">
        <f t="array" ref="D36">INDEX('4층_부하량'!F3:F3000,MATCH(1,("4-DaHall 1-PDU-10"='4층_부하량'!A3:A3000)*(2='4층_부하량'!B3:B3000),0))</f>
        <v>0</v>
      </c>
      <c r="E36" s="2529" cm="1">
        <f t="array" ref="E36">INDEX('4층_부하량'!G3:G3000,MATCH(1,("4-DaHall 1-PDU-10"='4층_부하량'!A3:A3000)*(2='4층_부하량'!B3:B3000),0))</f>
        <v>0</v>
      </c>
      <c r="F36" s="2529" cm="1">
        <f t="array" ref="F36">INDEX('4층_부하량'!H3:H3000,MATCH(1,("4-DaHall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9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30" cm="1">
        <f t="array" ref="D37">INDEX('4층_부하량'!F3:F3000,MATCH(1,("4-DaHall 1-PDU-10"='4층_부하량'!A3:A3000)*(3='4층_부하량'!B3:B3000),0))</f>
        <v>0</v>
      </c>
      <c r="E37" s="2530" cm="1">
        <f t="array" ref="E37">INDEX('4층_부하량'!G3:G3000,MATCH(1,("4-DaHall 1-PDU-10"='4층_부하량'!A3:A3000)*(3='4층_부하량'!B3:B3000),0))</f>
        <v>0</v>
      </c>
      <c r="F37" s="2530" cm="1">
        <f t="array" ref="F37">INDEX('4층_부하량'!H3:H3000,MATCH(1,("4-DaHall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1" cm="1">
        <f t="array" ref="O37">INDEX('4층_부하량'!G3:G3000,MATCH(1,("4-DaHall 1-PDU-01"='4층_부하량'!A3:A3000)*(3='4층_부하량'!B3:B3000),0))</f>
        <v>0</v>
      </c>
      <c r="P37" s="21"/>
      <c r="Q37" s="2554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1" cm="1">
        <f t="array" ref="P38">INDEX('4층_부하량'!H3:H3000,MATCH(1,("4-DaHall 1-PDU-01"='4층_부하량'!A3:A3000)*(4='4층_부하량'!B3:B3000),0))</f>
        <v>0</v>
      </c>
      <c r="Q38" s="2554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2" cm="1">
        <f t="array" ref="N39">INDEX('4층_부하량'!F3:F3000,MATCH(1,("4-DaHall 1-PDU-01"='4층_부하량'!A3:A3000)*(5='4층_부하량'!B3:B3000),0))</f>
        <v>0</v>
      </c>
      <c r="O39" s="25"/>
      <c r="P39" s="25"/>
      <c r="Q39" s="2555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1" cm="1">
        <f t="array" ref="O40">INDEX('4층_부하량'!G3:G3000,MATCH(1,("4-DaHall 1-PDU-01"='4층_부하량'!A3:A3000)*(6='4층_부하량'!B3:B3000),0))</f>
        <v>0</v>
      </c>
      <c r="P40" s="21"/>
      <c r="Q40" s="2554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2" cm="1">
        <f t="array" ref="P41">INDEX('4층_부하량'!H3:H3000,MATCH(1,("4-DaHall 1-PDU-01"='4층_부하량'!A3:A3000)*(7='4층_부하량'!B3:B3000),0))</f>
        <v>0</v>
      </c>
      <c r="Q41" s="2555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1" cm="1">
        <f t="array" ref="N42">INDEX('4층_부하량'!F3:F3000,MATCH(1,("4-DaHall 1-PDU-01"='4층_부하량'!A3:A3000)*(8='4층_부하량'!B3:B3000),0))</f>
        <v>0</v>
      </c>
      <c r="O42" s="21"/>
      <c r="P42" s="21"/>
      <c r="Q42" s="2554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30" cm="1">
        <f t="array" ref="O43">INDEX('4층_부하량'!G3:G3000,MATCH(1,("4-DaHall 1-PDU-01"='4층_부하량'!A3:A3000)*(9='4층_부하량'!B3:B3000),0))</f>
        <v>0</v>
      </c>
      <c r="P43" s="30"/>
      <c r="Q43" s="2556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6512</v>
      </c>
      <c r="D45" s="3970" t="s">
        <v>4288</v>
      </c>
      <c r="E45" s="3976"/>
      <c r="F45" s="123"/>
      <c r="G45" s="3969" t="s">
        <v>5837</v>
      </c>
      <c r="H45" s="3969"/>
      <c r="I45" s="3969"/>
      <c r="K45" s="2" t="s">
        <v>6513</v>
      </c>
      <c r="N45" s="3970" t="s">
        <v>4288</v>
      </c>
      <c r="O45" s="3976"/>
      <c r="P45" s="123"/>
      <c r="Q45" s="3969" t="s">
        <v>5839</v>
      </c>
      <c r="R45" s="3969"/>
      <c r="S45" s="3969"/>
    </row>
    <row r="46" spans="1:20" ht="18" thickTop="1" thickBot="1" x14ac:dyDescent="0.3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28" cm="1">
        <f t="array" ref="D48">INDEX('4층_부하량'!F3:F3000,MATCH(1,("4-DaHall 1-PDU-03"='4층_부하량'!A3:A3000)*(1='4층_부하량'!B3:B3000),0))</f>
        <v>0</v>
      </c>
      <c r="E48" s="2528" cm="1">
        <f t="array" ref="E48">INDEX('4층_부하량'!G3:G3000,MATCH(1,("4-DaHall 1-PDU-03"='4층_부하량'!A3:A3000)*(1='4층_부하량'!B3:B3000),0))</f>
        <v>0</v>
      </c>
      <c r="F48" s="2528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8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29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9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31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1" cm="1">
        <f t="array" ref="P50">INDEX('4층_부하량'!H3:H3000,MATCH(1,("4-DaHall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31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1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32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1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31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1" cm="1">
        <f t="array" ref="P53">INDEX('4층_부하량'!H3:H3000,MATCH(1,("4-DaHall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32" cm="1">
        <f t="array" ref="F54">INDEX('4층_부하량'!H3:H3000,MATCH(1,("4-DaHall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2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31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1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33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1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31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31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30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6514</v>
      </c>
      <c r="D61" s="3970" t="s">
        <v>4288</v>
      </c>
      <c r="E61" s="3976"/>
      <c r="F61" s="123"/>
      <c r="G61" s="3969" t="s">
        <v>5858</v>
      </c>
      <c r="H61" s="3969"/>
      <c r="I61" s="3969"/>
      <c r="K61" s="2" t="s">
        <v>6515</v>
      </c>
      <c r="N61" s="3970" t="s">
        <v>4288</v>
      </c>
      <c r="O61" s="3976"/>
      <c r="P61" s="123"/>
      <c r="Q61" s="3969" t="s">
        <v>5860</v>
      </c>
      <c r="R61" s="3969"/>
      <c r="S61" s="3969"/>
    </row>
    <row r="62" spans="1:20" ht="15" customHeight="1" thickTop="1" thickBot="1" x14ac:dyDescent="0.3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28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8" cm="1">
        <f t="array" ref="N64">INDEX('4층_부하량'!F3:F3000,MATCH(1,("4-DaHall 1-PDU-09"='4층_부하량'!A3:A3000)*(1='4층_부하량'!B3:B3000),0))</f>
        <v>0</v>
      </c>
      <c r="O64" s="2528" cm="1">
        <f t="array" ref="O64">INDEX('4층_부하량'!G3:G3000,MATCH(1,("4-DaHall 1-PDU-09"='4층_부하량'!A3:A3000)*(1='4층_부하량'!B3:B3000),0))</f>
        <v>0</v>
      </c>
      <c r="P64" s="2528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29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8" cm="1">
        <f t="array" ref="N65">INDEX('4층_부하량'!F3:F3000,MATCH(1,("4-DaHall 1-PDU-09"='4층_부하량'!A3:A3000)*(2='4층_부하량'!B3:B3000),0))</f>
        <v>0</v>
      </c>
      <c r="O65" s="2528" cm="1">
        <f t="array" ref="O65">INDEX('4층_부하량'!G3:G3000,MATCH(1,("4-DaHall 1-PDU-09"='4층_부하량'!A3:A3000)*(2='4층_부하량'!B3:B3000),0))</f>
        <v>0</v>
      </c>
      <c r="P65" s="2528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31" cm="1">
        <f t="array" ref="F66">INDEX('4층_부하량'!H3:H3000,MATCH(1,("4-DaHall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8" cm="1">
        <f t="array" ref="N66">INDEX('4층_부하량'!F3:F3000,MATCH(1,("4-DaHall 1-PDU-09"='4층_부하량'!A3:A3000)*(3='4층_부하량'!B3:B3000),0))</f>
        <v>0</v>
      </c>
      <c r="O66" s="2528" cm="1">
        <f t="array" ref="O66">INDEX('4층_부하량'!G3:G3000,MATCH(1,("4-DaHall 1-PDU-09"='4층_부하량'!A3:A3000)*(3='4층_부하량'!B3:B3000),0))</f>
        <v>0</v>
      </c>
      <c r="P66" s="2528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31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32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31" cm="1">
        <f t="array" ref="F69">INDEX('4층_부하량'!H3:H3000,MATCH(1,("4-DaHall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32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31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31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31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31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30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 x14ac:dyDescent="0.3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7" spans="1:20" s="350" customFormat="1" ht="18.600000000000001" thickTop="1" thickBot="1" x14ac:dyDescent="0.3">
      <c r="A77" s="349" t="s">
        <v>10855</v>
      </c>
      <c r="C77" s="3981"/>
      <c r="D77" s="3981"/>
      <c r="E77" s="3981"/>
      <c r="F77" s="3981"/>
      <c r="G77" s="351"/>
      <c r="H77" s="352"/>
      <c r="I77" s="352"/>
      <c r="J77" s="3979" t="s">
        <v>4288</v>
      </c>
      <c r="K77" s="3980"/>
      <c r="L77" s="3277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 x14ac:dyDescent="0.3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.600000000000001" thickTop="1" thickBot="1" x14ac:dyDescent="0.3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 x14ac:dyDescent="0.25">
      <c r="A80" s="468" t="s">
        <v>10856</v>
      </c>
      <c r="B80" s="372" t="s">
        <v>5562</v>
      </c>
      <c r="C80" s="373" t="s">
        <v>4149</v>
      </c>
      <c r="D80" s="2537" cm="1">
        <f t="array" ref="D80">INDEX('4층_부하량'!$F$3:$F$3000,MATCH(1,("4-DaHall 1-PDU-11"='4층_부하량'!$A$3:$A$3000)*(1='4층_부하량'!$B$3:$B$3000),0))</f>
        <v>0</v>
      </c>
      <c r="E80" s="2537" cm="1">
        <f t="array" ref="E80">INDEX('4층_부하량'!$G$3:$G$3000,MATCH(1,("4-DaHall 1-PDU-11"='4층_부하량'!$A$3:$A$3000)*(1='4층_부하량'!$B$3:$B$3000),0))</f>
        <v>0</v>
      </c>
      <c r="F80" s="2537" cm="1">
        <f t="array" ref="F80">INDEX('4층_부하량'!$H$3:$H$3000,MATCH(1,("4-DaHall 1-PDU-11"='4층_부하량'!$A$3:$A$3000)*(1='4층_부하량'!$B$3:$B$3000),0))</f>
        <v>0</v>
      </c>
      <c r="G80" s="368"/>
      <c r="H80" s="3278" t="s">
        <v>10857</v>
      </c>
      <c r="I80" s="3279" t="s">
        <v>4151</v>
      </c>
      <c r="J80" s="1018"/>
      <c r="K80" s="1019"/>
      <c r="L80" s="581" t="s">
        <v>4436</v>
      </c>
      <c r="M80" s="366" t="s">
        <v>4574</v>
      </c>
      <c r="N80" s="2537" cm="1">
        <f t="array" ref="N80">INDEX('4층_부하량'!$F$3:$F$3000,MATCH(1,("4-DaHall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7.399999999999999" x14ac:dyDescent="0.25">
      <c r="A81" s="385"/>
      <c r="B81" s="1286" t="s">
        <v>535</v>
      </c>
      <c r="C81" s="1287" t="s">
        <v>4296</v>
      </c>
      <c r="D81" s="381"/>
      <c r="E81" s="2531" cm="1">
        <f t="array" ref="E81">INDEX('4층_부하량'!$G$3:$G$3000,MATCH(1,("4-DaHall 1-PDU-11"='4층_부하량'!$A$3:$A$3000)*(3='4층_부하량'!$B$3:$B$3000),0))</f>
        <v>0</v>
      </c>
      <c r="F81" s="381"/>
      <c r="G81" s="377"/>
      <c r="H81" s="376" t="s">
        <v>4574</v>
      </c>
      <c r="I81" s="3280" t="s">
        <v>4156</v>
      </c>
      <c r="J81" s="1020"/>
      <c r="K81" s="1021"/>
      <c r="L81" s="582" t="s">
        <v>4438</v>
      </c>
      <c r="M81" s="376" t="s">
        <v>4574</v>
      </c>
      <c r="N81" s="381"/>
      <c r="O81" s="2531" cm="1">
        <f t="array" ref="O81">INDEX('4층_부하량'!$G$3:$G$3000,MATCH(1,("4-DaHall 1-PDU-11"='4층_부하량'!$A$3:$A$3000)*(4='4층_부하량'!$B$3:$B$3000),0))</f>
        <v>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7.399999999999999" x14ac:dyDescent="0.25">
      <c r="A82" s="385"/>
      <c r="B82" s="1286" t="s">
        <v>535</v>
      </c>
      <c r="C82" s="1287" t="s">
        <v>4296</v>
      </c>
      <c r="D82" s="381"/>
      <c r="E82" s="381"/>
      <c r="F82" s="2538" cm="1">
        <f t="array" ref="F82">INDEX('4층_부하량'!$H$3:$H$3000,MATCH(1,("4-DaHall 1-PDU-11"='4층_부하량'!$A$3:$A$3000)*(5='4층_부하량'!$B$3:$B$3000),0))</f>
        <v>0</v>
      </c>
      <c r="G82" s="381"/>
      <c r="H82" s="376" t="s">
        <v>4574</v>
      </c>
      <c r="I82" s="3280" t="s">
        <v>4161</v>
      </c>
      <c r="J82" s="1022"/>
      <c r="K82" s="1023"/>
      <c r="L82" s="583" t="s">
        <v>4441</v>
      </c>
      <c r="M82" s="3281" t="s">
        <v>4150</v>
      </c>
      <c r="N82" s="381"/>
      <c r="O82" s="381"/>
      <c r="P82" s="2538" cm="1">
        <f t="array" ref="P82">INDEX('4층_부하량'!$H$3:$H$3000,MATCH(1,("4-DaHall 1-PDU-11"='4층_부하량'!$A$3:$A$3000)*(6='4층_부하량'!$B$3:$B$3000),0))</f>
        <v>0</v>
      </c>
      <c r="Q82" s="381"/>
      <c r="R82" s="382" t="s">
        <v>535</v>
      </c>
      <c r="S82" s="1287" t="s">
        <v>4296</v>
      </c>
      <c r="T82" s="389"/>
    </row>
    <row r="83" spans="1:20" s="350" customFormat="1" ht="17.399999999999999" x14ac:dyDescent="0.25">
      <c r="A83" s="385" t="s">
        <v>10858</v>
      </c>
      <c r="B83" s="382" t="s">
        <v>5562</v>
      </c>
      <c r="C83" s="383" t="s">
        <v>4149</v>
      </c>
      <c r="D83" s="2538" cm="1">
        <f t="array" ref="D83">INDEX('4층_부하량'!$F$3:$F$3000,MATCH(1,("4-DaHall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8" cm="1">
        <f t="array" ref="N83">INDEX('4층_부하량'!$F$3:$F$3000,MATCH(1,("4-DaHall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10859</v>
      </c>
    </row>
    <row r="84" spans="1:20" s="350" customFormat="1" ht="17.399999999999999" x14ac:dyDescent="0.25">
      <c r="A84" s="385" t="s">
        <v>10860</v>
      </c>
      <c r="B84" s="382" t="s">
        <v>5562</v>
      </c>
      <c r="C84" s="383" t="s">
        <v>4149</v>
      </c>
      <c r="D84" s="381"/>
      <c r="E84" s="2531" cm="1">
        <f t="array" ref="E84">INDEX('4층_부하량'!$G$3:$G$3000,MATCH(1,("4-DaHall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1" cm="1">
        <f t="array" ref="O84">INDEX('4층_부하량'!$G$3:$G$3000,MATCH(1,("4-DaHall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10861</v>
      </c>
    </row>
    <row r="85" spans="1:20" s="350" customFormat="1" ht="17.399999999999999" x14ac:dyDescent="0.25">
      <c r="A85" s="385" t="s">
        <v>10862</v>
      </c>
      <c r="B85" s="382" t="s">
        <v>5562</v>
      </c>
      <c r="C85" s="383" t="s">
        <v>4149</v>
      </c>
      <c r="D85" s="381"/>
      <c r="E85" s="381"/>
      <c r="F85" s="2538" cm="1">
        <f t="array" ref="F85">INDEX('4층_부하량'!$H$3:$H$3000,MATCH(1,("4-DaHall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8" cm="1">
        <f t="array" ref="P85">INDEX('4층_부하량'!$H$3:$H$3000,MATCH(1,("4-DaHall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10863</v>
      </c>
    </row>
    <row r="86" spans="1:20" s="350" customFormat="1" ht="17.399999999999999" x14ac:dyDescent="0.25">
      <c r="A86" s="385" t="s">
        <v>10864</v>
      </c>
      <c r="B86" s="382" t="s">
        <v>5562</v>
      </c>
      <c r="C86" s="383" t="s">
        <v>4149</v>
      </c>
      <c r="D86" s="2538" cm="1">
        <f t="array" ref="D86">INDEX('4층_부하량'!$F$3:$F$3000,MATCH(1,("4-DaHall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8" cm="1">
        <f t="array" ref="N86">INDEX('4층_부하량'!$F$3:$F$3000,MATCH(1,("4-DaHall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10865</v>
      </c>
    </row>
    <row r="87" spans="1:20" s="350" customFormat="1" ht="17.399999999999999" x14ac:dyDescent="0.25">
      <c r="A87" s="442" t="s">
        <v>10866</v>
      </c>
      <c r="B87" s="382" t="s">
        <v>5562</v>
      </c>
      <c r="C87" s="383" t="s">
        <v>4149</v>
      </c>
      <c r="D87" s="381"/>
      <c r="E87" s="2538" cm="1">
        <f t="array" ref="E87">INDEX('4층_부하량'!$G$3:$G$3000,MATCH(1,("4-DaHall 1-PDU-11"='4층_부하량'!$A$3:$A$3000)*(15='4층_부하량'!$B$3:$B$3000),0))</f>
        <v>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8" cm="1">
        <f t="array" ref="O87">INDEX('4층_부하량'!$G$3:$G$3000,MATCH(1,("4-DaHall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10867</v>
      </c>
    </row>
    <row r="88" spans="1:20" s="350" customFormat="1" ht="17.399999999999999" x14ac:dyDescent="0.25">
      <c r="A88" s="442" t="s">
        <v>10868</v>
      </c>
      <c r="B88" s="382" t="s">
        <v>5562</v>
      </c>
      <c r="C88" s="383" t="s">
        <v>4149</v>
      </c>
      <c r="D88" s="381"/>
      <c r="E88" s="381"/>
      <c r="F88" s="2538" cm="1">
        <f t="array" ref="F88">INDEX('4층_부하량'!$H$3:$H$3000,MATCH(1,("4-DaHall 1-PDU-11"='4층_부하량'!$A$3:$A$3000)*(17='4층_부하량'!$B$3:$B$3000),0))</f>
        <v>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8" cm="1">
        <f t="array" ref="P88">INDEX('4층_부하량'!$H$3:$H$3000,MATCH(1,("4-DaHall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10869</v>
      </c>
    </row>
    <row r="89" spans="1:20" s="350" customFormat="1" ht="17.399999999999999" x14ac:dyDescent="0.25">
      <c r="A89" s="442" t="s">
        <v>10870</v>
      </c>
      <c r="B89" s="382" t="s">
        <v>5562</v>
      </c>
      <c r="C89" s="383" t="s">
        <v>4149</v>
      </c>
      <c r="D89" s="2538" cm="1">
        <f t="array" ref="D89">INDEX('4층_부하량'!$F$3:$F$3000,MATCH(1,("4-DaHall 1-PDU-11"='4층_부하량'!$A$3:$A$3000)*(19='4층_부하량'!$B$3:$B$3000),0))</f>
        <v>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8" cm="1">
        <f t="array" ref="N89">INDEX('4층_부하량'!$F$3:$F$3000,MATCH(1,("4-DaHall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10871</v>
      </c>
    </row>
    <row r="90" spans="1:20" s="350" customFormat="1" ht="17.399999999999999" x14ac:dyDescent="0.25">
      <c r="A90" s="442" t="s">
        <v>10872</v>
      </c>
      <c r="B90" s="382" t="s">
        <v>5562</v>
      </c>
      <c r="C90" s="383" t="s">
        <v>4149</v>
      </c>
      <c r="D90" s="381"/>
      <c r="E90" s="2538" cm="1">
        <f t="array" ref="E90">INDEX('4층_부하량'!$G$3:$G$3000,MATCH(1,("4-DaHall 1-PDU-11"='4층_부하량'!$A$3:$A$3000)*(21='4층_부하량'!$B$3:$B$3000),0))</f>
        <v>0</v>
      </c>
      <c r="F90" s="381"/>
      <c r="G90" s="381"/>
      <c r="H90" s="1203" t="s">
        <v>4171</v>
      </c>
      <c r="I90" s="3280" t="s">
        <v>4247</v>
      </c>
      <c r="J90" s="1022"/>
      <c r="K90" s="1023"/>
      <c r="L90" s="583" t="s">
        <v>5668</v>
      </c>
      <c r="M90" s="376" t="s">
        <v>4171</v>
      </c>
      <c r="N90" s="381"/>
      <c r="O90" s="2538" cm="1">
        <f t="array" ref="O90">INDEX('4층_부하량'!$G$3:$G$3000,MATCH(1,("4-DaHall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10873</v>
      </c>
    </row>
    <row r="91" spans="1:20" s="350" customFormat="1" ht="17.399999999999999" x14ac:dyDescent="0.25">
      <c r="A91" s="390" t="s">
        <v>10874</v>
      </c>
      <c r="B91" s="382" t="s">
        <v>5562</v>
      </c>
      <c r="C91" s="383" t="s">
        <v>4149</v>
      </c>
      <c r="D91" s="381"/>
      <c r="E91" s="381"/>
      <c r="F91" s="2538" cm="1">
        <f t="array" ref="F91">INDEX('4층_부하량'!$H$3:$H$3000,MATCH(1,("4-DaHall 1-PDU-11"='4층_부하량'!$A$3:$A$3000)*(23='4층_부하량'!$B$3:$B$3000),0))</f>
        <v>0</v>
      </c>
      <c r="G91" s="411"/>
      <c r="H91" s="1287" t="s">
        <v>4171</v>
      </c>
      <c r="I91" s="3282" t="s">
        <v>4251</v>
      </c>
      <c r="J91" s="1288"/>
      <c r="K91" s="1289"/>
      <c r="L91" s="3283" t="s">
        <v>4253</v>
      </c>
      <c r="M91" s="409" t="s">
        <v>4171</v>
      </c>
      <c r="N91" s="381"/>
      <c r="O91" s="381"/>
      <c r="P91" s="2538" cm="1">
        <f t="array" ref="P91">INDEX('4층_부하량'!$H$3:$H$3000,MATCH(1,("4-DaHall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10875</v>
      </c>
    </row>
    <row r="92" spans="1:20" s="350" customFormat="1" ht="17.399999999999999" x14ac:dyDescent="0.25">
      <c r="A92" s="390" t="s">
        <v>10876</v>
      </c>
      <c r="B92" s="382" t="s">
        <v>5562</v>
      </c>
      <c r="C92" s="383" t="s">
        <v>4149</v>
      </c>
      <c r="D92" s="2538" cm="1">
        <f t="array" ref="D92">INDEX('4층_부하량'!$F$3:$F$3000,MATCH(1,("4-DaHall 1-PDU-11"='4층_부하량'!$A$3:$A$3000)*(25='4층_부하량'!$B$3:$B$3000),0))</f>
        <v>0</v>
      </c>
      <c r="E92" s="381"/>
      <c r="F92" s="381"/>
      <c r="G92" s="411"/>
      <c r="H92" s="1287" t="s">
        <v>4171</v>
      </c>
      <c r="I92" s="3282" t="s">
        <v>4256</v>
      </c>
      <c r="J92" s="1288"/>
      <c r="K92" s="1289"/>
      <c r="L92" s="3283" t="s">
        <v>4258</v>
      </c>
      <c r="M92" s="409" t="s">
        <v>4171</v>
      </c>
      <c r="N92" s="2538" cm="1">
        <f t="array" ref="N92">INDEX('4층_부하량'!$F$3:$F$3000,MATCH(1,("4-DaHall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10877</v>
      </c>
    </row>
    <row r="93" spans="1:20" s="350" customFormat="1" ht="17.399999999999999" x14ac:dyDescent="0.25">
      <c r="A93" s="390" t="s">
        <v>10878</v>
      </c>
      <c r="B93" s="382" t="s">
        <v>5562</v>
      </c>
      <c r="C93" s="383" t="s">
        <v>4149</v>
      </c>
      <c r="D93" s="381"/>
      <c r="E93" s="2538" cm="1">
        <f t="array" ref="E93">INDEX('4층_부하량'!$G$3:$G$3000,MATCH(1,("4-DaHall 1-PDU-11"='4층_부하량'!$A$3:$A$3000)*(27='4층_부하량'!$B$3:$B$3000),0))</f>
        <v>0</v>
      </c>
      <c r="F93" s="381"/>
      <c r="G93" s="411"/>
      <c r="H93" s="1287" t="s">
        <v>4171</v>
      </c>
      <c r="I93" s="3282" t="s">
        <v>4261</v>
      </c>
      <c r="J93" s="1288"/>
      <c r="K93" s="1289"/>
      <c r="L93" s="3283" t="s">
        <v>4262</v>
      </c>
      <c r="M93" s="409" t="s">
        <v>4171</v>
      </c>
      <c r="N93" s="381"/>
      <c r="O93" s="2538" cm="1">
        <f t="array" ref="O93">INDEX('4층_부하량'!$G$3:$G$3000,MATCH(1,("4-DaHall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10879</v>
      </c>
    </row>
    <row r="94" spans="1:20" s="350" customFormat="1" ht="17.399999999999999" x14ac:dyDescent="0.25">
      <c r="A94" s="390" t="s">
        <v>10880</v>
      </c>
      <c r="B94" s="382" t="s">
        <v>5562</v>
      </c>
      <c r="C94" s="383" t="s">
        <v>4149</v>
      </c>
      <c r="D94" s="381"/>
      <c r="E94" s="381"/>
      <c r="F94" s="2538" cm="1">
        <f t="array" ref="F94">INDEX('4층_부하량'!$H$3:$H$3000,MATCH(1,("4-DaHall 1-PDU-11"='4층_부하량'!$A$3:$A$3000)*(29='4층_부하량'!$B$3:$B$3000),0))</f>
        <v>0</v>
      </c>
      <c r="G94" s="411"/>
      <c r="H94" s="1287" t="s">
        <v>4171</v>
      </c>
      <c r="I94" s="3282" t="s">
        <v>4264</v>
      </c>
      <c r="J94" s="1288"/>
      <c r="K94" s="1289"/>
      <c r="L94" s="3283" t="s">
        <v>4265</v>
      </c>
      <c r="M94" s="409" t="s">
        <v>4171</v>
      </c>
      <c r="N94" s="381"/>
      <c r="O94" s="381"/>
      <c r="P94" s="2538" cm="1">
        <f t="array" ref="P94">INDEX('4층_부하량'!$H$3:$H$3000,MATCH(1,("4-DaHall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10881</v>
      </c>
    </row>
    <row r="95" spans="1:20" s="350" customFormat="1" ht="17.399999999999999" x14ac:dyDescent="0.25">
      <c r="A95" s="390" t="s">
        <v>10882</v>
      </c>
      <c r="B95" s="382" t="s">
        <v>5562</v>
      </c>
      <c r="C95" s="383" t="s">
        <v>4149</v>
      </c>
      <c r="D95" s="2538" cm="1">
        <f t="array" ref="D95">INDEX('4층_부하량'!$F$3:$F$3000,MATCH(1,("4-DaHall 1-PDU-11"='4층_부하량'!$A$3:$A$3000)*(31='4층_부하량'!$B$3:$B$3000),0))</f>
        <v>0</v>
      </c>
      <c r="E95" s="381"/>
      <c r="F95" s="381"/>
      <c r="G95" s="411"/>
      <c r="H95" s="1287" t="s">
        <v>4171</v>
      </c>
      <c r="I95" s="3282" t="s">
        <v>4266</v>
      </c>
      <c r="J95" s="1288"/>
      <c r="K95" s="1289"/>
      <c r="L95" s="3283" t="s">
        <v>4267</v>
      </c>
      <c r="M95" s="409" t="s">
        <v>4171</v>
      </c>
      <c r="N95" s="2538" cm="1">
        <f t="array" ref="N95">INDEX('4층_부하량'!$F$3:$F$3000,MATCH(1,("4-DaHall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10883</v>
      </c>
    </row>
    <row r="96" spans="1:20" s="350" customFormat="1" ht="17.399999999999999" x14ac:dyDescent="0.25">
      <c r="A96" s="390" t="s">
        <v>10884</v>
      </c>
      <c r="B96" s="382" t="s">
        <v>5562</v>
      </c>
      <c r="C96" s="383" t="s">
        <v>4149</v>
      </c>
      <c r="D96" s="381"/>
      <c r="E96" s="2538" cm="1">
        <f t="array" ref="E96">INDEX('4층_부하량'!$G$3:$G$3000,MATCH(1,("4-DaHall 1-PDU-11"='4층_부하량'!$A$3:$A$3000)*(33='4층_부하량'!$B$3:$B$3000),0))</f>
        <v>0</v>
      </c>
      <c r="F96" s="381"/>
      <c r="G96" s="411"/>
      <c r="H96" s="1287" t="s">
        <v>4171</v>
      </c>
      <c r="I96" s="3282" t="s">
        <v>4270</v>
      </c>
      <c r="J96" s="1288"/>
      <c r="K96" s="1289"/>
      <c r="L96" s="3283" t="s">
        <v>4271</v>
      </c>
      <c r="M96" s="409" t="s">
        <v>4171</v>
      </c>
      <c r="N96" s="381"/>
      <c r="O96" s="2538" cm="1">
        <f t="array" ref="O96">INDEX('4층_부하량'!$G$3:$G$3000,MATCH(1,("4-DaHall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10885</v>
      </c>
    </row>
    <row r="97" spans="1:20" s="350" customFormat="1" ht="17.399999999999999" x14ac:dyDescent="0.25">
      <c r="A97" s="390" t="s">
        <v>10886</v>
      </c>
      <c r="B97" s="382" t="s">
        <v>5562</v>
      </c>
      <c r="C97" s="383" t="s">
        <v>4149</v>
      </c>
      <c r="D97" s="381"/>
      <c r="E97" s="381"/>
      <c r="F97" s="2538" cm="1">
        <f t="array" ref="F97">INDEX('4층_부하량'!$H$3:$H$3000,MATCH(1,("4-DaHall 1-PDU-11"='4층_부하량'!$A$3:$A$3000)*(35='4층_부하량'!$B$3:$B$3000),0))</f>
        <v>0</v>
      </c>
      <c r="G97" s="411"/>
      <c r="H97" s="1287" t="s">
        <v>4171</v>
      </c>
      <c r="I97" s="3282" t="s">
        <v>4274</v>
      </c>
      <c r="J97" s="1288"/>
      <c r="K97" s="1289"/>
      <c r="L97" s="3283" t="s">
        <v>4276</v>
      </c>
      <c r="M97" s="409" t="s">
        <v>4171</v>
      </c>
      <c r="N97" s="381"/>
      <c r="O97" s="381"/>
      <c r="P97" s="2538" cm="1">
        <f t="array" ref="P97">INDEX('4층_부하량'!$H$3:$H$3000,MATCH(1,("4-DaHall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10887</v>
      </c>
    </row>
    <row r="98" spans="1:20" s="350" customFormat="1" ht="17.399999999999999" x14ac:dyDescent="0.25">
      <c r="A98" s="390" t="s">
        <v>10888</v>
      </c>
      <c r="B98" s="382" t="s">
        <v>5562</v>
      </c>
      <c r="C98" s="383" t="s">
        <v>4149</v>
      </c>
      <c r="D98" s="2538" cm="1">
        <f t="array" ref="D98">INDEX('4층_부하량'!$F$3:$F$3000,MATCH(1,("4-DaHall 1-PDU-11"='4층_부하량'!$A$3:$A$3000)*(37='4층_부하량'!$B$3:$B$3000),0))</f>
        <v>0</v>
      </c>
      <c r="E98" s="381"/>
      <c r="F98" s="381"/>
      <c r="G98" s="411"/>
      <c r="H98" s="1287" t="s">
        <v>4171</v>
      </c>
      <c r="I98" s="3282" t="s">
        <v>4279</v>
      </c>
      <c r="J98" s="1288"/>
      <c r="K98" s="1289"/>
      <c r="L98" s="3283" t="s">
        <v>4280</v>
      </c>
      <c r="M98" s="409" t="s">
        <v>4171</v>
      </c>
      <c r="N98" s="2538" cm="1">
        <f t="array" ref="N98">INDEX('4층_부하량'!$F$3:$F$3000,MATCH(1,("4-DaHall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10889</v>
      </c>
    </row>
    <row r="99" spans="1:20" s="350" customFormat="1" ht="17.399999999999999" x14ac:dyDescent="0.25">
      <c r="A99" s="390" t="s">
        <v>10890</v>
      </c>
      <c r="B99" s="382" t="s">
        <v>5562</v>
      </c>
      <c r="C99" s="383" t="s">
        <v>4149</v>
      </c>
      <c r="D99" s="381"/>
      <c r="E99" s="2538" cm="1">
        <f t="array" ref="E99">INDEX('4층_부하량'!$G$3:$G$3000,MATCH(1,("4-DaHall 1-PDU-11"='4층_부하량'!$A$3:$A$3000)*(39='4층_부하량'!$B$3:$B$3000),0))</f>
        <v>0</v>
      </c>
      <c r="F99" s="381"/>
      <c r="G99" s="411"/>
      <c r="H99" s="1287" t="s">
        <v>4171</v>
      </c>
      <c r="I99" s="3282" t="s">
        <v>4283</v>
      </c>
      <c r="J99" s="1288"/>
      <c r="K99" s="1289"/>
      <c r="L99" s="3283" t="s">
        <v>4284</v>
      </c>
      <c r="M99" s="409" t="s">
        <v>4171</v>
      </c>
      <c r="N99" s="381"/>
      <c r="O99" s="2538" cm="1">
        <f t="array" ref="O99">INDEX('4층_부하량'!$G$3:$G$3000,MATCH(1,("4-DaHall 1-PDU-11"='4층_부하량'!$A$3:$A$3000)*(40='4층_부하량'!$B$3:$B$3000),0))</f>
        <v>0</v>
      </c>
      <c r="P99" s="381"/>
      <c r="Q99" s="411"/>
      <c r="R99" s="382" t="s">
        <v>5562</v>
      </c>
      <c r="S99" s="1287" t="s">
        <v>4296</v>
      </c>
      <c r="T99" s="407" t="s">
        <v>10891</v>
      </c>
    </row>
    <row r="100" spans="1:20" s="350" customFormat="1" ht="17.399999999999999" x14ac:dyDescent="0.25">
      <c r="A100" s="390" t="s">
        <v>10892</v>
      </c>
      <c r="B100" s="382" t="s">
        <v>5562</v>
      </c>
      <c r="C100" s="1287" t="s">
        <v>4296</v>
      </c>
      <c r="D100" s="381"/>
      <c r="E100" s="381"/>
      <c r="F100" s="2538" cm="1">
        <f t="array" ref="F100">INDEX('4층_부하량'!$H$3:$H$3000,MATCH(1,("4-DaHall 1-PDU-11"='4층_부하량'!$A$3:$A$3000)*(41='4층_부하량'!$B$3:$B$3000),0))</f>
        <v>0</v>
      </c>
      <c r="G100" s="411"/>
      <c r="H100" s="1287" t="s">
        <v>4171</v>
      </c>
      <c r="I100" s="3282" t="s">
        <v>4628</v>
      </c>
      <c r="J100" s="1288"/>
      <c r="K100" s="1289"/>
      <c r="L100" s="3283" t="s">
        <v>4416</v>
      </c>
      <c r="M100" s="409" t="s">
        <v>4171</v>
      </c>
      <c r="N100" s="381"/>
      <c r="O100" s="381"/>
      <c r="P100" s="2538" cm="1">
        <f t="array" ref="P100">INDEX('4층_부하량'!$H$3:$H$3000,MATCH(1,("4-DaHall 1-PDU-11"='4층_부하량'!$A$3:$A$3000)*(42='4층_부하량'!$B$3:$B$3000),0))</f>
        <v>0</v>
      </c>
      <c r="Q100" s="411"/>
      <c r="R100" s="382" t="s">
        <v>5562</v>
      </c>
      <c r="S100" s="1287" t="s">
        <v>4296</v>
      </c>
      <c r="T100" s="407" t="s">
        <v>10893</v>
      </c>
    </row>
    <row r="101" spans="1:20" s="350" customFormat="1" ht="17.399999999999999" x14ac:dyDescent="0.25">
      <c r="A101" s="390" t="s">
        <v>10894</v>
      </c>
      <c r="B101" s="382" t="s">
        <v>5562</v>
      </c>
      <c r="C101" s="1287" t="s">
        <v>4296</v>
      </c>
      <c r="D101" s="2538" cm="1">
        <f t="array" ref="D101">INDEX('4층_부하량'!$F$3:$F$3000,MATCH(1,("4-DaHall 1-PDU-11"='4층_부하량'!$A$3:$A$3000)*(43='4층_부하량'!$B$3:$B$3000),0))</f>
        <v>0</v>
      </c>
      <c r="E101" s="381"/>
      <c r="F101" s="381"/>
      <c r="G101" s="411"/>
      <c r="H101" s="1287" t="s">
        <v>4171</v>
      </c>
      <c r="I101" s="3282" t="s">
        <v>4418</v>
      </c>
      <c r="J101" s="1288"/>
      <c r="K101" s="1289"/>
      <c r="L101" s="3283" t="s">
        <v>4419</v>
      </c>
      <c r="M101" s="409" t="s">
        <v>4171</v>
      </c>
      <c r="N101" s="2538" cm="1">
        <f t="array" ref="N101">INDEX('4층_부하량'!$F$3:$F$3000,MATCH(1,("4-DaHall 1-PDU-11"='4층_부하량'!$A$3:$A$3000)*(44='4층_부하량'!$B$3:$B$3000),0))</f>
        <v>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7.399999999999999" x14ac:dyDescent="0.25">
      <c r="A102" s="390"/>
      <c r="B102" s="1286" t="s">
        <v>535</v>
      </c>
      <c r="C102" s="1287" t="s">
        <v>4296</v>
      </c>
      <c r="D102" s="381"/>
      <c r="E102" s="2538" cm="1">
        <f t="array" ref="E102">INDEX('4층_부하량'!$G$3:$G$3000,MATCH(1,("4-DaHall 1-PDU-11"='4층_부하량'!$A$3:$A$3000)*(45='4층_부하량'!$B$3:$B$3000),0))</f>
        <v>0</v>
      </c>
      <c r="F102" s="381"/>
      <c r="G102" s="411"/>
      <c r="H102" s="1287" t="s">
        <v>4171</v>
      </c>
      <c r="I102" s="3282" t="s">
        <v>4420</v>
      </c>
      <c r="J102" s="1288"/>
      <c r="K102" s="1289"/>
      <c r="L102" s="3283" t="s">
        <v>4421</v>
      </c>
      <c r="M102" s="409" t="s">
        <v>4171</v>
      </c>
      <c r="N102" s="381"/>
      <c r="O102" s="2538" cm="1">
        <f t="array" ref="O102">INDEX('4층_부하량'!$G$3:$G$3000,MATCH(1,("4-DaHall 1-PDU-11"='4층_부하량'!$A$3:$A$3000)*(46='4층_부하량'!$B$3:$B$3000),0))</f>
        <v>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7.399999999999999" x14ac:dyDescent="0.25">
      <c r="A103" s="390"/>
      <c r="B103" s="1286" t="s">
        <v>535</v>
      </c>
      <c r="C103" s="1287" t="s">
        <v>4296</v>
      </c>
      <c r="D103" s="381"/>
      <c r="E103" s="381"/>
      <c r="F103" s="2538" cm="1">
        <f t="array" ref="F103">INDEX('4층_부하량'!$H$3:$H$3000,MATCH(1,("4-DaHall 1-PDU-11"='4층_부하량'!$A$3:$A$3000)*(47='4층_부하량'!$B$3:$B$3000),0))</f>
        <v>0</v>
      </c>
      <c r="G103" s="411"/>
      <c r="H103" s="1287" t="s">
        <v>4171</v>
      </c>
      <c r="I103" s="3282" t="s">
        <v>4422</v>
      </c>
      <c r="J103" s="1288"/>
      <c r="K103" s="1289"/>
      <c r="L103" s="3283" t="s">
        <v>4423</v>
      </c>
      <c r="M103" s="409" t="s">
        <v>4171</v>
      </c>
      <c r="N103" s="381"/>
      <c r="O103" s="381"/>
      <c r="P103" s="2538" cm="1">
        <f t="array" ref="P103">INDEX('4층_부하량'!$H$3:$H$3000,MATCH(1,("4-DaHall 1-PDU-11"='4층_부하량'!$A$3:$A$3000)*(48='4층_부하량'!$B$3:$B$3000),0))</f>
        <v>0</v>
      </c>
      <c r="Q103" s="411"/>
      <c r="R103" s="1286" t="s">
        <v>535</v>
      </c>
      <c r="S103" s="1287" t="s">
        <v>4296</v>
      </c>
      <c r="T103" s="407"/>
    </row>
    <row r="104" spans="1:20" s="350" customFormat="1" ht="18" thickBot="1" x14ac:dyDescent="0.3">
      <c r="A104" s="425"/>
      <c r="B104" s="430" t="s">
        <v>4164</v>
      </c>
      <c r="C104" s="426" t="s">
        <v>4215</v>
      </c>
      <c r="D104" s="2539" cm="1">
        <f t="array" ref="D104">INDEX('4층_부하량'!$F$3:$F$3000,MATCH(1,("4-DaHall 1-PDU-11"='4층_부하량'!$A$3:$A$3000)*(49='4층_부하량'!$B$3:$B$3000),0))</f>
        <v>0</v>
      </c>
      <c r="E104" s="427"/>
      <c r="F104" s="427"/>
      <c r="G104" s="427"/>
      <c r="H104" s="426" t="s">
        <v>4171</v>
      </c>
      <c r="I104" s="3284" t="s">
        <v>4424</v>
      </c>
      <c r="J104" s="1200"/>
      <c r="K104" s="1201"/>
      <c r="L104" s="1202" t="s">
        <v>4425</v>
      </c>
      <c r="M104" s="426" t="s">
        <v>4171</v>
      </c>
      <c r="N104" s="2539" cm="1">
        <f t="array" ref="N104">INDEX('4층_부하량'!$F$3:$F$3000,MATCH(1,("4-DaHall 1-PDU-11"='4층_부하량'!$A$3:$A$3000)*(50='4층_부하량'!$B$3:$B$3000),0))</f>
        <v>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 x14ac:dyDescent="0.3">
      <c r="L105" s="3285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 x14ac:dyDescent="0.3">
      <c r="A106" s="349" t="s">
        <v>10895</v>
      </c>
      <c r="C106" s="3981"/>
      <c r="D106" s="3981"/>
      <c r="E106" s="3981"/>
      <c r="F106" s="3981"/>
      <c r="G106" s="351"/>
      <c r="H106" s="352"/>
      <c r="I106" s="352"/>
      <c r="J106" s="3979" t="s">
        <v>4288</v>
      </c>
      <c r="K106" s="3980"/>
      <c r="L106" s="3277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 x14ac:dyDescent="0.3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.600000000000001" thickTop="1" thickBot="1" x14ac:dyDescent="0.3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 x14ac:dyDescent="0.25">
      <c r="A109" s="468" t="s">
        <v>10856</v>
      </c>
      <c r="B109" s="372" t="s">
        <v>5562</v>
      </c>
      <c r="C109" s="373" t="s">
        <v>4149</v>
      </c>
      <c r="D109" s="2537" cm="1">
        <f t="array" ref="D109">INDEX('4층_부하량'!$F$3:$F$3000,MATCH(1,("4-DaHall 1-PDU-12"='4층_부하량'!$A$3:$A$3000)*(1='4층_부하량'!$B$3:$B$3000),0))</f>
        <v>0</v>
      </c>
      <c r="E109" s="2537" cm="1">
        <f t="array" ref="E109">INDEX('4층_부하량'!$G$3:$G$3000,MATCH(1,("4-DaHall 1-PDU-12"='4층_부하량'!$A$3:$A$3000)*(1='4층_부하량'!$B$3:$B$3000),0))</f>
        <v>0</v>
      </c>
      <c r="F109" s="2537" cm="1">
        <f t="array" ref="F109">INDEX('4층_부하량'!$H$3:$H$3000,MATCH(1,("4-DaHall 1-PDU-12"='4층_부하량'!$A$3:$A$3000)*(1='4층_부하량'!$B$3:$B$3000),0))</f>
        <v>0</v>
      </c>
      <c r="G109" s="368"/>
      <c r="H109" s="3278" t="s">
        <v>10857</v>
      </c>
      <c r="I109" s="3279" t="s">
        <v>4151</v>
      </c>
      <c r="J109" s="1018"/>
      <c r="K109" s="1019"/>
      <c r="L109" s="581" t="s">
        <v>4436</v>
      </c>
      <c r="M109" s="366" t="s">
        <v>4574</v>
      </c>
      <c r="N109" s="2537" cm="1">
        <f t="array" ref="N109">INDEX('4층_부하량'!$F$3:$F$3000,MATCH(1,("4-DaHall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7.399999999999999" x14ac:dyDescent="0.25">
      <c r="A110" s="385"/>
      <c r="B110" s="1286" t="s">
        <v>535</v>
      </c>
      <c r="C110" s="1287" t="s">
        <v>4296</v>
      </c>
      <c r="D110" s="381"/>
      <c r="E110" s="2531" cm="1">
        <f t="array" ref="E110">INDEX('4층_부하량'!$G$3:$G$3000,MATCH(1,("4-DaHall 1-PDU-12"='4층_부하량'!$A$3:$A$3000)*(3='4층_부하량'!$B$3:$B$3000),0))</f>
        <v>0</v>
      </c>
      <c r="F110" s="381"/>
      <c r="G110" s="377"/>
      <c r="H110" s="376" t="s">
        <v>4574</v>
      </c>
      <c r="I110" s="3280" t="s">
        <v>4156</v>
      </c>
      <c r="J110" s="1020"/>
      <c r="K110" s="1021"/>
      <c r="L110" s="582" t="s">
        <v>4438</v>
      </c>
      <c r="M110" s="376" t="s">
        <v>4574</v>
      </c>
      <c r="N110" s="381"/>
      <c r="O110" s="2531" cm="1">
        <f t="array" ref="O110">INDEX('4층_부하량'!$G$3:$G$3000,MATCH(1,("4-DaHall 1-PDU-12"='4층_부하량'!$A$3:$A$3000)*(4='4층_부하량'!$B$3:$B$3000),0))</f>
        <v>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7.399999999999999" x14ac:dyDescent="0.25">
      <c r="A111" s="385"/>
      <c r="B111" s="1286" t="s">
        <v>535</v>
      </c>
      <c r="C111" s="1287" t="s">
        <v>4296</v>
      </c>
      <c r="D111" s="381"/>
      <c r="E111" s="381"/>
      <c r="F111" s="2538" cm="1">
        <f t="array" ref="F111">INDEX('4층_부하량'!$H$3:$H$3000,MATCH(1,("4-DaHall 1-PDU-12"='4층_부하량'!$A$3:$A$3000)*(5='4층_부하량'!$B$3:$B$3000),0))</f>
        <v>0</v>
      </c>
      <c r="G111" s="381"/>
      <c r="H111" s="376" t="s">
        <v>4574</v>
      </c>
      <c r="I111" s="3280" t="s">
        <v>4161</v>
      </c>
      <c r="J111" s="1022"/>
      <c r="K111" s="1023"/>
      <c r="L111" s="583" t="s">
        <v>4441</v>
      </c>
      <c r="M111" s="3281" t="s">
        <v>4150</v>
      </c>
      <c r="N111" s="381"/>
      <c r="O111" s="381"/>
      <c r="P111" s="2538" cm="1">
        <f t="array" ref="P111">INDEX('4층_부하량'!$H$3:$H$3000,MATCH(1,("4-DaHall 1-PDU-12"='4층_부하량'!$A$3:$A$3000)*(6='4층_부하량'!$B$3:$B$3000),0))</f>
        <v>0</v>
      </c>
      <c r="Q111" s="381"/>
      <c r="R111" s="382" t="s">
        <v>535</v>
      </c>
      <c r="S111" s="1287" t="s">
        <v>4296</v>
      </c>
      <c r="T111" s="389"/>
    </row>
    <row r="112" spans="1:20" s="350" customFormat="1" ht="17.399999999999999" x14ac:dyDescent="0.25">
      <c r="A112" s="385" t="s">
        <v>10896</v>
      </c>
      <c r="B112" s="382" t="s">
        <v>5562</v>
      </c>
      <c r="C112" s="383" t="s">
        <v>4149</v>
      </c>
      <c r="D112" s="2538" cm="1">
        <f t="array" ref="D112">INDEX('4층_부하량'!$F$3:$F$3000,MATCH(1,("4-DaHall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8" cm="1">
        <f t="array" ref="N112">INDEX('4층_부하량'!$F$3:$F$3000,MATCH(1,("4-DaHall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10897</v>
      </c>
    </row>
    <row r="113" spans="1:20" s="350" customFormat="1" ht="17.399999999999999" x14ac:dyDescent="0.25">
      <c r="A113" s="385" t="s">
        <v>10898</v>
      </c>
      <c r="B113" s="382" t="s">
        <v>5562</v>
      </c>
      <c r="C113" s="383" t="s">
        <v>4149</v>
      </c>
      <c r="D113" s="381"/>
      <c r="E113" s="2531" cm="1">
        <f t="array" ref="E113">INDEX('4층_부하량'!$G$3:$G$3000,MATCH(1,("4-DaHall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1" cm="1">
        <f t="array" ref="O113">INDEX('4층_부하량'!$G$3:$G$3000,MATCH(1,("4-DaHall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10899</v>
      </c>
    </row>
    <row r="114" spans="1:20" s="350" customFormat="1" ht="17.399999999999999" x14ac:dyDescent="0.25">
      <c r="A114" s="385" t="s">
        <v>10900</v>
      </c>
      <c r="B114" s="382" t="s">
        <v>5562</v>
      </c>
      <c r="C114" s="383" t="s">
        <v>4149</v>
      </c>
      <c r="D114" s="381"/>
      <c r="E114" s="381"/>
      <c r="F114" s="2538" cm="1">
        <f t="array" ref="F114">INDEX('4층_부하량'!$H$3:$H$3000,MATCH(1,("4-DaHall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8" cm="1">
        <f t="array" ref="P114">INDEX('4층_부하량'!$H$3:$H$3000,MATCH(1,("4-DaHall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10901</v>
      </c>
    </row>
    <row r="115" spans="1:20" s="350" customFormat="1" ht="17.399999999999999" x14ac:dyDescent="0.25">
      <c r="A115" s="385" t="s">
        <v>10902</v>
      </c>
      <c r="B115" s="382" t="s">
        <v>5562</v>
      </c>
      <c r="C115" s="383" t="s">
        <v>4149</v>
      </c>
      <c r="D115" s="2538" cm="1">
        <f t="array" ref="D115">INDEX('4층_부하량'!$F$3:$F$3000,MATCH(1,("4-DaHall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8" cm="1">
        <f t="array" ref="N115">INDEX('4층_부하량'!$F$3:$F$3000,MATCH(1,("4-DaHall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10903</v>
      </c>
    </row>
    <row r="116" spans="1:20" s="350" customFormat="1" ht="17.399999999999999" x14ac:dyDescent="0.25">
      <c r="A116" s="442" t="s">
        <v>10904</v>
      </c>
      <c r="B116" s="382" t="s">
        <v>5562</v>
      </c>
      <c r="C116" s="383" t="s">
        <v>4149</v>
      </c>
      <c r="D116" s="381"/>
      <c r="E116" s="2538" cm="1">
        <f t="array" ref="E116">INDEX('4층_부하량'!$G$3:$G$3000,MATCH(1,("4-DaHall 1-PDU-12"='4층_부하량'!$A$3:$A$3000)*(15='4층_부하량'!$B$3:$B$3000),0))</f>
        <v>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8" cm="1">
        <f t="array" ref="O116">INDEX('4층_부하량'!$G$3:$G$3000,MATCH(1,("4-DaHall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10905</v>
      </c>
    </row>
    <row r="117" spans="1:20" s="350" customFormat="1" ht="17.399999999999999" x14ac:dyDescent="0.25">
      <c r="A117" s="442" t="s">
        <v>10906</v>
      </c>
      <c r="B117" s="382" t="s">
        <v>5562</v>
      </c>
      <c r="C117" s="383" t="s">
        <v>4149</v>
      </c>
      <c r="D117" s="381"/>
      <c r="E117" s="381"/>
      <c r="F117" s="2538" cm="1">
        <f t="array" ref="F117">INDEX('4층_부하량'!$H$3:$H$3000,MATCH(1,("4-DaHall 1-PDU-12"='4층_부하량'!$A$3:$A$3000)*(17='4층_부하량'!$B$3:$B$3000),0))</f>
        <v>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8" cm="1">
        <f t="array" ref="P117">INDEX('4층_부하량'!$H$3:$H$3000,MATCH(1,("4-DaHall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10907</v>
      </c>
    </row>
    <row r="118" spans="1:20" s="350" customFormat="1" ht="17.399999999999999" x14ac:dyDescent="0.25">
      <c r="A118" s="442" t="s">
        <v>10908</v>
      </c>
      <c r="B118" s="382" t="s">
        <v>5562</v>
      </c>
      <c r="C118" s="383" t="s">
        <v>4149</v>
      </c>
      <c r="D118" s="2538" cm="1">
        <f t="array" ref="D118">INDEX('4층_부하량'!$F$3:$F$3000,MATCH(1,("4-DaHall 1-PDU-12"='4층_부하량'!$A$3:$A$3000)*(19='4층_부하량'!$B$3:$B$3000),0))</f>
        <v>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8" cm="1">
        <f t="array" ref="N118">INDEX('4층_부하량'!$F$3:$F$3000,MATCH(1,("4-DaHall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10909</v>
      </c>
    </row>
    <row r="119" spans="1:20" s="350" customFormat="1" ht="17.399999999999999" x14ac:dyDescent="0.25">
      <c r="A119" s="442" t="s">
        <v>10910</v>
      </c>
      <c r="B119" s="382" t="s">
        <v>5562</v>
      </c>
      <c r="C119" s="383" t="s">
        <v>4149</v>
      </c>
      <c r="D119" s="381"/>
      <c r="E119" s="2538" cm="1">
        <f t="array" ref="E119">INDEX('4층_부하량'!$G$3:$G$3000,MATCH(1,("4-DaHall 1-PDU-12"='4층_부하량'!$A$3:$A$3000)*(21='4층_부하량'!$B$3:$B$3000),0))</f>
        <v>0</v>
      </c>
      <c r="F119" s="381"/>
      <c r="G119" s="381"/>
      <c r="H119" s="1203" t="s">
        <v>4171</v>
      </c>
      <c r="I119" s="3280" t="s">
        <v>4247</v>
      </c>
      <c r="J119" s="1022"/>
      <c r="K119" s="1023"/>
      <c r="L119" s="583" t="s">
        <v>5668</v>
      </c>
      <c r="M119" s="376" t="s">
        <v>4171</v>
      </c>
      <c r="N119" s="381"/>
      <c r="O119" s="2538" cm="1">
        <f t="array" ref="O119">INDEX('4층_부하량'!$G$3:$G$3000,MATCH(1,("4-DaHall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10911</v>
      </c>
    </row>
    <row r="120" spans="1:20" s="350" customFormat="1" ht="17.399999999999999" x14ac:dyDescent="0.25">
      <c r="A120" s="390" t="s">
        <v>10912</v>
      </c>
      <c r="B120" s="382" t="s">
        <v>5562</v>
      </c>
      <c r="C120" s="383" t="s">
        <v>4149</v>
      </c>
      <c r="D120" s="381"/>
      <c r="E120" s="381"/>
      <c r="F120" s="2538" cm="1">
        <f t="array" ref="F120">INDEX('4층_부하량'!$H$3:$H$3000,MATCH(1,("4-DaHall 1-PDU-12"='4층_부하량'!$A$3:$A$3000)*(23='4층_부하량'!$B$3:$B$3000),0))</f>
        <v>0</v>
      </c>
      <c r="G120" s="411"/>
      <c r="H120" s="1287" t="s">
        <v>4171</v>
      </c>
      <c r="I120" s="3282" t="s">
        <v>4251</v>
      </c>
      <c r="J120" s="1288"/>
      <c r="K120" s="1289"/>
      <c r="L120" s="3283" t="s">
        <v>4253</v>
      </c>
      <c r="M120" s="409" t="s">
        <v>4171</v>
      </c>
      <c r="N120" s="381"/>
      <c r="O120" s="381"/>
      <c r="P120" s="2538" cm="1">
        <f t="array" ref="P120">INDEX('4층_부하량'!$H$3:$H$3000,MATCH(1,("4-DaHall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10913</v>
      </c>
    </row>
    <row r="121" spans="1:20" s="350" customFormat="1" ht="17.399999999999999" x14ac:dyDescent="0.25">
      <c r="A121" s="390" t="s">
        <v>10914</v>
      </c>
      <c r="B121" s="382" t="s">
        <v>5562</v>
      </c>
      <c r="C121" s="383" t="s">
        <v>4149</v>
      </c>
      <c r="D121" s="2538" cm="1">
        <f t="array" ref="D121">INDEX('4층_부하량'!$F$3:$F$3000,MATCH(1,("4-DaHall 1-PDU-12"='4층_부하량'!$A$3:$A$3000)*(25='4층_부하량'!$B$3:$B$3000),0))</f>
        <v>0</v>
      </c>
      <c r="E121" s="381"/>
      <c r="F121" s="381"/>
      <c r="G121" s="411"/>
      <c r="H121" s="1287" t="s">
        <v>4171</v>
      </c>
      <c r="I121" s="3282" t="s">
        <v>4256</v>
      </c>
      <c r="J121" s="1288"/>
      <c r="K121" s="1289"/>
      <c r="L121" s="3283" t="s">
        <v>4258</v>
      </c>
      <c r="M121" s="409" t="s">
        <v>4171</v>
      </c>
      <c r="N121" s="2538" cm="1">
        <f t="array" ref="N121">INDEX('4층_부하량'!$F$3:$F$3000,MATCH(1,("4-DaHall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10915</v>
      </c>
    </row>
    <row r="122" spans="1:20" s="350" customFormat="1" ht="17.399999999999999" x14ac:dyDescent="0.25">
      <c r="A122" s="390" t="s">
        <v>10916</v>
      </c>
      <c r="B122" s="382" t="s">
        <v>5562</v>
      </c>
      <c r="C122" s="383" t="s">
        <v>4149</v>
      </c>
      <c r="D122" s="381"/>
      <c r="E122" s="2538" cm="1">
        <f t="array" ref="E122">INDEX('4층_부하량'!$G$3:$G$3000,MATCH(1,("4-DaHall 1-PDU-12"='4층_부하량'!$A$3:$A$3000)*(27='4층_부하량'!$B$3:$B$3000),0))</f>
        <v>0</v>
      </c>
      <c r="F122" s="381"/>
      <c r="G122" s="411"/>
      <c r="H122" s="1287" t="s">
        <v>4171</v>
      </c>
      <c r="I122" s="3282" t="s">
        <v>4261</v>
      </c>
      <c r="J122" s="1288"/>
      <c r="K122" s="1289"/>
      <c r="L122" s="3283" t="s">
        <v>4262</v>
      </c>
      <c r="M122" s="409" t="s">
        <v>4171</v>
      </c>
      <c r="N122" s="381"/>
      <c r="O122" s="2538" cm="1">
        <f t="array" ref="O122">INDEX('4층_부하량'!$G$3:$G$3000,MATCH(1,("4-DaHall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10917</v>
      </c>
    </row>
    <row r="123" spans="1:20" s="350" customFormat="1" ht="17.399999999999999" x14ac:dyDescent="0.25">
      <c r="A123" s="390" t="s">
        <v>10918</v>
      </c>
      <c r="B123" s="382" t="s">
        <v>5562</v>
      </c>
      <c r="C123" s="383" t="s">
        <v>4149</v>
      </c>
      <c r="D123" s="381"/>
      <c r="E123" s="381"/>
      <c r="F123" s="2538" cm="1">
        <f t="array" ref="F123">INDEX('4층_부하량'!$H$3:$H$3000,MATCH(1,("4-DaHall 1-PDU-12"='4층_부하량'!$A$3:$A$3000)*(29='4층_부하량'!$B$3:$B$3000),0))</f>
        <v>0</v>
      </c>
      <c r="G123" s="411"/>
      <c r="H123" s="1287" t="s">
        <v>4171</v>
      </c>
      <c r="I123" s="3282" t="s">
        <v>4264</v>
      </c>
      <c r="J123" s="1288"/>
      <c r="K123" s="1289"/>
      <c r="L123" s="3283" t="s">
        <v>4265</v>
      </c>
      <c r="M123" s="409" t="s">
        <v>4171</v>
      </c>
      <c r="N123" s="381"/>
      <c r="O123" s="381"/>
      <c r="P123" s="2538" cm="1">
        <f t="array" ref="P123">INDEX('4층_부하량'!$H$3:$H$3000,MATCH(1,("4-DaHall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10919</v>
      </c>
    </row>
    <row r="124" spans="1:20" s="350" customFormat="1" ht="17.399999999999999" x14ac:dyDescent="0.25">
      <c r="A124" s="390" t="s">
        <v>10920</v>
      </c>
      <c r="B124" s="382" t="s">
        <v>5562</v>
      </c>
      <c r="C124" s="383" t="s">
        <v>4149</v>
      </c>
      <c r="D124" s="2538" cm="1">
        <f t="array" ref="D124">INDEX('4층_부하량'!$F$3:$F$3000,MATCH(1,("4-DaHall 1-PDU-12"='4층_부하량'!$A$3:$A$3000)*(31='4층_부하량'!$B$3:$B$3000),0))</f>
        <v>0</v>
      </c>
      <c r="E124" s="381"/>
      <c r="F124" s="381"/>
      <c r="G124" s="411"/>
      <c r="H124" s="1287" t="s">
        <v>4171</v>
      </c>
      <c r="I124" s="3282" t="s">
        <v>4266</v>
      </c>
      <c r="J124" s="1288"/>
      <c r="K124" s="1289"/>
      <c r="L124" s="3283" t="s">
        <v>4267</v>
      </c>
      <c r="M124" s="409" t="s">
        <v>4171</v>
      </c>
      <c r="N124" s="2538" cm="1">
        <f t="array" ref="N124">INDEX('4층_부하량'!$F$3:$F$3000,MATCH(1,("4-DaHall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10921</v>
      </c>
    </row>
    <row r="125" spans="1:20" s="350" customFormat="1" ht="17.399999999999999" x14ac:dyDescent="0.25">
      <c r="A125" s="390" t="s">
        <v>10922</v>
      </c>
      <c r="B125" s="382" t="s">
        <v>5562</v>
      </c>
      <c r="C125" s="383" t="s">
        <v>4149</v>
      </c>
      <c r="D125" s="381"/>
      <c r="E125" s="2538" cm="1">
        <f t="array" ref="E125">INDEX('4층_부하량'!$G$3:$G$3000,MATCH(1,("4-DaHall 1-PDU-12"='4층_부하량'!$A$3:$A$3000)*(33='4층_부하량'!$B$3:$B$3000),0))</f>
        <v>0</v>
      </c>
      <c r="F125" s="381"/>
      <c r="G125" s="411"/>
      <c r="H125" s="1287" t="s">
        <v>4171</v>
      </c>
      <c r="I125" s="3282" t="s">
        <v>4270</v>
      </c>
      <c r="J125" s="1288"/>
      <c r="K125" s="1289"/>
      <c r="L125" s="3283" t="s">
        <v>4271</v>
      </c>
      <c r="M125" s="409" t="s">
        <v>4171</v>
      </c>
      <c r="N125" s="381"/>
      <c r="O125" s="2538" cm="1">
        <f t="array" ref="O125">INDEX('4층_부하량'!$G$3:$G$3000,MATCH(1,("4-DaHall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10923</v>
      </c>
    </row>
    <row r="126" spans="1:20" s="350" customFormat="1" ht="17.399999999999999" x14ac:dyDescent="0.25">
      <c r="A126" s="390" t="s">
        <v>10924</v>
      </c>
      <c r="B126" s="382" t="s">
        <v>5562</v>
      </c>
      <c r="C126" s="383" t="s">
        <v>4149</v>
      </c>
      <c r="D126" s="381"/>
      <c r="E126" s="381"/>
      <c r="F126" s="2538" cm="1">
        <f t="array" ref="F126">INDEX('4층_부하량'!$H$3:$H$3000,MATCH(1,("4-DaHall 1-PDU-12"='4층_부하량'!$A$3:$A$3000)*(35='4층_부하량'!$B$3:$B$3000),0))</f>
        <v>0</v>
      </c>
      <c r="G126" s="411"/>
      <c r="H126" s="1287" t="s">
        <v>4171</v>
      </c>
      <c r="I126" s="3282" t="s">
        <v>4274</v>
      </c>
      <c r="J126" s="1288"/>
      <c r="K126" s="1289"/>
      <c r="L126" s="3283" t="s">
        <v>4276</v>
      </c>
      <c r="M126" s="409" t="s">
        <v>4171</v>
      </c>
      <c r="N126" s="381"/>
      <c r="O126" s="381"/>
      <c r="P126" s="2538" cm="1">
        <f t="array" ref="P126">INDEX('4층_부하량'!$H$3:$H$3000,MATCH(1,("4-DaHall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10925</v>
      </c>
    </row>
    <row r="127" spans="1:20" s="350" customFormat="1" ht="17.399999999999999" x14ac:dyDescent="0.25">
      <c r="A127" s="390" t="s">
        <v>10926</v>
      </c>
      <c r="B127" s="382" t="s">
        <v>5562</v>
      </c>
      <c r="C127" s="383" t="s">
        <v>4149</v>
      </c>
      <c r="D127" s="2538" cm="1">
        <f t="array" ref="D127">INDEX('4층_부하량'!$F$3:$F$3000,MATCH(1,("4-DaHall 1-PDU-12"='4층_부하량'!$A$3:$A$3000)*(37='4층_부하량'!$B$3:$B$3000),0))</f>
        <v>0</v>
      </c>
      <c r="E127" s="381"/>
      <c r="F127" s="381"/>
      <c r="G127" s="411"/>
      <c r="H127" s="1287" t="s">
        <v>4171</v>
      </c>
      <c r="I127" s="3282" t="s">
        <v>4279</v>
      </c>
      <c r="J127" s="1288"/>
      <c r="K127" s="1289"/>
      <c r="L127" s="3283" t="s">
        <v>4280</v>
      </c>
      <c r="M127" s="409" t="s">
        <v>4171</v>
      </c>
      <c r="N127" s="2538" cm="1">
        <f t="array" ref="N127">INDEX('4층_부하량'!$F$3:$F$3000,MATCH(1,("4-DaHall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10927</v>
      </c>
    </row>
    <row r="128" spans="1:20" s="350" customFormat="1" ht="17.399999999999999" x14ac:dyDescent="0.25">
      <c r="A128" s="390" t="s">
        <v>10928</v>
      </c>
      <c r="B128" s="382" t="s">
        <v>5562</v>
      </c>
      <c r="C128" s="383" t="s">
        <v>4149</v>
      </c>
      <c r="D128" s="381"/>
      <c r="E128" s="2538" cm="1">
        <f t="array" ref="E128">INDEX('4층_부하량'!$G$3:$G$3000,MATCH(1,("4-DaHall 1-PDU-12"='4층_부하량'!$A$3:$A$3000)*(39='4층_부하량'!$B$3:$B$3000),0))</f>
        <v>0</v>
      </c>
      <c r="F128" s="381"/>
      <c r="G128" s="411"/>
      <c r="H128" s="1287" t="s">
        <v>4171</v>
      </c>
      <c r="I128" s="3282" t="s">
        <v>4283</v>
      </c>
      <c r="J128" s="1288"/>
      <c r="K128" s="1289"/>
      <c r="L128" s="3283" t="s">
        <v>4284</v>
      </c>
      <c r="M128" s="409" t="s">
        <v>4171</v>
      </c>
      <c r="N128" s="381"/>
      <c r="O128" s="2538" cm="1">
        <f t="array" ref="O128">INDEX('4층_부하량'!$G$3:$G$3000,MATCH(1,("4-DaHall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7" t="s">
        <v>4296</v>
      </c>
      <c r="T128" s="407" t="s">
        <v>10929</v>
      </c>
    </row>
    <row r="129" spans="1:20" s="350" customFormat="1" ht="17.399999999999999" x14ac:dyDescent="0.25">
      <c r="A129" s="390" t="s">
        <v>10930</v>
      </c>
      <c r="B129" s="382" t="s">
        <v>5562</v>
      </c>
      <c r="C129" s="1287" t="s">
        <v>4296</v>
      </c>
      <c r="D129" s="381"/>
      <c r="E129" s="381"/>
      <c r="F129" s="2538" cm="1">
        <f t="array" ref="F129">INDEX('4층_부하량'!$H$3:$H$3000,MATCH(1,("4-DaHall 1-PDU-12"='4층_부하량'!$A$3:$A$3000)*(41='4층_부하량'!$B$3:$B$3000),0))</f>
        <v>0</v>
      </c>
      <c r="G129" s="411"/>
      <c r="H129" s="1287" t="s">
        <v>4171</v>
      </c>
      <c r="I129" s="3282" t="s">
        <v>4628</v>
      </c>
      <c r="J129" s="1288"/>
      <c r="K129" s="1289"/>
      <c r="L129" s="3283" t="s">
        <v>4416</v>
      </c>
      <c r="M129" s="409" t="s">
        <v>4171</v>
      </c>
      <c r="N129" s="381"/>
      <c r="O129" s="381"/>
      <c r="P129" s="2538" cm="1">
        <f t="array" ref="P129">INDEX('4층_부하량'!$H$3:$H$3000,MATCH(1,("4-DaHall 1-PDU-12"='4층_부하량'!$A$3:$A$3000)*(42='4층_부하량'!$B$3:$B$3000),0))</f>
        <v>0</v>
      </c>
      <c r="Q129" s="411"/>
      <c r="R129" s="382" t="s">
        <v>5562</v>
      </c>
      <c r="S129" s="1287" t="s">
        <v>4296</v>
      </c>
      <c r="T129" s="407" t="s">
        <v>10931</v>
      </c>
    </row>
    <row r="130" spans="1:20" s="350" customFormat="1" ht="17.399999999999999" x14ac:dyDescent="0.25">
      <c r="A130" s="390" t="s">
        <v>10932</v>
      </c>
      <c r="B130" s="382" t="s">
        <v>5562</v>
      </c>
      <c r="C130" s="1287" t="s">
        <v>4296</v>
      </c>
      <c r="D130" s="2538" cm="1">
        <f t="array" ref="D130">INDEX('4층_부하량'!$F$3:$F$3000,MATCH(1,("4-DaHall 1-PDU-12"='4층_부하량'!$A$3:$A$3000)*(43='4층_부하량'!$B$3:$B$3000),0))</f>
        <v>0</v>
      </c>
      <c r="E130" s="381"/>
      <c r="F130" s="381"/>
      <c r="G130" s="411"/>
      <c r="H130" s="1287" t="s">
        <v>4171</v>
      </c>
      <c r="I130" s="3282" t="s">
        <v>4418</v>
      </c>
      <c r="J130" s="1288"/>
      <c r="K130" s="1289"/>
      <c r="L130" s="3283" t="s">
        <v>4419</v>
      </c>
      <c r="M130" s="409" t="s">
        <v>4171</v>
      </c>
      <c r="N130" s="2538" cm="1">
        <f t="array" ref="N130">INDEX('4층_부하량'!$F$3:$F$3000,MATCH(1,("4-DaHall 1-PDU-12"='4층_부하량'!$A$3:$A$3000)*(44='4층_부하량'!$B$3:$B$3000),0))</f>
        <v>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7.399999999999999" x14ac:dyDescent="0.25">
      <c r="A131" s="390"/>
      <c r="B131" s="1286" t="s">
        <v>535</v>
      </c>
      <c r="C131" s="1287" t="s">
        <v>4296</v>
      </c>
      <c r="D131" s="381"/>
      <c r="E131" s="2538" cm="1">
        <f t="array" ref="E131">INDEX('4층_부하량'!$G$3:$G$3000,MATCH(1,("4-DaHall 1-PDU-12"='4층_부하량'!$A$3:$A$3000)*(45='4층_부하량'!$B$3:$B$3000),0))</f>
        <v>0</v>
      </c>
      <c r="F131" s="381"/>
      <c r="G131" s="411"/>
      <c r="H131" s="1287" t="s">
        <v>4171</v>
      </c>
      <c r="I131" s="3282" t="s">
        <v>4420</v>
      </c>
      <c r="J131" s="1288"/>
      <c r="K131" s="1289"/>
      <c r="L131" s="3283" t="s">
        <v>4421</v>
      </c>
      <c r="M131" s="409" t="s">
        <v>4171</v>
      </c>
      <c r="N131" s="381"/>
      <c r="O131" s="2538" cm="1">
        <f t="array" ref="O131">INDEX('4층_부하량'!$G$3:$G$3000,MATCH(1,("4-DaHall 1-PDU-12"='4층_부하량'!$A$3:$A$3000)*(46='4층_부하량'!$B$3:$B$3000),0))</f>
        <v>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7.399999999999999" x14ac:dyDescent="0.25">
      <c r="A132" s="390"/>
      <c r="B132" s="1286" t="s">
        <v>535</v>
      </c>
      <c r="C132" s="1287" t="s">
        <v>4296</v>
      </c>
      <c r="D132" s="381"/>
      <c r="E132" s="381"/>
      <c r="F132" s="2538" cm="1">
        <f t="array" ref="F132">INDEX('4층_부하량'!$H$3:$H$3000,MATCH(1,("4-DaHall 1-PDU-12"='4층_부하량'!$A$3:$A$3000)*(47='4층_부하량'!$B$3:$B$3000),0))</f>
        <v>0</v>
      </c>
      <c r="G132" s="411"/>
      <c r="H132" s="1287" t="s">
        <v>4171</v>
      </c>
      <c r="I132" s="3282" t="s">
        <v>4422</v>
      </c>
      <c r="J132" s="1288"/>
      <c r="K132" s="1289"/>
      <c r="L132" s="3283" t="s">
        <v>4423</v>
      </c>
      <c r="M132" s="409" t="s">
        <v>4171</v>
      </c>
      <c r="N132" s="381"/>
      <c r="O132" s="381"/>
      <c r="P132" s="2538" cm="1">
        <f t="array" ref="P132">INDEX('4층_부하량'!$H$3:$H$3000,MATCH(1,("4-DaHall 1-PDU-12"='4층_부하량'!$A$3:$A$3000)*(48='4층_부하량'!$B$3:$B$3000),0))</f>
        <v>0</v>
      </c>
      <c r="Q132" s="411"/>
      <c r="R132" s="1286" t="s">
        <v>535</v>
      </c>
      <c r="S132" s="1287" t="s">
        <v>4296</v>
      </c>
      <c r="T132" s="407"/>
    </row>
    <row r="133" spans="1:20" s="350" customFormat="1" ht="18" thickBot="1" x14ac:dyDescent="0.3">
      <c r="A133" s="425"/>
      <c r="B133" s="430" t="s">
        <v>4164</v>
      </c>
      <c r="C133" s="426" t="s">
        <v>4215</v>
      </c>
      <c r="D133" s="2539" cm="1">
        <f t="array" ref="D133">INDEX('4층_부하량'!$F$3:$F$3000,MATCH(1,("4-DaHall 1-PDU-12"='4층_부하량'!$A$3:$A$3000)*(49='4층_부하량'!$B$3:$B$3000),0))</f>
        <v>0</v>
      </c>
      <c r="E133" s="427"/>
      <c r="F133" s="427"/>
      <c r="G133" s="427"/>
      <c r="H133" s="426" t="s">
        <v>4171</v>
      </c>
      <c r="I133" s="3284" t="s">
        <v>4424</v>
      </c>
      <c r="J133" s="1200"/>
      <c r="K133" s="1201"/>
      <c r="L133" s="1202" t="s">
        <v>4425</v>
      </c>
      <c r="M133" s="426" t="s">
        <v>4171</v>
      </c>
      <c r="N133" s="2539" cm="1">
        <f t="array" ref="N133">INDEX('4층_부하량'!$F$3:$F$3000,MATCH(1,("4-DaHall 1-PDU-12"='4층_부하량'!$A$3:$A$3000)*(50='4층_부하량'!$B$3:$B$3000),0))</f>
        <v>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 x14ac:dyDescent="0.3">
      <c r="L134" s="3285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 x14ac:dyDescent="0.3">
      <c r="A135" s="349" t="s">
        <v>10933</v>
      </c>
      <c r="C135" s="3981"/>
      <c r="D135" s="3981"/>
      <c r="E135" s="3981"/>
      <c r="F135" s="3981"/>
      <c r="G135" s="351"/>
      <c r="H135" s="352"/>
      <c r="I135" s="352"/>
      <c r="J135" s="3979" t="s">
        <v>4288</v>
      </c>
      <c r="K135" s="3980"/>
      <c r="L135" s="3277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 x14ac:dyDescent="0.3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.600000000000001" thickTop="1" thickBot="1" x14ac:dyDescent="0.3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 x14ac:dyDescent="0.25">
      <c r="A138" s="468"/>
      <c r="B138" s="372" t="s">
        <v>535</v>
      </c>
      <c r="C138" s="3286" t="s">
        <v>4296</v>
      </c>
      <c r="D138" s="2537" cm="1">
        <f t="array" ref="D138">INDEX('4층_부하량'!$F$3:$F$3000,MATCH(1,("4-DaHall 1-PDU-13"='4층_부하량'!$A$3:$A$3000)*(1='4층_부하량'!$B$3:$B$3000),0))</f>
        <v>0</v>
      </c>
      <c r="E138" s="395"/>
      <c r="F138" s="395"/>
      <c r="G138" s="368"/>
      <c r="H138" s="3278" t="s">
        <v>4574</v>
      </c>
      <c r="I138" s="3279" t="s">
        <v>4151</v>
      </c>
      <c r="J138" s="1018"/>
      <c r="K138" s="1019"/>
      <c r="L138" s="581" t="s">
        <v>4436</v>
      </c>
      <c r="M138" s="366" t="s">
        <v>4574</v>
      </c>
      <c r="N138" s="2537" cm="1">
        <f t="array" ref="N138">INDEX('4층_부하량'!$F$3:$F$3000,MATCH(1,("4-DaHall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86" t="s">
        <v>4296</v>
      </c>
      <c r="T138" s="1204"/>
    </row>
    <row r="139" spans="1:20" s="350" customFormat="1" ht="17.399999999999999" x14ac:dyDescent="0.25">
      <c r="A139" s="385"/>
      <c r="B139" s="382" t="s">
        <v>535</v>
      </c>
      <c r="C139" s="1203" t="s">
        <v>4296</v>
      </c>
      <c r="D139" s="381"/>
      <c r="E139" s="2531" cm="1">
        <f t="array" ref="E139">INDEX('4층_부하량'!$G$3:$G$3000,MATCH(1,("4-DaHall 1-PDU-13"='4층_부하량'!$A$3:$A$3000)*(3='4층_부하량'!$B$3:$B$3000),0))</f>
        <v>0</v>
      </c>
      <c r="F139" s="381"/>
      <c r="G139" s="377"/>
      <c r="H139" s="376" t="s">
        <v>4574</v>
      </c>
      <c r="I139" s="3280" t="s">
        <v>4156</v>
      </c>
      <c r="J139" s="1020"/>
      <c r="K139" s="1021"/>
      <c r="L139" s="582" t="s">
        <v>4438</v>
      </c>
      <c r="M139" s="376" t="s">
        <v>4574</v>
      </c>
      <c r="N139" s="381"/>
      <c r="O139" s="2531" cm="1">
        <f t="array" ref="O139">INDEX('4층_부하량'!$G$3:$G$3000,MATCH(1,("4-DaHall 1-PDU-13"='4층_부하량'!$A$3:$A$3000)*(4='4층_부하량'!$B$3:$B$3000),0))</f>
        <v>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7.399999999999999" x14ac:dyDescent="0.25">
      <c r="A140" s="385" t="s">
        <v>10934</v>
      </c>
      <c r="B140" s="382" t="s">
        <v>5562</v>
      </c>
      <c r="C140" s="383" t="s">
        <v>4149</v>
      </c>
      <c r="D140" s="381"/>
      <c r="E140" s="381"/>
      <c r="F140" s="2538" cm="1">
        <f t="array" ref="F140">INDEX('4층_부하량'!$H$3:$H$3000,MATCH(1,("4-DaHall 1-PDU-13"='4층_부하량'!$A$3:$A$3000)*(5='4층_부하량'!$B$3:$B$3000),0))</f>
        <v>0</v>
      </c>
      <c r="G140" s="381"/>
      <c r="H140" s="376" t="s">
        <v>4171</v>
      </c>
      <c r="I140" s="3280" t="s">
        <v>4161</v>
      </c>
      <c r="J140" s="1022"/>
      <c r="K140" s="1023"/>
      <c r="L140" s="583" t="s">
        <v>4441</v>
      </c>
      <c r="M140" s="3281" t="s">
        <v>4150</v>
      </c>
      <c r="N140" s="381"/>
      <c r="O140" s="381"/>
      <c r="P140" s="2538" cm="1">
        <f t="array" ref="P140">INDEX('4층_부하량'!$H$3:$H$3000,MATCH(1,("4-DaHall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10935</v>
      </c>
    </row>
    <row r="141" spans="1:20" s="350" customFormat="1" ht="17.399999999999999" x14ac:dyDescent="0.25">
      <c r="A141" s="385" t="s">
        <v>10936</v>
      </c>
      <c r="B141" s="382" t="s">
        <v>5562</v>
      </c>
      <c r="C141" s="383" t="s">
        <v>4149</v>
      </c>
      <c r="D141" s="2538" cm="1">
        <f t="array" ref="D141">INDEX('4층_부하량'!$F$3:$F$3000,MATCH(1,("4-DaHall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8" cm="1">
        <f t="array" ref="N141">INDEX('4층_부하량'!$F$3:$F$3000,MATCH(1,("4-DaHall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10937</v>
      </c>
    </row>
    <row r="142" spans="1:20" s="350" customFormat="1" ht="17.399999999999999" x14ac:dyDescent="0.25">
      <c r="A142" s="385" t="s">
        <v>10938</v>
      </c>
      <c r="B142" s="382" t="s">
        <v>5562</v>
      </c>
      <c r="C142" s="383" t="s">
        <v>4149</v>
      </c>
      <c r="D142" s="381"/>
      <c r="E142" s="2531" cm="1">
        <f t="array" ref="E142">INDEX('4층_부하량'!$G$3:$G$3000,MATCH(1,("4-DaHall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1" cm="1">
        <f t="array" ref="O142">INDEX('4층_부하량'!$G$3:$G$3000,MATCH(1,("4-DaHall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10939</v>
      </c>
    </row>
    <row r="143" spans="1:20" s="350" customFormat="1" ht="17.399999999999999" x14ac:dyDescent="0.25">
      <c r="A143" s="385" t="s">
        <v>10940</v>
      </c>
      <c r="B143" s="382" t="s">
        <v>5562</v>
      </c>
      <c r="C143" s="383" t="s">
        <v>4149</v>
      </c>
      <c r="D143" s="381"/>
      <c r="E143" s="381"/>
      <c r="F143" s="2538" cm="1">
        <f t="array" ref="F143">INDEX('4층_부하량'!$H$3:$H$3000,MATCH(1,("4-DaHall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8" cm="1">
        <f t="array" ref="P143">INDEX('4층_부하량'!$H$3:$H$3000,MATCH(1,("4-DaHall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10941</v>
      </c>
    </row>
    <row r="144" spans="1:20" s="350" customFormat="1" ht="17.399999999999999" x14ac:dyDescent="0.25">
      <c r="A144" s="385" t="s">
        <v>10942</v>
      </c>
      <c r="B144" s="382" t="s">
        <v>5562</v>
      </c>
      <c r="C144" s="383" t="s">
        <v>4149</v>
      </c>
      <c r="D144" s="2538" cm="1">
        <f t="array" ref="D144">INDEX('4층_부하량'!$F$3:$F$3000,MATCH(1,("4-DaHall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8" cm="1">
        <f t="array" ref="N144">INDEX('4층_부하량'!$F$3:$F$3000,MATCH(1,("4-DaHall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10943</v>
      </c>
    </row>
    <row r="145" spans="1:20" s="350" customFormat="1" ht="17.399999999999999" x14ac:dyDescent="0.25">
      <c r="A145" s="442" t="s">
        <v>10944</v>
      </c>
      <c r="B145" s="382" t="s">
        <v>5562</v>
      </c>
      <c r="C145" s="383" t="s">
        <v>4149</v>
      </c>
      <c r="D145" s="381"/>
      <c r="E145" s="2538" cm="1">
        <f t="array" ref="E145">INDEX('4층_부하량'!$G$3:$G$3000,MATCH(1,("4-DaHall 1-PDU-13"='4층_부하량'!$A$3:$A$3000)*(15='4층_부하량'!$B$3:$B$3000),0))</f>
        <v>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8" cm="1">
        <f t="array" ref="O145">INDEX('4층_부하량'!$G$3:$G$3000,MATCH(1,("4-DaHall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10945</v>
      </c>
    </row>
    <row r="146" spans="1:20" s="350" customFormat="1" ht="17.399999999999999" x14ac:dyDescent="0.25">
      <c r="A146" s="442" t="s">
        <v>10946</v>
      </c>
      <c r="B146" s="382" t="s">
        <v>5562</v>
      </c>
      <c r="C146" s="383" t="s">
        <v>4149</v>
      </c>
      <c r="D146" s="381"/>
      <c r="E146" s="381"/>
      <c r="F146" s="2538" cm="1">
        <f t="array" ref="F146">INDEX('4층_부하량'!$H$3:$H$3000,MATCH(1,("4-DaHall 1-PDU-13"='4층_부하량'!$A$3:$A$3000)*(17='4층_부하량'!$B$3:$B$3000),0))</f>
        <v>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8" cm="1">
        <f t="array" ref="P146">INDEX('4층_부하량'!$H$3:$H$3000,MATCH(1,("4-DaHall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10947</v>
      </c>
    </row>
    <row r="147" spans="1:20" s="350" customFormat="1" ht="17.399999999999999" x14ac:dyDescent="0.25">
      <c r="A147" s="442" t="s">
        <v>10948</v>
      </c>
      <c r="B147" s="382" t="s">
        <v>5562</v>
      </c>
      <c r="C147" s="383" t="s">
        <v>4149</v>
      </c>
      <c r="D147" s="2538" cm="1">
        <f t="array" ref="D147">INDEX('4층_부하량'!$F$3:$F$3000,MATCH(1,("4-DaHall 1-PDU-13"='4층_부하량'!$A$3:$A$3000)*(19='4층_부하량'!$B$3:$B$3000),0))</f>
        <v>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8" cm="1">
        <f t="array" ref="N147">INDEX('4층_부하량'!$F$3:$F$3000,MATCH(1,("4-DaHall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10949</v>
      </c>
    </row>
    <row r="148" spans="1:20" s="350" customFormat="1" ht="17.399999999999999" x14ac:dyDescent="0.25">
      <c r="A148" s="442" t="s">
        <v>10950</v>
      </c>
      <c r="B148" s="382" t="s">
        <v>5562</v>
      </c>
      <c r="C148" s="383" t="s">
        <v>4149</v>
      </c>
      <c r="D148" s="381"/>
      <c r="E148" s="2538" cm="1">
        <f t="array" ref="E148">INDEX('4층_부하량'!$G$3:$G$3000,MATCH(1,("4-DaHall 1-PDU-13"='4층_부하량'!$A$3:$A$3000)*(21='4층_부하량'!$B$3:$B$3000),0))</f>
        <v>0</v>
      </c>
      <c r="F148" s="381"/>
      <c r="G148" s="381"/>
      <c r="H148" s="1203" t="s">
        <v>4171</v>
      </c>
      <c r="I148" s="3280" t="s">
        <v>4247</v>
      </c>
      <c r="J148" s="1022"/>
      <c r="K148" s="1023"/>
      <c r="L148" s="583" t="s">
        <v>5668</v>
      </c>
      <c r="M148" s="376" t="s">
        <v>4171</v>
      </c>
      <c r="N148" s="381"/>
      <c r="O148" s="2538" cm="1">
        <f t="array" ref="O148">INDEX('4층_부하량'!$G$3:$G$3000,MATCH(1,("4-DaHall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10951</v>
      </c>
    </row>
    <row r="149" spans="1:20" s="350" customFormat="1" ht="17.399999999999999" x14ac:dyDescent="0.25">
      <c r="A149" s="390" t="s">
        <v>10952</v>
      </c>
      <c r="B149" s="382" t="s">
        <v>5562</v>
      </c>
      <c r="C149" s="383" t="s">
        <v>4149</v>
      </c>
      <c r="D149" s="381"/>
      <c r="E149" s="381"/>
      <c r="F149" s="2538" cm="1">
        <f t="array" ref="F149">INDEX('4층_부하량'!$H$3:$H$3000,MATCH(1,("4-DaHall 1-PDU-13"='4층_부하량'!$A$3:$A$3000)*(23='4층_부하량'!$B$3:$B$3000),0))</f>
        <v>0</v>
      </c>
      <c r="G149" s="411"/>
      <c r="H149" s="1287" t="s">
        <v>4171</v>
      </c>
      <c r="I149" s="3282" t="s">
        <v>4251</v>
      </c>
      <c r="J149" s="1288"/>
      <c r="K149" s="1289"/>
      <c r="L149" s="3283" t="s">
        <v>4253</v>
      </c>
      <c r="M149" s="409" t="s">
        <v>4171</v>
      </c>
      <c r="N149" s="381"/>
      <c r="O149" s="381"/>
      <c r="P149" s="2538" cm="1">
        <f t="array" ref="P149">INDEX('4층_부하량'!$H$3:$H$3000,MATCH(1,("4-DaHall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10953</v>
      </c>
    </row>
    <row r="150" spans="1:20" s="350" customFormat="1" ht="17.399999999999999" x14ac:dyDescent="0.25">
      <c r="A150" s="390" t="s">
        <v>10954</v>
      </c>
      <c r="B150" s="382" t="s">
        <v>5562</v>
      </c>
      <c r="C150" s="383" t="s">
        <v>4149</v>
      </c>
      <c r="D150" s="2538" cm="1">
        <f t="array" ref="D150">INDEX('4층_부하량'!$F$3:$F$3000,MATCH(1,("4-DaHall 1-PDU-13"='4층_부하량'!$A$3:$A$3000)*(25='4층_부하량'!$B$3:$B$3000),0))</f>
        <v>0</v>
      </c>
      <c r="E150" s="381"/>
      <c r="F150" s="381"/>
      <c r="G150" s="411"/>
      <c r="H150" s="1287" t="s">
        <v>4171</v>
      </c>
      <c r="I150" s="3282" t="s">
        <v>4256</v>
      </c>
      <c r="J150" s="1288"/>
      <c r="K150" s="1289"/>
      <c r="L150" s="3283" t="s">
        <v>4258</v>
      </c>
      <c r="M150" s="409" t="s">
        <v>4171</v>
      </c>
      <c r="N150" s="2538" cm="1">
        <f t="array" ref="N150">INDEX('4층_부하량'!$F$3:$F$3000,MATCH(1,("4-DaHall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10955</v>
      </c>
    </row>
    <row r="151" spans="1:20" s="350" customFormat="1" ht="17.399999999999999" x14ac:dyDescent="0.25">
      <c r="A151" s="390" t="s">
        <v>10956</v>
      </c>
      <c r="B151" s="382" t="s">
        <v>5562</v>
      </c>
      <c r="C151" s="383" t="s">
        <v>4149</v>
      </c>
      <c r="D151" s="381"/>
      <c r="E151" s="2538" cm="1">
        <f t="array" ref="E151">INDEX('4층_부하량'!$G$3:$G$3000,MATCH(1,("4-DaHall 1-PDU-13"='4층_부하량'!$A$3:$A$3000)*(27='4층_부하량'!$B$3:$B$3000),0))</f>
        <v>0</v>
      </c>
      <c r="F151" s="381"/>
      <c r="G151" s="411"/>
      <c r="H151" s="1287" t="s">
        <v>4171</v>
      </c>
      <c r="I151" s="3282" t="s">
        <v>4261</v>
      </c>
      <c r="J151" s="1288"/>
      <c r="K151" s="1289"/>
      <c r="L151" s="3283" t="s">
        <v>4262</v>
      </c>
      <c r="M151" s="409" t="s">
        <v>4171</v>
      </c>
      <c r="N151" s="381"/>
      <c r="O151" s="2538" cm="1">
        <f t="array" ref="O151">INDEX('4층_부하량'!$G$3:$G$3000,MATCH(1,("4-DaHall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10957</v>
      </c>
    </row>
    <row r="152" spans="1:20" s="350" customFormat="1" ht="17.399999999999999" x14ac:dyDescent="0.25">
      <c r="A152" s="390" t="s">
        <v>10958</v>
      </c>
      <c r="B152" s="382" t="s">
        <v>5562</v>
      </c>
      <c r="C152" s="383" t="s">
        <v>4149</v>
      </c>
      <c r="D152" s="381"/>
      <c r="E152" s="381"/>
      <c r="F152" s="2538" cm="1">
        <f t="array" ref="F152">INDEX('4층_부하량'!$H$3:$H$3000,MATCH(1,("4-DaHall 1-PDU-13"='4층_부하량'!$A$3:$A$3000)*(29='4층_부하량'!$B$3:$B$3000),0))</f>
        <v>0</v>
      </c>
      <c r="G152" s="411"/>
      <c r="H152" s="1287" t="s">
        <v>4171</v>
      </c>
      <c r="I152" s="3282" t="s">
        <v>4264</v>
      </c>
      <c r="J152" s="1288"/>
      <c r="K152" s="1289"/>
      <c r="L152" s="3283" t="s">
        <v>4265</v>
      </c>
      <c r="M152" s="409" t="s">
        <v>4171</v>
      </c>
      <c r="N152" s="381"/>
      <c r="O152" s="381"/>
      <c r="P152" s="2538" cm="1">
        <f t="array" ref="P152">INDEX('4층_부하량'!$H$3:$H$3000,MATCH(1,("4-DaHall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10959</v>
      </c>
    </row>
    <row r="153" spans="1:20" s="350" customFormat="1" ht="17.399999999999999" x14ac:dyDescent="0.25">
      <c r="A153" s="390" t="s">
        <v>10960</v>
      </c>
      <c r="B153" s="382" t="s">
        <v>5562</v>
      </c>
      <c r="C153" s="383" t="s">
        <v>4149</v>
      </c>
      <c r="D153" s="2538" cm="1">
        <f t="array" ref="D153">INDEX('4층_부하량'!$F$3:$F$3000,MATCH(1,("4-DaHall 1-PDU-13"='4층_부하량'!$A$3:$A$3000)*(31='4층_부하량'!$B$3:$B$3000),0))</f>
        <v>0</v>
      </c>
      <c r="E153" s="381"/>
      <c r="F153" s="381"/>
      <c r="G153" s="411"/>
      <c r="H153" s="1287" t="s">
        <v>4171</v>
      </c>
      <c r="I153" s="3282" t="s">
        <v>4266</v>
      </c>
      <c r="J153" s="1288"/>
      <c r="K153" s="1289"/>
      <c r="L153" s="3283" t="s">
        <v>4267</v>
      </c>
      <c r="M153" s="409" t="s">
        <v>4171</v>
      </c>
      <c r="N153" s="2538" cm="1">
        <f t="array" ref="N153">INDEX('4층_부하량'!$F$3:$F$3000,MATCH(1,("4-DaHall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10961</v>
      </c>
    </row>
    <row r="154" spans="1:20" s="350" customFormat="1" ht="17.399999999999999" x14ac:dyDescent="0.25">
      <c r="A154" s="390" t="s">
        <v>10962</v>
      </c>
      <c r="B154" s="382" t="s">
        <v>5562</v>
      </c>
      <c r="C154" s="383" t="s">
        <v>4149</v>
      </c>
      <c r="D154" s="381"/>
      <c r="E154" s="2538" cm="1">
        <f t="array" ref="E154">INDEX('4층_부하량'!$G$3:$G$3000,MATCH(1,("4-DaHall 1-PDU-13"='4층_부하량'!$A$3:$A$3000)*(33='4층_부하량'!$B$3:$B$3000),0))</f>
        <v>0</v>
      </c>
      <c r="F154" s="381"/>
      <c r="G154" s="411"/>
      <c r="H154" s="1287" t="s">
        <v>4171</v>
      </c>
      <c r="I154" s="3282" t="s">
        <v>4270</v>
      </c>
      <c r="J154" s="1288"/>
      <c r="K154" s="1289"/>
      <c r="L154" s="3283" t="s">
        <v>4271</v>
      </c>
      <c r="M154" s="409" t="s">
        <v>4171</v>
      </c>
      <c r="N154" s="381"/>
      <c r="O154" s="2538" cm="1">
        <f t="array" ref="O154">INDEX('4층_부하량'!$G$3:$G$3000,MATCH(1,("4-DaHall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10963</v>
      </c>
    </row>
    <row r="155" spans="1:20" s="350" customFormat="1" ht="17.399999999999999" x14ac:dyDescent="0.25">
      <c r="A155" s="390" t="s">
        <v>10964</v>
      </c>
      <c r="B155" s="382" t="s">
        <v>5562</v>
      </c>
      <c r="C155" s="383" t="s">
        <v>4149</v>
      </c>
      <c r="D155" s="381"/>
      <c r="E155" s="381"/>
      <c r="F155" s="2538" cm="1">
        <f t="array" ref="F155">INDEX('4층_부하량'!$H$3:$H$3000,MATCH(1,("4-DaHall 1-PDU-13"='4층_부하량'!$A$3:$A$3000)*(35='4층_부하량'!$B$3:$B$3000),0))</f>
        <v>0</v>
      </c>
      <c r="G155" s="411"/>
      <c r="H155" s="1287" t="s">
        <v>4171</v>
      </c>
      <c r="I155" s="3282" t="s">
        <v>4274</v>
      </c>
      <c r="J155" s="1288"/>
      <c r="K155" s="1289"/>
      <c r="L155" s="3283" t="s">
        <v>4276</v>
      </c>
      <c r="M155" s="409" t="s">
        <v>4171</v>
      </c>
      <c r="N155" s="381"/>
      <c r="O155" s="381"/>
      <c r="P155" s="2538" cm="1">
        <f t="array" ref="P155">INDEX('4층_부하량'!$H$3:$H$3000,MATCH(1,("4-DaHall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10965</v>
      </c>
    </row>
    <row r="156" spans="1:20" s="350" customFormat="1" ht="17.399999999999999" x14ac:dyDescent="0.25">
      <c r="A156" s="390" t="s">
        <v>10966</v>
      </c>
      <c r="B156" s="382" t="s">
        <v>5562</v>
      </c>
      <c r="C156" s="383" t="s">
        <v>4149</v>
      </c>
      <c r="D156" s="2538" cm="1">
        <f t="array" ref="D156">INDEX('4층_부하량'!$F$3:$F$3000,MATCH(1,("4-DaHall 1-PDU-13"='4층_부하량'!$A$3:$A$3000)*(37='4층_부하량'!$B$3:$B$3000),0))</f>
        <v>0</v>
      </c>
      <c r="E156" s="381"/>
      <c r="F156" s="381"/>
      <c r="G156" s="411"/>
      <c r="H156" s="1287" t="s">
        <v>4171</v>
      </c>
      <c r="I156" s="3282" t="s">
        <v>4279</v>
      </c>
      <c r="J156" s="1288"/>
      <c r="K156" s="1289"/>
      <c r="L156" s="3283" t="s">
        <v>4280</v>
      </c>
      <c r="M156" s="409" t="s">
        <v>4171</v>
      </c>
      <c r="N156" s="2538" cm="1">
        <f t="array" ref="N156">INDEX('4층_부하량'!$F$3:$F$3000,MATCH(1,("4-DaHall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10967</v>
      </c>
    </row>
    <row r="157" spans="1:20" s="350" customFormat="1" ht="17.399999999999999" x14ac:dyDescent="0.25">
      <c r="A157" s="390" t="s">
        <v>10968</v>
      </c>
      <c r="B157" s="382" t="s">
        <v>5562</v>
      </c>
      <c r="C157" s="383" t="s">
        <v>4149</v>
      </c>
      <c r="D157" s="381"/>
      <c r="E157" s="2538" cm="1">
        <f t="array" ref="E157">INDEX('4층_부하량'!$G$3:$G$3000,MATCH(1,("4-DaHall 1-PDU-13"='4층_부하량'!$A$3:$A$3000)*(39='4층_부하량'!$B$3:$B$3000),0))</f>
        <v>0</v>
      </c>
      <c r="F157" s="381"/>
      <c r="G157" s="411"/>
      <c r="H157" s="1287" t="s">
        <v>4171</v>
      </c>
      <c r="I157" s="3282" t="s">
        <v>4283</v>
      </c>
      <c r="J157" s="1288"/>
      <c r="K157" s="1289"/>
      <c r="L157" s="3283" t="s">
        <v>4284</v>
      </c>
      <c r="M157" s="409" t="s">
        <v>4171</v>
      </c>
      <c r="N157" s="381"/>
      <c r="O157" s="2538" cm="1">
        <f t="array" ref="O157">INDEX('4층_부하량'!$G$3:$G$3000,MATCH(1,("4-DaHall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10969</v>
      </c>
    </row>
    <row r="158" spans="1:20" s="350" customFormat="1" ht="17.399999999999999" x14ac:dyDescent="0.25">
      <c r="A158" s="390" t="s">
        <v>10970</v>
      </c>
      <c r="B158" s="382" t="s">
        <v>5562</v>
      </c>
      <c r="C158" s="383" t="s">
        <v>4149</v>
      </c>
      <c r="D158" s="381"/>
      <c r="E158" s="381"/>
      <c r="F158" s="2538" cm="1">
        <f t="array" ref="F158">INDEX('4층_부하량'!$H$3:$H$3000,MATCH(1,("4-DaHall 1-PDU-13"='4층_부하량'!$A$3:$A$3000)*(41='4층_부하량'!$B$3:$B$3000),0))</f>
        <v>0</v>
      </c>
      <c r="G158" s="411"/>
      <c r="H158" s="1287" t="s">
        <v>4171</v>
      </c>
      <c r="I158" s="3282" t="s">
        <v>4628</v>
      </c>
      <c r="J158" s="1288"/>
      <c r="K158" s="1289"/>
      <c r="L158" s="3283" t="s">
        <v>4416</v>
      </c>
      <c r="M158" s="409" t="s">
        <v>4171</v>
      </c>
      <c r="N158" s="381"/>
      <c r="O158" s="381"/>
      <c r="P158" s="2538" cm="1">
        <f t="array" ref="P158">INDEX('4층_부하량'!$H$3:$H$3000,MATCH(1,("4-DaHall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10971</v>
      </c>
    </row>
    <row r="159" spans="1:20" s="350" customFormat="1" ht="17.399999999999999" x14ac:dyDescent="0.25">
      <c r="A159" s="390" t="s">
        <v>10972</v>
      </c>
      <c r="B159" s="382" t="s">
        <v>5562</v>
      </c>
      <c r="C159" s="383" t="s">
        <v>4149</v>
      </c>
      <c r="D159" s="2538" cm="1">
        <f t="array" ref="D159">INDEX('4층_부하량'!$F$3:$F$3000,MATCH(1,("4-DaHall 1-PDU-13"='4층_부하량'!$A$3:$A$3000)*(43='4층_부하량'!$B$3:$B$3000),0))</f>
        <v>0</v>
      </c>
      <c r="E159" s="381"/>
      <c r="F159" s="381"/>
      <c r="G159" s="411"/>
      <c r="H159" s="1287" t="s">
        <v>4171</v>
      </c>
      <c r="I159" s="3282" t="s">
        <v>4418</v>
      </c>
      <c r="J159" s="1288"/>
      <c r="K159" s="1289"/>
      <c r="L159" s="3283" t="s">
        <v>4419</v>
      </c>
      <c r="M159" s="409" t="s">
        <v>4171</v>
      </c>
      <c r="N159" s="2538" cm="1">
        <f t="array" ref="N159">INDEX('4층_부하량'!$F$3:$F$3000,MATCH(1,("4-DaHall 1-PDU-13"='4층_부하량'!$A$3:$A$3000)*(44='4층_부하량'!$B$3:$B$3000),0))</f>
        <v>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7.399999999999999" x14ac:dyDescent="0.25">
      <c r="A160" s="390"/>
      <c r="B160" s="1286" t="s">
        <v>535</v>
      </c>
      <c r="C160" s="1287" t="s">
        <v>4296</v>
      </c>
      <c r="D160" s="381"/>
      <c r="E160" s="2538" cm="1">
        <f t="array" ref="E160">INDEX('4층_부하량'!$G$3:$G$3000,MATCH(1,("4-DaHall 1-PDU-13"='4층_부하량'!$A$3:$A$3000)*(45='4층_부하량'!$B$3:$B$3000),0))</f>
        <v>0</v>
      </c>
      <c r="F160" s="381"/>
      <c r="G160" s="411"/>
      <c r="H160" s="1287" t="s">
        <v>4171</v>
      </c>
      <c r="I160" s="3282" t="s">
        <v>4420</v>
      </c>
      <c r="J160" s="1288"/>
      <c r="K160" s="1289"/>
      <c r="L160" s="3283" t="s">
        <v>4421</v>
      </c>
      <c r="M160" s="409" t="s">
        <v>4171</v>
      </c>
      <c r="N160" s="381"/>
      <c r="O160" s="2538" cm="1">
        <f t="array" ref="O160">INDEX('4층_부하량'!$G$3:$G$3000,MATCH(1,("4-DaHall 1-PDU-13"='4층_부하량'!$A$3:$A$3000)*(46='4층_부하량'!$B$3:$B$3000),0))</f>
        <v>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7.399999999999999" x14ac:dyDescent="0.25">
      <c r="A161" s="390"/>
      <c r="B161" s="1286" t="s">
        <v>535</v>
      </c>
      <c r="C161" s="1287" t="s">
        <v>4296</v>
      </c>
      <c r="D161" s="381"/>
      <c r="E161" s="381"/>
      <c r="F161" s="2538" cm="1">
        <f t="array" ref="F161">INDEX('4층_부하량'!$H$3:$H$3000,MATCH(1,("4-DaHall 1-PDU-13"='4층_부하량'!$A$3:$A$3000)*(47='4층_부하량'!$B$3:$B$3000),0))</f>
        <v>0</v>
      </c>
      <c r="G161" s="411"/>
      <c r="H161" s="1287" t="s">
        <v>4171</v>
      </c>
      <c r="I161" s="3282" t="s">
        <v>4422</v>
      </c>
      <c r="J161" s="1288"/>
      <c r="K161" s="1289"/>
      <c r="L161" s="3283" t="s">
        <v>4423</v>
      </c>
      <c r="M161" s="409" t="s">
        <v>4171</v>
      </c>
      <c r="N161" s="381"/>
      <c r="O161" s="381"/>
      <c r="P161" s="2538" cm="1">
        <f t="array" ref="P161">INDEX('4층_부하량'!$H$3:$H$3000,MATCH(1,("4-DaHall 1-PDU-13"='4층_부하량'!$A$3:$A$3000)*(48='4층_부하량'!$B$3:$B$3000),0))</f>
        <v>0</v>
      </c>
      <c r="Q161" s="411"/>
      <c r="R161" s="1286" t="s">
        <v>535</v>
      </c>
      <c r="S161" s="1287" t="s">
        <v>4296</v>
      </c>
      <c r="T161" s="407"/>
    </row>
    <row r="162" spans="1:20" s="350" customFormat="1" ht="17.399999999999999" x14ac:dyDescent="0.25">
      <c r="A162" s="390"/>
      <c r="B162" s="1286" t="s">
        <v>535</v>
      </c>
      <c r="C162" s="1287" t="s">
        <v>4296</v>
      </c>
      <c r="D162" s="2538" cm="1">
        <f t="array" ref="D162">INDEX('4층_부하량'!$F$3:$F$3000,MATCH(1,("4-DaHall 1-PDU-13"='4층_부하량'!$A$3:$A$3000)*(49='4층_부하량'!$B$3:$B$3000),0))</f>
        <v>0</v>
      </c>
      <c r="E162" s="381"/>
      <c r="F162" s="381"/>
      <c r="G162" s="411"/>
      <c r="H162" s="1287" t="s">
        <v>4171</v>
      </c>
      <c r="I162" s="3282" t="s">
        <v>4360</v>
      </c>
      <c r="J162" s="1288"/>
      <c r="K162" s="1289"/>
      <c r="L162" s="3283" t="s">
        <v>4362</v>
      </c>
      <c r="M162" s="409" t="s">
        <v>4171</v>
      </c>
      <c r="N162" s="2538" cm="1">
        <f t="array" ref="N162">INDEX('4층_부하량'!$F$3:$F$3000,MATCH(1,("4-DaHall 1-PDU-13"='4층_부하량'!$A$3:$A$3000)*(50='4층_부하량'!$B$3:$B$3000),0))</f>
        <v>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7.399999999999999" x14ac:dyDescent="0.25">
      <c r="A163" s="390"/>
      <c r="B163" s="1286" t="s">
        <v>535</v>
      </c>
      <c r="C163" s="1287" t="s">
        <v>4296</v>
      </c>
      <c r="D163" s="381"/>
      <c r="E163" s="2538" cm="1">
        <f t="array" ref="E163">INDEX('4층_부하량'!$G$3:$G$3000,MATCH(1,("4-DaHall 1-PDU-13"='4층_부하량'!$A$3:$A$3000)*(51='4층_부하량'!$B$3:$B$3000),0))</f>
        <v>0</v>
      </c>
      <c r="F163" s="381"/>
      <c r="G163" s="411"/>
      <c r="H163" s="1287" t="s">
        <v>4171</v>
      </c>
      <c r="I163" s="3282" t="s">
        <v>4364</v>
      </c>
      <c r="J163" s="1288"/>
      <c r="K163" s="1289"/>
      <c r="L163" s="3283" t="s">
        <v>4366</v>
      </c>
      <c r="M163" s="409" t="s">
        <v>4171</v>
      </c>
      <c r="N163" s="381"/>
      <c r="O163" s="2538" cm="1">
        <f t="array" ref="O163">INDEX('4층_부하량'!$G$3:$G$3000,MATCH(1,("4-DaHall 1-PDU-13"='4층_부하량'!$A$3:$A$3000)*(52='4층_부하량'!$B$3:$B$3000),0))</f>
        <v>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8" thickBot="1" x14ac:dyDescent="0.3">
      <c r="A164" s="3287"/>
      <c r="B164" s="3288" t="s">
        <v>535</v>
      </c>
      <c r="C164" s="3289" t="s">
        <v>4296</v>
      </c>
      <c r="D164" s="427"/>
      <c r="E164" s="427"/>
      <c r="F164" s="2539" cm="1">
        <f t="array" ref="F164">INDEX('4층_부하량'!$H$3:$H$3000,MATCH(1,("4-DaHall 1-PDU-13"='4층_부하량'!$A$3:$A$3000)*(53='4층_부하량'!$B$3:$B$3000),0))</f>
        <v>0</v>
      </c>
      <c r="G164" s="427"/>
      <c r="H164" s="3289" t="s">
        <v>4171</v>
      </c>
      <c r="I164" s="3284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9" cm="1">
        <f t="array" ref="P164">INDEX('4층_부하량'!$H$3:$H$3000,MATCH(1,("4-DaHall 1-PDU-13"='4층_부하량'!$A$3:$A$3000)*(54='4층_부하량'!$B$3:$B$3000),0))</f>
        <v>0</v>
      </c>
      <c r="Q164" s="427"/>
      <c r="R164" s="3288" t="s">
        <v>535</v>
      </c>
      <c r="S164" s="3289" t="s">
        <v>4296</v>
      </c>
      <c r="T164" s="432"/>
    </row>
    <row r="165" spans="1:20" s="350" customFormat="1" ht="18.600000000000001" thickTop="1" thickBot="1" x14ac:dyDescent="0.3">
      <c r="L165" s="3285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 x14ac:dyDescent="0.3">
      <c r="A166" s="349" t="s">
        <v>10973</v>
      </c>
      <c r="C166" s="3981"/>
      <c r="D166" s="3981"/>
      <c r="E166" s="3981"/>
      <c r="F166" s="3981"/>
      <c r="G166" s="351"/>
      <c r="H166" s="352"/>
      <c r="I166" s="352"/>
      <c r="J166" s="3979" t="s">
        <v>4288</v>
      </c>
      <c r="K166" s="3980"/>
      <c r="L166" s="3277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 x14ac:dyDescent="0.3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.600000000000001" thickTop="1" thickBot="1" x14ac:dyDescent="0.3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 x14ac:dyDescent="0.25">
      <c r="A169" s="468"/>
      <c r="B169" s="372" t="s">
        <v>535</v>
      </c>
      <c r="C169" s="3286" t="s">
        <v>4296</v>
      </c>
      <c r="D169" s="2537" cm="1">
        <f t="array" ref="D169">INDEX('4층_부하량'!$F$3:$F$3000,MATCH(1,("4-DaHall 1-PDU-14"='4층_부하량'!$A$3:$A$3000)*(1='4층_부하량'!$B$3:$B$3000),0))</f>
        <v>0</v>
      </c>
      <c r="E169" s="395"/>
      <c r="F169" s="395"/>
      <c r="G169" s="368"/>
      <c r="H169" s="3278" t="s">
        <v>4574</v>
      </c>
      <c r="I169" s="3279" t="s">
        <v>4151</v>
      </c>
      <c r="J169" s="1018"/>
      <c r="K169" s="1019"/>
      <c r="L169" s="581" t="s">
        <v>4436</v>
      </c>
      <c r="M169" s="366" t="s">
        <v>4574</v>
      </c>
      <c r="N169" s="2537" cm="1">
        <f t="array" ref="N169">INDEX('4층_부하량'!$F$3:$F$3000,MATCH(1,("4-DaHall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86" t="s">
        <v>4296</v>
      </c>
      <c r="T169" s="1204"/>
    </row>
    <row r="170" spans="1:20" s="350" customFormat="1" ht="17.399999999999999" x14ac:dyDescent="0.25">
      <c r="A170" s="385"/>
      <c r="B170" s="382" t="s">
        <v>535</v>
      </c>
      <c r="C170" s="1203" t="s">
        <v>4296</v>
      </c>
      <c r="D170" s="381"/>
      <c r="E170" s="2531" cm="1">
        <f t="array" ref="E170">INDEX('4층_부하량'!$G$3:$G$3000,MATCH(1,("4-DaHall 1-PDU-14"='4층_부하량'!$A$3:$A$3000)*(3='4층_부하량'!$B$3:$B$3000),0))</f>
        <v>0</v>
      </c>
      <c r="F170" s="381"/>
      <c r="G170" s="377"/>
      <c r="H170" s="376" t="s">
        <v>4574</v>
      </c>
      <c r="I170" s="3280" t="s">
        <v>4156</v>
      </c>
      <c r="J170" s="1020"/>
      <c r="K170" s="1021"/>
      <c r="L170" s="582" t="s">
        <v>4438</v>
      </c>
      <c r="M170" s="376" t="s">
        <v>4574</v>
      </c>
      <c r="N170" s="381"/>
      <c r="O170" s="2531" cm="1">
        <f t="array" ref="O170">INDEX('4층_부하량'!$G$3:$G$3000,MATCH(1,("4-DaHall 1-PDU-14"='4층_부하량'!$A$3:$A$3000)*(4='4층_부하량'!$B$3:$B$3000),0))</f>
        <v>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7.399999999999999" x14ac:dyDescent="0.25">
      <c r="A171" s="385" t="s">
        <v>10974</v>
      </c>
      <c r="B171" s="382" t="s">
        <v>5562</v>
      </c>
      <c r="C171" s="383" t="s">
        <v>4149</v>
      </c>
      <c r="D171" s="381"/>
      <c r="E171" s="381"/>
      <c r="F171" s="2538" cm="1">
        <f t="array" ref="F171">INDEX('4층_부하량'!$H$3:$H$3000,MATCH(1,("4-DaHall 1-PDU-14"='4층_부하량'!$A$3:$A$3000)*(5='4층_부하량'!$B$3:$B$3000),0))</f>
        <v>0</v>
      </c>
      <c r="G171" s="381"/>
      <c r="H171" s="376" t="s">
        <v>4171</v>
      </c>
      <c r="I171" s="3280" t="s">
        <v>4161</v>
      </c>
      <c r="J171" s="1022"/>
      <c r="K171" s="1023"/>
      <c r="L171" s="583" t="s">
        <v>4441</v>
      </c>
      <c r="M171" s="3281" t="s">
        <v>4150</v>
      </c>
      <c r="N171" s="381"/>
      <c r="O171" s="381"/>
      <c r="P171" s="2538" cm="1">
        <f t="array" ref="P171">INDEX('4층_부하량'!$H$3:$H$3000,MATCH(1,("4-DaHall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10975</v>
      </c>
    </row>
    <row r="172" spans="1:20" s="350" customFormat="1" ht="17.399999999999999" x14ac:dyDescent="0.25">
      <c r="A172" s="385" t="s">
        <v>10976</v>
      </c>
      <c r="B172" s="382" t="s">
        <v>5562</v>
      </c>
      <c r="C172" s="383" t="s">
        <v>4149</v>
      </c>
      <c r="D172" s="2538" cm="1">
        <f t="array" ref="D172">INDEX('4층_부하량'!$F$3:$F$3000,MATCH(1,("4-DaHall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8" cm="1">
        <f t="array" ref="N172">INDEX('4층_부하량'!$F$3:$F$3000,MATCH(1,("4-DaHall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10977</v>
      </c>
    </row>
    <row r="173" spans="1:20" s="350" customFormat="1" ht="17.399999999999999" x14ac:dyDescent="0.25">
      <c r="A173" s="385" t="s">
        <v>10978</v>
      </c>
      <c r="B173" s="382" t="s">
        <v>5562</v>
      </c>
      <c r="C173" s="383" t="s">
        <v>4149</v>
      </c>
      <c r="D173" s="381"/>
      <c r="E173" s="2531" cm="1">
        <f t="array" ref="E173">INDEX('4층_부하량'!$G$3:$G$3000,MATCH(1,("4-DaHall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1" cm="1">
        <f t="array" ref="O173">INDEX('4층_부하량'!$G$3:$G$3000,MATCH(1,("4-DaHall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10979</v>
      </c>
    </row>
    <row r="174" spans="1:20" s="350" customFormat="1" ht="17.399999999999999" x14ac:dyDescent="0.25">
      <c r="A174" s="385" t="s">
        <v>10980</v>
      </c>
      <c r="B174" s="382" t="s">
        <v>5562</v>
      </c>
      <c r="C174" s="383" t="s">
        <v>4149</v>
      </c>
      <c r="D174" s="381"/>
      <c r="E174" s="381"/>
      <c r="F174" s="2538" cm="1">
        <f t="array" ref="F174">INDEX('4층_부하량'!$H$3:$H$3000,MATCH(1,("4-DaHall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8" cm="1">
        <f t="array" ref="P174">INDEX('4층_부하량'!$H$3:$H$3000,MATCH(1,("4-DaHall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10981</v>
      </c>
    </row>
    <row r="175" spans="1:20" s="350" customFormat="1" ht="17.399999999999999" x14ac:dyDescent="0.25">
      <c r="A175" s="385" t="s">
        <v>10982</v>
      </c>
      <c r="B175" s="382" t="s">
        <v>5562</v>
      </c>
      <c r="C175" s="383" t="s">
        <v>4149</v>
      </c>
      <c r="D175" s="2538" cm="1">
        <f t="array" ref="D175">INDEX('4층_부하량'!$F$3:$F$3000,MATCH(1,("4-DaHall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8" cm="1">
        <f t="array" ref="N175">INDEX('4층_부하량'!$F$3:$F$3000,MATCH(1,("4-DaHall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10983</v>
      </c>
    </row>
    <row r="176" spans="1:20" s="350" customFormat="1" ht="17.399999999999999" x14ac:dyDescent="0.25">
      <c r="A176" s="442" t="s">
        <v>10984</v>
      </c>
      <c r="B176" s="382" t="s">
        <v>5562</v>
      </c>
      <c r="C176" s="383" t="s">
        <v>4149</v>
      </c>
      <c r="D176" s="381"/>
      <c r="E176" s="2538" cm="1">
        <f t="array" ref="E176">INDEX('4층_부하량'!$G$3:$G$3000,MATCH(1,("4-DaHall 1-PDU-14"='4층_부하량'!$A$3:$A$3000)*(15='4층_부하량'!$B$3:$B$3000),0))</f>
        <v>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8" cm="1">
        <f t="array" ref="O176">INDEX('4층_부하량'!$G$3:$G$3000,MATCH(1,("4-DaHall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10985</v>
      </c>
    </row>
    <row r="177" spans="1:20" s="350" customFormat="1" ht="17.399999999999999" x14ac:dyDescent="0.25">
      <c r="A177" s="442" t="s">
        <v>10986</v>
      </c>
      <c r="B177" s="382" t="s">
        <v>5562</v>
      </c>
      <c r="C177" s="383" t="s">
        <v>4149</v>
      </c>
      <c r="D177" s="381"/>
      <c r="E177" s="381"/>
      <c r="F177" s="2538" cm="1">
        <f t="array" ref="F177">INDEX('4층_부하량'!$H$3:$H$3000,MATCH(1,("4-DaHall 1-PDU-14"='4층_부하량'!$A$3:$A$3000)*(17='4층_부하량'!$B$3:$B$3000),0))</f>
        <v>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8" cm="1">
        <f t="array" ref="P177">INDEX('4층_부하량'!$H$3:$H$3000,MATCH(1,("4-DaHall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10987</v>
      </c>
    </row>
    <row r="178" spans="1:20" s="350" customFormat="1" ht="17.399999999999999" x14ac:dyDescent="0.25">
      <c r="A178" s="442" t="s">
        <v>10988</v>
      </c>
      <c r="B178" s="382" t="s">
        <v>5562</v>
      </c>
      <c r="C178" s="383" t="s">
        <v>4149</v>
      </c>
      <c r="D178" s="2538" cm="1">
        <f t="array" ref="D178">INDEX('4층_부하량'!$F$3:$F$3000,MATCH(1,("4-DaHall 1-PDU-14"='4층_부하량'!$A$3:$A$3000)*(19='4층_부하량'!$B$3:$B$3000),0))</f>
        <v>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8" cm="1">
        <f t="array" ref="N178">INDEX('4층_부하량'!$F$3:$F$3000,MATCH(1,("4-DaHall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10989</v>
      </c>
    </row>
    <row r="179" spans="1:20" s="350" customFormat="1" ht="17.399999999999999" x14ac:dyDescent="0.25">
      <c r="A179" s="442" t="s">
        <v>10990</v>
      </c>
      <c r="B179" s="382" t="s">
        <v>5562</v>
      </c>
      <c r="C179" s="383" t="s">
        <v>4149</v>
      </c>
      <c r="D179" s="381"/>
      <c r="E179" s="2538" cm="1">
        <f t="array" ref="E179">INDEX('4층_부하량'!$G$3:$G$3000,MATCH(1,("4-DaHall 1-PDU-14"='4층_부하량'!$A$3:$A$3000)*(21='4층_부하량'!$B$3:$B$3000),0))</f>
        <v>0</v>
      </c>
      <c r="F179" s="381"/>
      <c r="G179" s="381"/>
      <c r="H179" s="1203" t="s">
        <v>4171</v>
      </c>
      <c r="I179" s="3280" t="s">
        <v>4247</v>
      </c>
      <c r="J179" s="1022"/>
      <c r="K179" s="1023"/>
      <c r="L179" s="583" t="s">
        <v>5668</v>
      </c>
      <c r="M179" s="376" t="s">
        <v>4171</v>
      </c>
      <c r="N179" s="381"/>
      <c r="O179" s="2538" cm="1">
        <f t="array" ref="O179">INDEX('4층_부하량'!$G$3:$G$3000,MATCH(1,("4-DaHall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10991</v>
      </c>
    </row>
    <row r="180" spans="1:20" s="350" customFormat="1" ht="17.399999999999999" x14ac:dyDescent="0.25">
      <c r="A180" s="390" t="s">
        <v>10992</v>
      </c>
      <c r="B180" s="382" t="s">
        <v>5562</v>
      </c>
      <c r="C180" s="383" t="s">
        <v>4149</v>
      </c>
      <c r="D180" s="381"/>
      <c r="E180" s="381"/>
      <c r="F180" s="2538" cm="1">
        <f t="array" ref="F180">INDEX('4층_부하량'!$H$3:$H$3000,MATCH(1,("4-DaHall 1-PDU-14"='4층_부하량'!$A$3:$A$3000)*(23='4층_부하량'!$B$3:$B$3000),0))</f>
        <v>0</v>
      </c>
      <c r="G180" s="411"/>
      <c r="H180" s="1287" t="s">
        <v>4171</v>
      </c>
      <c r="I180" s="3282" t="s">
        <v>4251</v>
      </c>
      <c r="J180" s="1288"/>
      <c r="K180" s="1289"/>
      <c r="L180" s="3283" t="s">
        <v>4253</v>
      </c>
      <c r="M180" s="409" t="s">
        <v>4171</v>
      </c>
      <c r="N180" s="381"/>
      <c r="O180" s="381"/>
      <c r="P180" s="2538" cm="1">
        <f t="array" ref="P180">INDEX('4층_부하량'!$H$3:$H$3000,MATCH(1,("4-DaHall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10993</v>
      </c>
    </row>
    <row r="181" spans="1:20" s="350" customFormat="1" ht="17.399999999999999" x14ac:dyDescent="0.25">
      <c r="A181" s="390" t="s">
        <v>10994</v>
      </c>
      <c r="B181" s="382" t="s">
        <v>5562</v>
      </c>
      <c r="C181" s="383" t="s">
        <v>4149</v>
      </c>
      <c r="D181" s="2538" cm="1">
        <f t="array" ref="D181">INDEX('4층_부하량'!$F$3:$F$3000,MATCH(1,("4-DaHall 1-PDU-14"='4층_부하량'!$A$3:$A$3000)*(25='4층_부하량'!$B$3:$B$3000),0))</f>
        <v>0</v>
      </c>
      <c r="E181" s="381"/>
      <c r="F181" s="381"/>
      <c r="G181" s="411"/>
      <c r="H181" s="1287" t="s">
        <v>4171</v>
      </c>
      <c r="I181" s="3282" t="s">
        <v>4256</v>
      </c>
      <c r="J181" s="1288"/>
      <c r="K181" s="1289"/>
      <c r="L181" s="3283" t="s">
        <v>4258</v>
      </c>
      <c r="M181" s="409" t="s">
        <v>4171</v>
      </c>
      <c r="N181" s="2538" cm="1">
        <f t="array" ref="N181">INDEX('4층_부하량'!$F$3:$F$3000,MATCH(1,("4-DaHall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10995</v>
      </c>
    </row>
    <row r="182" spans="1:20" s="350" customFormat="1" ht="17.399999999999999" x14ac:dyDescent="0.25">
      <c r="A182" s="390" t="s">
        <v>10996</v>
      </c>
      <c r="B182" s="382" t="s">
        <v>5562</v>
      </c>
      <c r="C182" s="383" t="s">
        <v>4149</v>
      </c>
      <c r="D182" s="381"/>
      <c r="E182" s="2538" cm="1">
        <f t="array" ref="E182">INDEX('4층_부하량'!$G$3:$G$3000,MATCH(1,("4-DaHall 1-PDU-14"='4층_부하량'!$A$3:$A$3000)*(27='4층_부하량'!$B$3:$B$3000),0))</f>
        <v>0</v>
      </c>
      <c r="F182" s="381"/>
      <c r="G182" s="411"/>
      <c r="H182" s="1287" t="s">
        <v>4171</v>
      </c>
      <c r="I182" s="3282" t="s">
        <v>4261</v>
      </c>
      <c r="J182" s="1288"/>
      <c r="K182" s="1289"/>
      <c r="L182" s="3283" t="s">
        <v>4262</v>
      </c>
      <c r="M182" s="409" t="s">
        <v>4171</v>
      </c>
      <c r="N182" s="381"/>
      <c r="O182" s="2538" cm="1">
        <f t="array" ref="O182">INDEX('4층_부하량'!$G$3:$G$3000,MATCH(1,("4-DaHall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10997</v>
      </c>
    </row>
    <row r="183" spans="1:20" s="350" customFormat="1" ht="17.399999999999999" x14ac:dyDescent="0.25">
      <c r="A183" s="390" t="s">
        <v>10998</v>
      </c>
      <c r="B183" s="382" t="s">
        <v>5562</v>
      </c>
      <c r="C183" s="383" t="s">
        <v>4149</v>
      </c>
      <c r="D183" s="381"/>
      <c r="E183" s="381"/>
      <c r="F183" s="2538" cm="1">
        <f t="array" ref="F183">INDEX('4층_부하량'!$H$3:$H$3000,MATCH(1,("4-DaHall 1-PDU-14"='4층_부하량'!$A$3:$A$3000)*(29='4층_부하량'!$B$3:$B$3000),0))</f>
        <v>0</v>
      </c>
      <c r="G183" s="411"/>
      <c r="H183" s="1287" t="s">
        <v>4171</v>
      </c>
      <c r="I183" s="3282" t="s">
        <v>4264</v>
      </c>
      <c r="J183" s="1288"/>
      <c r="K183" s="1289"/>
      <c r="L183" s="3283" t="s">
        <v>4265</v>
      </c>
      <c r="M183" s="409" t="s">
        <v>4171</v>
      </c>
      <c r="N183" s="381"/>
      <c r="O183" s="381"/>
      <c r="P183" s="2538" cm="1">
        <f t="array" ref="P183">INDEX('4층_부하량'!$H$3:$H$3000,MATCH(1,("4-DaHall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10999</v>
      </c>
    </row>
    <row r="184" spans="1:20" s="350" customFormat="1" ht="17.399999999999999" x14ac:dyDescent="0.25">
      <c r="A184" s="390" t="s">
        <v>11000</v>
      </c>
      <c r="B184" s="382" t="s">
        <v>5562</v>
      </c>
      <c r="C184" s="383" t="s">
        <v>4149</v>
      </c>
      <c r="D184" s="2538" cm="1">
        <f t="array" ref="D184">INDEX('4층_부하량'!$F$3:$F$3000,MATCH(1,("4-DaHall 1-PDU-14"='4층_부하량'!$A$3:$A$3000)*(31='4층_부하량'!$B$3:$B$3000),0))</f>
        <v>0</v>
      </c>
      <c r="E184" s="381"/>
      <c r="F184" s="381"/>
      <c r="G184" s="411"/>
      <c r="H184" s="1287" t="s">
        <v>4171</v>
      </c>
      <c r="I184" s="3282" t="s">
        <v>4266</v>
      </c>
      <c r="J184" s="1288"/>
      <c r="K184" s="1289"/>
      <c r="L184" s="3283" t="s">
        <v>4267</v>
      </c>
      <c r="M184" s="409" t="s">
        <v>4171</v>
      </c>
      <c r="N184" s="2538" cm="1">
        <f t="array" ref="N184">INDEX('4층_부하량'!$F$3:$F$3000,MATCH(1,("4-DaHall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11001</v>
      </c>
    </row>
    <row r="185" spans="1:20" s="350" customFormat="1" ht="17.399999999999999" x14ac:dyDescent="0.25">
      <c r="A185" s="390" t="s">
        <v>11002</v>
      </c>
      <c r="B185" s="382" t="s">
        <v>5562</v>
      </c>
      <c r="C185" s="383" t="s">
        <v>4149</v>
      </c>
      <c r="D185" s="381"/>
      <c r="E185" s="2538" cm="1">
        <f t="array" ref="E185">INDEX('4층_부하량'!$G$3:$G$3000,MATCH(1,("4-DaHall 1-PDU-14"='4층_부하량'!$A$3:$A$3000)*(33='4층_부하량'!$B$3:$B$3000),0))</f>
        <v>0</v>
      </c>
      <c r="F185" s="381"/>
      <c r="G185" s="411"/>
      <c r="H185" s="1287" t="s">
        <v>4171</v>
      </c>
      <c r="I185" s="3282" t="s">
        <v>4270</v>
      </c>
      <c r="J185" s="1288"/>
      <c r="K185" s="1289"/>
      <c r="L185" s="3283" t="s">
        <v>4271</v>
      </c>
      <c r="M185" s="409" t="s">
        <v>4171</v>
      </c>
      <c r="N185" s="381"/>
      <c r="O185" s="2538" cm="1">
        <f t="array" ref="O185">INDEX('4층_부하량'!$G$3:$G$3000,MATCH(1,("4-DaHall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11003</v>
      </c>
    </row>
    <row r="186" spans="1:20" s="350" customFormat="1" ht="17.399999999999999" x14ac:dyDescent="0.25">
      <c r="A186" s="390" t="s">
        <v>11004</v>
      </c>
      <c r="B186" s="382" t="s">
        <v>5562</v>
      </c>
      <c r="C186" s="383" t="s">
        <v>4149</v>
      </c>
      <c r="D186" s="381"/>
      <c r="E186" s="381"/>
      <c r="F186" s="2538" cm="1">
        <f t="array" ref="F186">INDEX('4층_부하량'!$H$3:$H$3000,MATCH(1,("4-DaHall 1-PDU-14"='4층_부하량'!$A$3:$A$3000)*(35='4층_부하량'!$B$3:$B$3000),0))</f>
        <v>0</v>
      </c>
      <c r="G186" s="411"/>
      <c r="H186" s="1287" t="s">
        <v>4171</v>
      </c>
      <c r="I186" s="3282" t="s">
        <v>4274</v>
      </c>
      <c r="J186" s="1288"/>
      <c r="K186" s="1289"/>
      <c r="L186" s="3283" t="s">
        <v>4276</v>
      </c>
      <c r="M186" s="409" t="s">
        <v>4171</v>
      </c>
      <c r="N186" s="381"/>
      <c r="O186" s="381"/>
      <c r="P186" s="2538" cm="1">
        <f t="array" ref="P186">INDEX('4층_부하량'!$H$3:$H$3000,MATCH(1,("4-DaHall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11005</v>
      </c>
    </row>
    <row r="187" spans="1:20" s="350" customFormat="1" ht="17.399999999999999" x14ac:dyDescent="0.25">
      <c r="A187" s="390" t="s">
        <v>11006</v>
      </c>
      <c r="B187" s="382" t="s">
        <v>5562</v>
      </c>
      <c r="C187" s="383" t="s">
        <v>4149</v>
      </c>
      <c r="D187" s="2538" cm="1">
        <f t="array" ref="D187">INDEX('4층_부하량'!$F$3:$F$3000,MATCH(1,("4-DaHall 1-PDU-14"='4층_부하량'!$A$3:$A$3000)*(37='4층_부하량'!$B$3:$B$3000),0))</f>
        <v>0</v>
      </c>
      <c r="E187" s="381"/>
      <c r="F187" s="381"/>
      <c r="G187" s="411"/>
      <c r="H187" s="1287" t="s">
        <v>4171</v>
      </c>
      <c r="I187" s="3282" t="s">
        <v>4279</v>
      </c>
      <c r="J187" s="1288"/>
      <c r="K187" s="1289"/>
      <c r="L187" s="3283" t="s">
        <v>4280</v>
      </c>
      <c r="M187" s="409" t="s">
        <v>4171</v>
      </c>
      <c r="N187" s="2538" cm="1">
        <f t="array" ref="N187">INDEX('4층_부하량'!$F$3:$F$3000,MATCH(1,("4-DaHall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11007</v>
      </c>
    </row>
    <row r="188" spans="1:20" s="350" customFormat="1" ht="17.399999999999999" x14ac:dyDescent="0.25">
      <c r="A188" s="390" t="s">
        <v>11008</v>
      </c>
      <c r="B188" s="382" t="s">
        <v>5562</v>
      </c>
      <c r="C188" s="383" t="s">
        <v>4149</v>
      </c>
      <c r="D188" s="381"/>
      <c r="E188" s="2538" cm="1">
        <f t="array" ref="E188">INDEX('4층_부하량'!$G$3:$G$3000,MATCH(1,("4-DaHall 1-PDU-14"='4층_부하량'!$A$3:$A$3000)*(39='4층_부하량'!$B$3:$B$3000),0))</f>
        <v>0</v>
      </c>
      <c r="F188" s="381"/>
      <c r="G188" s="411"/>
      <c r="H188" s="1287" t="s">
        <v>4171</v>
      </c>
      <c r="I188" s="3282" t="s">
        <v>4283</v>
      </c>
      <c r="J188" s="1288"/>
      <c r="K188" s="1289"/>
      <c r="L188" s="3283" t="s">
        <v>4284</v>
      </c>
      <c r="M188" s="409" t="s">
        <v>4171</v>
      </c>
      <c r="N188" s="381"/>
      <c r="O188" s="2538" cm="1">
        <f t="array" ref="O188">INDEX('4층_부하량'!$G$3:$G$3000,MATCH(1,("4-DaHall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11009</v>
      </c>
    </row>
    <row r="189" spans="1:20" s="350" customFormat="1" ht="17.399999999999999" x14ac:dyDescent="0.25">
      <c r="A189" s="390" t="s">
        <v>11010</v>
      </c>
      <c r="B189" s="382" t="s">
        <v>5562</v>
      </c>
      <c r="C189" s="383" t="s">
        <v>4149</v>
      </c>
      <c r="D189" s="381"/>
      <c r="E189" s="381"/>
      <c r="F189" s="2538" cm="1">
        <f t="array" ref="F189">INDEX('4층_부하량'!$H$3:$H$3000,MATCH(1,("4-DaHall 1-PDU-14"='4층_부하량'!$A$3:$A$3000)*(41='4층_부하량'!$B$3:$B$3000),0))</f>
        <v>0</v>
      </c>
      <c r="G189" s="411"/>
      <c r="H189" s="1287" t="s">
        <v>4171</v>
      </c>
      <c r="I189" s="3282" t="s">
        <v>4628</v>
      </c>
      <c r="J189" s="1288"/>
      <c r="K189" s="1289"/>
      <c r="L189" s="3283" t="s">
        <v>4416</v>
      </c>
      <c r="M189" s="409" t="s">
        <v>4171</v>
      </c>
      <c r="N189" s="381"/>
      <c r="O189" s="381"/>
      <c r="P189" s="2538" cm="1">
        <f t="array" ref="P189">INDEX('4층_부하량'!$H$3:$H$3000,MATCH(1,("4-DaHall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11011</v>
      </c>
    </row>
    <row r="190" spans="1:20" s="350" customFormat="1" ht="17.399999999999999" x14ac:dyDescent="0.25">
      <c r="A190" s="390" t="s">
        <v>11012</v>
      </c>
      <c r="B190" s="382" t="s">
        <v>5562</v>
      </c>
      <c r="C190" s="383" t="s">
        <v>4149</v>
      </c>
      <c r="D190" s="2538" cm="1">
        <f t="array" ref="D190">INDEX('4층_부하량'!$F$3:$F$3000,MATCH(1,("4-DaHall 1-PDU-14"='4층_부하량'!$A$3:$A$3000)*(43='4층_부하량'!$B$3:$B$3000),0))</f>
        <v>0</v>
      </c>
      <c r="E190" s="381"/>
      <c r="F190" s="381"/>
      <c r="G190" s="411"/>
      <c r="H190" s="1287" t="s">
        <v>4171</v>
      </c>
      <c r="I190" s="3282" t="s">
        <v>4418</v>
      </c>
      <c r="J190" s="1288"/>
      <c r="K190" s="1289"/>
      <c r="L190" s="3283" t="s">
        <v>4419</v>
      </c>
      <c r="M190" s="409" t="s">
        <v>4171</v>
      </c>
      <c r="N190" s="2538" cm="1">
        <f t="array" ref="N190">INDEX('4층_부하량'!$F$3:$F$3000,MATCH(1,("4-DaHall 1-PDU-14"='4층_부하량'!$A$3:$A$3000)*(44='4층_부하량'!$B$3:$B$3000),0))</f>
        <v>0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7.399999999999999" x14ac:dyDescent="0.25">
      <c r="A191" s="390"/>
      <c r="B191" s="1286" t="s">
        <v>535</v>
      </c>
      <c r="C191" s="1287" t="s">
        <v>4296</v>
      </c>
      <c r="D191" s="381"/>
      <c r="E191" s="2538" cm="1">
        <f t="array" ref="E191">INDEX('4층_부하량'!$G$3:$G$3000,MATCH(1,("4-DaHall 1-PDU-14"='4층_부하량'!$A$3:$A$3000)*(45='4층_부하량'!$B$3:$B$3000),0))</f>
        <v>0</v>
      </c>
      <c r="F191" s="381"/>
      <c r="G191" s="411"/>
      <c r="H191" s="1287" t="s">
        <v>4171</v>
      </c>
      <c r="I191" s="3282" t="s">
        <v>4420</v>
      </c>
      <c r="J191" s="1288"/>
      <c r="K191" s="1289"/>
      <c r="L191" s="3283" t="s">
        <v>4421</v>
      </c>
      <c r="M191" s="409" t="s">
        <v>4171</v>
      </c>
      <c r="N191" s="381"/>
      <c r="O191" s="2538" cm="1">
        <f t="array" ref="O191">INDEX('4층_부하량'!$G$3:$G$3000,MATCH(1,("4-DaHall 1-PDU-14"='4층_부하량'!$A$3:$A$3000)*(46='4층_부하량'!$B$3:$B$3000),0))</f>
        <v>0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7.399999999999999" x14ac:dyDescent="0.25">
      <c r="A192" s="390"/>
      <c r="B192" s="1286" t="s">
        <v>535</v>
      </c>
      <c r="C192" s="1287" t="s">
        <v>4296</v>
      </c>
      <c r="D192" s="381"/>
      <c r="E192" s="381"/>
      <c r="F192" s="2538" cm="1">
        <f t="array" ref="F192">INDEX('4층_부하량'!$H$3:$H$3000,MATCH(1,("4-DaHall 1-PDU-14"='4층_부하량'!$A$3:$A$3000)*(47='4층_부하량'!$B$3:$B$3000),0))</f>
        <v>0</v>
      </c>
      <c r="G192" s="411"/>
      <c r="H192" s="1287" t="s">
        <v>4171</v>
      </c>
      <c r="I192" s="3282" t="s">
        <v>4422</v>
      </c>
      <c r="J192" s="1288"/>
      <c r="K192" s="1289"/>
      <c r="L192" s="3283" t="s">
        <v>4423</v>
      </c>
      <c r="M192" s="409" t="s">
        <v>4171</v>
      </c>
      <c r="N192" s="381"/>
      <c r="O192" s="381"/>
      <c r="P192" s="2538" cm="1">
        <f t="array" ref="P192">INDEX('4층_부하량'!$H$3:$H$3000,MATCH(1,("4-DaHall 1-PDU-14"='4층_부하량'!$A$3:$A$3000)*(48='4층_부하량'!$B$3:$B$3000),0))</f>
        <v>0</v>
      </c>
      <c r="Q192" s="411"/>
      <c r="R192" s="1286" t="s">
        <v>535</v>
      </c>
      <c r="S192" s="1287" t="s">
        <v>4296</v>
      </c>
      <c r="T192" s="407"/>
    </row>
    <row r="193" spans="1:20" s="350" customFormat="1" ht="17.399999999999999" x14ac:dyDescent="0.25">
      <c r="A193" s="390"/>
      <c r="B193" s="1286" t="s">
        <v>535</v>
      </c>
      <c r="C193" s="1287" t="s">
        <v>4296</v>
      </c>
      <c r="D193" s="2538" cm="1">
        <f t="array" ref="D193">INDEX('4층_부하량'!$F$3:$F$3000,MATCH(1,("4-DaHall 1-PDU-14"='4층_부하량'!$A$3:$A$3000)*(49='4층_부하량'!$B$3:$B$3000),0))</f>
        <v>0</v>
      </c>
      <c r="E193" s="381"/>
      <c r="F193" s="381"/>
      <c r="G193" s="411"/>
      <c r="H193" s="1287" t="s">
        <v>4171</v>
      </c>
      <c r="I193" s="3282" t="s">
        <v>4360</v>
      </c>
      <c r="J193" s="1288"/>
      <c r="K193" s="1289"/>
      <c r="L193" s="3283" t="s">
        <v>4362</v>
      </c>
      <c r="M193" s="409" t="s">
        <v>4171</v>
      </c>
      <c r="N193" s="2538" cm="1">
        <f t="array" ref="N193">INDEX('4층_부하량'!$F$3:$F$3000,MATCH(1,("4-DaHall 1-PDU-14"='4층_부하량'!$A$3:$A$3000)*(50='4층_부하량'!$B$3:$B$3000),0))</f>
        <v>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7.399999999999999" x14ac:dyDescent="0.25">
      <c r="A194" s="390"/>
      <c r="B194" s="1286" t="s">
        <v>535</v>
      </c>
      <c r="C194" s="1287" t="s">
        <v>4296</v>
      </c>
      <c r="D194" s="381"/>
      <c r="E194" s="2538" cm="1">
        <f t="array" ref="E194">INDEX('4층_부하량'!$G$3:$G$3000,MATCH(1,("4-DaHall 1-PDU-14"='4층_부하량'!$A$3:$A$3000)*(51='4층_부하량'!$B$3:$B$3000),0))</f>
        <v>0</v>
      </c>
      <c r="F194" s="381"/>
      <c r="G194" s="411"/>
      <c r="H194" s="1287" t="s">
        <v>4171</v>
      </c>
      <c r="I194" s="3282" t="s">
        <v>4364</v>
      </c>
      <c r="J194" s="1288"/>
      <c r="K194" s="1289"/>
      <c r="L194" s="3283" t="s">
        <v>4366</v>
      </c>
      <c r="M194" s="409" t="s">
        <v>4171</v>
      </c>
      <c r="N194" s="381"/>
      <c r="O194" s="2538" cm="1">
        <f t="array" ref="O194">INDEX('4층_부하량'!$G$3:$G$3000,MATCH(1,("4-DaHall 1-PDU-14"='4층_부하량'!$A$3:$A$3000)*(52='4층_부하량'!$B$3:$B$3000),0))</f>
        <v>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8" thickBot="1" x14ac:dyDescent="0.3">
      <c r="A195" s="3287"/>
      <c r="B195" s="3288" t="s">
        <v>535</v>
      </c>
      <c r="C195" s="3289" t="s">
        <v>4296</v>
      </c>
      <c r="D195" s="427"/>
      <c r="E195" s="427"/>
      <c r="F195" s="2539" cm="1">
        <f t="array" ref="F195">INDEX('4층_부하량'!$H$3:$H$3000,MATCH(1,("4-DaHall 1-PDU-14"='4층_부하량'!$A$3:$A$3000)*(53='4층_부하량'!$B$3:$B$3000),0))</f>
        <v>0</v>
      </c>
      <c r="G195" s="427"/>
      <c r="H195" s="3289" t="s">
        <v>4171</v>
      </c>
      <c r="I195" s="3284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9" cm="1">
        <f t="array" ref="P195">INDEX('4층_부하량'!$H$3:$H$3000,MATCH(1,("4-DaHall 1-PDU-14"='4층_부하량'!$A$3:$A$3000)*(54='4층_부하량'!$B$3:$B$3000),0))</f>
        <v>0</v>
      </c>
      <c r="Q195" s="427"/>
      <c r="R195" s="3288" t="s">
        <v>535</v>
      </c>
      <c r="S195" s="3289" t="s">
        <v>4296</v>
      </c>
      <c r="T195" s="432"/>
    </row>
    <row r="196" spans="1:20" s="350" customFormat="1" ht="18.600000000000001" thickTop="1" thickBot="1" x14ac:dyDescent="0.3">
      <c r="L196" s="3285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 x14ac:dyDescent="0.3">
      <c r="A197" s="2" t="s">
        <v>10853</v>
      </c>
      <c r="D197" s="3970" t="s">
        <v>11013</v>
      </c>
      <c r="E197" s="3976"/>
      <c r="F197" s="3266"/>
      <c r="G197" s="3981"/>
      <c r="H197" s="3981"/>
      <c r="I197" s="3981"/>
      <c r="K197" s="2" t="s">
        <v>10854</v>
      </c>
      <c r="N197" s="3970" t="s">
        <v>11013</v>
      </c>
      <c r="O197" s="3976"/>
      <c r="P197" s="3266"/>
      <c r="Q197" s="3981"/>
      <c r="R197" s="3981"/>
      <c r="S197" s="3981"/>
    </row>
    <row r="198" spans="1:20" ht="18" thickTop="1" thickBot="1" x14ac:dyDescent="0.3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.6" thickTop="1" thickBot="1" x14ac:dyDescent="0.3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 x14ac:dyDescent="0.25">
      <c r="A200" s="10" t="s">
        <v>11014</v>
      </c>
      <c r="B200" s="17" t="s">
        <v>4204</v>
      </c>
      <c r="C200" s="18" t="s">
        <v>4149</v>
      </c>
      <c r="D200" s="2528" cm="1">
        <f t="array" ref="D200">INDEX('4층_부하량'!$F$3:$F$3000,MATCH(1,("4-DaHall 1-RPP-01"='4층_부하량'!$A$3:$A$3000)*(1='4층_부하량'!$B$3:$B$3000),0))</f>
        <v>0</v>
      </c>
      <c r="E200" s="2528" cm="1">
        <f t="array" ref="E200">INDEX('4층_부하량'!$G$3:$G$3000,MATCH(1,("4-DaHall 1-RPP-01"='4층_부하량'!$A$3:$A$3000)*(1='4층_부하량'!$B$3:$B$3000),0))</f>
        <v>0</v>
      </c>
      <c r="F200" s="2528" cm="1">
        <f t="array" ref="F200">INDEX('4층_부하량'!$H$3:$H$3000,MATCH(1,("4-DaHall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11015</v>
      </c>
      <c r="L200" s="17" t="s">
        <v>4204</v>
      </c>
      <c r="M200" s="18" t="s">
        <v>4149</v>
      </c>
      <c r="N200" s="2528" cm="1">
        <f t="array" ref="N200">INDEX('4층_부하량'!$F$3:$F$3000,MATCH(1,("4-DaHall 1-RPP-02"='4층_부하량'!$A$3:$A$3000)*(1='4층_부하량'!$B$3:$B$3000),0))</f>
        <v>0</v>
      </c>
      <c r="O200" s="2528" cm="1">
        <f t="array" ref="O200">INDEX('4층_부하량'!$G$3:$G$3000,MATCH(1,("4-DaHall 1-RPP-02"='4층_부하량'!$A$3:$A$3000)*(1='4층_부하량'!$B$3:$B$3000),0))</f>
        <v>0</v>
      </c>
      <c r="P200" s="2528" cm="1">
        <f t="array" ref="P200">INDEX('4층_부하량'!$H$3:$H$3000,MATCH(1,("4-DaHall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 x14ac:dyDescent="0.25">
      <c r="A201" s="16" t="s">
        <v>11016</v>
      </c>
      <c r="B201" s="17" t="s">
        <v>4204</v>
      </c>
      <c r="C201" s="18" t="s">
        <v>4149</v>
      </c>
      <c r="D201" s="2529" cm="1">
        <f t="array" ref="D201">INDEX('4층_부하량'!$F$3:$F$3000,MATCH(1,("4-DaHall 1-RPP-01"='4층_부하량'!$A$3:$A$3000)*(2='4층_부하량'!$B$3:$B$3000),0))</f>
        <v>0</v>
      </c>
      <c r="E201" s="2529" cm="1">
        <f t="array" ref="E201">INDEX('4층_부하량'!$G$3:$G$3000,MATCH(1,("4-DaHall 1-RPP-01"='4층_부하량'!$A$3:$A$3000)*(2='4층_부하량'!$B$3:$B$3000),0))</f>
        <v>0</v>
      </c>
      <c r="F201" s="2529" cm="1">
        <f t="array" ref="F201">INDEX('4층_부하량'!$H$3:$H$3000,MATCH(1,("4-DaHall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16" t="s">
        <v>11017</v>
      </c>
      <c r="L201" s="17" t="s">
        <v>4204</v>
      </c>
      <c r="M201" s="18" t="s">
        <v>4149</v>
      </c>
      <c r="N201" s="2529" cm="1">
        <f t="array" ref="N201">INDEX('4층_부하량'!$F$3:$F$3000,MATCH(1,("4-DaHall 1-RPP-02"='4층_부하량'!$A$3:$A$3000)*(2='4층_부하량'!$B$3:$B$3000),0))</f>
        <v>0</v>
      </c>
      <c r="O201" s="2529" cm="1">
        <f t="array" ref="O201">INDEX('4층_부하량'!$G$3:$G$3000,MATCH(1,("4-DaHall 1-RPP-02"='4층_부하량'!$A$3:$A$3000)*(2='4층_부하량'!$B$3:$B$3000),0))</f>
        <v>0</v>
      </c>
      <c r="P201" s="2529" cm="1">
        <f t="array" ref="P201">INDEX('4층_부하량'!$H$3:$H$3000,MATCH(1,("4-DaHall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 x14ac:dyDescent="0.25">
      <c r="A202" s="22" t="s">
        <v>11018</v>
      </c>
      <c r="B202" s="17" t="s">
        <v>4204</v>
      </c>
      <c r="C202" s="18" t="s">
        <v>4149</v>
      </c>
      <c r="D202" s="2529" cm="1">
        <f t="array" ref="D202">INDEX('4층_부하량'!$F$3:$F$3000,MATCH(1,("4-DaHall 1-RPP-01"='4층_부하량'!$A$3:$A$3000)*(3='4층_부하량'!$B$3:$B$3000),0))</f>
        <v>0</v>
      </c>
      <c r="E202" s="2529" cm="1">
        <f t="array" ref="E202">INDEX('4층_부하량'!$G$3:$G$3000,MATCH(1,("4-DaHall 1-RPP-01"='4층_부하량'!$A$3:$A$3000)*(3='4층_부하량'!$B$3:$B$3000),0))</f>
        <v>0</v>
      </c>
      <c r="F202" s="2529" cm="1">
        <f t="array" ref="F202">INDEX('4층_부하량'!$H$3:$H$3000,MATCH(1,("4-DaHall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22" t="s">
        <v>11019</v>
      </c>
      <c r="L202" s="17" t="s">
        <v>4204</v>
      </c>
      <c r="M202" s="18" t="s">
        <v>4149</v>
      </c>
      <c r="N202" s="2529" cm="1">
        <f t="array" ref="N202">INDEX('4층_부하량'!$F$3:$F$3000,MATCH(1,("4-DaHall 1-RPP-02"='4층_부하량'!$A$3:$A$3000)*(3='4층_부하량'!$B$3:$B$3000),0))</f>
        <v>0</v>
      </c>
      <c r="O202" s="2529" cm="1">
        <f t="array" ref="O202">INDEX('4층_부하량'!$G$3:$G$3000,MATCH(1,("4-DaHall 1-RPP-02"='4층_부하량'!$A$3:$A$3000)*(3='4층_부하량'!$B$3:$B$3000),0))</f>
        <v>0</v>
      </c>
      <c r="P202" s="2529" cm="1">
        <f t="array" ref="P202">INDEX('4층_부하량'!$H$3:$H$3000,MATCH(1,("4-DaHall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 x14ac:dyDescent="0.25">
      <c r="A203" s="22" t="s">
        <v>11020</v>
      </c>
      <c r="B203" s="17" t="s">
        <v>4204</v>
      </c>
      <c r="C203" s="18" t="s">
        <v>4149</v>
      </c>
      <c r="D203" s="2529" cm="1">
        <f t="array" ref="D203">INDEX('4층_부하량'!$F$3:$F$3000,MATCH(1,("4-DaHall 1-RPP-01"='4층_부하량'!$A$3:$A$3000)*(4='4층_부하량'!$B$3:$B$3000),0))</f>
        <v>0</v>
      </c>
      <c r="E203" s="2529" cm="1">
        <f t="array" ref="E203">INDEX('4층_부하량'!$G$3:$G$3000,MATCH(1,("4-DaHall 1-RPP-01"='4층_부하량'!$A$3:$A$3000)*(4='4층_부하량'!$B$3:$B$3000),0))</f>
        <v>0</v>
      </c>
      <c r="F203" s="2529" cm="1">
        <f t="array" ref="F203">INDEX('4층_부하량'!$H$3:$H$3000,MATCH(1,("4-DaHall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22" t="s">
        <v>11021</v>
      </c>
      <c r="L203" s="17" t="s">
        <v>4204</v>
      </c>
      <c r="M203" s="18" t="s">
        <v>4149</v>
      </c>
      <c r="N203" s="2529" cm="1">
        <f t="array" ref="N203">INDEX('4층_부하량'!$F$3:$F$3000,MATCH(1,("4-DaHall 1-RPP-02"='4층_부하량'!$A$3:$A$3000)*(4='4층_부하량'!$B$3:$B$3000),0))</f>
        <v>0</v>
      </c>
      <c r="O203" s="2529" cm="1">
        <f t="array" ref="O203">INDEX('4층_부하량'!$G$3:$G$3000,MATCH(1,("4-DaHall 1-RPP-02"='4층_부하량'!$A$3:$A$3000)*(4='4층_부하량'!$B$3:$B$3000),0))</f>
        <v>0</v>
      </c>
      <c r="P203" s="2529" cm="1">
        <f t="array" ref="P203">INDEX('4층_부하량'!$H$3:$H$3000,MATCH(1,("4-DaHall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 x14ac:dyDescent="0.25">
      <c r="A204" s="22"/>
      <c r="B204" s="23" t="s">
        <v>535</v>
      </c>
      <c r="C204" s="3290" t="s">
        <v>4296</v>
      </c>
      <c r="D204" s="2529" cm="1">
        <f t="array" ref="D204">INDEX('4층_부하량'!$F$3:$F$3000,MATCH(1,("4-DaHall 1-RPP-01"='4층_부하량'!$A$3:$A$3000)*(5='4층_부하량'!$B$3:$B$3000),0))</f>
        <v>0</v>
      </c>
      <c r="E204" s="2529" cm="1">
        <f t="array" ref="E204">INDEX('4층_부하량'!$G$3:$G$3000,MATCH(1,("4-DaHall 1-RPP-01"='4층_부하량'!$A$3:$A$3000)*(5='4층_부하량'!$B$3:$B$3000),0))</f>
        <v>0</v>
      </c>
      <c r="F204" s="2529" cm="1">
        <f t="array" ref="F204">INDEX('4층_부하량'!$H$3:$H$3000,MATCH(1,("4-DaHall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90" t="s">
        <v>4296</v>
      </c>
      <c r="N204" s="2529" cm="1">
        <f t="array" ref="N204">INDEX('4층_부하량'!$F$3:$F$3000,MATCH(1,("4-DaHall 1-RPP-02"='4층_부하량'!$A$3:$A$3000)*(5='4층_부하량'!$B$3:$B$3000),0))</f>
        <v>0</v>
      </c>
      <c r="O204" s="2529" cm="1">
        <f t="array" ref="O204">INDEX('4층_부하량'!$G$3:$G$3000,MATCH(1,("4-DaHall 1-RPP-02"='4층_부하량'!$A$3:$A$3000)*(5='4층_부하량'!$B$3:$B$3000),0))</f>
        <v>0</v>
      </c>
      <c r="P204" s="2529" cm="1">
        <f t="array" ref="P204">INDEX('4층_부하량'!$H$3:$H$3000,MATCH(1,("4-DaHall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 x14ac:dyDescent="0.25">
      <c r="A205" s="22"/>
      <c r="B205" s="17" t="s">
        <v>535</v>
      </c>
      <c r="C205" s="1402" t="s">
        <v>4296</v>
      </c>
      <c r="D205" s="2529" cm="1">
        <f t="array" ref="D205">INDEX('4층_부하량'!$F$3:$F$3000,MATCH(1,("4-DaHall 1-RPP-01"='4층_부하량'!$A$3:$A$3000)*(6='4층_부하량'!$B$3:$B$3000),0))</f>
        <v>0</v>
      </c>
      <c r="E205" s="2529" cm="1">
        <f t="array" ref="E205">INDEX('4층_부하량'!$G$3:$G$3000,MATCH(1,("4-DaHall 1-RPP-01"='4층_부하량'!$A$3:$A$3000)*(6='4층_부하량'!$B$3:$B$3000),0))</f>
        <v>0</v>
      </c>
      <c r="F205" s="2529" cm="1">
        <f t="array" ref="F205">INDEX('4층_부하량'!$H$3:$H$3000,MATCH(1,("4-DaHall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9" cm="1">
        <f t="array" ref="N205">INDEX('4층_부하량'!$F$3:$F$3000,MATCH(1,("4-DaHall 1-RPP-02"='4층_부하량'!$A$3:$A$3000)*(6='4층_부하량'!$B$3:$B$3000),0))</f>
        <v>0</v>
      </c>
      <c r="O205" s="2529" cm="1">
        <f t="array" ref="O205">INDEX('4층_부하량'!$G$3:$G$3000,MATCH(1,("4-DaHall 1-RPP-02"='4층_부하량'!$A$3:$A$3000)*(6='4층_부하량'!$B$3:$B$3000),0))</f>
        <v>0</v>
      </c>
      <c r="P205" s="2529" cm="1">
        <f t="array" ref="P205">INDEX('4층_부하량'!$H$3:$H$3000,MATCH(1,("4-DaHall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 x14ac:dyDescent="0.25">
      <c r="A206" s="22"/>
      <c r="B206" s="23" t="s">
        <v>535</v>
      </c>
      <c r="C206" s="3290" t="s">
        <v>4296</v>
      </c>
      <c r="D206" s="2529" cm="1">
        <f t="array" ref="D206">INDEX('4층_부하량'!$F$3:$F$3000,MATCH(1,("4-DaHall 1-RPP-01"='4층_부하량'!$A$3:$A$3000)*(7='4층_부하량'!$B$3:$B$3000),0))</f>
        <v>0</v>
      </c>
      <c r="E206" s="2529" cm="1">
        <f t="array" ref="E206">INDEX('4층_부하량'!$G$3:$G$3000,MATCH(1,("4-DaHall 1-RPP-01"='4층_부하량'!$A$3:$A$3000)*(7='4층_부하량'!$B$3:$B$3000),0))</f>
        <v>0</v>
      </c>
      <c r="F206" s="2529" cm="1">
        <f t="array" ref="F206">INDEX('4층_부하량'!$H$3:$H$3000,MATCH(1,("4-DaHall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90" t="s">
        <v>4296</v>
      </c>
      <c r="N206" s="2529" cm="1">
        <f t="array" ref="N206">INDEX('4층_부하량'!$F$3:$F$3000,MATCH(1,("4-DaHall 1-RPP-02"='4층_부하량'!$A$3:$A$3000)*(7='4층_부하량'!$B$3:$B$3000),0))</f>
        <v>0</v>
      </c>
      <c r="O206" s="2529" cm="1">
        <f t="array" ref="O206">INDEX('4층_부하량'!$G$3:$G$3000,MATCH(1,("4-DaHall 1-RPP-02"='4층_부하량'!$A$3:$A$3000)*(7='4층_부하량'!$B$3:$B$3000),0))</f>
        <v>0</v>
      </c>
      <c r="P206" s="2529" cm="1">
        <f t="array" ref="P206">INDEX('4층_부하량'!$H$3:$H$3000,MATCH(1,("4-DaHall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 x14ac:dyDescent="0.3">
      <c r="A207" s="34"/>
      <c r="B207" s="35" t="s">
        <v>535</v>
      </c>
      <c r="C207" s="3291" t="s">
        <v>4296</v>
      </c>
      <c r="D207" s="3292" cm="1">
        <f t="array" ref="D207">INDEX('4층_부하량'!$F$3:$F$3000,MATCH(1,("4-DaHall 1-RPP-01"='4층_부하량'!$A$3:$A$3000)*(8='4층_부하량'!$B$3:$B$3000),0))</f>
        <v>0</v>
      </c>
      <c r="E207" s="3292" cm="1">
        <f t="array" ref="E207">INDEX('4층_부하량'!$G$3:$G$3000,MATCH(1,("4-DaHall 1-RPP-01"='4층_부하량'!$A$3:$A$3000)*(8='4층_부하량'!$B$3:$B$3000),0))</f>
        <v>0</v>
      </c>
      <c r="F207" s="3292" cm="1">
        <f t="array" ref="F207">INDEX('4층_부하량'!$H$3:$H$3000,MATCH(1,("4-DaHall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91" t="s">
        <v>4296</v>
      </c>
      <c r="N207" s="3292" cm="1">
        <f t="array" ref="N207">INDEX('4층_부하량'!$F$3:$F$3000,MATCH(1,("4-DaHall 1-RPP-02"='4층_부하량'!$A$3:$A$3000)*(8='4층_부하량'!$B$3:$B$3000),0))</f>
        <v>0</v>
      </c>
      <c r="O207" s="3292" cm="1">
        <f t="array" ref="O207">INDEX('4층_부하량'!$G$3:$G$3000,MATCH(1,("4-DaHall 1-RPP-02"='4층_부하량'!$A$3:$A$3000)*(8='4층_부하량'!$B$3:$B$3000),0))</f>
        <v>0</v>
      </c>
      <c r="P207" s="3292" cm="1">
        <f t="array" ref="P207">INDEX('4층_부하량'!$H$3:$H$3000,MATCH(1,("4-DaHall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 x14ac:dyDescent="0.25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 x14ac:dyDescent="0.25">
      <c r="E210" t="s">
        <v>4542</v>
      </c>
      <c r="F210" t="s">
        <v>5878</v>
      </c>
    </row>
    <row r="211" spans="1:21" x14ac:dyDescent="0.25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211" s="51" t="e">
        <f>E211/$E$215</f>
        <v>#DIV/0!</v>
      </c>
    </row>
    <row r="212" spans="1:21" x14ac:dyDescent="0.25">
      <c r="B212" s="50" t="s">
        <v>5880</v>
      </c>
      <c r="C212" s="50" t="s">
        <v>5881</v>
      </c>
      <c r="D212" s="50"/>
      <c r="E212" s="33">
        <f>SUM(D73,N28)</f>
        <v>0</v>
      </c>
      <c r="F212" s="51" t="e">
        <f>E212/$E$215</f>
        <v>#DIV/0!</v>
      </c>
      <c r="N212" s="33"/>
    </row>
    <row r="213" spans="1:21" x14ac:dyDescent="0.25">
      <c r="B213" s="50" t="s">
        <v>4239</v>
      </c>
      <c r="C213" s="50" t="s">
        <v>5881</v>
      </c>
      <c r="D213" s="50"/>
      <c r="E213" s="33"/>
      <c r="F213" s="51"/>
    </row>
    <row r="214" spans="1:21" x14ac:dyDescent="0.25">
      <c r="B214" s="50" t="s">
        <v>5880</v>
      </c>
      <c r="C214" s="50" t="s">
        <v>5882</v>
      </c>
      <c r="D214" s="50"/>
      <c r="E214" s="33">
        <f>SUM(F51,E50,D49,N39,P38,O37,N36,N35:P35,P9,O8,N7,D10,F9,E8,D7,D6:F6)</f>
        <v>0</v>
      </c>
      <c r="F214" s="51" t="e">
        <f>E214/$E$215</f>
        <v>#DIV/0!</v>
      </c>
    </row>
    <row r="215" spans="1:21" x14ac:dyDescent="0.25">
      <c r="A215" t="s">
        <v>5883</v>
      </c>
      <c r="B215" s="50"/>
      <c r="C215" s="50"/>
      <c r="E215" s="33">
        <f>SUM(E211:E214)</f>
        <v>0</v>
      </c>
      <c r="F215" s="52" t="e">
        <f>SUM(F211:F214)</f>
        <v>#DIV/0!</v>
      </c>
    </row>
    <row r="216" spans="1:21" ht="15" thickBot="1" x14ac:dyDescent="0.3"/>
    <row r="217" spans="1:21" ht="18.600000000000001" thickTop="1" thickBot="1" x14ac:dyDescent="0.3">
      <c r="A217" s="2" t="s">
        <v>5884</v>
      </c>
      <c r="D217" s="53"/>
      <c r="E217" s="53"/>
      <c r="F217" s="53"/>
      <c r="G217" s="53"/>
      <c r="H217" s="123"/>
      <c r="I217" s="123"/>
      <c r="J217" s="3970" t="s">
        <v>5885</v>
      </c>
      <c r="K217" s="3976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 x14ac:dyDescent="0.3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.6" thickTop="1" thickBot="1" x14ac:dyDescent="0.3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 x14ac:dyDescent="0.25">
      <c r="A220" s="122" t="s">
        <v>5886</v>
      </c>
      <c r="B220" s="17" t="s">
        <v>4204</v>
      </c>
      <c r="C220" s="18" t="s">
        <v>4149</v>
      </c>
      <c r="D220" s="2528"/>
      <c r="E220" s="2528"/>
      <c r="F220" s="2528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8"/>
      <c r="N220" s="2528"/>
      <c r="O220" s="2528"/>
      <c r="P220" s="306"/>
      <c r="Q220" s="17" t="s">
        <v>4204</v>
      </c>
      <c r="R220" s="18" t="s">
        <v>4149</v>
      </c>
      <c r="S220" s="859"/>
      <c r="T220" s="97"/>
    </row>
    <row r="221" spans="1:21" ht="17.399999999999999" x14ac:dyDescent="0.25">
      <c r="A221" s="106" t="s">
        <v>5888</v>
      </c>
      <c r="B221" s="17" t="s">
        <v>4204</v>
      </c>
      <c r="C221" s="18" t="s">
        <v>4149</v>
      </c>
      <c r="D221" s="2529"/>
      <c r="E221" s="2529"/>
      <c r="F221" s="2529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9"/>
      <c r="N221" s="2529"/>
      <c r="O221" s="2529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 x14ac:dyDescent="0.3">
      <c r="A222" s="108" t="s">
        <v>5889</v>
      </c>
      <c r="B222" s="35" t="s">
        <v>4204</v>
      </c>
      <c r="C222" s="39" t="s">
        <v>4149</v>
      </c>
      <c r="D222" s="2530"/>
      <c r="E222" s="2530"/>
      <c r="F222" s="2530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30"/>
      <c r="N222" s="2530"/>
      <c r="O222" s="2530"/>
      <c r="P222" s="312"/>
      <c r="Q222" s="35" t="s">
        <v>4164</v>
      </c>
      <c r="R222" s="35" t="s">
        <v>4215</v>
      </c>
      <c r="S222" s="545"/>
      <c r="T222" s="78"/>
    </row>
    <row r="223" spans="1:21" ht="15" thickTop="1" x14ac:dyDescent="0.25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 x14ac:dyDescent="0.25"/>
  </sheetData>
  <mergeCells count="33">
    <mergeCell ref="Q197:S197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239"/>
  <sheetViews>
    <sheetView view="pageBreakPreview" topLeftCell="A178" zoomScale="85" zoomScaleNormal="80" zoomScaleSheetLayoutView="85" workbookViewId="0">
      <selection activeCell="F204" sqref="F204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53"/>
    </row>
    <row r="2" spans="1:22" ht="15" thickBot="1" x14ac:dyDescent="0.3">
      <c r="V2" s="2065"/>
    </row>
    <row r="3" spans="1:22" ht="18.600000000000001" thickTop="1" thickBot="1" x14ac:dyDescent="0.3">
      <c r="A3" s="2" t="s">
        <v>6506</v>
      </c>
      <c r="D3" s="3970" t="s">
        <v>5769</v>
      </c>
      <c r="E3" s="3976"/>
      <c r="F3" s="123"/>
      <c r="G3" s="3969" t="s">
        <v>5770</v>
      </c>
      <c r="H3" s="3969"/>
      <c r="I3" s="3969"/>
      <c r="K3" s="2" t="s">
        <v>6507</v>
      </c>
      <c r="N3" s="3970" t="s">
        <v>5769</v>
      </c>
      <c r="O3" s="3976"/>
      <c r="P3" s="123"/>
      <c r="Q3" s="3969" t="s">
        <v>5772</v>
      </c>
      <c r="R3" s="3969"/>
      <c r="S3" s="3969"/>
    </row>
    <row r="4" spans="1:22" ht="18" thickTop="1" thickBot="1" x14ac:dyDescent="0.3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28" cm="1">
        <f t="array" ref="D6">INDEX('4층_부하량'!I3:I3000,MATCH(1,("4-DaHall 1-PDU-02"='4층_부하량'!A3:A3000)*(1='4층_부하량'!B3:B3000),0))</f>
        <v>0</v>
      </c>
      <c r="E6" s="2528" cm="1">
        <f t="array" ref="E6">INDEX('4층_부하량'!J3:J3000,MATCH(1,("4-DaHall 1-PDU-02"='4층_부하량'!A3:A3000)*(1='4층_부하량'!B3:B3000),0))</f>
        <v>0</v>
      </c>
      <c r="F6" s="2528" cm="1">
        <f t="array" ref="F6">INDEX('4층_부하량'!K3:K3000,MATCH(1,("4-DaHall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8" cm="1">
        <f t="array" ref="N6">INDEX('4층_부하량'!I3:I3000,MATCH(1,("4-DaHall 1-PDU-04"='4층_부하량'!A3:A3000)*(1='4층_부하량'!B3:B3000),0))</f>
        <v>0</v>
      </c>
      <c r="O6" s="2528" cm="1">
        <f t="array" ref="O6">INDEX('4층_부하량'!J3:J3000,MATCH(1,("4-DaHall 1-PDU-04"='4층_부하량'!A3:A3000)*(1='4층_부하량'!B3:B3000),0))</f>
        <v>0</v>
      </c>
      <c r="P6" s="2528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29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9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31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1" cm="1">
        <f t="array" ref="O8">INDEX('4층_부하량'!J3:J3000,MATCH(1,("4-DaHall 1-PDU-04"='4층_부하량'!A3:A3000)*(3='4층_부하량'!B3:B3000),0))</f>
        <v>0</v>
      </c>
      <c r="P8" s="21"/>
      <c r="Q8" s="2554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31" cm="1">
        <f t="array" ref="F9">INDEX('4층_부하량'!K3:K3000,MATCH(1,("4-DaHall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1" cm="1">
        <f t="array" ref="P9">INDEX('4층_부하량'!K3:K3000,MATCH(1,("4-DaHall 1-PDU-04"='4층_부하량'!A3:A3000)*(4='4층_부하량'!B3:B3000),0))</f>
        <v>0</v>
      </c>
      <c r="Q9" s="2554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32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2" cm="1">
        <f t="array" ref="N10">INDEX('4층_부하량'!I3:I3000,MATCH(1,("4-DaHall 1-PDU-04"='4층_부하량'!A3:A3000)*(5='4층_부하량'!B3:B3000),0))</f>
        <v>0</v>
      </c>
      <c r="O10" s="25"/>
      <c r="P10" s="25"/>
      <c r="Q10" s="2555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31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1" cm="1">
        <f t="array" ref="O11">INDEX('4층_부하량'!J3:J3000,MATCH(1,("4-DaHall 1-PDU-04"='4층_부하량'!A3:A3000)*(6='4층_부하량'!B3:B3000),0))</f>
        <v>0</v>
      </c>
      <c r="P11" s="21"/>
      <c r="Q11" s="2554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32" cm="1">
        <f t="array" ref="F12">INDEX('4층_부하량'!K3:K3000,MATCH(1,("4-DaHall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2" cm="1">
        <f t="array" ref="P12">INDEX('4층_부하량'!K3:K3000,MATCH(1,("4-DaHall 1-PDU-04"='4층_부하량'!A3:A3000)*(7='4층_부하량'!B3:B3000),0))</f>
        <v>0</v>
      </c>
      <c r="Q12" s="2555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31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1" cm="1">
        <f t="array" ref="N13">INDEX('4층_부하량'!I3:I3000,MATCH(1,("4-DaHall 1-PDU-04"='4층_부하량'!A3:A3000)*(8='4층_부하량'!B3:B3000),0))</f>
        <v>0</v>
      </c>
      <c r="O13" s="21"/>
      <c r="P13" s="21"/>
      <c r="Q13" s="2554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33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3" cm="1">
        <f t="array" ref="O14">INDEX('4층_부하량'!J3:J3000,MATCH(1,("4-DaHall 1-PDU-04"='4층_부하량'!A3:A3000)*(9='4층_부하량'!B3:B3000),0))</f>
        <v>0</v>
      </c>
      <c r="P14" s="30"/>
      <c r="Q14" s="2556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6508</v>
      </c>
      <c r="D16" s="3970" t="s">
        <v>5769</v>
      </c>
      <c r="E16" s="3976"/>
      <c r="F16" s="123"/>
      <c r="G16" s="3969" t="s">
        <v>5792</v>
      </c>
      <c r="H16" s="3969"/>
      <c r="I16" s="3969"/>
      <c r="K16" s="636" t="s">
        <v>6509</v>
      </c>
      <c r="N16" s="3970" t="s">
        <v>5769</v>
      </c>
      <c r="O16" s="3976"/>
      <c r="P16" s="123"/>
      <c r="Q16" s="3969" t="s">
        <v>5794</v>
      </c>
      <c r="R16" s="3969"/>
      <c r="S16" s="3969"/>
    </row>
    <row r="17" spans="1:20" ht="18" thickTop="1" thickBot="1" x14ac:dyDescent="0.3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28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8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29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9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31" cm="1">
        <f t="array" ref="F21">INDEX('4층_부하량'!K3:K3000,MATCH(1,("4-DaHall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1" cm="1">
        <f t="array" ref="P21">INDEX('4층_부하량'!K3:K3000,MATCH(1,("4-DaHall 1-PDU-08"='4층_부하량'!A3:A3000)*(3='4층_부하량'!B3:B3000),0))</f>
        <v>0</v>
      </c>
      <c r="Q21" s="2554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31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1" cm="1">
        <f t="array" ref="N22">INDEX('4층_부하량'!I3:I3000,MATCH(1,("4-DaHall 1-PDU-08"='4층_부하량'!A3:A3000)*(4='4층_부하량'!B3:B3000),0))</f>
        <v>0</v>
      </c>
      <c r="O22" s="21"/>
      <c r="P22" s="21"/>
      <c r="Q22" s="2554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31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1" cm="1">
        <f t="array" ref="O23">INDEX('4층_부하량'!J3:J3000,MATCH(1,("4-DaHall 1-PDU-08"='4층_부하량'!A3:A3000)*(5='4층_부하량'!B3:B3000),0))</f>
        <v>0</v>
      </c>
      <c r="P23" s="25"/>
      <c r="Q23" s="2555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31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1" cm="1">
        <f t="array" ref="P24">INDEX('4층_부하량'!K3:K3000,MATCH(1,("4-DaHall 1-PDU-08"='4층_부하량'!A3:A3000)*(6='4층_부하량'!B3:B3000),0))</f>
        <v>0</v>
      </c>
      <c r="Q24" s="2554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32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2" cm="1">
        <f t="array" ref="N25">INDEX('4층_부하량'!I3:I3000,MATCH(1,("4-DaHall 1-PDU-08"='4층_부하량'!A3:A3000)*(7='4층_부하량'!B3:B3000),0))</f>
        <v>0</v>
      </c>
      <c r="O25" s="25"/>
      <c r="P25" s="25"/>
      <c r="Q25" s="2555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31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1" cm="1">
        <f t="array" ref="O26">INDEX('4층_부하량'!J3:J3000,MATCH(1,("4-DaHall 1-PDU-08"='4층_부하량'!A3:A3000)*(8='4층_부하량'!B3:B3000),0))</f>
        <v>0</v>
      </c>
      <c r="P26" s="21"/>
      <c r="Q26" s="2554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31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1" cm="1">
        <f t="array" ref="P27">INDEX('4층_부하량'!K3:K3000,MATCH(1,("4-DaHall 1-PDU-08"='4층_부하량'!A3:A3000)*(9='4층_부하량'!B3:B3000),0))</f>
        <v>0</v>
      </c>
      <c r="Q27" s="2554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31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1" cm="1">
        <f t="array" ref="N28">INDEX('4층_부하량'!I3:I3000,MATCH(1,("4-DaHall 1-PDU-08"='4층_부하량'!A3:A3000)*(10='4층_부하량'!B3:B3000),0))</f>
        <v>0</v>
      </c>
      <c r="O28" s="21"/>
      <c r="P28" s="21"/>
      <c r="Q28" s="2554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31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1" cm="1">
        <f t="array" ref="O29">INDEX('4층_부하량'!J3:J3000,MATCH(1,("4-DaHall 1-PDU-08"='4층_부하량'!A3:A3000)*(11='4층_부하량'!B3:B3000),0))</f>
        <v>0</v>
      </c>
      <c r="P29" s="21"/>
      <c r="Q29" s="2554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30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30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6510</v>
      </c>
      <c r="D32" s="3970" t="s">
        <v>5769</v>
      </c>
      <c r="E32" s="3976"/>
      <c r="F32" s="123"/>
      <c r="G32" s="3969" t="s">
        <v>5821</v>
      </c>
      <c r="H32" s="3969"/>
      <c r="I32" s="3969"/>
      <c r="K32" s="2" t="s">
        <v>6511</v>
      </c>
      <c r="N32" s="3970" t="s">
        <v>5769</v>
      </c>
      <c r="O32" s="3976"/>
      <c r="P32" s="123"/>
      <c r="Q32" s="3969" t="s">
        <v>5823</v>
      </c>
      <c r="R32" s="3969"/>
      <c r="S32" s="3969"/>
    </row>
    <row r="33" spans="1:20" ht="18" thickTop="1" thickBot="1" x14ac:dyDescent="0.3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28" cm="1">
        <f t="array" ref="D35">INDEX('4층_부하량'!I3:I3000,MATCH(1,("4-DaHall 1-PDU-10"='4층_부하량'!A3:A3000)*(1='4층_부하량'!B3:B3000),0))</f>
        <v>0</v>
      </c>
      <c r="E35" s="2528" cm="1">
        <f t="array" ref="E35">INDEX('4층_부하량'!J3:J3000,MATCH(1,("4-DaHall 1-PDU-10"='4층_부하량'!A3:A3000)*(1='4층_부하량'!B3:B3000),0))</f>
        <v>0</v>
      </c>
      <c r="F35" s="2528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8" cm="1">
        <f t="array" ref="N35">INDEX('4층_부하량'!I3:I3000,MATCH(1,("4-DaHall 1-PDU-01"='4층_부하량'!A3:A3000)*(1='4층_부하량'!B3:B3000),0))</f>
        <v>0</v>
      </c>
      <c r="O35" s="2528" cm="1">
        <f t="array" ref="O35">INDEX('4층_부하량'!J3:J3000,MATCH(1,("4-DaHall 1-PDU-01"='4층_부하량'!A3:A3000)*(1='4층_부하량'!B3:B3000),0))</f>
        <v>0</v>
      </c>
      <c r="P35" s="2528" cm="1">
        <f t="array" ref="P35">INDEX('4층_부하량'!K3:K3000,MATCH(1,("4-DaHall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29" cm="1">
        <f t="array" ref="D36">INDEX('4층_부하량'!I3:I3000,MATCH(1,("4-DaHall 1-PDU-10"='4층_부하량'!A3:A3000)*(2='4층_부하량'!B3:B3000),0))</f>
        <v>0</v>
      </c>
      <c r="E36" s="2529" cm="1">
        <f t="array" ref="E36">INDEX('4층_부하량'!J3:J3000,MATCH(1,("4-DaHall 1-PDU-10"='4층_부하량'!A3:A3000)*(2='4층_부하량'!B3:B3000),0))</f>
        <v>0</v>
      </c>
      <c r="F36" s="2529" cm="1">
        <f t="array" ref="F36">INDEX('4층_부하량'!K3:K3000,MATCH(1,("4-DaHall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9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30" cm="1">
        <f t="array" ref="D37">INDEX('4층_부하량'!I3:I3000,MATCH(1,("4-DaHall 1-PDU-10"='4층_부하량'!A3:A3000)*(3='4층_부하량'!B3:B3000),0))</f>
        <v>0</v>
      </c>
      <c r="E37" s="2530" cm="1">
        <f t="array" ref="E37">INDEX('4층_부하량'!J3:J3000,MATCH(1,("4-DaHall 1-PDU-10"='4층_부하량'!A3:A3000)*(3='4층_부하량'!B3:B3000),0))</f>
        <v>0</v>
      </c>
      <c r="F37" s="2530" cm="1">
        <f t="array" ref="F37">INDEX('4층_부하량'!K3:K3000,MATCH(1,("4-DaHall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1" cm="1">
        <f t="array" ref="O37">INDEX('4층_부하량'!J3:J3000,MATCH(1,("4-DaHall 1-PDU-01"='4층_부하량'!A3:A3000)*(3='4층_부하량'!B3:B3000),0))</f>
        <v>0</v>
      </c>
      <c r="P37" s="21"/>
      <c r="Q37" s="2554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1" cm="1">
        <f t="array" ref="P38">INDEX('4층_부하량'!K3:K3000,MATCH(1,("4-DaHall 1-PDU-01"='4층_부하량'!A3:A3000)*(4='4층_부하량'!B3:B3000),0))</f>
        <v>0</v>
      </c>
      <c r="Q38" s="2554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2" cm="1">
        <f t="array" ref="N39">INDEX('4층_부하량'!I3:I3000,MATCH(1,("4-DaHall 1-PDU-01"='4층_부하량'!A3:A3000)*(5='4층_부하량'!B3:B3000),0))</f>
        <v>0</v>
      </c>
      <c r="O39" s="25"/>
      <c r="P39" s="25"/>
      <c r="Q39" s="2555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1" cm="1">
        <f t="array" ref="O40">INDEX('4층_부하량'!J3:J3000,MATCH(1,("4-DaHall 1-PDU-01"='4층_부하량'!A3:A3000)*(6='4층_부하량'!B3:B3000),0))</f>
        <v>0</v>
      </c>
      <c r="P40" s="21"/>
      <c r="Q40" s="2554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2" cm="1">
        <f t="array" ref="P41">INDEX('4층_부하량'!K3:K3000,MATCH(1,("4-DaHall 1-PDU-01"='4층_부하량'!A3:A3000)*(7='4층_부하량'!B3:B3000),0))</f>
        <v>0</v>
      </c>
      <c r="Q41" s="2555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1" cm="1">
        <f t="array" ref="N42">INDEX('4층_부하량'!I3:I3000,MATCH(1,("4-DaHall 1-PDU-01"='4층_부하량'!A3:A3000)*(8='4층_부하량'!B3:B3000),0))</f>
        <v>0</v>
      </c>
      <c r="O42" s="21"/>
      <c r="P42" s="21"/>
      <c r="Q42" s="2554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30" cm="1">
        <f t="array" ref="O43">INDEX('4층_부하량'!J3:J3000,MATCH(1,("4-DaHall 1-PDU-01"='4층_부하량'!A3:A3000)*(9='4층_부하량'!B3:B3000),0))</f>
        <v>0</v>
      </c>
      <c r="P43" s="30"/>
      <c r="Q43" s="2556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6512</v>
      </c>
      <c r="D45" s="3970" t="s">
        <v>4288</v>
      </c>
      <c r="E45" s="3976"/>
      <c r="F45" s="123"/>
      <c r="G45" s="3969" t="s">
        <v>5837</v>
      </c>
      <c r="H45" s="3969"/>
      <c r="I45" s="3969"/>
      <c r="K45" s="2" t="s">
        <v>6513</v>
      </c>
      <c r="N45" s="3970" t="s">
        <v>4288</v>
      </c>
      <c r="O45" s="3976"/>
      <c r="P45" s="123"/>
      <c r="Q45" s="3969" t="s">
        <v>5839</v>
      </c>
      <c r="R45" s="3969"/>
      <c r="S45" s="3969"/>
    </row>
    <row r="46" spans="1:20" ht="18" thickTop="1" thickBot="1" x14ac:dyDescent="0.3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28" cm="1">
        <f t="array" ref="D48">INDEX('4층_부하량'!I3:I3000,MATCH(1,("4-DaHall 1-PDU-03"='4층_부하량'!A3:A3000)*(1='4층_부하량'!B3:B3000),0))</f>
        <v>0</v>
      </c>
      <c r="E48" s="2528" cm="1">
        <f t="array" ref="E48">INDEX('4층_부하량'!J3:J3000,MATCH(1,("4-DaHall 1-PDU-03"='4층_부하량'!A3:A3000)*(1='4층_부하량'!B3:B3000),0))</f>
        <v>0</v>
      </c>
      <c r="F48" s="2528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8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29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9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31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1" cm="1">
        <f t="array" ref="P50">INDEX('4층_부하량'!K3:K3000,MATCH(1,("4-DaHall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31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1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32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1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31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1" cm="1">
        <f t="array" ref="P53">INDEX('4층_부하량'!K3:K3000,MATCH(1,("4-DaHall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32" cm="1">
        <f t="array" ref="F54">INDEX('4층_부하량'!K3:K3000,MATCH(1,("4-DaHall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2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31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1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33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1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31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31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30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6514</v>
      </c>
      <c r="D61" s="3970" t="s">
        <v>4288</v>
      </c>
      <c r="E61" s="3976"/>
      <c r="F61" s="123"/>
      <c r="G61" s="3969" t="s">
        <v>5858</v>
      </c>
      <c r="H61" s="3969"/>
      <c r="I61" s="3969"/>
      <c r="K61" s="2" t="s">
        <v>6515</v>
      </c>
      <c r="N61" s="3970" t="s">
        <v>4288</v>
      </c>
      <c r="O61" s="3976"/>
      <c r="P61" s="123"/>
      <c r="Q61" s="3969" t="s">
        <v>5860</v>
      </c>
      <c r="R61" s="3969"/>
      <c r="S61" s="3969"/>
    </row>
    <row r="62" spans="1:20" ht="15" customHeight="1" thickTop="1" thickBot="1" x14ac:dyDescent="0.3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28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8" cm="1">
        <f t="array" ref="N64">INDEX('4층_부하량'!I3:I3000,MATCH(1,("4-DaHall 1-PDU-09"='4층_부하량'!A3:A3000)*(1='4층_부하량'!B3:B3000),0))</f>
        <v>0</v>
      </c>
      <c r="O64" s="2528" cm="1">
        <f t="array" ref="O64">INDEX('4층_부하량'!J3:J3000,MATCH(1,("4-DaHall 1-PDU-09"='4층_부하량'!A3:A3000)*(1='4층_부하량'!B3:B3000),0))</f>
        <v>0</v>
      </c>
      <c r="P64" s="2528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29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8" cm="1">
        <f t="array" ref="N65">INDEX('4층_부하량'!I3:I3000,MATCH(1,("4-DaHall 1-PDU-09"='4층_부하량'!A3:A3000)*(2='4층_부하량'!B3:B3000),0))</f>
        <v>0</v>
      </c>
      <c r="O65" s="2528" cm="1">
        <f t="array" ref="O65">INDEX('4층_부하량'!J3:J3000,MATCH(1,("4-DaHall 1-PDU-09"='4층_부하량'!A3:A3000)*(2='4층_부하량'!B3:B3000),0))</f>
        <v>0</v>
      </c>
      <c r="P65" s="2528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31" cm="1">
        <f t="array" ref="F66">INDEX('4층_부하량'!K3:K3000,MATCH(1,("4-DaHall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8" cm="1">
        <f t="array" ref="N66">INDEX('4층_부하량'!I3:I3000,MATCH(1,("4-DaHall 1-PDU-09"='4층_부하량'!A3:A3000)*(3='4층_부하량'!B3:B3000),0))</f>
        <v>0</v>
      </c>
      <c r="O66" s="2528" cm="1">
        <f t="array" ref="O66">INDEX('4층_부하량'!J3:J3000,MATCH(1,("4-DaHall 1-PDU-09"='4층_부하량'!A3:A3000)*(3='4층_부하량'!B3:B3000),0))</f>
        <v>0</v>
      </c>
      <c r="P66" s="2528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31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32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31" cm="1">
        <f t="array" ref="F69">INDEX('4층_부하량'!K3:K3000,MATCH(1,("4-DaHall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32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31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31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31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31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30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 x14ac:dyDescent="0.3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7" spans="1:20" s="350" customFormat="1" ht="18.600000000000001" thickTop="1" thickBot="1" x14ac:dyDescent="0.3">
      <c r="A77" s="349" t="s">
        <v>10855</v>
      </c>
      <c r="C77" s="3981"/>
      <c r="D77" s="3981"/>
      <c r="E77" s="3981"/>
      <c r="F77" s="3981"/>
      <c r="G77" s="351"/>
      <c r="H77" s="352"/>
      <c r="I77" s="352"/>
      <c r="J77" s="3979" t="s">
        <v>4288</v>
      </c>
      <c r="K77" s="3980"/>
      <c r="L77" s="3277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 x14ac:dyDescent="0.3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.600000000000001" thickTop="1" thickBot="1" x14ac:dyDescent="0.3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 x14ac:dyDescent="0.25">
      <c r="A80" s="468" t="s">
        <v>10856</v>
      </c>
      <c r="B80" s="372" t="s">
        <v>5562</v>
      </c>
      <c r="C80" s="373" t="s">
        <v>4149</v>
      </c>
      <c r="D80" s="2537" cm="1">
        <f t="array" ref="D80">INDEX('4층_부하량'!$I$3:$I$3000,MATCH(1,("4-DaHall 1-PDU-11"='4층_부하량'!$A$3:$A$3000)*(1='4층_부하량'!$B$3:$B$3000),0))</f>
        <v>0</v>
      </c>
      <c r="E80" s="2537" cm="1">
        <f t="array" ref="E80">INDEX('4층_부하량'!$J$3:$J$3000,MATCH(1,("4-DaHall 1-PDU-11"='4층_부하량'!$A$3:$A$3000)*(1='4층_부하량'!$B$3:$B$3000),0))</f>
        <v>0</v>
      </c>
      <c r="F80" s="2537" cm="1">
        <f t="array" ref="F80">INDEX('4층_부하량'!$K$3:$K$3000,MATCH(1,("4-DaHall 1-PDU-11"='4층_부하량'!$A$3:$A$3000)*(1='4층_부하량'!$B$3:$B$3000),0))</f>
        <v>0</v>
      </c>
      <c r="G80" s="368"/>
      <c r="H80" s="3278" t="s">
        <v>10857</v>
      </c>
      <c r="I80" s="3279" t="s">
        <v>4151</v>
      </c>
      <c r="J80" s="1018"/>
      <c r="K80" s="1019"/>
      <c r="L80" s="581" t="s">
        <v>4436</v>
      </c>
      <c r="M80" s="366" t="s">
        <v>4574</v>
      </c>
      <c r="N80" s="2537" cm="1">
        <f t="array" ref="N80">INDEX('4층_부하량'!$I$3:$I$3000,MATCH(1,("4-DaHall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7.399999999999999" x14ac:dyDescent="0.25">
      <c r="A81" s="385"/>
      <c r="B81" s="1286" t="s">
        <v>535</v>
      </c>
      <c r="C81" s="1287" t="s">
        <v>4296</v>
      </c>
      <c r="D81" s="381"/>
      <c r="E81" s="2531" cm="1">
        <f t="array" ref="E81">INDEX('4층_부하량'!$J$3:$J$3000,MATCH(1,("4-DaHall 1-PDU-11"='4층_부하량'!$A$3:$A$3000)*(3='4층_부하량'!$B$3:$B$3000),0))</f>
        <v>0</v>
      </c>
      <c r="F81" s="381"/>
      <c r="G81" s="377"/>
      <c r="H81" s="376" t="s">
        <v>4574</v>
      </c>
      <c r="I81" s="3280" t="s">
        <v>4156</v>
      </c>
      <c r="J81" s="1020"/>
      <c r="K81" s="1021"/>
      <c r="L81" s="582" t="s">
        <v>4438</v>
      </c>
      <c r="M81" s="376" t="s">
        <v>4574</v>
      </c>
      <c r="N81" s="381"/>
      <c r="O81" s="2531" cm="1">
        <f t="array" ref="O81">INDEX('4층_부하량'!$J$3:$J$3000,MATCH(1,("4-DaHall 1-PDU-11"='4층_부하량'!$A$3:$A$3000)*(4='4층_부하량'!$B$3:$B$3000),0))</f>
        <v>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7.399999999999999" x14ac:dyDescent="0.25">
      <c r="A82" s="385"/>
      <c r="B82" s="1286" t="s">
        <v>535</v>
      </c>
      <c r="C82" s="1287" t="s">
        <v>4296</v>
      </c>
      <c r="D82" s="381"/>
      <c r="E82" s="381"/>
      <c r="F82" s="2538" cm="1">
        <f t="array" ref="F82">INDEX('4층_부하량'!$K$3:$K$3000,MATCH(1,("4-DaHall 1-PDU-11"='4층_부하량'!$A$3:$A$3000)*(5='4층_부하량'!$B$3:$B$3000),0))</f>
        <v>0</v>
      </c>
      <c r="G82" s="381"/>
      <c r="H82" s="376" t="s">
        <v>4574</v>
      </c>
      <c r="I82" s="3280" t="s">
        <v>4161</v>
      </c>
      <c r="J82" s="1022"/>
      <c r="K82" s="1023"/>
      <c r="L82" s="583" t="s">
        <v>4441</v>
      </c>
      <c r="M82" s="3281" t="s">
        <v>4150</v>
      </c>
      <c r="N82" s="381"/>
      <c r="O82" s="381"/>
      <c r="P82" s="2538" cm="1">
        <f t="array" ref="P82">INDEX('4층_부하량'!$K$3:$K$3000,MATCH(1,("4-DaHall 1-PDU-11"='4층_부하량'!$A$3:$A$3000)*(6='4층_부하량'!$B$3:$B$3000),0))</f>
        <v>0</v>
      </c>
      <c r="Q82" s="381"/>
      <c r="R82" s="382" t="s">
        <v>535</v>
      </c>
      <c r="S82" s="1287" t="s">
        <v>4296</v>
      </c>
      <c r="T82" s="389"/>
    </row>
    <row r="83" spans="1:20" s="350" customFormat="1" ht="17.399999999999999" x14ac:dyDescent="0.25">
      <c r="A83" s="385" t="s">
        <v>10858</v>
      </c>
      <c r="B83" s="382" t="s">
        <v>5562</v>
      </c>
      <c r="C83" s="383" t="s">
        <v>4149</v>
      </c>
      <c r="D83" s="2538" cm="1">
        <f t="array" ref="D83">INDEX('4층_부하량'!$I$3:$I$3000,MATCH(1,("4-DaHall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8" cm="1">
        <f t="array" ref="N83">INDEX('4층_부하량'!$I$3:$I$3000,MATCH(1,("4-DaHall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10859</v>
      </c>
    </row>
    <row r="84" spans="1:20" s="350" customFormat="1" ht="17.399999999999999" x14ac:dyDescent="0.25">
      <c r="A84" s="385" t="s">
        <v>10860</v>
      </c>
      <c r="B84" s="382" t="s">
        <v>5562</v>
      </c>
      <c r="C84" s="383" t="s">
        <v>4149</v>
      </c>
      <c r="D84" s="381"/>
      <c r="E84" s="2531" cm="1">
        <f t="array" ref="E84">INDEX('4층_부하량'!$J$3:$J$3000,MATCH(1,("4-DaHall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1" cm="1">
        <f t="array" ref="O84">INDEX('4층_부하량'!$J$3:$J$3000,MATCH(1,("4-DaHall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10861</v>
      </c>
    </row>
    <row r="85" spans="1:20" s="350" customFormat="1" ht="17.399999999999999" x14ac:dyDescent="0.25">
      <c r="A85" s="385" t="s">
        <v>10862</v>
      </c>
      <c r="B85" s="382" t="s">
        <v>5562</v>
      </c>
      <c r="C85" s="383" t="s">
        <v>4149</v>
      </c>
      <c r="D85" s="381"/>
      <c r="E85" s="381"/>
      <c r="F85" s="2538" cm="1">
        <f t="array" ref="F85">INDEX('4층_부하량'!$K$3:$K$3000,MATCH(1,("4-DaHall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8" cm="1">
        <f t="array" ref="P85">INDEX('4층_부하량'!$K$3:$K$3000,MATCH(1,("4-DaHall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10863</v>
      </c>
    </row>
    <row r="86" spans="1:20" s="350" customFormat="1" ht="17.399999999999999" x14ac:dyDescent="0.25">
      <c r="A86" s="385" t="s">
        <v>10864</v>
      </c>
      <c r="B86" s="382" t="s">
        <v>5562</v>
      </c>
      <c r="C86" s="383" t="s">
        <v>4149</v>
      </c>
      <c r="D86" s="2538" cm="1">
        <f t="array" ref="D86">INDEX('4층_부하량'!$I$3:$I$3000,MATCH(1,("4-DaHall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8" cm="1">
        <f t="array" ref="N86">INDEX('4층_부하량'!$I$3:$I$3000,MATCH(1,("4-DaHall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10865</v>
      </c>
    </row>
    <row r="87" spans="1:20" s="350" customFormat="1" ht="17.399999999999999" x14ac:dyDescent="0.25">
      <c r="A87" s="442" t="s">
        <v>10866</v>
      </c>
      <c r="B87" s="382" t="s">
        <v>5562</v>
      </c>
      <c r="C87" s="383" t="s">
        <v>4149</v>
      </c>
      <c r="D87" s="381"/>
      <c r="E87" s="2538" cm="1">
        <f t="array" ref="E87">INDEX('4층_부하량'!$J$3:$J$3000,MATCH(1,("4-DaHall 1-PDU-11"='4층_부하량'!$A$3:$A$3000)*(15='4층_부하량'!$B$3:$B$3000),0))</f>
        <v>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8" cm="1">
        <f t="array" ref="O87">INDEX('4층_부하량'!$J$3:$J$3000,MATCH(1,("4-DaHall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10867</v>
      </c>
    </row>
    <row r="88" spans="1:20" s="350" customFormat="1" ht="17.399999999999999" x14ac:dyDescent="0.25">
      <c r="A88" s="442" t="s">
        <v>10868</v>
      </c>
      <c r="B88" s="382" t="s">
        <v>5562</v>
      </c>
      <c r="C88" s="383" t="s">
        <v>4149</v>
      </c>
      <c r="D88" s="381"/>
      <c r="E88" s="381"/>
      <c r="F88" s="2538" cm="1">
        <f t="array" ref="F88">INDEX('4층_부하량'!$K$3:$K$3000,MATCH(1,("4-DaHall 1-PDU-11"='4층_부하량'!$A$3:$A$3000)*(17='4층_부하량'!$B$3:$B$3000),0))</f>
        <v>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8" cm="1">
        <f t="array" ref="P88">INDEX('4층_부하량'!$K$3:$K$3000,MATCH(1,("4-DaHall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10869</v>
      </c>
    </row>
    <row r="89" spans="1:20" s="350" customFormat="1" ht="17.399999999999999" x14ac:dyDescent="0.25">
      <c r="A89" s="442" t="s">
        <v>10870</v>
      </c>
      <c r="B89" s="382" t="s">
        <v>5562</v>
      </c>
      <c r="C89" s="383" t="s">
        <v>4149</v>
      </c>
      <c r="D89" s="2538" cm="1">
        <f t="array" ref="D89">INDEX('4층_부하량'!$I$3:$I$3000,MATCH(1,("4-DaHall 1-PDU-11"='4층_부하량'!$A$3:$A$3000)*(19='4층_부하량'!$B$3:$B$3000),0))</f>
        <v>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8" cm="1">
        <f t="array" ref="N89">INDEX('4층_부하량'!$I$3:$I$3000,MATCH(1,("4-DaHall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10871</v>
      </c>
    </row>
    <row r="90" spans="1:20" s="350" customFormat="1" ht="17.399999999999999" x14ac:dyDescent="0.25">
      <c r="A90" s="442" t="s">
        <v>10872</v>
      </c>
      <c r="B90" s="382" t="s">
        <v>5562</v>
      </c>
      <c r="C90" s="383" t="s">
        <v>4149</v>
      </c>
      <c r="D90" s="381"/>
      <c r="E90" s="2538" cm="1">
        <f t="array" ref="E90">INDEX('4층_부하량'!$J$3:$J$3000,MATCH(1,("4-DaHall 1-PDU-11"='4층_부하량'!$A$3:$A$3000)*(21='4층_부하량'!$B$3:$B$3000),0))</f>
        <v>0</v>
      </c>
      <c r="F90" s="381"/>
      <c r="G90" s="381"/>
      <c r="H90" s="1203" t="s">
        <v>4171</v>
      </c>
      <c r="I90" s="3280" t="s">
        <v>4247</v>
      </c>
      <c r="J90" s="1022"/>
      <c r="K90" s="1023"/>
      <c r="L90" s="583" t="s">
        <v>5668</v>
      </c>
      <c r="M90" s="376" t="s">
        <v>4171</v>
      </c>
      <c r="N90" s="381"/>
      <c r="O90" s="2538" cm="1">
        <f t="array" ref="O90">INDEX('4층_부하량'!$J$3:$J$3000,MATCH(1,("4-DaHall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10873</v>
      </c>
    </row>
    <row r="91" spans="1:20" s="350" customFormat="1" ht="17.399999999999999" x14ac:dyDescent="0.25">
      <c r="A91" s="390" t="s">
        <v>10874</v>
      </c>
      <c r="B91" s="382" t="s">
        <v>5562</v>
      </c>
      <c r="C91" s="383" t="s">
        <v>4149</v>
      </c>
      <c r="D91" s="381"/>
      <c r="E91" s="381"/>
      <c r="F91" s="2538" cm="1">
        <f t="array" ref="F91">INDEX('4층_부하량'!$K$3:$K$3000,MATCH(1,("4-DaHall 1-PDU-11"='4층_부하량'!$A$3:$A$3000)*(23='4층_부하량'!$B$3:$B$3000),0))</f>
        <v>0</v>
      </c>
      <c r="G91" s="411"/>
      <c r="H91" s="1287" t="s">
        <v>4171</v>
      </c>
      <c r="I91" s="3282" t="s">
        <v>4251</v>
      </c>
      <c r="J91" s="1288"/>
      <c r="K91" s="1289"/>
      <c r="L91" s="3283" t="s">
        <v>4253</v>
      </c>
      <c r="M91" s="409" t="s">
        <v>4171</v>
      </c>
      <c r="N91" s="381"/>
      <c r="O91" s="381"/>
      <c r="P91" s="2538" cm="1">
        <f t="array" ref="P91">INDEX('4층_부하량'!$K$3:$K$3000,MATCH(1,("4-DaHall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10875</v>
      </c>
    </row>
    <row r="92" spans="1:20" s="350" customFormat="1" ht="17.399999999999999" x14ac:dyDescent="0.25">
      <c r="A92" s="390" t="s">
        <v>10876</v>
      </c>
      <c r="B92" s="382" t="s">
        <v>5562</v>
      </c>
      <c r="C92" s="383" t="s">
        <v>4149</v>
      </c>
      <c r="D92" s="2538" cm="1">
        <f t="array" ref="D92">INDEX('4층_부하량'!$I$3:$I$3000,MATCH(1,("4-DaHall 1-PDU-11"='4층_부하량'!$A$3:$A$3000)*(25='4층_부하량'!$B$3:$B$3000),0))</f>
        <v>0</v>
      </c>
      <c r="E92" s="381"/>
      <c r="F92" s="381"/>
      <c r="G92" s="411"/>
      <c r="H92" s="1287" t="s">
        <v>4171</v>
      </c>
      <c r="I92" s="3282" t="s">
        <v>4256</v>
      </c>
      <c r="J92" s="1288"/>
      <c r="K92" s="1289"/>
      <c r="L92" s="3283" t="s">
        <v>4258</v>
      </c>
      <c r="M92" s="409" t="s">
        <v>4171</v>
      </c>
      <c r="N92" s="2538" cm="1">
        <f t="array" ref="N92">INDEX('4층_부하량'!$I$3:$I$3000,MATCH(1,("4-DaHall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10877</v>
      </c>
    </row>
    <row r="93" spans="1:20" s="350" customFormat="1" ht="17.399999999999999" x14ac:dyDescent="0.25">
      <c r="A93" s="390" t="s">
        <v>10878</v>
      </c>
      <c r="B93" s="382" t="s">
        <v>5562</v>
      </c>
      <c r="C93" s="383" t="s">
        <v>4149</v>
      </c>
      <c r="D93" s="381"/>
      <c r="E93" s="2538" cm="1">
        <f t="array" ref="E93">INDEX('4층_부하량'!$J$3:$J$3000,MATCH(1,("4-DaHall 1-PDU-11"='4층_부하량'!$A$3:$A$3000)*(27='4층_부하량'!$B$3:$B$3000),0))</f>
        <v>0</v>
      </c>
      <c r="F93" s="381"/>
      <c r="G93" s="411"/>
      <c r="H93" s="1287" t="s">
        <v>4171</v>
      </c>
      <c r="I93" s="3282" t="s">
        <v>4261</v>
      </c>
      <c r="J93" s="1288"/>
      <c r="K93" s="1289"/>
      <c r="L93" s="3283" t="s">
        <v>4262</v>
      </c>
      <c r="M93" s="409" t="s">
        <v>4171</v>
      </c>
      <c r="N93" s="381"/>
      <c r="O93" s="2538" cm="1">
        <f t="array" ref="O93">INDEX('4층_부하량'!$J$3:$J$3000,MATCH(1,("4-DaHall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10879</v>
      </c>
    </row>
    <row r="94" spans="1:20" s="350" customFormat="1" ht="17.399999999999999" x14ac:dyDescent="0.25">
      <c r="A94" s="390" t="s">
        <v>10880</v>
      </c>
      <c r="B94" s="382" t="s">
        <v>5562</v>
      </c>
      <c r="C94" s="383" t="s">
        <v>4149</v>
      </c>
      <c r="D94" s="381"/>
      <c r="E94" s="381"/>
      <c r="F94" s="2538" cm="1">
        <f t="array" ref="F94">INDEX('4층_부하량'!$K$3:$K$3000,MATCH(1,("4-DaHall 1-PDU-11"='4층_부하량'!$A$3:$A$3000)*(29='4층_부하량'!$B$3:$B$3000),0))</f>
        <v>0</v>
      </c>
      <c r="G94" s="411"/>
      <c r="H94" s="1287" t="s">
        <v>4171</v>
      </c>
      <c r="I94" s="3282" t="s">
        <v>4264</v>
      </c>
      <c r="J94" s="1288"/>
      <c r="K94" s="1289"/>
      <c r="L94" s="3283" t="s">
        <v>4265</v>
      </c>
      <c r="M94" s="409" t="s">
        <v>4171</v>
      </c>
      <c r="N94" s="381"/>
      <c r="O94" s="381"/>
      <c r="P94" s="2538" cm="1">
        <f t="array" ref="P94">INDEX('4층_부하량'!$K$3:$K$3000,MATCH(1,("4-DaHall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10881</v>
      </c>
    </row>
    <row r="95" spans="1:20" s="350" customFormat="1" ht="17.399999999999999" x14ac:dyDescent="0.25">
      <c r="A95" s="390" t="s">
        <v>10882</v>
      </c>
      <c r="B95" s="382" t="s">
        <v>5562</v>
      </c>
      <c r="C95" s="383" t="s">
        <v>4149</v>
      </c>
      <c r="D95" s="2538" cm="1">
        <f t="array" ref="D95">INDEX('4층_부하량'!$I$3:$I$3000,MATCH(1,("4-DaHall 1-PDU-11"='4층_부하량'!$A$3:$A$3000)*(31='4층_부하량'!$B$3:$B$3000),0))</f>
        <v>0</v>
      </c>
      <c r="E95" s="381"/>
      <c r="F95" s="381"/>
      <c r="G95" s="411"/>
      <c r="H95" s="1287" t="s">
        <v>4171</v>
      </c>
      <c r="I95" s="3282" t="s">
        <v>4266</v>
      </c>
      <c r="J95" s="1288"/>
      <c r="K95" s="1289"/>
      <c r="L95" s="3283" t="s">
        <v>4267</v>
      </c>
      <c r="M95" s="409" t="s">
        <v>4171</v>
      </c>
      <c r="N95" s="2538" cm="1">
        <f t="array" ref="N95">INDEX('4층_부하량'!$I$3:$I$3000,MATCH(1,("4-DaHall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10883</v>
      </c>
    </row>
    <row r="96" spans="1:20" s="350" customFormat="1" ht="17.399999999999999" x14ac:dyDescent="0.25">
      <c r="A96" s="390" t="s">
        <v>10884</v>
      </c>
      <c r="B96" s="382" t="s">
        <v>5562</v>
      </c>
      <c r="C96" s="383" t="s">
        <v>4149</v>
      </c>
      <c r="D96" s="381"/>
      <c r="E96" s="2538" cm="1">
        <f t="array" ref="E96">INDEX('4층_부하량'!$J$3:$J$3000,MATCH(1,("4-DaHall 1-PDU-11"='4층_부하량'!$A$3:$A$3000)*(33='4층_부하량'!$B$3:$B$3000),0))</f>
        <v>0</v>
      </c>
      <c r="F96" s="381"/>
      <c r="G96" s="411"/>
      <c r="H96" s="1287" t="s">
        <v>4171</v>
      </c>
      <c r="I96" s="3282" t="s">
        <v>4270</v>
      </c>
      <c r="J96" s="1288"/>
      <c r="K96" s="1289"/>
      <c r="L96" s="3283" t="s">
        <v>4271</v>
      </c>
      <c r="M96" s="409" t="s">
        <v>4171</v>
      </c>
      <c r="N96" s="381"/>
      <c r="O96" s="2538" cm="1">
        <f t="array" ref="O96">INDEX('4층_부하량'!$J$3:$J$3000,MATCH(1,("4-DaHall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10885</v>
      </c>
    </row>
    <row r="97" spans="1:20" s="350" customFormat="1" ht="17.399999999999999" x14ac:dyDescent="0.25">
      <c r="A97" s="390" t="s">
        <v>10886</v>
      </c>
      <c r="B97" s="382" t="s">
        <v>5562</v>
      </c>
      <c r="C97" s="383" t="s">
        <v>4149</v>
      </c>
      <c r="D97" s="381"/>
      <c r="E97" s="381"/>
      <c r="F97" s="2538" cm="1">
        <f t="array" ref="F97">INDEX('4층_부하량'!$K$3:$K$3000,MATCH(1,("4-DaHall 1-PDU-11"='4층_부하량'!$A$3:$A$3000)*(35='4층_부하량'!$B$3:$B$3000),0))</f>
        <v>0</v>
      </c>
      <c r="G97" s="411"/>
      <c r="H97" s="1287" t="s">
        <v>4171</v>
      </c>
      <c r="I97" s="3282" t="s">
        <v>4274</v>
      </c>
      <c r="J97" s="1288"/>
      <c r="K97" s="1289"/>
      <c r="L97" s="3283" t="s">
        <v>4276</v>
      </c>
      <c r="M97" s="409" t="s">
        <v>4171</v>
      </c>
      <c r="N97" s="381"/>
      <c r="O97" s="381"/>
      <c r="P97" s="2538" cm="1">
        <f t="array" ref="P97">INDEX('4층_부하량'!$K$3:$K$3000,MATCH(1,("4-DaHall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10887</v>
      </c>
    </row>
    <row r="98" spans="1:20" s="350" customFormat="1" ht="17.399999999999999" x14ac:dyDescent="0.25">
      <c r="A98" s="390" t="s">
        <v>10888</v>
      </c>
      <c r="B98" s="382" t="s">
        <v>5562</v>
      </c>
      <c r="C98" s="383" t="s">
        <v>4149</v>
      </c>
      <c r="D98" s="2538" cm="1">
        <f t="array" ref="D98">INDEX('4층_부하량'!$I$3:$I$3000,MATCH(1,("4-DaHall 1-PDU-11"='4층_부하량'!$A$3:$A$3000)*(37='4층_부하량'!$B$3:$B$3000),0))</f>
        <v>0</v>
      </c>
      <c r="E98" s="381"/>
      <c r="F98" s="381"/>
      <c r="G98" s="411"/>
      <c r="H98" s="1287" t="s">
        <v>4171</v>
      </c>
      <c r="I98" s="3282" t="s">
        <v>4279</v>
      </c>
      <c r="J98" s="1288"/>
      <c r="K98" s="1289"/>
      <c r="L98" s="3283" t="s">
        <v>4280</v>
      </c>
      <c r="M98" s="409" t="s">
        <v>4171</v>
      </c>
      <c r="N98" s="2538" cm="1">
        <f t="array" ref="N98">INDEX('4층_부하량'!$I$3:$I$3000,MATCH(1,("4-DaHall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10889</v>
      </c>
    </row>
    <row r="99" spans="1:20" s="350" customFormat="1" ht="17.399999999999999" x14ac:dyDescent="0.25">
      <c r="A99" s="390" t="s">
        <v>10890</v>
      </c>
      <c r="B99" s="382" t="s">
        <v>5562</v>
      </c>
      <c r="C99" s="383" t="s">
        <v>4149</v>
      </c>
      <c r="D99" s="381"/>
      <c r="E99" s="2538" cm="1">
        <f t="array" ref="E99">INDEX('4층_부하량'!$J$3:$J$3000,MATCH(1,("4-DaHall 1-PDU-11"='4층_부하량'!$A$3:$A$3000)*(39='4층_부하량'!$B$3:$B$3000),0))</f>
        <v>0</v>
      </c>
      <c r="F99" s="381"/>
      <c r="G99" s="411"/>
      <c r="H99" s="1287" t="s">
        <v>4171</v>
      </c>
      <c r="I99" s="3282" t="s">
        <v>4283</v>
      </c>
      <c r="J99" s="1288"/>
      <c r="K99" s="1289"/>
      <c r="L99" s="3283" t="s">
        <v>4284</v>
      </c>
      <c r="M99" s="409" t="s">
        <v>4171</v>
      </c>
      <c r="N99" s="381"/>
      <c r="O99" s="2538" cm="1">
        <f t="array" ref="O99">INDEX('4층_부하량'!$J$3:$J$3000,MATCH(1,("4-DaHall 1-PDU-11"='4층_부하량'!$A$3:$A$3000)*(40='4층_부하량'!$B$3:$B$3000),0))</f>
        <v>0</v>
      </c>
      <c r="P99" s="381"/>
      <c r="Q99" s="411"/>
      <c r="R99" s="382" t="s">
        <v>5562</v>
      </c>
      <c r="S99" s="1287" t="s">
        <v>4296</v>
      </c>
      <c r="T99" s="407" t="s">
        <v>10891</v>
      </c>
    </row>
    <row r="100" spans="1:20" s="350" customFormat="1" ht="17.399999999999999" x14ac:dyDescent="0.25">
      <c r="A100" s="390" t="s">
        <v>10892</v>
      </c>
      <c r="B100" s="382" t="s">
        <v>5562</v>
      </c>
      <c r="C100" s="1287" t="s">
        <v>4296</v>
      </c>
      <c r="D100" s="381"/>
      <c r="E100" s="381"/>
      <c r="F100" s="2538" cm="1">
        <f t="array" ref="F100">INDEX('4층_부하량'!$K$3:$K$3000,MATCH(1,("4-DaHall 1-PDU-11"='4층_부하량'!$A$3:$A$3000)*(41='4층_부하량'!$B$3:$B$3000),0))</f>
        <v>0</v>
      </c>
      <c r="G100" s="411"/>
      <c r="H100" s="1287" t="s">
        <v>4171</v>
      </c>
      <c r="I100" s="3282" t="s">
        <v>4628</v>
      </c>
      <c r="J100" s="1288"/>
      <c r="K100" s="1289"/>
      <c r="L100" s="3283" t="s">
        <v>4416</v>
      </c>
      <c r="M100" s="409" t="s">
        <v>4171</v>
      </c>
      <c r="N100" s="381"/>
      <c r="O100" s="381"/>
      <c r="P100" s="2538" cm="1">
        <f t="array" ref="P100">INDEX('4층_부하량'!$K$3:$K$3000,MATCH(1,("4-DaHall 1-PDU-11"='4층_부하량'!$A$3:$A$3000)*(42='4층_부하량'!$B$3:$B$3000),0))</f>
        <v>0</v>
      </c>
      <c r="Q100" s="411"/>
      <c r="R100" s="382" t="s">
        <v>5562</v>
      </c>
      <c r="S100" s="1287" t="s">
        <v>4296</v>
      </c>
      <c r="T100" s="407" t="s">
        <v>10893</v>
      </c>
    </row>
    <row r="101" spans="1:20" s="350" customFormat="1" ht="17.399999999999999" x14ac:dyDescent="0.25">
      <c r="A101" s="390" t="s">
        <v>10894</v>
      </c>
      <c r="B101" s="382" t="s">
        <v>5562</v>
      </c>
      <c r="C101" s="1287" t="s">
        <v>4296</v>
      </c>
      <c r="D101" s="2538" cm="1">
        <f t="array" ref="D101">INDEX('4층_부하량'!$I$3:$I$3000,MATCH(1,("4-DaHall 1-PDU-11"='4층_부하량'!$A$3:$A$3000)*(43='4층_부하량'!$B$3:$B$3000),0))</f>
        <v>0</v>
      </c>
      <c r="E101" s="381"/>
      <c r="F101" s="381"/>
      <c r="G101" s="411"/>
      <c r="H101" s="1287" t="s">
        <v>4171</v>
      </c>
      <c r="I101" s="3282" t="s">
        <v>4418</v>
      </c>
      <c r="J101" s="1288"/>
      <c r="K101" s="1289"/>
      <c r="L101" s="3283" t="s">
        <v>4419</v>
      </c>
      <c r="M101" s="409" t="s">
        <v>4171</v>
      </c>
      <c r="N101" s="2538" cm="1">
        <f t="array" ref="N101">INDEX('4층_부하량'!$I$3:$I$3000,MATCH(1,("4-DaHall 1-PDU-11"='4층_부하량'!$A$3:$A$3000)*(44='4층_부하량'!$B$3:$B$3000),0))</f>
        <v>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7.399999999999999" x14ac:dyDescent="0.25">
      <c r="A102" s="390"/>
      <c r="B102" s="1286" t="s">
        <v>535</v>
      </c>
      <c r="C102" s="1287" t="s">
        <v>4296</v>
      </c>
      <c r="D102" s="381"/>
      <c r="E102" s="2538" cm="1">
        <f t="array" ref="E102">INDEX('4층_부하량'!$J$3:$J$3000,MATCH(1,("4-DaHall 1-PDU-11"='4층_부하량'!$A$3:$A$3000)*(45='4층_부하량'!$B$3:$B$3000),0))</f>
        <v>0</v>
      </c>
      <c r="F102" s="381"/>
      <c r="G102" s="411"/>
      <c r="H102" s="1287" t="s">
        <v>4171</v>
      </c>
      <c r="I102" s="3282" t="s">
        <v>4420</v>
      </c>
      <c r="J102" s="1288"/>
      <c r="K102" s="1289"/>
      <c r="L102" s="3283" t="s">
        <v>4421</v>
      </c>
      <c r="M102" s="409" t="s">
        <v>4171</v>
      </c>
      <c r="N102" s="381"/>
      <c r="O102" s="2538" cm="1">
        <f t="array" ref="O102">INDEX('4층_부하량'!$J$3:$J$3000,MATCH(1,("4-DaHall 1-PDU-11"='4층_부하량'!$A$3:$A$3000)*(46='4층_부하량'!$B$3:$B$3000),0))</f>
        <v>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7.399999999999999" x14ac:dyDescent="0.25">
      <c r="A103" s="390"/>
      <c r="B103" s="1286" t="s">
        <v>535</v>
      </c>
      <c r="C103" s="1287" t="s">
        <v>4296</v>
      </c>
      <c r="D103" s="381"/>
      <c r="E103" s="381"/>
      <c r="F103" s="2538" cm="1">
        <f t="array" ref="F103">INDEX('4층_부하량'!$K$3:$K$3000,MATCH(1,("4-DaHall 1-PDU-11"='4층_부하량'!$A$3:$A$3000)*(47='4층_부하량'!$B$3:$B$3000),0))</f>
        <v>0</v>
      </c>
      <c r="G103" s="411"/>
      <c r="H103" s="1287" t="s">
        <v>4171</v>
      </c>
      <c r="I103" s="3282" t="s">
        <v>4422</v>
      </c>
      <c r="J103" s="1288"/>
      <c r="K103" s="1289"/>
      <c r="L103" s="3283" t="s">
        <v>4423</v>
      </c>
      <c r="M103" s="409" t="s">
        <v>4171</v>
      </c>
      <c r="N103" s="381"/>
      <c r="O103" s="381"/>
      <c r="P103" s="2538" cm="1">
        <f t="array" ref="P103">INDEX('4층_부하량'!$K$3:$K$3000,MATCH(1,("4-DaHall 1-PDU-11"='4층_부하량'!$A$3:$A$3000)*(48='4층_부하량'!$B$3:$B$3000),0))</f>
        <v>0</v>
      </c>
      <c r="Q103" s="411"/>
      <c r="R103" s="1286" t="s">
        <v>535</v>
      </c>
      <c r="S103" s="1287" t="s">
        <v>4296</v>
      </c>
      <c r="T103" s="407"/>
    </row>
    <row r="104" spans="1:20" s="350" customFormat="1" ht="18" thickBot="1" x14ac:dyDescent="0.3">
      <c r="A104" s="425"/>
      <c r="B104" s="430" t="s">
        <v>4164</v>
      </c>
      <c r="C104" s="426" t="s">
        <v>4215</v>
      </c>
      <c r="D104" s="2539" cm="1">
        <f t="array" ref="D104">INDEX('4층_부하량'!$I$3:$I$3000,MATCH(1,("4-DaHall 1-PDU-11"='4층_부하량'!$A$3:$A$3000)*(49='4층_부하량'!$B$3:$B$3000),0))</f>
        <v>0</v>
      </c>
      <c r="E104" s="427"/>
      <c r="F104" s="427"/>
      <c r="G104" s="427"/>
      <c r="H104" s="426" t="s">
        <v>4171</v>
      </c>
      <c r="I104" s="3284" t="s">
        <v>4424</v>
      </c>
      <c r="J104" s="1200"/>
      <c r="K104" s="1201"/>
      <c r="L104" s="1202" t="s">
        <v>4425</v>
      </c>
      <c r="M104" s="426" t="s">
        <v>4171</v>
      </c>
      <c r="N104" s="2539" cm="1">
        <f t="array" ref="N104">INDEX('4층_부하량'!$I$3:$I$3000,MATCH(1,("4-DaHall 1-PDU-11"='4층_부하량'!$A$3:$A$3000)*(50='4층_부하량'!$B$3:$B$3000),0))</f>
        <v>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 x14ac:dyDescent="0.3">
      <c r="L105" s="3285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 x14ac:dyDescent="0.3">
      <c r="A106" s="349" t="s">
        <v>10895</v>
      </c>
      <c r="C106" s="3981"/>
      <c r="D106" s="3981"/>
      <c r="E106" s="3981"/>
      <c r="F106" s="3981"/>
      <c r="G106" s="351"/>
      <c r="H106" s="352"/>
      <c r="I106" s="352"/>
      <c r="J106" s="3979" t="s">
        <v>4288</v>
      </c>
      <c r="K106" s="3980"/>
      <c r="L106" s="3277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 x14ac:dyDescent="0.3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.600000000000001" thickTop="1" thickBot="1" x14ac:dyDescent="0.3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 x14ac:dyDescent="0.25">
      <c r="A109" s="468" t="s">
        <v>10856</v>
      </c>
      <c r="B109" s="372" t="s">
        <v>5562</v>
      </c>
      <c r="C109" s="373" t="s">
        <v>4149</v>
      </c>
      <c r="D109" s="2537" cm="1">
        <f t="array" ref="D109">INDEX('4층_부하량'!$I$3:$I$3000,MATCH(1,("4-DaHall 1-PDU-12"='4층_부하량'!$A$3:$A$3000)*(1='4층_부하량'!$B$3:$B$3000),0))</f>
        <v>0</v>
      </c>
      <c r="E109" s="2537" cm="1">
        <f t="array" ref="E109">INDEX('4층_부하량'!$J$3:$J$3000,MATCH(1,("4-DaHall 1-PDU-12"='4층_부하량'!$A$3:$A$3000)*(1='4층_부하량'!$B$3:$B$3000),0))</f>
        <v>0</v>
      </c>
      <c r="F109" s="2537" cm="1">
        <f t="array" ref="F109">INDEX('4층_부하량'!$K$3:$K$3000,MATCH(1,("4-DaHall 1-PDU-12"='4층_부하량'!$A$3:$A$3000)*(1='4층_부하량'!$B$3:$B$3000),0))</f>
        <v>0</v>
      </c>
      <c r="G109" s="368"/>
      <c r="H109" s="3278" t="s">
        <v>10857</v>
      </c>
      <c r="I109" s="3279" t="s">
        <v>4151</v>
      </c>
      <c r="J109" s="1018"/>
      <c r="K109" s="1019"/>
      <c r="L109" s="581" t="s">
        <v>4436</v>
      </c>
      <c r="M109" s="366" t="s">
        <v>4574</v>
      </c>
      <c r="N109" s="2537" cm="1">
        <f t="array" ref="N109">INDEX('4층_부하량'!$I$3:$I$3000,MATCH(1,("4-DaHall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7.399999999999999" x14ac:dyDescent="0.25">
      <c r="A110" s="385"/>
      <c r="B110" s="1286" t="s">
        <v>535</v>
      </c>
      <c r="C110" s="1287" t="s">
        <v>4296</v>
      </c>
      <c r="D110" s="381"/>
      <c r="E110" s="2531" cm="1">
        <f t="array" ref="E110">INDEX('4층_부하량'!$J$3:$J$3000,MATCH(1,("4-DaHall 1-PDU-12"='4층_부하량'!$A$3:$A$3000)*(3='4층_부하량'!$B$3:$B$3000),0))</f>
        <v>0</v>
      </c>
      <c r="F110" s="381"/>
      <c r="G110" s="377"/>
      <c r="H110" s="376" t="s">
        <v>4574</v>
      </c>
      <c r="I110" s="3280" t="s">
        <v>4156</v>
      </c>
      <c r="J110" s="1020"/>
      <c r="K110" s="1021"/>
      <c r="L110" s="582" t="s">
        <v>4438</v>
      </c>
      <c r="M110" s="376" t="s">
        <v>4574</v>
      </c>
      <c r="N110" s="381"/>
      <c r="O110" s="2531" cm="1">
        <f t="array" ref="O110">INDEX('4층_부하량'!$J$3:$J$3000,MATCH(1,("4-DaHall 1-PDU-12"='4층_부하량'!$A$3:$A$3000)*(4='4층_부하량'!$B$3:$B$3000),0))</f>
        <v>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7.399999999999999" x14ac:dyDescent="0.25">
      <c r="A111" s="385"/>
      <c r="B111" s="1286" t="s">
        <v>535</v>
      </c>
      <c r="C111" s="1287" t="s">
        <v>4296</v>
      </c>
      <c r="D111" s="381"/>
      <c r="E111" s="381"/>
      <c r="F111" s="2538" cm="1">
        <f t="array" ref="F111">INDEX('4층_부하량'!$K$3:$K$3000,MATCH(1,("4-DaHall 1-PDU-12"='4층_부하량'!$A$3:$A$3000)*(5='4층_부하량'!$B$3:$B$3000),0))</f>
        <v>0</v>
      </c>
      <c r="G111" s="381"/>
      <c r="H111" s="376" t="s">
        <v>4574</v>
      </c>
      <c r="I111" s="3280" t="s">
        <v>4161</v>
      </c>
      <c r="J111" s="1022"/>
      <c r="K111" s="1023"/>
      <c r="L111" s="583" t="s">
        <v>4441</v>
      </c>
      <c r="M111" s="3281" t="s">
        <v>4150</v>
      </c>
      <c r="N111" s="381"/>
      <c r="O111" s="381"/>
      <c r="P111" s="2538" cm="1">
        <f t="array" ref="P111">INDEX('4층_부하량'!$K$3:$K$3000,MATCH(1,("4-DaHall 1-PDU-12"='4층_부하량'!$A$3:$A$3000)*(6='4층_부하량'!$B$3:$B$3000),0))</f>
        <v>0</v>
      </c>
      <c r="Q111" s="381"/>
      <c r="R111" s="382" t="s">
        <v>535</v>
      </c>
      <c r="S111" s="1287" t="s">
        <v>4296</v>
      </c>
      <c r="T111" s="389"/>
    </row>
    <row r="112" spans="1:20" s="350" customFormat="1" ht="17.399999999999999" x14ac:dyDescent="0.25">
      <c r="A112" s="385" t="s">
        <v>10896</v>
      </c>
      <c r="B112" s="382" t="s">
        <v>5562</v>
      </c>
      <c r="C112" s="383" t="s">
        <v>4149</v>
      </c>
      <c r="D112" s="2538" cm="1">
        <f t="array" ref="D112">INDEX('4층_부하량'!$I$3:$I$3000,MATCH(1,("4-DaHall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8" cm="1">
        <f t="array" ref="N112">INDEX('4층_부하량'!$I$3:$I$3000,MATCH(1,("4-DaHall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10897</v>
      </c>
    </row>
    <row r="113" spans="1:20" s="350" customFormat="1" ht="17.399999999999999" x14ac:dyDescent="0.25">
      <c r="A113" s="385" t="s">
        <v>10898</v>
      </c>
      <c r="B113" s="382" t="s">
        <v>5562</v>
      </c>
      <c r="C113" s="383" t="s">
        <v>4149</v>
      </c>
      <c r="D113" s="381"/>
      <c r="E113" s="2531" cm="1">
        <f t="array" ref="E113">INDEX('4층_부하량'!$J$3:$J$3000,MATCH(1,("4-DaHall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1" cm="1">
        <f t="array" ref="O113">INDEX('4층_부하량'!$J$3:$J$3000,MATCH(1,("4-DaHall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10899</v>
      </c>
    </row>
    <row r="114" spans="1:20" s="350" customFormat="1" ht="17.399999999999999" x14ac:dyDescent="0.25">
      <c r="A114" s="385" t="s">
        <v>10900</v>
      </c>
      <c r="B114" s="382" t="s">
        <v>5562</v>
      </c>
      <c r="C114" s="383" t="s">
        <v>4149</v>
      </c>
      <c r="D114" s="381"/>
      <c r="E114" s="381"/>
      <c r="F114" s="2538" cm="1">
        <f t="array" ref="F114">INDEX('4층_부하량'!$K$3:$K$3000,MATCH(1,("4-DaHall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8" cm="1">
        <f t="array" ref="P114">INDEX('4층_부하량'!$K$3:$K$3000,MATCH(1,("4-DaHall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10901</v>
      </c>
    </row>
    <row r="115" spans="1:20" s="350" customFormat="1" ht="17.399999999999999" x14ac:dyDescent="0.25">
      <c r="A115" s="385" t="s">
        <v>10902</v>
      </c>
      <c r="B115" s="382" t="s">
        <v>5562</v>
      </c>
      <c r="C115" s="383" t="s">
        <v>4149</v>
      </c>
      <c r="D115" s="2538" cm="1">
        <f t="array" ref="D115">INDEX('4층_부하량'!$I$3:$I$3000,MATCH(1,("4-DaHall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8" cm="1">
        <f t="array" ref="N115">INDEX('4층_부하량'!$I$3:$I$3000,MATCH(1,("4-DaHall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10903</v>
      </c>
    </row>
    <row r="116" spans="1:20" s="350" customFormat="1" ht="17.399999999999999" x14ac:dyDescent="0.25">
      <c r="A116" s="442" t="s">
        <v>10904</v>
      </c>
      <c r="B116" s="382" t="s">
        <v>5562</v>
      </c>
      <c r="C116" s="383" t="s">
        <v>4149</v>
      </c>
      <c r="D116" s="381"/>
      <c r="E116" s="2538" cm="1">
        <f t="array" ref="E116">INDEX('4층_부하량'!$J$3:$J$3000,MATCH(1,("4-DaHall 1-PDU-12"='4층_부하량'!$A$3:$A$3000)*(15='4층_부하량'!$B$3:$B$3000),0))</f>
        <v>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8" cm="1">
        <f t="array" ref="O116">INDEX('4층_부하량'!$J$3:$J$3000,MATCH(1,("4-DaHall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10905</v>
      </c>
    </row>
    <row r="117" spans="1:20" s="350" customFormat="1" ht="17.399999999999999" x14ac:dyDescent="0.25">
      <c r="A117" s="442" t="s">
        <v>10906</v>
      </c>
      <c r="B117" s="382" t="s">
        <v>5562</v>
      </c>
      <c r="C117" s="383" t="s">
        <v>4149</v>
      </c>
      <c r="D117" s="381"/>
      <c r="E117" s="381"/>
      <c r="F117" s="2538" cm="1">
        <f t="array" ref="F117">INDEX('4층_부하량'!$K$3:$K$3000,MATCH(1,("4-DaHall 1-PDU-12"='4층_부하량'!$A$3:$A$3000)*(17='4층_부하량'!$B$3:$B$3000),0))</f>
        <v>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8" cm="1">
        <f t="array" ref="P117">INDEX('4층_부하량'!$K$3:$K$3000,MATCH(1,("4-DaHall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10907</v>
      </c>
    </row>
    <row r="118" spans="1:20" s="350" customFormat="1" ht="17.399999999999999" x14ac:dyDescent="0.25">
      <c r="A118" s="442" t="s">
        <v>10908</v>
      </c>
      <c r="B118" s="382" t="s">
        <v>5562</v>
      </c>
      <c r="C118" s="383" t="s">
        <v>4149</v>
      </c>
      <c r="D118" s="2538" cm="1">
        <f t="array" ref="D118">INDEX('4층_부하량'!$I$3:$I$3000,MATCH(1,("4-DaHall 1-PDU-12"='4층_부하량'!$A$3:$A$3000)*(19='4층_부하량'!$B$3:$B$3000),0))</f>
        <v>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8" cm="1">
        <f t="array" ref="N118">INDEX('4층_부하량'!$I$3:$I$3000,MATCH(1,("4-DaHall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10909</v>
      </c>
    </row>
    <row r="119" spans="1:20" s="350" customFormat="1" ht="17.399999999999999" x14ac:dyDescent="0.25">
      <c r="A119" s="442" t="s">
        <v>10910</v>
      </c>
      <c r="B119" s="382" t="s">
        <v>5562</v>
      </c>
      <c r="C119" s="383" t="s">
        <v>4149</v>
      </c>
      <c r="D119" s="381"/>
      <c r="E119" s="2538" cm="1">
        <f t="array" ref="E119">INDEX('4층_부하량'!$J$3:$J$3000,MATCH(1,("4-DaHall 1-PDU-12"='4층_부하량'!$A$3:$A$3000)*(21='4층_부하량'!$B$3:$B$3000),0))</f>
        <v>0</v>
      </c>
      <c r="F119" s="381"/>
      <c r="G119" s="381"/>
      <c r="H119" s="1203" t="s">
        <v>4171</v>
      </c>
      <c r="I119" s="3280" t="s">
        <v>4247</v>
      </c>
      <c r="J119" s="1022"/>
      <c r="K119" s="1023"/>
      <c r="L119" s="583" t="s">
        <v>5668</v>
      </c>
      <c r="M119" s="376" t="s">
        <v>4171</v>
      </c>
      <c r="N119" s="381"/>
      <c r="O119" s="2538" cm="1">
        <f t="array" ref="O119">INDEX('4층_부하량'!$J$3:$J$3000,MATCH(1,("4-DaHall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10911</v>
      </c>
    </row>
    <row r="120" spans="1:20" s="350" customFormat="1" ht="17.399999999999999" x14ac:dyDescent="0.25">
      <c r="A120" s="390" t="s">
        <v>10912</v>
      </c>
      <c r="B120" s="382" t="s">
        <v>5562</v>
      </c>
      <c r="C120" s="383" t="s">
        <v>4149</v>
      </c>
      <c r="D120" s="381"/>
      <c r="E120" s="381"/>
      <c r="F120" s="2538" cm="1">
        <f t="array" ref="F120">INDEX('4층_부하량'!$K$3:$K$3000,MATCH(1,("4-DaHall 1-PDU-12"='4층_부하량'!$A$3:$A$3000)*(23='4층_부하량'!$B$3:$B$3000),0))</f>
        <v>0</v>
      </c>
      <c r="G120" s="411"/>
      <c r="H120" s="1287" t="s">
        <v>4171</v>
      </c>
      <c r="I120" s="3282" t="s">
        <v>4251</v>
      </c>
      <c r="J120" s="1288"/>
      <c r="K120" s="1289"/>
      <c r="L120" s="3283" t="s">
        <v>4253</v>
      </c>
      <c r="M120" s="409" t="s">
        <v>4171</v>
      </c>
      <c r="N120" s="381"/>
      <c r="O120" s="381"/>
      <c r="P120" s="2538" cm="1">
        <f t="array" ref="P120">INDEX('4층_부하량'!$K$3:$K$3000,MATCH(1,("4-DaHall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10913</v>
      </c>
    </row>
    <row r="121" spans="1:20" s="350" customFormat="1" ht="17.399999999999999" x14ac:dyDescent="0.25">
      <c r="A121" s="390" t="s">
        <v>10914</v>
      </c>
      <c r="B121" s="382" t="s">
        <v>5562</v>
      </c>
      <c r="C121" s="383" t="s">
        <v>4149</v>
      </c>
      <c r="D121" s="2538" cm="1">
        <f t="array" ref="D121">INDEX('4층_부하량'!$I$3:$I$3000,MATCH(1,("4-DaHall 1-PDU-12"='4층_부하량'!$A$3:$A$3000)*(25='4층_부하량'!$B$3:$B$3000),0))</f>
        <v>0</v>
      </c>
      <c r="E121" s="381"/>
      <c r="F121" s="381"/>
      <c r="G121" s="411"/>
      <c r="H121" s="1287" t="s">
        <v>4171</v>
      </c>
      <c r="I121" s="3282" t="s">
        <v>4256</v>
      </c>
      <c r="J121" s="1288"/>
      <c r="K121" s="1289"/>
      <c r="L121" s="3283" t="s">
        <v>4258</v>
      </c>
      <c r="M121" s="409" t="s">
        <v>4171</v>
      </c>
      <c r="N121" s="2538" cm="1">
        <f t="array" ref="N121">INDEX('4층_부하량'!$I$3:$I$3000,MATCH(1,("4-DaHall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10915</v>
      </c>
    </row>
    <row r="122" spans="1:20" s="350" customFormat="1" ht="17.399999999999999" x14ac:dyDescent="0.25">
      <c r="A122" s="390" t="s">
        <v>10916</v>
      </c>
      <c r="B122" s="382" t="s">
        <v>5562</v>
      </c>
      <c r="C122" s="383" t="s">
        <v>4149</v>
      </c>
      <c r="D122" s="381"/>
      <c r="E122" s="2538" cm="1">
        <f t="array" ref="E122">INDEX('4층_부하량'!$J$3:$J$3000,MATCH(1,("4-DaHall 1-PDU-12"='4층_부하량'!$A$3:$A$3000)*(27='4층_부하량'!$B$3:$B$3000),0))</f>
        <v>0</v>
      </c>
      <c r="F122" s="381"/>
      <c r="G122" s="411"/>
      <c r="H122" s="1287" t="s">
        <v>4171</v>
      </c>
      <c r="I122" s="3282" t="s">
        <v>4261</v>
      </c>
      <c r="J122" s="1288"/>
      <c r="K122" s="1289"/>
      <c r="L122" s="3283" t="s">
        <v>4262</v>
      </c>
      <c r="M122" s="409" t="s">
        <v>4171</v>
      </c>
      <c r="N122" s="381"/>
      <c r="O122" s="2538" cm="1">
        <f t="array" ref="O122">INDEX('4층_부하량'!$J$3:$J$3000,MATCH(1,("4-DaHall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10917</v>
      </c>
    </row>
    <row r="123" spans="1:20" s="350" customFormat="1" ht="17.399999999999999" x14ac:dyDescent="0.25">
      <c r="A123" s="390" t="s">
        <v>10918</v>
      </c>
      <c r="B123" s="382" t="s">
        <v>5562</v>
      </c>
      <c r="C123" s="383" t="s">
        <v>4149</v>
      </c>
      <c r="D123" s="381"/>
      <c r="E123" s="381"/>
      <c r="F123" s="2538" cm="1">
        <f t="array" ref="F123">INDEX('4층_부하량'!$K$3:$K$3000,MATCH(1,("4-DaHall 1-PDU-12"='4층_부하량'!$A$3:$A$3000)*(29='4층_부하량'!$B$3:$B$3000),0))</f>
        <v>0</v>
      </c>
      <c r="G123" s="411"/>
      <c r="H123" s="1287" t="s">
        <v>4171</v>
      </c>
      <c r="I123" s="3282" t="s">
        <v>4264</v>
      </c>
      <c r="J123" s="1288"/>
      <c r="K123" s="1289"/>
      <c r="L123" s="3283" t="s">
        <v>4265</v>
      </c>
      <c r="M123" s="409" t="s">
        <v>4171</v>
      </c>
      <c r="N123" s="381"/>
      <c r="O123" s="381"/>
      <c r="P123" s="2538" cm="1">
        <f t="array" ref="P123">INDEX('4층_부하량'!$K$3:$K$3000,MATCH(1,("4-DaHall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10919</v>
      </c>
    </row>
    <row r="124" spans="1:20" s="350" customFormat="1" ht="17.399999999999999" x14ac:dyDescent="0.25">
      <c r="A124" s="390" t="s">
        <v>10920</v>
      </c>
      <c r="B124" s="382" t="s">
        <v>5562</v>
      </c>
      <c r="C124" s="383" t="s">
        <v>4149</v>
      </c>
      <c r="D124" s="2538" cm="1">
        <f t="array" ref="D124">INDEX('4층_부하량'!$I$3:$I$3000,MATCH(1,("4-DaHall 1-PDU-12"='4층_부하량'!$A$3:$A$3000)*(31='4층_부하량'!$B$3:$B$3000),0))</f>
        <v>0</v>
      </c>
      <c r="E124" s="381"/>
      <c r="F124" s="381"/>
      <c r="G124" s="411"/>
      <c r="H124" s="1287" t="s">
        <v>4171</v>
      </c>
      <c r="I124" s="3282" t="s">
        <v>4266</v>
      </c>
      <c r="J124" s="1288"/>
      <c r="K124" s="1289"/>
      <c r="L124" s="3283" t="s">
        <v>4267</v>
      </c>
      <c r="M124" s="409" t="s">
        <v>4171</v>
      </c>
      <c r="N124" s="2538" cm="1">
        <f t="array" ref="N124">INDEX('4층_부하량'!$I$3:$I$3000,MATCH(1,("4-DaHall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10921</v>
      </c>
    </row>
    <row r="125" spans="1:20" s="350" customFormat="1" ht="17.399999999999999" x14ac:dyDescent="0.25">
      <c r="A125" s="390" t="s">
        <v>10922</v>
      </c>
      <c r="B125" s="382" t="s">
        <v>5562</v>
      </c>
      <c r="C125" s="383" t="s">
        <v>4149</v>
      </c>
      <c r="D125" s="381"/>
      <c r="E125" s="2538" cm="1">
        <f t="array" ref="E125">INDEX('4층_부하량'!$J$3:$J$3000,MATCH(1,("4-DaHall 1-PDU-12"='4층_부하량'!$A$3:$A$3000)*(33='4층_부하량'!$B$3:$B$3000),0))</f>
        <v>0</v>
      </c>
      <c r="F125" s="381"/>
      <c r="G125" s="411"/>
      <c r="H125" s="1287" t="s">
        <v>4171</v>
      </c>
      <c r="I125" s="3282" t="s">
        <v>4270</v>
      </c>
      <c r="J125" s="1288"/>
      <c r="K125" s="1289"/>
      <c r="L125" s="3283" t="s">
        <v>4271</v>
      </c>
      <c r="M125" s="409" t="s">
        <v>4171</v>
      </c>
      <c r="N125" s="381"/>
      <c r="O125" s="2538" cm="1">
        <f t="array" ref="O125">INDEX('4층_부하량'!$J$3:$J$3000,MATCH(1,("4-DaHall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10923</v>
      </c>
    </row>
    <row r="126" spans="1:20" s="350" customFormat="1" ht="17.399999999999999" x14ac:dyDescent="0.25">
      <c r="A126" s="390" t="s">
        <v>10924</v>
      </c>
      <c r="B126" s="382" t="s">
        <v>5562</v>
      </c>
      <c r="C126" s="383" t="s">
        <v>4149</v>
      </c>
      <c r="D126" s="381"/>
      <c r="E126" s="381"/>
      <c r="F126" s="2538" cm="1">
        <f t="array" ref="F126">INDEX('4층_부하량'!$K$3:$K$3000,MATCH(1,("4-DaHall 1-PDU-12"='4층_부하량'!$A$3:$A$3000)*(35='4층_부하량'!$B$3:$B$3000),0))</f>
        <v>0</v>
      </c>
      <c r="G126" s="411"/>
      <c r="H126" s="1287" t="s">
        <v>4171</v>
      </c>
      <c r="I126" s="3282" t="s">
        <v>4274</v>
      </c>
      <c r="J126" s="1288"/>
      <c r="K126" s="1289"/>
      <c r="L126" s="3283" t="s">
        <v>4276</v>
      </c>
      <c r="M126" s="409" t="s">
        <v>4171</v>
      </c>
      <c r="N126" s="381"/>
      <c r="O126" s="381"/>
      <c r="P126" s="2538" cm="1">
        <f t="array" ref="P126">INDEX('4층_부하량'!$K$3:$K$3000,MATCH(1,("4-DaHall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10925</v>
      </c>
    </row>
    <row r="127" spans="1:20" s="350" customFormat="1" ht="17.399999999999999" x14ac:dyDescent="0.25">
      <c r="A127" s="390" t="s">
        <v>10926</v>
      </c>
      <c r="B127" s="382" t="s">
        <v>5562</v>
      </c>
      <c r="C127" s="383" t="s">
        <v>4149</v>
      </c>
      <c r="D127" s="2538" cm="1">
        <f t="array" ref="D127">INDEX('4층_부하량'!$I$3:$I$3000,MATCH(1,("4-DaHall 1-PDU-12"='4층_부하량'!$A$3:$A$3000)*(37='4층_부하량'!$B$3:$B$3000),0))</f>
        <v>0</v>
      </c>
      <c r="E127" s="381"/>
      <c r="F127" s="381"/>
      <c r="G127" s="411"/>
      <c r="H127" s="1287" t="s">
        <v>4171</v>
      </c>
      <c r="I127" s="3282" t="s">
        <v>4279</v>
      </c>
      <c r="J127" s="1288"/>
      <c r="K127" s="1289"/>
      <c r="L127" s="3283" t="s">
        <v>4280</v>
      </c>
      <c r="M127" s="409" t="s">
        <v>4171</v>
      </c>
      <c r="N127" s="2538" cm="1">
        <f t="array" ref="N127">INDEX('4층_부하량'!$I$3:$I$3000,MATCH(1,("4-DaHall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10927</v>
      </c>
    </row>
    <row r="128" spans="1:20" s="350" customFormat="1" ht="17.399999999999999" x14ac:dyDescent="0.25">
      <c r="A128" s="390" t="s">
        <v>10928</v>
      </c>
      <c r="B128" s="382" t="s">
        <v>5562</v>
      </c>
      <c r="C128" s="383" t="s">
        <v>4149</v>
      </c>
      <c r="D128" s="381"/>
      <c r="E128" s="2538" cm="1">
        <f t="array" ref="E128">INDEX('4층_부하량'!$J$3:$J$3000,MATCH(1,("4-DaHall 1-PDU-12"='4층_부하량'!$A$3:$A$3000)*(39='4층_부하량'!$B$3:$B$3000),0))</f>
        <v>0</v>
      </c>
      <c r="F128" s="381"/>
      <c r="G128" s="411"/>
      <c r="H128" s="1287" t="s">
        <v>4171</v>
      </c>
      <c r="I128" s="3282" t="s">
        <v>4283</v>
      </c>
      <c r="J128" s="1288"/>
      <c r="K128" s="1289"/>
      <c r="L128" s="3283" t="s">
        <v>4284</v>
      </c>
      <c r="M128" s="409" t="s">
        <v>4171</v>
      </c>
      <c r="N128" s="381"/>
      <c r="O128" s="2538" cm="1">
        <f t="array" ref="O128">INDEX('4층_부하량'!$J$3:$J$3000,MATCH(1,("4-DaHall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7" t="s">
        <v>4296</v>
      </c>
      <c r="T128" s="407" t="s">
        <v>10929</v>
      </c>
    </row>
    <row r="129" spans="1:20" s="350" customFormat="1" ht="17.399999999999999" x14ac:dyDescent="0.25">
      <c r="A129" s="390" t="s">
        <v>10930</v>
      </c>
      <c r="B129" s="382" t="s">
        <v>5562</v>
      </c>
      <c r="C129" s="1287" t="s">
        <v>4296</v>
      </c>
      <c r="D129" s="381"/>
      <c r="E129" s="381"/>
      <c r="F129" s="2538" cm="1">
        <f t="array" ref="F129">INDEX('4층_부하량'!$K$3:$K$3000,MATCH(1,("4-DaHall 1-PDU-12"='4층_부하량'!$A$3:$A$3000)*(41='4층_부하량'!$B$3:$B$3000),0))</f>
        <v>0</v>
      </c>
      <c r="G129" s="411"/>
      <c r="H129" s="1287" t="s">
        <v>4171</v>
      </c>
      <c r="I129" s="3282" t="s">
        <v>4628</v>
      </c>
      <c r="J129" s="1288"/>
      <c r="K129" s="1289"/>
      <c r="L129" s="3283" t="s">
        <v>4416</v>
      </c>
      <c r="M129" s="409" t="s">
        <v>4171</v>
      </c>
      <c r="N129" s="381"/>
      <c r="O129" s="381"/>
      <c r="P129" s="2538" cm="1">
        <f t="array" ref="P129">INDEX('4층_부하량'!$K$3:$K$3000,MATCH(1,("4-DaHall 1-PDU-12"='4층_부하량'!$A$3:$A$3000)*(42='4층_부하량'!$B$3:$B$3000),0))</f>
        <v>0</v>
      </c>
      <c r="Q129" s="411"/>
      <c r="R129" s="382" t="s">
        <v>5562</v>
      </c>
      <c r="S129" s="1287" t="s">
        <v>4296</v>
      </c>
      <c r="T129" s="407" t="s">
        <v>10931</v>
      </c>
    </row>
    <row r="130" spans="1:20" s="350" customFormat="1" ht="17.399999999999999" x14ac:dyDescent="0.25">
      <c r="A130" s="390" t="s">
        <v>10932</v>
      </c>
      <c r="B130" s="382" t="s">
        <v>5562</v>
      </c>
      <c r="C130" s="1287" t="s">
        <v>4296</v>
      </c>
      <c r="D130" s="2538" cm="1">
        <f t="array" ref="D130">INDEX('4층_부하량'!$I$3:$I$3000,MATCH(1,("4-DaHall 1-PDU-12"='4층_부하량'!$A$3:$A$3000)*(43='4층_부하량'!$B$3:$B$3000),0))</f>
        <v>0</v>
      </c>
      <c r="E130" s="381"/>
      <c r="F130" s="381"/>
      <c r="G130" s="411"/>
      <c r="H130" s="1287" t="s">
        <v>4171</v>
      </c>
      <c r="I130" s="3282" t="s">
        <v>4418</v>
      </c>
      <c r="J130" s="1288"/>
      <c r="K130" s="1289"/>
      <c r="L130" s="3283" t="s">
        <v>4419</v>
      </c>
      <c r="M130" s="409" t="s">
        <v>4171</v>
      </c>
      <c r="N130" s="2538" cm="1">
        <f t="array" ref="N130">INDEX('4층_부하량'!$I$3:$I$3000,MATCH(1,("4-DaHall 1-PDU-12"='4층_부하량'!$A$3:$A$3000)*(44='4층_부하량'!$B$3:$B$3000),0))</f>
        <v>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7.399999999999999" x14ac:dyDescent="0.25">
      <c r="A131" s="390"/>
      <c r="B131" s="1286" t="s">
        <v>535</v>
      </c>
      <c r="C131" s="1287" t="s">
        <v>4296</v>
      </c>
      <c r="D131" s="381"/>
      <c r="E131" s="2538" cm="1">
        <f t="array" ref="E131">INDEX('4층_부하량'!$J$3:$J$3000,MATCH(1,("4-DaHall 1-PDU-12"='4층_부하량'!$A$3:$A$3000)*(45='4층_부하량'!$B$3:$B$3000),0))</f>
        <v>0</v>
      </c>
      <c r="F131" s="381"/>
      <c r="G131" s="411"/>
      <c r="H131" s="1287" t="s">
        <v>4171</v>
      </c>
      <c r="I131" s="3282" t="s">
        <v>4420</v>
      </c>
      <c r="J131" s="1288"/>
      <c r="K131" s="1289"/>
      <c r="L131" s="3283" t="s">
        <v>4421</v>
      </c>
      <c r="M131" s="409" t="s">
        <v>4171</v>
      </c>
      <c r="N131" s="381"/>
      <c r="O131" s="2538" cm="1">
        <f t="array" ref="O131">INDEX('4층_부하량'!$J$3:$J$3000,MATCH(1,("4-DaHall 1-PDU-12"='4층_부하량'!$A$3:$A$3000)*(46='4층_부하량'!$B$3:$B$3000),0))</f>
        <v>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7.399999999999999" x14ac:dyDescent="0.25">
      <c r="A132" s="390"/>
      <c r="B132" s="1286" t="s">
        <v>535</v>
      </c>
      <c r="C132" s="1287" t="s">
        <v>4296</v>
      </c>
      <c r="D132" s="381"/>
      <c r="E132" s="381"/>
      <c r="F132" s="2538" cm="1">
        <f t="array" ref="F132">INDEX('4층_부하량'!$K$3:$K$3000,MATCH(1,("4-DaHall 1-PDU-12"='4층_부하량'!$A$3:$A$3000)*(47='4층_부하량'!$B$3:$B$3000),0))</f>
        <v>0</v>
      </c>
      <c r="G132" s="411"/>
      <c r="H132" s="1287" t="s">
        <v>4171</v>
      </c>
      <c r="I132" s="3282" t="s">
        <v>4422</v>
      </c>
      <c r="J132" s="1288"/>
      <c r="K132" s="1289"/>
      <c r="L132" s="3283" t="s">
        <v>4423</v>
      </c>
      <c r="M132" s="409" t="s">
        <v>4171</v>
      </c>
      <c r="N132" s="381"/>
      <c r="O132" s="381"/>
      <c r="P132" s="2538" cm="1">
        <f t="array" ref="P132">INDEX('4층_부하량'!$K$3:$K$3000,MATCH(1,("4-DaHall 1-PDU-12"='4층_부하량'!$A$3:$A$3000)*(48='4층_부하량'!$B$3:$B$3000),0))</f>
        <v>0</v>
      </c>
      <c r="Q132" s="411"/>
      <c r="R132" s="1286" t="s">
        <v>535</v>
      </c>
      <c r="S132" s="1287" t="s">
        <v>4296</v>
      </c>
      <c r="T132" s="407"/>
    </row>
    <row r="133" spans="1:20" s="350" customFormat="1" ht="18" thickBot="1" x14ac:dyDescent="0.3">
      <c r="A133" s="425"/>
      <c r="B133" s="430" t="s">
        <v>4164</v>
      </c>
      <c r="C133" s="426" t="s">
        <v>4215</v>
      </c>
      <c r="D133" s="2539" cm="1">
        <f t="array" ref="D133">INDEX('4층_부하량'!$I$3:$I$3000,MATCH(1,("4-DaHall 1-PDU-12"='4층_부하량'!$A$3:$A$3000)*(49='4층_부하량'!$B$3:$B$3000),0))</f>
        <v>0</v>
      </c>
      <c r="E133" s="427"/>
      <c r="F133" s="427"/>
      <c r="G133" s="427"/>
      <c r="H133" s="426" t="s">
        <v>4171</v>
      </c>
      <c r="I133" s="3284" t="s">
        <v>4424</v>
      </c>
      <c r="J133" s="1200"/>
      <c r="K133" s="1201"/>
      <c r="L133" s="1202" t="s">
        <v>4425</v>
      </c>
      <c r="M133" s="426" t="s">
        <v>4171</v>
      </c>
      <c r="N133" s="2539" cm="1">
        <f t="array" ref="N133">INDEX('4층_부하량'!$I$3:$I$3000,MATCH(1,("4-DaHall 1-PDU-12"='4층_부하량'!$A$3:$A$3000)*(50='4층_부하량'!$B$3:$B$3000),0))</f>
        <v>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 x14ac:dyDescent="0.3">
      <c r="L134" s="3285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 x14ac:dyDescent="0.3">
      <c r="A135" s="349" t="s">
        <v>10933</v>
      </c>
      <c r="C135" s="3981"/>
      <c r="D135" s="3981"/>
      <c r="E135" s="3981"/>
      <c r="F135" s="3981"/>
      <c r="G135" s="351"/>
      <c r="H135" s="352"/>
      <c r="I135" s="352"/>
      <c r="J135" s="3979" t="s">
        <v>4288</v>
      </c>
      <c r="K135" s="3980"/>
      <c r="L135" s="3277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 x14ac:dyDescent="0.3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.600000000000001" thickTop="1" thickBot="1" x14ac:dyDescent="0.3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 x14ac:dyDescent="0.25">
      <c r="A138" s="468"/>
      <c r="B138" s="372" t="s">
        <v>535</v>
      </c>
      <c r="C138" s="3286" t="s">
        <v>4296</v>
      </c>
      <c r="D138" s="2537" cm="1">
        <f t="array" ref="D138">INDEX('4층_부하량'!$I$3:$I$3000,MATCH(1,("4-DaHall 1-PDU-13"='4층_부하량'!$A$3:$A$3000)*(1='4층_부하량'!$B$3:$B$3000),0))</f>
        <v>0</v>
      </c>
      <c r="E138" s="395"/>
      <c r="F138" s="395"/>
      <c r="G138" s="368"/>
      <c r="H138" s="3278" t="s">
        <v>4574</v>
      </c>
      <c r="I138" s="3279" t="s">
        <v>4151</v>
      </c>
      <c r="J138" s="1018"/>
      <c r="K138" s="1019"/>
      <c r="L138" s="581" t="s">
        <v>4436</v>
      </c>
      <c r="M138" s="366" t="s">
        <v>4574</v>
      </c>
      <c r="N138" s="2537" cm="1">
        <f t="array" ref="N138">INDEX('4층_부하량'!$I$3:$I$3000,MATCH(1,("4-DaHall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86" t="s">
        <v>4296</v>
      </c>
      <c r="T138" s="1204"/>
    </row>
    <row r="139" spans="1:20" s="350" customFormat="1" ht="17.399999999999999" x14ac:dyDescent="0.25">
      <c r="A139" s="385"/>
      <c r="B139" s="382" t="s">
        <v>535</v>
      </c>
      <c r="C139" s="1203" t="s">
        <v>4296</v>
      </c>
      <c r="D139" s="381"/>
      <c r="E139" s="2531" cm="1">
        <f t="array" ref="E139">INDEX('4층_부하량'!$J$3:$J$3000,MATCH(1,("4-DaHall 1-PDU-13"='4층_부하량'!$A$3:$A$3000)*(3='4층_부하량'!$B$3:$B$3000),0))</f>
        <v>0</v>
      </c>
      <c r="F139" s="381"/>
      <c r="G139" s="377"/>
      <c r="H139" s="376" t="s">
        <v>4574</v>
      </c>
      <c r="I139" s="3280" t="s">
        <v>4156</v>
      </c>
      <c r="J139" s="1020"/>
      <c r="K139" s="1021"/>
      <c r="L139" s="582" t="s">
        <v>4438</v>
      </c>
      <c r="M139" s="376" t="s">
        <v>4574</v>
      </c>
      <c r="N139" s="381"/>
      <c r="O139" s="2531" cm="1">
        <f t="array" ref="O139">INDEX('4층_부하량'!$J$3:$J$3000,MATCH(1,("4-DaHall 1-PDU-13"='4층_부하량'!$A$3:$A$3000)*(4='4층_부하량'!$B$3:$B$3000),0))</f>
        <v>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7.399999999999999" x14ac:dyDescent="0.25">
      <c r="A140" s="385" t="s">
        <v>10934</v>
      </c>
      <c r="B140" s="382" t="s">
        <v>5562</v>
      </c>
      <c r="C140" s="383" t="s">
        <v>4149</v>
      </c>
      <c r="D140" s="381"/>
      <c r="E140" s="381"/>
      <c r="F140" s="2538" cm="1">
        <f t="array" ref="F140">INDEX('4층_부하량'!$K$3:$K$3000,MATCH(1,("4-DaHall 1-PDU-13"='4층_부하량'!$A$3:$A$3000)*(5='4층_부하량'!$B$3:$B$3000),0))</f>
        <v>0</v>
      </c>
      <c r="G140" s="381"/>
      <c r="H140" s="376" t="s">
        <v>4171</v>
      </c>
      <c r="I140" s="3280" t="s">
        <v>4161</v>
      </c>
      <c r="J140" s="1022"/>
      <c r="K140" s="1023"/>
      <c r="L140" s="583" t="s">
        <v>4441</v>
      </c>
      <c r="M140" s="3281" t="s">
        <v>4150</v>
      </c>
      <c r="N140" s="381"/>
      <c r="O140" s="381"/>
      <c r="P140" s="2538" cm="1">
        <f t="array" ref="P140">INDEX('4층_부하량'!$K$3:$K$3000,MATCH(1,("4-DaHall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10935</v>
      </c>
    </row>
    <row r="141" spans="1:20" s="350" customFormat="1" ht="17.399999999999999" x14ac:dyDescent="0.25">
      <c r="A141" s="385" t="s">
        <v>10936</v>
      </c>
      <c r="B141" s="382" t="s">
        <v>5562</v>
      </c>
      <c r="C141" s="383" t="s">
        <v>4149</v>
      </c>
      <c r="D141" s="2538" cm="1">
        <f t="array" ref="D141">INDEX('4층_부하량'!$I$3:$I$3000,MATCH(1,("4-DaHall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8" cm="1">
        <f t="array" ref="N141">INDEX('4층_부하량'!$I$3:$I$3000,MATCH(1,("4-DaHall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10937</v>
      </c>
    </row>
    <row r="142" spans="1:20" s="350" customFormat="1" ht="17.399999999999999" x14ac:dyDescent="0.25">
      <c r="A142" s="385" t="s">
        <v>10938</v>
      </c>
      <c r="B142" s="382" t="s">
        <v>5562</v>
      </c>
      <c r="C142" s="383" t="s">
        <v>4149</v>
      </c>
      <c r="D142" s="381"/>
      <c r="E142" s="2531" cm="1">
        <f t="array" ref="E142">INDEX('4층_부하량'!$J$3:$J$3000,MATCH(1,("4-DaHall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1" cm="1">
        <f t="array" ref="O142">INDEX('4층_부하량'!$J$3:$J$3000,MATCH(1,("4-DaHall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10939</v>
      </c>
    </row>
    <row r="143" spans="1:20" s="350" customFormat="1" ht="17.399999999999999" x14ac:dyDescent="0.25">
      <c r="A143" s="385" t="s">
        <v>10940</v>
      </c>
      <c r="B143" s="382" t="s">
        <v>5562</v>
      </c>
      <c r="C143" s="383" t="s">
        <v>4149</v>
      </c>
      <c r="D143" s="381"/>
      <c r="E143" s="381"/>
      <c r="F143" s="2538" cm="1">
        <f t="array" ref="F143">INDEX('4층_부하량'!$K$3:$K$3000,MATCH(1,("4-DaHall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8" cm="1">
        <f t="array" ref="P143">INDEX('4층_부하량'!$K$3:$K$3000,MATCH(1,("4-DaHall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10941</v>
      </c>
    </row>
    <row r="144" spans="1:20" s="350" customFormat="1" ht="17.399999999999999" x14ac:dyDescent="0.25">
      <c r="A144" s="385" t="s">
        <v>10942</v>
      </c>
      <c r="B144" s="382" t="s">
        <v>5562</v>
      </c>
      <c r="C144" s="383" t="s">
        <v>4149</v>
      </c>
      <c r="D144" s="2538" cm="1">
        <f t="array" ref="D144">INDEX('4층_부하량'!$I$3:$I$3000,MATCH(1,("4-DaHall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8" cm="1">
        <f t="array" ref="N144">INDEX('4층_부하량'!$I$3:$I$3000,MATCH(1,("4-DaHall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10943</v>
      </c>
    </row>
    <row r="145" spans="1:20" s="350" customFormat="1" ht="17.399999999999999" x14ac:dyDescent="0.25">
      <c r="A145" s="442" t="s">
        <v>10944</v>
      </c>
      <c r="B145" s="382" t="s">
        <v>5562</v>
      </c>
      <c r="C145" s="383" t="s">
        <v>4149</v>
      </c>
      <c r="D145" s="381"/>
      <c r="E145" s="2538" cm="1">
        <f t="array" ref="E145">INDEX('4층_부하량'!$J$3:$J$3000,MATCH(1,("4-DaHall 1-PDU-13"='4층_부하량'!$A$3:$A$3000)*(15='4층_부하량'!$B$3:$B$3000),0))</f>
        <v>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8" cm="1">
        <f t="array" ref="O145">INDEX('4층_부하량'!$J$3:$J$3000,MATCH(1,("4-DaHall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10945</v>
      </c>
    </row>
    <row r="146" spans="1:20" s="350" customFormat="1" ht="17.399999999999999" x14ac:dyDescent="0.25">
      <c r="A146" s="442" t="s">
        <v>10946</v>
      </c>
      <c r="B146" s="382" t="s">
        <v>5562</v>
      </c>
      <c r="C146" s="383" t="s">
        <v>4149</v>
      </c>
      <c r="D146" s="381"/>
      <c r="E146" s="381"/>
      <c r="F146" s="2538" cm="1">
        <f t="array" ref="F146">INDEX('4층_부하량'!$K$3:$K$3000,MATCH(1,("4-DaHall 1-PDU-13"='4층_부하량'!$A$3:$A$3000)*(17='4층_부하량'!$B$3:$B$3000),0))</f>
        <v>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8" cm="1">
        <f t="array" ref="P146">INDEX('4층_부하량'!$K$3:$K$3000,MATCH(1,("4-DaHall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10947</v>
      </c>
    </row>
    <row r="147" spans="1:20" s="350" customFormat="1" ht="17.399999999999999" x14ac:dyDescent="0.25">
      <c r="A147" s="442" t="s">
        <v>10948</v>
      </c>
      <c r="B147" s="382" t="s">
        <v>5562</v>
      </c>
      <c r="C147" s="383" t="s">
        <v>4149</v>
      </c>
      <c r="D147" s="2538" cm="1">
        <f t="array" ref="D147">INDEX('4층_부하량'!$I$3:$I$3000,MATCH(1,("4-DaHall 1-PDU-13"='4층_부하량'!$A$3:$A$3000)*(19='4층_부하량'!$B$3:$B$3000),0))</f>
        <v>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8" cm="1">
        <f t="array" ref="N147">INDEX('4층_부하량'!$I$3:$I$3000,MATCH(1,("4-DaHall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10949</v>
      </c>
    </row>
    <row r="148" spans="1:20" s="350" customFormat="1" ht="17.399999999999999" x14ac:dyDescent="0.25">
      <c r="A148" s="442" t="s">
        <v>10950</v>
      </c>
      <c r="B148" s="382" t="s">
        <v>5562</v>
      </c>
      <c r="C148" s="383" t="s">
        <v>4149</v>
      </c>
      <c r="D148" s="381"/>
      <c r="E148" s="2538" cm="1">
        <f t="array" ref="E148">INDEX('4층_부하량'!$J$3:$J$3000,MATCH(1,("4-DaHall 1-PDU-13"='4층_부하량'!$A$3:$A$3000)*(21='4층_부하량'!$B$3:$B$3000),0))</f>
        <v>0</v>
      </c>
      <c r="F148" s="381"/>
      <c r="G148" s="381"/>
      <c r="H148" s="1203" t="s">
        <v>4171</v>
      </c>
      <c r="I148" s="3280" t="s">
        <v>4247</v>
      </c>
      <c r="J148" s="1022"/>
      <c r="K148" s="1023"/>
      <c r="L148" s="583" t="s">
        <v>5668</v>
      </c>
      <c r="M148" s="376" t="s">
        <v>4171</v>
      </c>
      <c r="N148" s="381"/>
      <c r="O148" s="2538" cm="1">
        <f t="array" ref="O148">INDEX('4층_부하량'!$J$3:$J$3000,MATCH(1,("4-DaHall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10951</v>
      </c>
    </row>
    <row r="149" spans="1:20" s="350" customFormat="1" ht="17.399999999999999" x14ac:dyDescent="0.25">
      <c r="A149" s="390" t="s">
        <v>10952</v>
      </c>
      <c r="B149" s="382" t="s">
        <v>5562</v>
      </c>
      <c r="C149" s="383" t="s">
        <v>4149</v>
      </c>
      <c r="D149" s="381"/>
      <c r="E149" s="381"/>
      <c r="F149" s="2538" cm="1">
        <f t="array" ref="F149">INDEX('4층_부하량'!$K$3:$K$3000,MATCH(1,("4-DaHall 1-PDU-13"='4층_부하량'!$A$3:$A$3000)*(23='4층_부하량'!$B$3:$B$3000),0))</f>
        <v>0</v>
      </c>
      <c r="G149" s="411"/>
      <c r="H149" s="1287" t="s">
        <v>4171</v>
      </c>
      <c r="I149" s="3282" t="s">
        <v>4251</v>
      </c>
      <c r="J149" s="1288"/>
      <c r="K149" s="1289"/>
      <c r="L149" s="3283" t="s">
        <v>4253</v>
      </c>
      <c r="M149" s="409" t="s">
        <v>4171</v>
      </c>
      <c r="N149" s="381"/>
      <c r="O149" s="381"/>
      <c r="P149" s="2538" cm="1">
        <f t="array" ref="P149">INDEX('4층_부하량'!$K$3:$K$3000,MATCH(1,("4-DaHall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10953</v>
      </c>
    </row>
    <row r="150" spans="1:20" s="350" customFormat="1" ht="17.399999999999999" x14ac:dyDescent="0.25">
      <c r="A150" s="390" t="s">
        <v>10954</v>
      </c>
      <c r="B150" s="382" t="s">
        <v>5562</v>
      </c>
      <c r="C150" s="383" t="s">
        <v>4149</v>
      </c>
      <c r="D150" s="2538" cm="1">
        <f t="array" ref="D150">INDEX('4층_부하량'!$I$3:$I$3000,MATCH(1,("4-DaHall 1-PDU-13"='4층_부하량'!$A$3:$A$3000)*(25='4층_부하량'!$B$3:$B$3000),0))</f>
        <v>0</v>
      </c>
      <c r="E150" s="381"/>
      <c r="F150" s="381"/>
      <c r="G150" s="411"/>
      <c r="H150" s="1287" t="s">
        <v>4171</v>
      </c>
      <c r="I150" s="3282" t="s">
        <v>4256</v>
      </c>
      <c r="J150" s="1288"/>
      <c r="K150" s="1289"/>
      <c r="L150" s="3283" t="s">
        <v>4258</v>
      </c>
      <c r="M150" s="409" t="s">
        <v>4171</v>
      </c>
      <c r="N150" s="2538" cm="1">
        <f t="array" ref="N150">INDEX('4층_부하량'!$I$3:$I$3000,MATCH(1,("4-DaHall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10955</v>
      </c>
    </row>
    <row r="151" spans="1:20" s="350" customFormat="1" ht="17.399999999999999" x14ac:dyDescent="0.25">
      <c r="A151" s="390" t="s">
        <v>10956</v>
      </c>
      <c r="B151" s="382" t="s">
        <v>5562</v>
      </c>
      <c r="C151" s="383" t="s">
        <v>4149</v>
      </c>
      <c r="D151" s="381"/>
      <c r="E151" s="2538" cm="1">
        <f t="array" ref="E151">INDEX('4층_부하량'!$J$3:$J$3000,MATCH(1,("4-DaHall 1-PDU-13"='4층_부하량'!$A$3:$A$3000)*(27='4층_부하량'!$B$3:$B$3000),0))</f>
        <v>0</v>
      </c>
      <c r="F151" s="381"/>
      <c r="G151" s="411"/>
      <c r="H151" s="1287" t="s">
        <v>4171</v>
      </c>
      <c r="I151" s="3282" t="s">
        <v>4261</v>
      </c>
      <c r="J151" s="1288"/>
      <c r="K151" s="1289"/>
      <c r="L151" s="3283" t="s">
        <v>4262</v>
      </c>
      <c r="M151" s="409" t="s">
        <v>4171</v>
      </c>
      <c r="N151" s="381"/>
      <c r="O151" s="2538" cm="1">
        <f t="array" ref="O151">INDEX('4층_부하량'!$J$3:$J$3000,MATCH(1,("4-DaHall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10957</v>
      </c>
    </row>
    <row r="152" spans="1:20" s="350" customFormat="1" ht="17.399999999999999" x14ac:dyDescent="0.25">
      <c r="A152" s="390" t="s">
        <v>10958</v>
      </c>
      <c r="B152" s="382" t="s">
        <v>5562</v>
      </c>
      <c r="C152" s="383" t="s">
        <v>4149</v>
      </c>
      <c r="D152" s="381"/>
      <c r="E152" s="381"/>
      <c r="F152" s="2538" cm="1">
        <f t="array" ref="F152">INDEX('4층_부하량'!$K$3:$K$3000,MATCH(1,("4-DaHall 1-PDU-13"='4층_부하량'!$A$3:$A$3000)*(29='4층_부하량'!$B$3:$B$3000),0))</f>
        <v>0</v>
      </c>
      <c r="G152" s="411"/>
      <c r="H152" s="1287" t="s">
        <v>4171</v>
      </c>
      <c r="I152" s="3282" t="s">
        <v>4264</v>
      </c>
      <c r="J152" s="1288"/>
      <c r="K152" s="1289"/>
      <c r="L152" s="3283" t="s">
        <v>4265</v>
      </c>
      <c r="M152" s="409" t="s">
        <v>4171</v>
      </c>
      <c r="N152" s="381"/>
      <c r="O152" s="381"/>
      <c r="P152" s="2538" cm="1">
        <f t="array" ref="P152">INDEX('4층_부하량'!$K$3:$K$3000,MATCH(1,("4-DaHall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10959</v>
      </c>
    </row>
    <row r="153" spans="1:20" s="350" customFormat="1" ht="17.399999999999999" x14ac:dyDescent="0.25">
      <c r="A153" s="390" t="s">
        <v>10960</v>
      </c>
      <c r="B153" s="382" t="s">
        <v>5562</v>
      </c>
      <c r="C153" s="383" t="s">
        <v>4149</v>
      </c>
      <c r="D153" s="2538" cm="1">
        <f t="array" ref="D153">INDEX('4층_부하량'!$I$3:$I$3000,MATCH(1,("4-DaHall 1-PDU-13"='4층_부하량'!$A$3:$A$3000)*(31='4층_부하량'!$B$3:$B$3000),0))</f>
        <v>0</v>
      </c>
      <c r="E153" s="381"/>
      <c r="F153" s="381"/>
      <c r="G153" s="411"/>
      <c r="H153" s="1287" t="s">
        <v>4171</v>
      </c>
      <c r="I153" s="3282" t="s">
        <v>4266</v>
      </c>
      <c r="J153" s="1288"/>
      <c r="K153" s="1289"/>
      <c r="L153" s="3283" t="s">
        <v>4267</v>
      </c>
      <c r="M153" s="409" t="s">
        <v>4171</v>
      </c>
      <c r="N153" s="2538" cm="1">
        <f t="array" ref="N153">INDEX('4층_부하량'!$I$3:$I$3000,MATCH(1,("4-DaHall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10961</v>
      </c>
    </row>
    <row r="154" spans="1:20" s="350" customFormat="1" ht="17.399999999999999" x14ac:dyDescent="0.25">
      <c r="A154" s="390" t="s">
        <v>10962</v>
      </c>
      <c r="B154" s="382" t="s">
        <v>5562</v>
      </c>
      <c r="C154" s="383" t="s">
        <v>4149</v>
      </c>
      <c r="D154" s="381"/>
      <c r="E154" s="2538" cm="1">
        <f t="array" ref="E154">INDEX('4층_부하량'!$J$3:$J$3000,MATCH(1,("4-DaHall 1-PDU-13"='4층_부하량'!$A$3:$A$3000)*(33='4층_부하량'!$B$3:$B$3000),0))</f>
        <v>0</v>
      </c>
      <c r="F154" s="381"/>
      <c r="G154" s="411"/>
      <c r="H154" s="1287" t="s">
        <v>4171</v>
      </c>
      <c r="I154" s="3282" t="s">
        <v>4270</v>
      </c>
      <c r="J154" s="1288"/>
      <c r="K154" s="1289"/>
      <c r="L154" s="3283" t="s">
        <v>4271</v>
      </c>
      <c r="M154" s="409" t="s">
        <v>4171</v>
      </c>
      <c r="N154" s="381"/>
      <c r="O154" s="2538" cm="1">
        <f t="array" ref="O154">INDEX('4층_부하량'!$J$3:$J$3000,MATCH(1,("4-DaHall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10963</v>
      </c>
    </row>
    <row r="155" spans="1:20" s="350" customFormat="1" ht="17.399999999999999" x14ac:dyDescent="0.25">
      <c r="A155" s="390" t="s">
        <v>10964</v>
      </c>
      <c r="B155" s="382" t="s">
        <v>5562</v>
      </c>
      <c r="C155" s="383" t="s">
        <v>4149</v>
      </c>
      <c r="D155" s="381"/>
      <c r="E155" s="381"/>
      <c r="F155" s="2538" cm="1">
        <f t="array" ref="F155">INDEX('4층_부하량'!$K$3:$K$3000,MATCH(1,("4-DaHall 1-PDU-13"='4층_부하량'!$A$3:$A$3000)*(35='4층_부하량'!$B$3:$B$3000),0))</f>
        <v>0</v>
      </c>
      <c r="G155" s="411"/>
      <c r="H155" s="1287" t="s">
        <v>4171</v>
      </c>
      <c r="I155" s="3282" t="s">
        <v>4274</v>
      </c>
      <c r="J155" s="1288"/>
      <c r="K155" s="1289"/>
      <c r="L155" s="3283" t="s">
        <v>4276</v>
      </c>
      <c r="M155" s="409" t="s">
        <v>4171</v>
      </c>
      <c r="N155" s="381"/>
      <c r="O155" s="381"/>
      <c r="P155" s="2538" cm="1">
        <f t="array" ref="P155">INDEX('4층_부하량'!$K$3:$K$3000,MATCH(1,("4-DaHall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10965</v>
      </c>
    </row>
    <row r="156" spans="1:20" s="350" customFormat="1" ht="17.399999999999999" x14ac:dyDescent="0.25">
      <c r="A156" s="390" t="s">
        <v>10966</v>
      </c>
      <c r="B156" s="382" t="s">
        <v>5562</v>
      </c>
      <c r="C156" s="383" t="s">
        <v>4149</v>
      </c>
      <c r="D156" s="2538" cm="1">
        <f t="array" ref="D156">INDEX('4층_부하량'!$I$3:$I$3000,MATCH(1,("4-DaHall 1-PDU-13"='4층_부하량'!$A$3:$A$3000)*(37='4층_부하량'!$B$3:$B$3000),0))</f>
        <v>0</v>
      </c>
      <c r="E156" s="381"/>
      <c r="F156" s="381"/>
      <c r="G156" s="411"/>
      <c r="H156" s="1287" t="s">
        <v>4171</v>
      </c>
      <c r="I156" s="3282" t="s">
        <v>4279</v>
      </c>
      <c r="J156" s="1288"/>
      <c r="K156" s="1289"/>
      <c r="L156" s="3283" t="s">
        <v>4280</v>
      </c>
      <c r="M156" s="409" t="s">
        <v>4171</v>
      </c>
      <c r="N156" s="2538" cm="1">
        <f t="array" ref="N156">INDEX('4층_부하량'!$I$3:$I$3000,MATCH(1,("4-DaHall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10967</v>
      </c>
    </row>
    <row r="157" spans="1:20" s="350" customFormat="1" ht="17.399999999999999" x14ac:dyDescent="0.25">
      <c r="A157" s="390" t="s">
        <v>10968</v>
      </c>
      <c r="B157" s="382" t="s">
        <v>5562</v>
      </c>
      <c r="C157" s="383" t="s">
        <v>4149</v>
      </c>
      <c r="D157" s="381"/>
      <c r="E157" s="2538" cm="1">
        <f t="array" ref="E157">INDEX('4층_부하량'!$J$3:$J$3000,MATCH(1,("4-DaHall 1-PDU-13"='4층_부하량'!$A$3:$A$3000)*(39='4층_부하량'!$B$3:$B$3000),0))</f>
        <v>0</v>
      </c>
      <c r="F157" s="381"/>
      <c r="G157" s="411"/>
      <c r="H157" s="1287" t="s">
        <v>4171</v>
      </c>
      <c r="I157" s="3282" t="s">
        <v>4283</v>
      </c>
      <c r="J157" s="1288"/>
      <c r="K157" s="1289"/>
      <c r="L157" s="3283" t="s">
        <v>4284</v>
      </c>
      <c r="M157" s="409" t="s">
        <v>4171</v>
      </c>
      <c r="N157" s="381"/>
      <c r="O157" s="2538" cm="1">
        <f t="array" ref="O157">INDEX('4층_부하량'!$J$3:$J$3000,MATCH(1,("4-DaHall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10969</v>
      </c>
    </row>
    <row r="158" spans="1:20" s="350" customFormat="1" ht="17.399999999999999" x14ac:dyDescent="0.25">
      <c r="A158" s="390" t="s">
        <v>10970</v>
      </c>
      <c r="B158" s="382" t="s">
        <v>5562</v>
      </c>
      <c r="C158" s="383" t="s">
        <v>4149</v>
      </c>
      <c r="D158" s="381"/>
      <c r="E158" s="381"/>
      <c r="F158" s="2538" cm="1">
        <f t="array" ref="F158">INDEX('4층_부하량'!$K$3:$K$3000,MATCH(1,("4-DaHall 1-PDU-13"='4층_부하량'!$A$3:$A$3000)*(41='4층_부하량'!$B$3:$B$3000),0))</f>
        <v>0</v>
      </c>
      <c r="G158" s="411"/>
      <c r="H158" s="1287" t="s">
        <v>4171</v>
      </c>
      <c r="I158" s="3282" t="s">
        <v>4628</v>
      </c>
      <c r="J158" s="1288"/>
      <c r="K158" s="1289"/>
      <c r="L158" s="3283" t="s">
        <v>4416</v>
      </c>
      <c r="M158" s="409" t="s">
        <v>4171</v>
      </c>
      <c r="N158" s="381"/>
      <c r="O158" s="381"/>
      <c r="P158" s="2538" cm="1">
        <f t="array" ref="P158">INDEX('4층_부하량'!$K$3:$K$3000,MATCH(1,("4-DaHall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10971</v>
      </c>
    </row>
    <row r="159" spans="1:20" s="350" customFormat="1" ht="17.399999999999999" x14ac:dyDescent="0.25">
      <c r="A159" s="390" t="s">
        <v>10972</v>
      </c>
      <c r="B159" s="382" t="s">
        <v>5562</v>
      </c>
      <c r="C159" s="383" t="s">
        <v>4149</v>
      </c>
      <c r="D159" s="2538" cm="1">
        <f t="array" ref="D159">INDEX('4층_부하량'!$I$3:$I$3000,MATCH(1,("4-DaHall 1-PDU-13"='4층_부하량'!$A$3:$A$3000)*(43='4층_부하량'!$B$3:$B$3000),0))</f>
        <v>0</v>
      </c>
      <c r="E159" s="381"/>
      <c r="F159" s="381"/>
      <c r="G159" s="411"/>
      <c r="H159" s="1287" t="s">
        <v>4171</v>
      </c>
      <c r="I159" s="3282" t="s">
        <v>4418</v>
      </c>
      <c r="J159" s="1288"/>
      <c r="K159" s="1289"/>
      <c r="L159" s="3283" t="s">
        <v>4419</v>
      </c>
      <c r="M159" s="409" t="s">
        <v>4171</v>
      </c>
      <c r="N159" s="2538" cm="1">
        <f t="array" ref="N159">INDEX('4층_부하량'!$I$3:$I$3000,MATCH(1,("4-DaHall 1-PDU-13"='4층_부하량'!$A$3:$A$3000)*(44='4층_부하량'!$B$3:$B$3000),0))</f>
        <v>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7.399999999999999" x14ac:dyDescent="0.25">
      <c r="A160" s="390"/>
      <c r="B160" s="1286" t="s">
        <v>535</v>
      </c>
      <c r="C160" s="1287" t="s">
        <v>4296</v>
      </c>
      <c r="D160" s="381"/>
      <c r="E160" s="2538" cm="1">
        <f t="array" ref="E160">INDEX('4층_부하량'!$J$3:$J$3000,MATCH(1,("4-DaHall 1-PDU-13"='4층_부하량'!$A$3:$A$3000)*(45='4층_부하량'!$B$3:$B$3000),0))</f>
        <v>0</v>
      </c>
      <c r="F160" s="381"/>
      <c r="G160" s="411"/>
      <c r="H160" s="1287" t="s">
        <v>4171</v>
      </c>
      <c r="I160" s="3282" t="s">
        <v>4420</v>
      </c>
      <c r="J160" s="1288"/>
      <c r="K160" s="1289"/>
      <c r="L160" s="3283" t="s">
        <v>4421</v>
      </c>
      <c r="M160" s="409" t="s">
        <v>4171</v>
      </c>
      <c r="N160" s="381"/>
      <c r="O160" s="2538" cm="1">
        <f t="array" ref="O160">INDEX('4층_부하량'!$J$3:$J$3000,MATCH(1,("4-DaHall 1-PDU-13"='4층_부하량'!$A$3:$A$3000)*(46='4층_부하량'!$B$3:$B$3000),0))</f>
        <v>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7.399999999999999" x14ac:dyDescent="0.25">
      <c r="A161" s="390"/>
      <c r="B161" s="1286" t="s">
        <v>535</v>
      </c>
      <c r="C161" s="1287" t="s">
        <v>4296</v>
      </c>
      <c r="D161" s="381"/>
      <c r="E161" s="381"/>
      <c r="F161" s="2538" cm="1">
        <f t="array" ref="F161">INDEX('4층_부하량'!$K$3:$K$3000,MATCH(1,("4-DaHall 1-PDU-13"='4층_부하량'!$A$3:$A$3000)*(47='4층_부하량'!$B$3:$B$3000),0))</f>
        <v>0</v>
      </c>
      <c r="G161" s="411"/>
      <c r="H161" s="1287" t="s">
        <v>4171</v>
      </c>
      <c r="I161" s="3282" t="s">
        <v>4422</v>
      </c>
      <c r="J161" s="1288"/>
      <c r="K161" s="1289"/>
      <c r="L161" s="3283" t="s">
        <v>4423</v>
      </c>
      <c r="M161" s="409" t="s">
        <v>4171</v>
      </c>
      <c r="N161" s="381"/>
      <c r="O161" s="381"/>
      <c r="P161" s="2538" cm="1">
        <f t="array" ref="P161">INDEX('4층_부하량'!$K$3:$K$3000,MATCH(1,("4-DaHall 1-PDU-13"='4층_부하량'!$A$3:$A$3000)*(48='4층_부하량'!$B$3:$B$3000),0))</f>
        <v>0</v>
      </c>
      <c r="Q161" s="411"/>
      <c r="R161" s="1286" t="s">
        <v>535</v>
      </c>
      <c r="S161" s="1287" t="s">
        <v>4296</v>
      </c>
      <c r="T161" s="407"/>
    </row>
    <row r="162" spans="1:20" s="350" customFormat="1" ht="17.399999999999999" x14ac:dyDescent="0.25">
      <c r="A162" s="390"/>
      <c r="B162" s="1286" t="s">
        <v>535</v>
      </c>
      <c r="C162" s="1287" t="s">
        <v>4296</v>
      </c>
      <c r="D162" s="2538" cm="1">
        <f t="array" ref="D162">INDEX('4층_부하량'!$I$3:$I$3000,MATCH(1,("4-DaHall 1-PDU-13"='4층_부하량'!$A$3:$A$3000)*(49='4층_부하량'!$B$3:$B$3000),0))</f>
        <v>0</v>
      </c>
      <c r="E162" s="381"/>
      <c r="F162" s="381"/>
      <c r="G162" s="411"/>
      <c r="H162" s="1287" t="s">
        <v>4171</v>
      </c>
      <c r="I162" s="3282" t="s">
        <v>4360</v>
      </c>
      <c r="J162" s="1288"/>
      <c r="K162" s="1289"/>
      <c r="L162" s="3283" t="s">
        <v>4362</v>
      </c>
      <c r="M162" s="409" t="s">
        <v>4171</v>
      </c>
      <c r="N162" s="2538" cm="1">
        <f t="array" ref="N162">INDEX('4층_부하량'!$I$3:$I$3000,MATCH(1,("4-DaHall 1-PDU-13"='4층_부하량'!$A$3:$A$3000)*(50='4층_부하량'!$B$3:$B$3000),0))</f>
        <v>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7.399999999999999" x14ac:dyDescent="0.25">
      <c r="A163" s="390"/>
      <c r="B163" s="1286" t="s">
        <v>535</v>
      </c>
      <c r="C163" s="1287" t="s">
        <v>4296</v>
      </c>
      <c r="D163" s="381"/>
      <c r="E163" s="2538" cm="1">
        <f t="array" ref="E163">INDEX('4층_부하량'!$J$3:$J$3000,MATCH(1,("4-DaHall 1-PDU-13"='4층_부하량'!$A$3:$A$3000)*(51='4층_부하량'!$B$3:$B$3000),0))</f>
        <v>0</v>
      </c>
      <c r="F163" s="381"/>
      <c r="G163" s="411"/>
      <c r="H163" s="1287" t="s">
        <v>4171</v>
      </c>
      <c r="I163" s="3282" t="s">
        <v>4364</v>
      </c>
      <c r="J163" s="1288"/>
      <c r="K163" s="1289"/>
      <c r="L163" s="3283" t="s">
        <v>4366</v>
      </c>
      <c r="M163" s="409" t="s">
        <v>4171</v>
      </c>
      <c r="N163" s="381"/>
      <c r="O163" s="2538" cm="1">
        <f t="array" ref="O163">INDEX('4층_부하량'!$J$3:$J$3000,MATCH(1,("4-DaHall 1-PDU-13"='4층_부하량'!$A$3:$A$3000)*(52='4층_부하량'!$B$3:$B$3000),0))</f>
        <v>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8" thickBot="1" x14ac:dyDescent="0.3">
      <c r="A164" s="3287"/>
      <c r="B164" s="3288" t="s">
        <v>535</v>
      </c>
      <c r="C164" s="3289" t="s">
        <v>4296</v>
      </c>
      <c r="D164" s="427"/>
      <c r="E164" s="427"/>
      <c r="F164" s="2539" cm="1">
        <f t="array" ref="F164">INDEX('4층_부하량'!$K$3:$K$3000,MATCH(1,("4-DaHall 1-PDU-13"='4층_부하량'!$A$3:$A$3000)*(53='4층_부하량'!$B$3:$B$3000),0))</f>
        <v>0</v>
      </c>
      <c r="G164" s="427"/>
      <c r="H164" s="3289" t="s">
        <v>4171</v>
      </c>
      <c r="I164" s="3284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9" cm="1">
        <f t="array" ref="P164">INDEX('4층_부하량'!$K$3:$K$3000,MATCH(1,("4-DaHall 1-PDU-13"='4층_부하량'!$A$3:$A$3000)*(54='4층_부하량'!$B$3:$B$3000),0))</f>
        <v>0</v>
      </c>
      <c r="Q164" s="427"/>
      <c r="R164" s="3288" t="s">
        <v>535</v>
      </c>
      <c r="S164" s="3289" t="s">
        <v>4296</v>
      </c>
      <c r="T164" s="432"/>
    </row>
    <row r="165" spans="1:20" s="350" customFormat="1" ht="18.600000000000001" thickTop="1" thickBot="1" x14ac:dyDescent="0.3">
      <c r="L165" s="3285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 x14ac:dyDescent="0.3">
      <c r="A166" s="349" t="s">
        <v>10973</v>
      </c>
      <c r="C166" s="3981"/>
      <c r="D166" s="3981"/>
      <c r="E166" s="3981"/>
      <c r="F166" s="3981"/>
      <c r="G166" s="351"/>
      <c r="H166" s="352"/>
      <c r="I166" s="352"/>
      <c r="J166" s="3979" t="s">
        <v>4288</v>
      </c>
      <c r="K166" s="3980"/>
      <c r="L166" s="3277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 x14ac:dyDescent="0.3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.600000000000001" thickTop="1" thickBot="1" x14ac:dyDescent="0.3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 x14ac:dyDescent="0.25">
      <c r="A169" s="468"/>
      <c r="B169" s="372" t="s">
        <v>535</v>
      </c>
      <c r="C169" s="3286" t="s">
        <v>4296</v>
      </c>
      <c r="D169" s="2537" cm="1">
        <f t="array" ref="D169">INDEX('4층_부하량'!$I$3:$I$3000,MATCH(1,("4-DaHall 1-PDU-14"='4층_부하량'!$A$3:$A$3000)*(1='4층_부하량'!$B$3:$B$3000),0))</f>
        <v>0</v>
      </c>
      <c r="E169" s="395"/>
      <c r="F169" s="395"/>
      <c r="G169" s="368"/>
      <c r="H169" s="3278" t="s">
        <v>4574</v>
      </c>
      <c r="I169" s="3279" t="s">
        <v>4151</v>
      </c>
      <c r="J169" s="1018"/>
      <c r="K169" s="1019"/>
      <c r="L169" s="581" t="s">
        <v>4436</v>
      </c>
      <c r="M169" s="366" t="s">
        <v>4574</v>
      </c>
      <c r="N169" s="2537" cm="1">
        <f t="array" ref="N169">INDEX('4층_부하량'!$I$3:$I$3000,MATCH(1,("4-DaHall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86" t="s">
        <v>4296</v>
      </c>
      <c r="T169" s="1204"/>
    </row>
    <row r="170" spans="1:20" s="350" customFormat="1" ht="17.399999999999999" x14ac:dyDescent="0.25">
      <c r="A170" s="385"/>
      <c r="B170" s="382" t="s">
        <v>535</v>
      </c>
      <c r="C170" s="1203" t="s">
        <v>4296</v>
      </c>
      <c r="D170" s="381"/>
      <c r="E170" s="2531" cm="1">
        <f t="array" ref="E170">INDEX('4층_부하량'!$J$3:$J$3000,MATCH(1,("4-DaHall 1-PDU-14"='4층_부하량'!$A$3:$A$3000)*(3='4층_부하량'!$B$3:$B$3000),0))</f>
        <v>0</v>
      </c>
      <c r="F170" s="381"/>
      <c r="G170" s="377"/>
      <c r="H170" s="376" t="s">
        <v>4574</v>
      </c>
      <c r="I170" s="3280" t="s">
        <v>4156</v>
      </c>
      <c r="J170" s="1020"/>
      <c r="K170" s="1021"/>
      <c r="L170" s="582" t="s">
        <v>4438</v>
      </c>
      <c r="M170" s="376" t="s">
        <v>4574</v>
      </c>
      <c r="N170" s="381"/>
      <c r="O170" s="2531" cm="1">
        <f t="array" ref="O170">INDEX('4층_부하량'!$J$3:$J$3000,MATCH(1,("4-DaHall 1-PDU-14"='4층_부하량'!$A$3:$A$3000)*(4='4층_부하량'!$B$3:$B$3000),0))</f>
        <v>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7.399999999999999" x14ac:dyDescent="0.25">
      <c r="A171" s="385" t="s">
        <v>10974</v>
      </c>
      <c r="B171" s="382" t="s">
        <v>5562</v>
      </c>
      <c r="C171" s="383" t="s">
        <v>4149</v>
      </c>
      <c r="D171" s="381"/>
      <c r="E171" s="381"/>
      <c r="F171" s="2538" cm="1">
        <f t="array" ref="F171">INDEX('4층_부하량'!$K$3:$K$3000,MATCH(1,("4-DaHall 1-PDU-14"='4층_부하량'!$A$3:$A$3000)*(5='4층_부하량'!$B$3:$B$3000),0))</f>
        <v>0</v>
      </c>
      <c r="G171" s="381"/>
      <c r="H171" s="376" t="s">
        <v>4171</v>
      </c>
      <c r="I171" s="3280" t="s">
        <v>4161</v>
      </c>
      <c r="J171" s="1022"/>
      <c r="K171" s="1023"/>
      <c r="L171" s="583" t="s">
        <v>4441</v>
      </c>
      <c r="M171" s="3281" t="s">
        <v>4150</v>
      </c>
      <c r="N171" s="381"/>
      <c r="O171" s="381"/>
      <c r="P171" s="2538" cm="1">
        <f t="array" ref="P171">INDEX('4층_부하량'!$K$3:$K$3000,MATCH(1,("4-DaHall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10975</v>
      </c>
    </row>
    <row r="172" spans="1:20" s="350" customFormat="1" ht="17.399999999999999" x14ac:dyDescent="0.25">
      <c r="A172" s="385" t="s">
        <v>10976</v>
      </c>
      <c r="B172" s="382" t="s">
        <v>5562</v>
      </c>
      <c r="C172" s="383" t="s">
        <v>4149</v>
      </c>
      <c r="D172" s="2538" cm="1">
        <f t="array" ref="D172">INDEX('4층_부하량'!$I$3:$I$3000,MATCH(1,("4-DaHall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8" cm="1">
        <f t="array" ref="N172">INDEX('4층_부하량'!$I$3:$I$3000,MATCH(1,("4-DaHall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10977</v>
      </c>
    </row>
    <row r="173" spans="1:20" s="350" customFormat="1" ht="17.399999999999999" x14ac:dyDescent="0.25">
      <c r="A173" s="385" t="s">
        <v>10978</v>
      </c>
      <c r="B173" s="382" t="s">
        <v>5562</v>
      </c>
      <c r="C173" s="383" t="s">
        <v>4149</v>
      </c>
      <c r="D173" s="381"/>
      <c r="E173" s="2531" cm="1">
        <f t="array" ref="E173">INDEX('4층_부하량'!$J$3:$J$3000,MATCH(1,("4-DaHall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1" cm="1">
        <f t="array" ref="O173">INDEX('4층_부하량'!$J$3:$J$3000,MATCH(1,("4-DaHall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10979</v>
      </c>
    </row>
    <row r="174" spans="1:20" s="350" customFormat="1" ht="17.399999999999999" x14ac:dyDescent="0.25">
      <c r="A174" s="385" t="s">
        <v>10980</v>
      </c>
      <c r="B174" s="382" t="s">
        <v>5562</v>
      </c>
      <c r="C174" s="383" t="s">
        <v>4149</v>
      </c>
      <c r="D174" s="381"/>
      <c r="E174" s="381"/>
      <c r="F174" s="2538" cm="1">
        <f t="array" ref="F174">INDEX('4층_부하량'!$K$3:$K$3000,MATCH(1,("4-DaHall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8" cm="1">
        <f t="array" ref="P174">INDEX('4층_부하량'!$K$3:$K$3000,MATCH(1,("4-DaHall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10981</v>
      </c>
    </row>
    <row r="175" spans="1:20" s="350" customFormat="1" ht="17.399999999999999" x14ac:dyDescent="0.25">
      <c r="A175" s="385" t="s">
        <v>10982</v>
      </c>
      <c r="B175" s="382" t="s">
        <v>5562</v>
      </c>
      <c r="C175" s="383" t="s">
        <v>4149</v>
      </c>
      <c r="D175" s="2538" cm="1">
        <f t="array" ref="D175">INDEX('4층_부하량'!$I$3:$I$3000,MATCH(1,("4-DaHall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8" cm="1">
        <f t="array" ref="N175">INDEX('4층_부하량'!$I$3:$I$3000,MATCH(1,("4-DaHall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10983</v>
      </c>
    </row>
    <row r="176" spans="1:20" s="350" customFormat="1" ht="17.399999999999999" x14ac:dyDescent="0.25">
      <c r="A176" s="442" t="s">
        <v>10984</v>
      </c>
      <c r="B176" s="382" t="s">
        <v>5562</v>
      </c>
      <c r="C176" s="383" t="s">
        <v>4149</v>
      </c>
      <c r="D176" s="381"/>
      <c r="E176" s="2538" cm="1">
        <f t="array" ref="E176">INDEX('4층_부하량'!$J$3:$J$3000,MATCH(1,("4-DaHall 1-PDU-14"='4층_부하량'!$A$3:$A$3000)*(15='4층_부하량'!$B$3:$B$3000),0))</f>
        <v>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8" cm="1">
        <f t="array" ref="O176">INDEX('4층_부하량'!$J$3:$J$3000,MATCH(1,("4-DaHall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10985</v>
      </c>
    </row>
    <row r="177" spans="1:20" s="350" customFormat="1" ht="17.399999999999999" x14ac:dyDescent="0.25">
      <c r="A177" s="442" t="s">
        <v>10986</v>
      </c>
      <c r="B177" s="382" t="s">
        <v>5562</v>
      </c>
      <c r="C177" s="383" t="s">
        <v>4149</v>
      </c>
      <c r="D177" s="381"/>
      <c r="E177" s="381"/>
      <c r="F177" s="2538" cm="1">
        <f t="array" ref="F177">INDEX('4층_부하량'!$K$3:$K$3000,MATCH(1,("4-DaHall 1-PDU-14"='4층_부하량'!$A$3:$A$3000)*(17='4층_부하량'!$B$3:$B$3000),0))</f>
        <v>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8" cm="1">
        <f t="array" ref="P177">INDEX('4층_부하량'!$K$3:$K$3000,MATCH(1,("4-DaHall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10987</v>
      </c>
    </row>
    <row r="178" spans="1:20" s="350" customFormat="1" ht="17.399999999999999" x14ac:dyDescent="0.25">
      <c r="A178" s="442" t="s">
        <v>10988</v>
      </c>
      <c r="B178" s="382" t="s">
        <v>5562</v>
      </c>
      <c r="C178" s="383" t="s">
        <v>4149</v>
      </c>
      <c r="D178" s="2538" cm="1">
        <f t="array" ref="D178">INDEX('4층_부하량'!$I$3:$I$3000,MATCH(1,("4-DaHall 1-PDU-14"='4층_부하량'!$A$3:$A$3000)*(19='4층_부하량'!$B$3:$B$3000),0))</f>
        <v>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8" cm="1">
        <f t="array" ref="N178">INDEX('4층_부하량'!$I$3:$I$3000,MATCH(1,("4-DaHall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10989</v>
      </c>
    </row>
    <row r="179" spans="1:20" s="350" customFormat="1" ht="17.399999999999999" x14ac:dyDescent="0.25">
      <c r="A179" s="442" t="s">
        <v>10990</v>
      </c>
      <c r="B179" s="382" t="s">
        <v>5562</v>
      </c>
      <c r="C179" s="383" t="s">
        <v>4149</v>
      </c>
      <c r="D179" s="381"/>
      <c r="E179" s="2538" cm="1">
        <f t="array" ref="E179">INDEX('4층_부하량'!$J$3:$J$3000,MATCH(1,("4-DaHall 1-PDU-14"='4층_부하량'!$A$3:$A$3000)*(21='4층_부하량'!$B$3:$B$3000),0))</f>
        <v>0</v>
      </c>
      <c r="F179" s="381"/>
      <c r="G179" s="381"/>
      <c r="H179" s="1203" t="s">
        <v>4171</v>
      </c>
      <c r="I179" s="3280" t="s">
        <v>4247</v>
      </c>
      <c r="J179" s="1022"/>
      <c r="K179" s="1023"/>
      <c r="L179" s="583" t="s">
        <v>5668</v>
      </c>
      <c r="M179" s="376" t="s">
        <v>4171</v>
      </c>
      <c r="N179" s="381"/>
      <c r="O179" s="2538" cm="1">
        <f t="array" ref="O179">INDEX('4층_부하량'!$J$3:$J$3000,MATCH(1,("4-DaHall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10991</v>
      </c>
    </row>
    <row r="180" spans="1:20" s="350" customFormat="1" ht="17.399999999999999" x14ac:dyDescent="0.25">
      <c r="A180" s="390" t="s">
        <v>10992</v>
      </c>
      <c r="B180" s="382" t="s">
        <v>5562</v>
      </c>
      <c r="C180" s="383" t="s">
        <v>4149</v>
      </c>
      <c r="D180" s="381"/>
      <c r="E180" s="381"/>
      <c r="F180" s="2538" cm="1">
        <f t="array" ref="F180">INDEX('4층_부하량'!$K$3:$K$3000,MATCH(1,("4-DaHall 1-PDU-14"='4층_부하량'!$A$3:$A$3000)*(23='4층_부하량'!$B$3:$B$3000),0))</f>
        <v>0</v>
      </c>
      <c r="G180" s="411"/>
      <c r="H180" s="1287" t="s">
        <v>4171</v>
      </c>
      <c r="I180" s="3282" t="s">
        <v>4251</v>
      </c>
      <c r="J180" s="1288"/>
      <c r="K180" s="1289"/>
      <c r="L180" s="3283" t="s">
        <v>4253</v>
      </c>
      <c r="M180" s="409" t="s">
        <v>4171</v>
      </c>
      <c r="N180" s="381"/>
      <c r="O180" s="381"/>
      <c r="P180" s="2538" cm="1">
        <f t="array" ref="P180">INDEX('4층_부하량'!$K$3:$K$3000,MATCH(1,("4-DaHall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10993</v>
      </c>
    </row>
    <row r="181" spans="1:20" s="350" customFormat="1" ht="17.399999999999999" x14ac:dyDescent="0.25">
      <c r="A181" s="390" t="s">
        <v>10994</v>
      </c>
      <c r="B181" s="382" t="s">
        <v>5562</v>
      </c>
      <c r="C181" s="383" t="s">
        <v>4149</v>
      </c>
      <c r="D181" s="2538" cm="1">
        <f t="array" ref="D181">INDEX('4층_부하량'!$I$3:$I$3000,MATCH(1,("4-DaHall 1-PDU-14"='4층_부하량'!$A$3:$A$3000)*(25='4층_부하량'!$B$3:$B$3000),0))</f>
        <v>0</v>
      </c>
      <c r="E181" s="381"/>
      <c r="F181" s="381"/>
      <c r="G181" s="411"/>
      <c r="H181" s="1287" t="s">
        <v>4171</v>
      </c>
      <c r="I181" s="3282" t="s">
        <v>4256</v>
      </c>
      <c r="J181" s="1288"/>
      <c r="K181" s="1289"/>
      <c r="L181" s="3283" t="s">
        <v>4258</v>
      </c>
      <c r="M181" s="409" t="s">
        <v>4171</v>
      </c>
      <c r="N181" s="2538" cm="1">
        <f t="array" ref="N181">INDEX('4층_부하량'!$I$3:$I$3000,MATCH(1,("4-DaHall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10995</v>
      </c>
    </row>
    <row r="182" spans="1:20" s="350" customFormat="1" ht="17.399999999999999" x14ac:dyDescent="0.25">
      <c r="A182" s="390" t="s">
        <v>10996</v>
      </c>
      <c r="B182" s="382" t="s">
        <v>5562</v>
      </c>
      <c r="C182" s="383" t="s">
        <v>4149</v>
      </c>
      <c r="D182" s="381"/>
      <c r="E182" s="2538" cm="1">
        <f t="array" ref="E182">INDEX('4층_부하량'!$J$3:$J$3000,MATCH(1,("4-DaHall 1-PDU-14"='4층_부하량'!$A$3:$A$3000)*(27='4층_부하량'!$B$3:$B$3000),0))</f>
        <v>0</v>
      </c>
      <c r="F182" s="381"/>
      <c r="G182" s="411"/>
      <c r="H182" s="1287" t="s">
        <v>4171</v>
      </c>
      <c r="I182" s="3282" t="s">
        <v>4261</v>
      </c>
      <c r="J182" s="1288"/>
      <c r="K182" s="1289"/>
      <c r="L182" s="3283" t="s">
        <v>4262</v>
      </c>
      <c r="M182" s="409" t="s">
        <v>4171</v>
      </c>
      <c r="N182" s="381"/>
      <c r="O182" s="2538" cm="1">
        <f t="array" ref="O182">INDEX('4층_부하량'!$J$3:$J$3000,MATCH(1,("4-DaHall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10997</v>
      </c>
    </row>
    <row r="183" spans="1:20" s="350" customFormat="1" ht="17.399999999999999" x14ac:dyDescent="0.25">
      <c r="A183" s="390" t="s">
        <v>10998</v>
      </c>
      <c r="B183" s="382" t="s">
        <v>5562</v>
      </c>
      <c r="C183" s="383" t="s">
        <v>4149</v>
      </c>
      <c r="D183" s="381"/>
      <c r="E183" s="381"/>
      <c r="F183" s="2538" cm="1">
        <f t="array" ref="F183">INDEX('4층_부하량'!$K$3:$K$3000,MATCH(1,("4-DaHall 1-PDU-14"='4층_부하량'!$A$3:$A$3000)*(29='4층_부하량'!$B$3:$B$3000),0))</f>
        <v>0</v>
      </c>
      <c r="G183" s="411"/>
      <c r="H183" s="1287" t="s">
        <v>4171</v>
      </c>
      <c r="I183" s="3282" t="s">
        <v>4264</v>
      </c>
      <c r="J183" s="1288"/>
      <c r="K183" s="1289"/>
      <c r="L183" s="3283" t="s">
        <v>4265</v>
      </c>
      <c r="M183" s="409" t="s">
        <v>4171</v>
      </c>
      <c r="N183" s="381"/>
      <c r="O183" s="381"/>
      <c r="P183" s="2538" cm="1">
        <f t="array" ref="P183">INDEX('4층_부하량'!$K$3:$K$3000,MATCH(1,("4-DaHall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10999</v>
      </c>
    </row>
    <row r="184" spans="1:20" s="350" customFormat="1" ht="17.399999999999999" x14ac:dyDescent="0.25">
      <c r="A184" s="390" t="s">
        <v>11000</v>
      </c>
      <c r="B184" s="382" t="s">
        <v>5562</v>
      </c>
      <c r="C184" s="383" t="s">
        <v>4149</v>
      </c>
      <c r="D184" s="2538" cm="1">
        <f t="array" ref="D184">INDEX('4층_부하량'!$I$3:$I$3000,MATCH(1,("4-DaHall 1-PDU-14"='4층_부하량'!$A$3:$A$3000)*(31='4층_부하량'!$B$3:$B$3000),0))</f>
        <v>0</v>
      </c>
      <c r="E184" s="381"/>
      <c r="F184" s="381"/>
      <c r="G184" s="411"/>
      <c r="H184" s="1287" t="s">
        <v>4171</v>
      </c>
      <c r="I184" s="3282" t="s">
        <v>4266</v>
      </c>
      <c r="J184" s="1288"/>
      <c r="K184" s="1289"/>
      <c r="L184" s="3283" t="s">
        <v>4267</v>
      </c>
      <c r="M184" s="409" t="s">
        <v>4171</v>
      </c>
      <c r="N184" s="2538" cm="1">
        <f t="array" ref="N184">INDEX('4층_부하량'!$I$3:$I$3000,MATCH(1,("4-DaHall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11001</v>
      </c>
    </row>
    <row r="185" spans="1:20" s="350" customFormat="1" ht="17.399999999999999" x14ac:dyDescent="0.25">
      <c r="A185" s="390" t="s">
        <v>11002</v>
      </c>
      <c r="B185" s="382" t="s">
        <v>5562</v>
      </c>
      <c r="C185" s="383" t="s">
        <v>4149</v>
      </c>
      <c r="D185" s="381"/>
      <c r="E185" s="2538" cm="1">
        <f t="array" ref="E185">INDEX('4층_부하량'!$J$3:$J$3000,MATCH(1,("4-DaHall 1-PDU-14"='4층_부하량'!$A$3:$A$3000)*(33='4층_부하량'!$B$3:$B$3000),0))</f>
        <v>0</v>
      </c>
      <c r="F185" s="381"/>
      <c r="G185" s="411"/>
      <c r="H185" s="1287" t="s">
        <v>4171</v>
      </c>
      <c r="I185" s="3282" t="s">
        <v>4270</v>
      </c>
      <c r="J185" s="1288"/>
      <c r="K185" s="1289"/>
      <c r="L185" s="3283" t="s">
        <v>4271</v>
      </c>
      <c r="M185" s="409" t="s">
        <v>4171</v>
      </c>
      <c r="N185" s="381"/>
      <c r="O185" s="2538" cm="1">
        <f t="array" ref="O185">INDEX('4층_부하량'!$J$3:$J$3000,MATCH(1,("4-DaHall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11003</v>
      </c>
    </row>
    <row r="186" spans="1:20" s="350" customFormat="1" ht="17.399999999999999" x14ac:dyDescent="0.25">
      <c r="A186" s="390" t="s">
        <v>11004</v>
      </c>
      <c r="B186" s="382" t="s">
        <v>5562</v>
      </c>
      <c r="C186" s="383" t="s">
        <v>4149</v>
      </c>
      <c r="D186" s="381"/>
      <c r="E186" s="381"/>
      <c r="F186" s="2538" cm="1">
        <f t="array" ref="F186">INDEX('4층_부하량'!$K$3:$K$3000,MATCH(1,("4-DaHall 1-PDU-14"='4층_부하량'!$A$3:$A$3000)*(35='4층_부하량'!$B$3:$B$3000),0))</f>
        <v>0</v>
      </c>
      <c r="G186" s="411"/>
      <c r="H186" s="1287" t="s">
        <v>4171</v>
      </c>
      <c r="I186" s="3282" t="s">
        <v>4274</v>
      </c>
      <c r="J186" s="1288"/>
      <c r="K186" s="1289"/>
      <c r="L186" s="3283" t="s">
        <v>4276</v>
      </c>
      <c r="M186" s="409" t="s">
        <v>4171</v>
      </c>
      <c r="N186" s="381"/>
      <c r="O186" s="381"/>
      <c r="P186" s="2538" cm="1">
        <f t="array" ref="P186">INDEX('4층_부하량'!$K$3:$K$3000,MATCH(1,("4-DaHall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11005</v>
      </c>
    </row>
    <row r="187" spans="1:20" s="350" customFormat="1" ht="17.399999999999999" x14ac:dyDescent="0.25">
      <c r="A187" s="390" t="s">
        <v>11006</v>
      </c>
      <c r="B187" s="382" t="s">
        <v>5562</v>
      </c>
      <c r="C187" s="383" t="s">
        <v>4149</v>
      </c>
      <c r="D187" s="2538" cm="1">
        <f t="array" ref="D187">INDEX('4층_부하량'!$I$3:$I$3000,MATCH(1,("4-DaHall 1-PDU-14"='4층_부하량'!$A$3:$A$3000)*(37='4층_부하량'!$B$3:$B$3000),0))</f>
        <v>0</v>
      </c>
      <c r="E187" s="381"/>
      <c r="F187" s="381"/>
      <c r="G187" s="411"/>
      <c r="H187" s="1287" t="s">
        <v>4171</v>
      </c>
      <c r="I187" s="3282" t="s">
        <v>4279</v>
      </c>
      <c r="J187" s="1288"/>
      <c r="K187" s="1289"/>
      <c r="L187" s="3283" t="s">
        <v>4280</v>
      </c>
      <c r="M187" s="409" t="s">
        <v>4171</v>
      </c>
      <c r="N187" s="2538" cm="1">
        <f t="array" ref="N187">INDEX('4층_부하량'!$I$3:$I$3000,MATCH(1,("4-DaHall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11007</v>
      </c>
    </row>
    <row r="188" spans="1:20" s="350" customFormat="1" ht="17.399999999999999" x14ac:dyDescent="0.25">
      <c r="A188" s="390" t="s">
        <v>11008</v>
      </c>
      <c r="B188" s="382" t="s">
        <v>5562</v>
      </c>
      <c r="C188" s="383" t="s">
        <v>4149</v>
      </c>
      <c r="D188" s="381"/>
      <c r="E188" s="2538" cm="1">
        <f t="array" ref="E188">INDEX('4층_부하량'!$J$3:$J$3000,MATCH(1,("4-DaHall 1-PDU-14"='4층_부하량'!$A$3:$A$3000)*(39='4층_부하량'!$B$3:$B$3000),0))</f>
        <v>0</v>
      </c>
      <c r="F188" s="381"/>
      <c r="G188" s="411"/>
      <c r="H188" s="1287" t="s">
        <v>4171</v>
      </c>
      <c r="I188" s="3282" t="s">
        <v>4283</v>
      </c>
      <c r="J188" s="1288"/>
      <c r="K188" s="1289"/>
      <c r="L188" s="3283" t="s">
        <v>4284</v>
      </c>
      <c r="M188" s="409" t="s">
        <v>4171</v>
      </c>
      <c r="N188" s="381"/>
      <c r="O188" s="2538" cm="1">
        <f t="array" ref="O188">INDEX('4층_부하량'!$J$3:$J$3000,MATCH(1,("4-DaHall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11009</v>
      </c>
    </row>
    <row r="189" spans="1:20" s="350" customFormat="1" ht="17.399999999999999" x14ac:dyDescent="0.25">
      <c r="A189" s="390" t="s">
        <v>11010</v>
      </c>
      <c r="B189" s="382" t="s">
        <v>5562</v>
      </c>
      <c r="C189" s="383" t="s">
        <v>4149</v>
      </c>
      <c r="D189" s="381"/>
      <c r="E189" s="381"/>
      <c r="F189" s="2538" cm="1">
        <f t="array" ref="F189">INDEX('4층_부하량'!$K$3:$K$3000,MATCH(1,("4-DaHall 1-PDU-14"='4층_부하량'!$A$3:$A$3000)*(41='4층_부하량'!$B$3:$B$3000),0))</f>
        <v>0</v>
      </c>
      <c r="G189" s="411"/>
      <c r="H189" s="1287" t="s">
        <v>4171</v>
      </c>
      <c r="I189" s="3282" t="s">
        <v>4628</v>
      </c>
      <c r="J189" s="1288"/>
      <c r="K189" s="1289"/>
      <c r="L189" s="3283" t="s">
        <v>4416</v>
      </c>
      <c r="M189" s="409" t="s">
        <v>4171</v>
      </c>
      <c r="N189" s="381"/>
      <c r="O189" s="381"/>
      <c r="P189" s="2538" cm="1">
        <f t="array" ref="P189">INDEX('4층_부하량'!$K$3:$K$3000,MATCH(1,("4-DaHall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11011</v>
      </c>
    </row>
    <row r="190" spans="1:20" s="350" customFormat="1" ht="17.399999999999999" x14ac:dyDescent="0.25">
      <c r="A190" s="390" t="s">
        <v>11012</v>
      </c>
      <c r="B190" s="382" t="s">
        <v>5562</v>
      </c>
      <c r="C190" s="383" t="s">
        <v>4149</v>
      </c>
      <c r="D190" s="2538" cm="1">
        <f t="array" ref="D190">INDEX('4층_부하량'!$I$3:$I$3000,MATCH(1,("4-DaHall 1-PDU-14"='4층_부하량'!$A$3:$A$3000)*(43='4층_부하량'!$B$3:$B$3000),0))</f>
        <v>0</v>
      </c>
      <c r="E190" s="381"/>
      <c r="F190" s="381"/>
      <c r="G190" s="411"/>
      <c r="H190" s="1287" t="s">
        <v>4171</v>
      </c>
      <c r="I190" s="3282" t="s">
        <v>4418</v>
      </c>
      <c r="J190" s="1288"/>
      <c r="K190" s="1289"/>
      <c r="L190" s="3283" t="s">
        <v>4419</v>
      </c>
      <c r="M190" s="409" t="s">
        <v>4171</v>
      </c>
      <c r="N190" s="2538" cm="1">
        <f t="array" ref="N190">INDEX('4층_부하량'!$I$3:$I$3000,MATCH(1,("4-DaHall 1-PDU-14"='4층_부하량'!$A$3:$A$3000)*(44='4층_부하량'!$B$3:$B$3000),0))</f>
        <v>0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7.399999999999999" x14ac:dyDescent="0.25">
      <c r="A191" s="390"/>
      <c r="B191" s="1286" t="s">
        <v>535</v>
      </c>
      <c r="C191" s="1287" t="s">
        <v>4296</v>
      </c>
      <c r="D191" s="381"/>
      <c r="E191" s="2538" cm="1">
        <f t="array" ref="E191">INDEX('4층_부하량'!$J$3:$J$3000,MATCH(1,("4-DaHall 1-PDU-14"='4층_부하량'!$A$3:$A$3000)*(45='4층_부하량'!$B$3:$B$3000),0))</f>
        <v>0</v>
      </c>
      <c r="F191" s="381"/>
      <c r="G191" s="411"/>
      <c r="H191" s="1287" t="s">
        <v>4171</v>
      </c>
      <c r="I191" s="3282" t="s">
        <v>4420</v>
      </c>
      <c r="J191" s="1288"/>
      <c r="K191" s="1289"/>
      <c r="L191" s="3283" t="s">
        <v>4421</v>
      </c>
      <c r="M191" s="409" t="s">
        <v>4171</v>
      </c>
      <c r="N191" s="381"/>
      <c r="O191" s="2538" cm="1">
        <f t="array" ref="O191">INDEX('4층_부하량'!$J$3:$J$3000,MATCH(1,("4-DaHall 1-PDU-14"='4층_부하량'!$A$3:$A$3000)*(46='4층_부하량'!$B$3:$B$3000),0))</f>
        <v>0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7.399999999999999" x14ac:dyDescent="0.25">
      <c r="A192" s="390"/>
      <c r="B192" s="1286" t="s">
        <v>535</v>
      </c>
      <c r="C192" s="1287" t="s">
        <v>4296</v>
      </c>
      <c r="D192" s="381"/>
      <c r="E192" s="381"/>
      <c r="F192" s="2538" cm="1">
        <f t="array" ref="F192">INDEX('4층_부하량'!$K$3:$K$3000,MATCH(1,("4-DaHall 1-PDU-14"='4층_부하량'!$A$3:$A$3000)*(47='4층_부하량'!$B$3:$B$3000),0))</f>
        <v>0</v>
      </c>
      <c r="G192" s="411"/>
      <c r="H192" s="1287" t="s">
        <v>4171</v>
      </c>
      <c r="I192" s="3282" t="s">
        <v>4422</v>
      </c>
      <c r="J192" s="1288"/>
      <c r="K192" s="1289"/>
      <c r="L192" s="3283" t="s">
        <v>4423</v>
      </c>
      <c r="M192" s="409" t="s">
        <v>4171</v>
      </c>
      <c r="N192" s="381"/>
      <c r="O192" s="381"/>
      <c r="P192" s="2538" cm="1">
        <f t="array" ref="P192">INDEX('4층_부하량'!$K$3:$K$3000,MATCH(1,("4-DaHall 1-PDU-14"='4층_부하량'!$A$3:$A$3000)*(48='4층_부하량'!$B$3:$B$3000),0))</f>
        <v>0</v>
      </c>
      <c r="Q192" s="411"/>
      <c r="R192" s="1286" t="s">
        <v>535</v>
      </c>
      <c r="S192" s="1287" t="s">
        <v>4296</v>
      </c>
      <c r="T192" s="407"/>
    </row>
    <row r="193" spans="1:20" s="350" customFormat="1" ht="17.399999999999999" x14ac:dyDescent="0.25">
      <c r="A193" s="390"/>
      <c r="B193" s="1286" t="s">
        <v>535</v>
      </c>
      <c r="C193" s="1287" t="s">
        <v>4296</v>
      </c>
      <c r="D193" s="2538" cm="1">
        <f t="array" ref="D193">INDEX('4층_부하량'!$I$3:$I$3000,MATCH(1,("4-DaHall 1-PDU-14"='4층_부하량'!$A$3:$A$3000)*(49='4층_부하량'!$B$3:$B$3000),0))</f>
        <v>0</v>
      </c>
      <c r="E193" s="381"/>
      <c r="F193" s="381"/>
      <c r="G193" s="411"/>
      <c r="H193" s="1287" t="s">
        <v>4171</v>
      </c>
      <c r="I193" s="3282" t="s">
        <v>4360</v>
      </c>
      <c r="J193" s="1288"/>
      <c r="K193" s="1289"/>
      <c r="L193" s="3283" t="s">
        <v>4362</v>
      </c>
      <c r="M193" s="409" t="s">
        <v>4171</v>
      </c>
      <c r="N193" s="2538" cm="1">
        <f t="array" ref="N193">INDEX('4층_부하량'!$I$3:$I$3000,MATCH(1,("4-DaHall 1-PDU-14"='4층_부하량'!$A$3:$A$3000)*(50='4층_부하량'!$B$3:$B$3000),0))</f>
        <v>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7.399999999999999" x14ac:dyDescent="0.25">
      <c r="A194" s="390"/>
      <c r="B194" s="1286" t="s">
        <v>535</v>
      </c>
      <c r="C194" s="1287" t="s">
        <v>4296</v>
      </c>
      <c r="D194" s="381"/>
      <c r="E194" s="2538" cm="1">
        <f t="array" ref="E194">INDEX('4층_부하량'!$J$3:$J$3000,MATCH(1,("4-DaHall 1-PDU-14"='4층_부하량'!$A$3:$A$3000)*(51='4층_부하량'!$B$3:$B$3000),0))</f>
        <v>0</v>
      </c>
      <c r="F194" s="381"/>
      <c r="G194" s="411"/>
      <c r="H194" s="1287" t="s">
        <v>4171</v>
      </c>
      <c r="I194" s="3282" t="s">
        <v>4364</v>
      </c>
      <c r="J194" s="1288"/>
      <c r="K194" s="1289"/>
      <c r="L194" s="3283" t="s">
        <v>4366</v>
      </c>
      <c r="M194" s="409" t="s">
        <v>4171</v>
      </c>
      <c r="N194" s="381"/>
      <c r="O194" s="2538" cm="1">
        <f t="array" ref="O194">INDEX('4층_부하량'!$J$3:$J$3000,MATCH(1,("4-DaHall 1-PDU-14"='4층_부하량'!$A$3:$A$3000)*(52='4층_부하량'!$B$3:$B$3000),0))</f>
        <v>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8" thickBot="1" x14ac:dyDescent="0.3">
      <c r="A195" s="3287"/>
      <c r="B195" s="3288" t="s">
        <v>535</v>
      </c>
      <c r="C195" s="3289" t="s">
        <v>4296</v>
      </c>
      <c r="D195" s="427"/>
      <c r="E195" s="427"/>
      <c r="F195" s="2539" cm="1">
        <f t="array" ref="F195">INDEX('4층_부하량'!$K$3:$K$3000,MATCH(1,("4-DaHall 1-PDU-14"='4층_부하량'!$A$3:$A$3000)*(53='4층_부하량'!$B$3:$B$3000),0))</f>
        <v>0</v>
      </c>
      <c r="G195" s="427"/>
      <c r="H195" s="3289" t="s">
        <v>4171</v>
      </c>
      <c r="I195" s="3284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9" cm="1">
        <f t="array" ref="P195">INDEX('4층_부하량'!$K$3:$K$3000,MATCH(1,("4-DaHall 1-PDU-14"='4층_부하량'!$A$3:$A$3000)*(54='4층_부하량'!$B$3:$B$3000),0))</f>
        <v>0</v>
      </c>
      <c r="Q195" s="427"/>
      <c r="R195" s="3288" t="s">
        <v>535</v>
      </c>
      <c r="S195" s="3289" t="s">
        <v>4296</v>
      </c>
      <c r="T195" s="432"/>
    </row>
    <row r="196" spans="1:20" s="350" customFormat="1" ht="18.600000000000001" thickTop="1" thickBot="1" x14ac:dyDescent="0.3">
      <c r="L196" s="3285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 x14ac:dyDescent="0.3">
      <c r="A197" s="2" t="s">
        <v>10853</v>
      </c>
      <c r="D197" s="3970" t="s">
        <v>11013</v>
      </c>
      <c r="E197" s="3976"/>
      <c r="F197" s="3266"/>
      <c r="G197" s="3981"/>
      <c r="H197" s="3981"/>
      <c r="I197" s="3981"/>
      <c r="K197" s="2" t="s">
        <v>10854</v>
      </c>
      <c r="N197" s="3970" t="s">
        <v>11013</v>
      </c>
      <c r="O197" s="3976"/>
      <c r="P197" s="3266"/>
      <c r="Q197" s="3981"/>
      <c r="R197" s="3981"/>
      <c r="S197" s="3981"/>
    </row>
    <row r="198" spans="1:20" ht="18" thickTop="1" thickBot="1" x14ac:dyDescent="0.3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.6" thickTop="1" thickBot="1" x14ac:dyDescent="0.3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 x14ac:dyDescent="0.25">
      <c r="A200" s="10" t="s">
        <v>11014</v>
      </c>
      <c r="B200" s="17" t="s">
        <v>4204</v>
      </c>
      <c r="C200" s="18" t="s">
        <v>4149</v>
      </c>
      <c r="D200" s="2528" cm="1">
        <f t="array" ref="D200">INDEX('4층_부하량'!$I$3:$I$3000,MATCH(1,("4-DaHall 1-RPP-01"='4층_부하량'!$A$3:$A$3000)*(1='4층_부하량'!$B$3:$B$3000),0))</f>
        <v>0</v>
      </c>
      <c r="E200" s="2528" cm="1">
        <f t="array" ref="E200">INDEX('4층_부하량'!$J$3:$J$3000,MATCH(1,("4-DaHall 1-RPP-01"='4층_부하량'!$A$3:$A$3000)*(1='4층_부하량'!$B$3:$B$3000),0))</f>
        <v>0</v>
      </c>
      <c r="F200" s="2528" cm="1">
        <f t="array" ref="F200">INDEX('4층_부하량'!$K$3:$K$3000,MATCH(1,("4-DaHall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11015</v>
      </c>
      <c r="L200" s="17" t="s">
        <v>4204</v>
      </c>
      <c r="M200" s="18" t="s">
        <v>4149</v>
      </c>
      <c r="N200" s="2528" cm="1">
        <f t="array" ref="N200">INDEX('4층_부하량'!$I$3:$I$3000,MATCH(1,("4-DaHall 1-RPP-02"='4층_부하량'!$A$3:$A$3000)*(1='4층_부하량'!$B$3:$B$3000),0))</f>
        <v>0</v>
      </c>
      <c r="O200" s="2528" cm="1">
        <f t="array" ref="O200">INDEX('4층_부하량'!$J$3:$J$3000,MATCH(1,("4-DaHall 1-RPP-02"='4층_부하량'!$A$3:$A$3000)*(1='4층_부하량'!$B$3:$B$3000),0))</f>
        <v>0</v>
      </c>
      <c r="P200" s="2528" cm="1">
        <f t="array" ref="P200">INDEX('4층_부하량'!$K$3:$K$3000,MATCH(1,("4-DaHall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 x14ac:dyDescent="0.25">
      <c r="A201" s="16" t="s">
        <v>11016</v>
      </c>
      <c r="B201" s="17" t="s">
        <v>4204</v>
      </c>
      <c r="C201" s="18" t="s">
        <v>4149</v>
      </c>
      <c r="D201" s="2529" cm="1">
        <f t="array" ref="D201">INDEX('4층_부하량'!$I$3:$I$3000,MATCH(1,("4-DaHall 1-RPP-01"='4층_부하량'!$A$3:$A$3000)*(2='4층_부하량'!$B$3:$B$3000),0))</f>
        <v>0</v>
      </c>
      <c r="E201" s="2529" cm="1">
        <f t="array" ref="E201">INDEX('4층_부하량'!$J$3:$J$3000,MATCH(1,("4-DaHall 1-RPP-01"='4층_부하량'!$A$3:$A$3000)*(2='4층_부하량'!$B$3:$B$3000),0))</f>
        <v>0</v>
      </c>
      <c r="F201" s="2529" cm="1">
        <f t="array" ref="F201">INDEX('4층_부하량'!$K$3:$K$3000,MATCH(1,("4-DaHall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16" t="s">
        <v>11017</v>
      </c>
      <c r="L201" s="17" t="s">
        <v>4204</v>
      </c>
      <c r="M201" s="18" t="s">
        <v>4149</v>
      </c>
      <c r="N201" s="2529" cm="1">
        <f t="array" ref="N201">INDEX('4층_부하량'!$I$3:$I$3000,MATCH(1,("4-DaHall 1-RPP-02"='4층_부하량'!$A$3:$A$3000)*(2='4층_부하량'!$B$3:$B$3000),0))</f>
        <v>0</v>
      </c>
      <c r="O201" s="2529" cm="1">
        <f t="array" ref="O201">INDEX('4층_부하량'!$J$3:$J$3000,MATCH(1,("4-DaHall 1-RPP-02"='4층_부하량'!$A$3:$A$3000)*(2='4층_부하량'!$B$3:$B$3000),0))</f>
        <v>0</v>
      </c>
      <c r="P201" s="2529" cm="1">
        <f t="array" ref="P201">INDEX('4층_부하량'!$K$3:$K$3000,MATCH(1,("4-DaHall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 x14ac:dyDescent="0.25">
      <c r="A202" s="22" t="s">
        <v>11018</v>
      </c>
      <c r="B202" s="17" t="s">
        <v>4204</v>
      </c>
      <c r="C202" s="18" t="s">
        <v>4149</v>
      </c>
      <c r="D202" s="2529" cm="1">
        <f t="array" ref="D202">INDEX('4층_부하량'!$I$3:$I$3000,MATCH(1,("4-DaHall 1-RPP-01"='4층_부하량'!$A$3:$A$3000)*(3='4층_부하량'!$B$3:$B$3000),0))</f>
        <v>0</v>
      </c>
      <c r="E202" s="2529" cm="1">
        <f t="array" ref="E202">INDEX('4층_부하량'!$J$3:$J$3000,MATCH(1,("4-DaHall 1-RPP-01"='4층_부하량'!$A$3:$A$3000)*(3='4층_부하량'!$B$3:$B$3000),0))</f>
        <v>0</v>
      </c>
      <c r="F202" s="2529" cm="1">
        <f t="array" ref="F202">INDEX('4층_부하량'!$K$3:$K$3000,MATCH(1,("4-DaHall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22" t="s">
        <v>11019</v>
      </c>
      <c r="L202" s="17" t="s">
        <v>4204</v>
      </c>
      <c r="M202" s="18" t="s">
        <v>4149</v>
      </c>
      <c r="N202" s="2529" cm="1">
        <f t="array" ref="N202">INDEX('4층_부하량'!$I$3:$I$3000,MATCH(1,("4-DaHall 1-RPP-02"='4층_부하량'!$A$3:$A$3000)*(3='4층_부하량'!$B$3:$B$3000),0))</f>
        <v>0</v>
      </c>
      <c r="O202" s="2529" cm="1">
        <f t="array" ref="O202">INDEX('4층_부하량'!$J$3:$J$3000,MATCH(1,("4-DaHall 1-RPP-02"='4층_부하량'!$A$3:$A$3000)*(3='4층_부하량'!$B$3:$B$3000),0))</f>
        <v>0</v>
      </c>
      <c r="P202" s="2529" cm="1">
        <f t="array" ref="P202">INDEX('4층_부하량'!$K$3:$K$3000,MATCH(1,("4-DaHall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 x14ac:dyDescent="0.25">
      <c r="A203" s="22" t="s">
        <v>11020</v>
      </c>
      <c r="B203" s="17" t="s">
        <v>4204</v>
      </c>
      <c r="C203" s="18" t="s">
        <v>4149</v>
      </c>
      <c r="D203" s="2529" cm="1">
        <f t="array" ref="D203">INDEX('4층_부하량'!$I$3:$I$3000,MATCH(1,("4-DaHall 1-RPP-01"='4층_부하량'!$A$3:$A$3000)*(4='4층_부하량'!$B$3:$B$3000),0))</f>
        <v>0</v>
      </c>
      <c r="E203" s="2529" cm="1">
        <f t="array" ref="E203">INDEX('4층_부하량'!$J$3:$J$3000,MATCH(1,("4-DaHall 1-RPP-01"='4층_부하량'!$A$3:$A$3000)*(4='4층_부하량'!$B$3:$B$3000),0))</f>
        <v>0</v>
      </c>
      <c r="F203" s="2529" cm="1">
        <f t="array" ref="F203">INDEX('4층_부하량'!$K$3:$K$3000,MATCH(1,("4-DaHall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22" t="s">
        <v>11021</v>
      </c>
      <c r="L203" s="17" t="s">
        <v>4204</v>
      </c>
      <c r="M203" s="18" t="s">
        <v>4149</v>
      </c>
      <c r="N203" s="2529" cm="1">
        <f t="array" ref="N203">INDEX('4층_부하량'!$I$3:$I$3000,MATCH(1,("4-DaHall 1-RPP-02"='4층_부하량'!$A$3:$A$3000)*(4='4층_부하량'!$B$3:$B$3000),0))</f>
        <v>0</v>
      </c>
      <c r="O203" s="2529" cm="1">
        <f t="array" ref="O203">INDEX('4층_부하량'!$J$3:$J$3000,MATCH(1,("4-DaHall 1-RPP-02"='4층_부하량'!$A$3:$A$3000)*(4='4층_부하량'!$B$3:$B$3000),0))</f>
        <v>0</v>
      </c>
      <c r="P203" s="2529" cm="1">
        <f t="array" ref="P203">INDEX('4층_부하량'!$K$3:$K$3000,MATCH(1,("4-DaHall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 x14ac:dyDescent="0.25">
      <c r="A204" s="22"/>
      <c r="B204" s="23" t="s">
        <v>535</v>
      </c>
      <c r="C204" s="3290" t="s">
        <v>4296</v>
      </c>
      <c r="D204" s="2529" cm="1">
        <f t="array" ref="D204">INDEX('4층_부하량'!$I$3:$I$3000,MATCH(1,("4-DaHall 1-RPP-01"='4층_부하량'!$A$3:$A$3000)*(5='4층_부하량'!$B$3:$B$3000),0))</f>
        <v>0</v>
      </c>
      <c r="E204" s="2529" cm="1">
        <f t="array" ref="E204">INDEX('4층_부하량'!$J$3:$J$3000,MATCH(1,("4-DaHall 1-RPP-01"='4층_부하량'!$A$3:$A$3000)*(5='4층_부하량'!$B$3:$B$3000),0))</f>
        <v>0</v>
      </c>
      <c r="F204" s="2529" cm="1">
        <f t="array" ref="F204">INDEX('4층_부하량'!$K$3:$K$3000,MATCH(1,("4-DaHall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90" t="s">
        <v>4296</v>
      </c>
      <c r="N204" s="2529" cm="1">
        <f t="array" ref="N204">INDEX('4층_부하량'!$I$3:$I$3000,MATCH(1,("4-DaHall 1-RPP-02"='4층_부하량'!$A$3:$A$3000)*(5='4층_부하량'!$B$3:$B$3000),0))</f>
        <v>0</v>
      </c>
      <c r="O204" s="2529" cm="1">
        <f t="array" ref="O204">INDEX('4층_부하량'!$J$3:$J$3000,MATCH(1,("4-DaHall 1-RPP-02"='4층_부하량'!$A$3:$A$3000)*(5='4층_부하량'!$B$3:$B$3000),0))</f>
        <v>0</v>
      </c>
      <c r="P204" s="2529" cm="1">
        <f t="array" ref="P204">INDEX('4층_부하량'!$K$3:$K$3000,MATCH(1,("4-DaHall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 x14ac:dyDescent="0.25">
      <c r="A205" s="22"/>
      <c r="B205" s="17" t="s">
        <v>535</v>
      </c>
      <c r="C205" s="1402" t="s">
        <v>4296</v>
      </c>
      <c r="D205" s="2529" cm="1">
        <f t="array" ref="D205">INDEX('4층_부하량'!$I$3:$I$3000,MATCH(1,("4-DaHall 1-RPP-01"='4층_부하량'!$A$3:$A$3000)*(6='4층_부하량'!$B$3:$B$3000),0))</f>
        <v>0</v>
      </c>
      <c r="E205" s="2529" cm="1">
        <f t="array" ref="E205">INDEX('4층_부하량'!$J$3:$J$3000,MATCH(1,("4-DaHall 1-RPP-01"='4층_부하량'!$A$3:$A$3000)*(6='4층_부하량'!$B$3:$B$3000),0))</f>
        <v>0</v>
      </c>
      <c r="F205" s="2529" cm="1">
        <f t="array" ref="F205">INDEX('4층_부하량'!$K$3:$K$3000,MATCH(1,("4-DaHall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9" cm="1">
        <f t="array" ref="N205">INDEX('4층_부하량'!$I$3:$I$3000,MATCH(1,("4-DaHall 1-RPP-02"='4층_부하량'!$A$3:$A$3000)*(6='4층_부하량'!$B$3:$B$3000),0))</f>
        <v>0</v>
      </c>
      <c r="O205" s="2529" cm="1">
        <f t="array" ref="O205">INDEX('4층_부하량'!$J$3:$J$3000,MATCH(1,("4-DaHall 1-RPP-02"='4층_부하량'!$A$3:$A$3000)*(6='4층_부하량'!$B$3:$B$3000),0))</f>
        <v>0</v>
      </c>
      <c r="P205" s="2529" cm="1">
        <f t="array" ref="P205">INDEX('4층_부하량'!$K$3:$K$3000,MATCH(1,("4-DaHall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 x14ac:dyDescent="0.25">
      <c r="A206" s="22"/>
      <c r="B206" s="23" t="s">
        <v>535</v>
      </c>
      <c r="C206" s="3290" t="s">
        <v>4296</v>
      </c>
      <c r="D206" s="2529" cm="1">
        <f t="array" ref="D206">INDEX('4층_부하량'!$I$3:$I$3000,MATCH(1,("4-DaHall 1-RPP-01"='4층_부하량'!$A$3:$A$3000)*(7='4층_부하량'!$B$3:$B$3000),0))</f>
        <v>0</v>
      </c>
      <c r="E206" s="2529" cm="1">
        <f t="array" ref="E206">INDEX('4층_부하량'!$J$3:$J$3000,MATCH(1,("4-DaHall 1-RPP-01"='4층_부하량'!$A$3:$A$3000)*(7='4층_부하량'!$B$3:$B$3000),0))</f>
        <v>0</v>
      </c>
      <c r="F206" s="2529" cm="1">
        <f t="array" ref="F206">INDEX('4층_부하량'!$K$3:$K$3000,MATCH(1,("4-DaHall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90" t="s">
        <v>4296</v>
      </c>
      <c r="N206" s="2529" cm="1">
        <f t="array" ref="N206">INDEX('4층_부하량'!$I$3:$I$3000,MATCH(1,("4-DaHall 1-RPP-02"='4층_부하량'!$A$3:$A$3000)*(7='4층_부하량'!$B$3:$B$3000),0))</f>
        <v>0</v>
      </c>
      <c r="O206" s="2529" cm="1">
        <f t="array" ref="O206">INDEX('4층_부하량'!$J$3:$J$3000,MATCH(1,("4-DaHall 1-RPP-02"='4층_부하량'!$A$3:$A$3000)*(7='4층_부하량'!$B$3:$B$3000),0))</f>
        <v>0</v>
      </c>
      <c r="P206" s="2529" cm="1">
        <f t="array" ref="P206">INDEX('4층_부하량'!$K$3:$K$3000,MATCH(1,("4-DaHall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 x14ac:dyDescent="0.3">
      <c r="A207" s="34"/>
      <c r="B207" s="35" t="s">
        <v>535</v>
      </c>
      <c r="C207" s="3291" t="s">
        <v>4296</v>
      </c>
      <c r="D207" s="3292" cm="1">
        <f t="array" ref="D207">INDEX('4층_부하량'!$I$3:$I$3000,MATCH(1,("4-DaHall 1-RPP-01"='4층_부하량'!$A$3:$A$3000)*(8='4층_부하량'!$B$3:$B$3000),0))</f>
        <v>0</v>
      </c>
      <c r="E207" s="3292" cm="1">
        <f t="array" ref="E207">INDEX('4층_부하량'!$J$3:$J$3000,MATCH(1,("4-DaHall 1-RPP-01"='4층_부하량'!$A$3:$A$3000)*(8='4층_부하량'!$B$3:$B$3000),0))</f>
        <v>0</v>
      </c>
      <c r="F207" s="3292" cm="1">
        <f t="array" ref="F207">INDEX('4층_부하량'!$K$3:$K$3000,MATCH(1,("4-DaHall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91" t="s">
        <v>4296</v>
      </c>
      <c r="N207" s="3292" cm="1">
        <f t="array" ref="N207">INDEX('4층_부하량'!$I$3:$I$3000,MATCH(1,("4-DaHall 1-RPP-02"='4층_부하량'!$A$3:$A$3000)*(8='4층_부하량'!$B$3:$B$3000),0))</f>
        <v>0</v>
      </c>
      <c r="O207" s="3292" cm="1">
        <f t="array" ref="O207">INDEX('4층_부하량'!$J$3:$J$3000,MATCH(1,("4-DaHall 1-RPP-02"='4층_부하량'!$A$3:$A$3000)*(8='4층_부하량'!$B$3:$B$3000),0))</f>
        <v>0</v>
      </c>
      <c r="P207" s="3292" cm="1">
        <f t="array" ref="P207">INDEX('4층_부하량'!$K$3:$K$3000,MATCH(1,("4-DaHall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 x14ac:dyDescent="0.25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 x14ac:dyDescent="0.25">
      <c r="E210" t="s">
        <v>4542</v>
      </c>
      <c r="F210" t="s">
        <v>5878</v>
      </c>
    </row>
    <row r="211" spans="1:21" x14ac:dyDescent="0.25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211" s="51" t="e">
        <f>E211/$E$215</f>
        <v>#DIV/0!</v>
      </c>
    </row>
    <row r="212" spans="1:21" x14ac:dyDescent="0.25">
      <c r="B212" s="50" t="s">
        <v>5880</v>
      </c>
      <c r="C212" s="50" t="s">
        <v>5881</v>
      </c>
      <c r="D212" s="50"/>
      <c r="E212" s="33">
        <f>SUM(D73,N28)</f>
        <v>0</v>
      </c>
      <c r="F212" s="51" t="e">
        <f>E212/$E$215</f>
        <v>#DIV/0!</v>
      </c>
      <c r="N212" s="33"/>
    </row>
    <row r="213" spans="1:21" x14ac:dyDescent="0.25">
      <c r="B213" s="50" t="s">
        <v>4239</v>
      </c>
      <c r="C213" s="50" t="s">
        <v>5881</v>
      </c>
      <c r="D213" s="50"/>
      <c r="E213" s="33"/>
      <c r="F213" s="51"/>
    </row>
    <row r="214" spans="1:21" x14ac:dyDescent="0.25">
      <c r="B214" s="50" t="s">
        <v>5880</v>
      </c>
      <c r="C214" s="50" t="s">
        <v>5882</v>
      </c>
      <c r="D214" s="50"/>
      <c r="E214" s="33">
        <f>SUM(F51,E50,D49,N39,P38,O37,N36,N35:P35,P9,O8,N7,D10,F9,E8,D7,D6:F6)</f>
        <v>0</v>
      </c>
      <c r="F214" s="51" t="e">
        <f>E214/$E$215</f>
        <v>#DIV/0!</v>
      </c>
    </row>
    <row r="215" spans="1:21" x14ac:dyDescent="0.25">
      <c r="A215" t="s">
        <v>5883</v>
      </c>
      <c r="B215" s="50"/>
      <c r="C215" s="50"/>
      <c r="E215" s="33">
        <f>SUM(E211:E214)</f>
        <v>0</v>
      </c>
      <c r="F215" s="52" t="e">
        <f>SUM(F211:F214)</f>
        <v>#DIV/0!</v>
      </c>
    </row>
    <row r="216" spans="1:21" ht="15" thickBot="1" x14ac:dyDescent="0.3"/>
    <row r="217" spans="1:21" ht="18.600000000000001" thickTop="1" thickBot="1" x14ac:dyDescent="0.3">
      <c r="A217" s="2" t="s">
        <v>5884</v>
      </c>
      <c r="D217" s="53"/>
      <c r="E217" s="53"/>
      <c r="F217" s="53"/>
      <c r="G217" s="53"/>
      <c r="H217" s="123"/>
      <c r="I217" s="123"/>
      <c r="J217" s="3970" t="s">
        <v>5885</v>
      </c>
      <c r="K217" s="3976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 x14ac:dyDescent="0.3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.6" thickTop="1" thickBot="1" x14ac:dyDescent="0.3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 x14ac:dyDescent="0.25">
      <c r="A220" s="122" t="s">
        <v>5886</v>
      </c>
      <c r="B220" s="17" t="s">
        <v>4204</v>
      </c>
      <c r="C220" s="18" t="s">
        <v>4149</v>
      </c>
      <c r="D220" s="2528"/>
      <c r="E220" s="2528"/>
      <c r="F220" s="2528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8"/>
      <c r="N220" s="2528"/>
      <c r="O220" s="2528"/>
      <c r="P220" s="306"/>
      <c r="Q220" s="17" t="s">
        <v>4204</v>
      </c>
      <c r="R220" s="18" t="s">
        <v>4149</v>
      </c>
      <c r="S220" s="859"/>
      <c r="T220" s="97"/>
    </row>
    <row r="221" spans="1:21" ht="17.399999999999999" x14ac:dyDescent="0.25">
      <c r="A221" s="106" t="s">
        <v>5888</v>
      </c>
      <c r="B221" s="17" t="s">
        <v>4204</v>
      </c>
      <c r="C221" s="18" t="s">
        <v>4149</v>
      </c>
      <c r="D221" s="2529"/>
      <c r="E221" s="2529"/>
      <c r="F221" s="2529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9"/>
      <c r="N221" s="2529"/>
      <c r="O221" s="2529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 x14ac:dyDescent="0.3">
      <c r="A222" s="108" t="s">
        <v>5889</v>
      </c>
      <c r="B222" s="35" t="s">
        <v>4204</v>
      </c>
      <c r="C222" s="39" t="s">
        <v>4149</v>
      </c>
      <c r="D222" s="2530"/>
      <c r="E222" s="2530"/>
      <c r="F222" s="2530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30"/>
      <c r="N222" s="2530"/>
      <c r="O222" s="2530"/>
      <c r="P222" s="312"/>
      <c r="Q222" s="35" t="s">
        <v>4164</v>
      </c>
      <c r="R222" s="35" t="s">
        <v>4215</v>
      </c>
      <c r="S222" s="545"/>
      <c r="T222" s="78"/>
    </row>
    <row r="223" spans="1:21" ht="15" thickTop="1" x14ac:dyDescent="0.25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 x14ac:dyDescent="0.25"/>
  </sheetData>
  <mergeCells count="33">
    <mergeCell ref="Q197:S197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82" t="s">
        <v>8717</v>
      </c>
      <c r="B1" s="3982" t="s">
        <v>8718</v>
      </c>
      <c r="C1" s="3982" t="s">
        <v>8719</v>
      </c>
      <c r="D1" s="3982"/>
      <c r="E1" s="3982"/>
      <c r="F1" s="3982" t="s">
        <v>8720</v>
      </c>
      <c r="G1" s="3982"/>
      <c r="H1" s="3982"/>
      <c r="I1" s="3982" t="s">
        <v>8721</v>
      </c>
      <c r="J1" s="3982"/>
      <c r="K1" s="3982"/>
    </row>
    <row r="2" spans="1:11" ht="17.399999999999999" x14ac:dyDescent="0.25">
      <c r="A2" s="3982"/>
      <c r="B2" s="3982"/>
      <c r="C2" s="2557" t="s">
        <v>4141</v>
      </c>
      <c r="D2" s="2557" t="s">
        <v>4142</v>
      </c>
      <c r="E2" s="2557" t="s">
        <v>4143</v>
      </c>
      <c r="F2" s="2557" t="s">
        <v>4141</v>
      </c>
      <c r="G2" s="2557" t="s">
        <v>4142</v>
      </c>
      <c r="H2" s="2557" t="s">
        <v>4143</v>
      </c>
      <c r="I2" s="2557" t="s">
        <v>4141</v>
      </c>
      <c r="J2" s="2557" t="s">
        <v>4142</v>
      </c>
      <c r="K2" s="2557" t="s">
        <v>4143</v>
      </c>
    </row>
    <row r="3" spans="1:11" x14ac:dyDescent="0.25">
      <c r="A3" t="s">
        <v>6594</v>
      </c>
      <c r="B3">
        <v>1</v>
      </c>
    </row>
    <row r="4" spans="1:11" ht="13.5" customHeight="1" x14ac:dyDescent="0.25">
      <c r="A4" t="s">
        <v>6591</v>
      </c>
      <c r="B4">
        <v>2</v>
      </c>
    </row>
    <row r="5" spans="1:11" ht="13.5" customHeight="1" x14ac:dyDescent="0.25">
      <c r="A5" t="s">
        <v>6591</v>
      </c>
      <c r="B5">
        <v>3</v>
      </c>
    </row>
    <row r="6" spans="1:11" ht="13.5" customHeight="1" x14ac:dyDescent="0.25">
      <c r="A6" t="s">
        <v>6591</v>
      </c>
      <c r="B6">
        <v>4</v>
      </c>
    </row>
    <row r="7" spans="1:11" ht="13.5" customHeight="1" x14ac:dyDescent="0.25">
      <c r="A7" t="s">
        <v>6591</v>
      </c>
      <c r="B7">
        <v>5</v>
      </c>
    </row>
    <row r="8" spans="1:11" ht="13.5" customHeight="1" x14ac:dyDescent="0.25">
      <c r="A8" t="s">
        <v>6591</v>
      </c>
      <c r="B8">
        <v>6</v>
      </c>
    </row>
    <row r="9" spans="1:11" ht="13.5" customHeight="1" x14ac:dyDescent="0.25">
      <c r="A9" t="s">
        <v>6591</v>
      </c>
      <c r="B9">
        <v>7</v>
      </c>
    </row>
    <row r="10" spans="1:11" ht="13.5" customHeight="1" x14ac:dyDescent="0.25">
      <c r="A10" t="s">
        <v>6591</v>
      </c>
      <c r="B10">
        <v>8</v>
      </c>
    </row>
    <row r="11" spans="1:11" ht="13.5" customHeight="1" x14ac:dyDescent="0.25">
      <c r="A11" t="s">
        <v>6591</v>
      </c>
      <c r="B11">
        <v>9</v>
      </c>
    </row>
    <row r="12" spans="1:11" ht="13.5" customHeight="1" x14ac:dyDescent="0.25">
      <c r="A12" t="s">
        <v>6591</v>
      </c>
      <c r="B12">
        <v>10</v>
      </c>
    </row>
    <row r="13" spans="1:11" ht="13.5" customHeight="1" x14ac:dyDescent="0.25">
      <c r="A13" t="s">
        <v>6591</v>
      </c>
      <c r="B13">
        <v>11</v>
      </c>
    </row>
    <row r="14" spans="1:11" ht="13.5" customHeight="1" x14ac:dyDescent="0.25">
      <c r="A14" t="s">
        <v>6591</v>
      </c>
      <c r="B14">
        <v>12</v>
      </c>
    </row>
    <row r="15" spans="1:11" ht="13.5" customHeight="1" x14ac:dyDescent="0.25">
      <c r="A15" t="s">
        <v>6591</v>
      </c>
      <c r="B15">
        <v>13</v>
      </c>
    </row>
    <row r="16" spans="1:11" ht="13.5" customHeight="1" x14ac:dyDescent="0.25">
      <c r="A16" t="s">
        <v>6591</v>
      </c>
      <c r="B16">
        <v>14</v>
      </c>
    </row>
    <row r="17" spans="1:2" ht="13.5" customHeight="1" x14ac:dyDescent="0.25">
      <c r="A17" t="s">
        <v>6591</v>
      </c>
      <c r="B17">
        <v>15</v>
      </c>
    </row>
    <row r="18" spans="1:2" ht="13.5" customHeight="1" x14ac:dyDescent="0.25">
      <c r="A18" t="s">
        <v>6591</v>
      </c>
      <c r="B18">
        <v>16</v>
      </c>
    </row>
    <row r="19" spans="1:2" ht="13.5" customHeight="1" x14ac:dyDescent="0.25">
      <c r="A19" t="s">
        <v>6591</v>
      </c>
      <c r="B19">
        <v>17</v>
      </c>
    </row>
    <row r="20" spans="1:2" ht="13.5" customHeight="1" x14ac:dyDescent="0.25">
      <c r="A20" t="s">
        <v>6591</v>
      </c>
      <c r="B20">
        <v>18</v>
      </c>
    </row>
    <row r="21" spans="1:2" ht="13.5" customHeight="1" x14ac:dyDescent="0.25">
      <c r="A21" t="s">
        <v>6591</v>
      </c>
      <c r="B21">
        <v>19</v>
      </c>
    </row>
    <row r="22" spans="1:2" ht="13.5" customHeight="1" x14ac:dyDescent="0.25">
      <c r="A22" t="s">
        <v>6591</v>
      </c>
      <c r="B22">
        <v>20</v>
      </c>
    </row>
    <row r="23" spans="1:2" ht="13.5" customHeight="1" x14ac:dyDescent="0.25">
      <c r="A23" t="s">
        <v>6591</v>
      </c>
      <c r="B23">
        <v>21</v>
      </c>
    </row>
    <row r="24" spans="1:2" ht="13.5" customHeight="1" x14ac:dyDescent="0.25">
      <c r="A24" t="s">
        <v>6591</v>
      </c>
      <c r="B24">
        <v>22</v>
      </c>
    </row>
    <row r="25" spans="1:2" ht="13.5" customHeight="1" x14ac:dyDescent="0.25">
      <c r="A25" t="s">
        <v>6591</v>
      </c>
      <c r="B25">
        <v>23</v>
      </c>
    </row>
    <row r="26" spans="1:2" ht="13.5" customHeight="1" x14ac:dyDescent="0.25">
      <c r="A26" t="s">
        <v>6591</v>
      </c>
      <c r="B26">
        <v>24</v>
      </c>
    </row>
    <row r="27" spans="1:2" ht="13.5" customHeight="1" x14ac:dyDescent="0.25">
      <c r="A27" t="s">
        <v>6591</v>
      </c>
      <c r="B27">
        <v>25</v>
      </c>
    </row>
    <row r="28" spans="1:2" ht="13.5" customHeight="1" x14ac:dyDescent="0.25">
      <c r="A28" t="s">
        <v>6591</v>
      </c>
      <c r="B28">
        <v>26</v>
      </c>
    </row>
    <row r="29" spans="1:2" ht="13.5" customHeight="1" x14ac:dyDescent="0.25">
      <c r="A29" t="s">
        <v>6591</v>
      </c>
      <c r="B29">
        <v>27</v>
      </c>
    </row>
    <row r="30" spans="1:2" ht="13.5" customHeight="1" x14ac:dyDescent="0.25">
      <c r="A30" t="s">
        <v>6591</v>
      </c>
      <c r="B30">
        <v>28</v>
      </c>
    </row>
    <row r="31" spans="1:2" ht="13.5" customHeight="1" x14ac:dyDescent="0.25">
      <c r="A31" t="s">
        <v>6591</v>
      </c>
      <c r="B31">
        <v>29</v>
      </c>
    </row>
    <row r="32" spans="1:2" ht="13.5" customHeight="1" x14ac:dyDescent="0.25">
      <c r="A32" t="s">
        <v>6591</v>
      </c>
      <c r="B32">
        <v>30</v>
      </c>
    </row>
    <row r="33" spans="1:2" ht="13.5" customHeight="1" x14ac:dyDescent="0.25">
      <c r="A33" t="s">
        <v>6591</v>
      </c>
      <c r="B33">
        <v>31</v>
      </c>
    </row>
    <row r="34" spans="1:2" ht="13.5" customHeight="1" x14ac:dyDescent="0.25">
      <c r="A34" t="s">
        <v>6591</v>
      </c>
      <c r="B34">
        <v>32</v>
      </c>
    </row>
    <row r="35" spans="1:2" ht="13.5" customHeight="1" x14ac:dyDescent="0.25">
      <c r="A35" t="s">
        <v>6591</v>
      </c>
      <c r="B35">
        <v>33</v>
      </c>
    </row>
    <row r="36" spans="1:2" ht="13.5" customHeight="1" x14ac:dyDescent="0.25">
      <c r="A36" t="s">
        <v>6591</v>
      </c>
      <c r="B36">
        <v>34</v>
      </c>
    </row>
    <row r="37" spans="1:2" ht="13.5" customHeight="1" x14ac:dyDescent="0.25">
      <c r="A37" t="s">
        <v>6591</v>
      </c>
      <c r="B37">
        <v>35</v>
      </c>
    </row>
    <row r="38" spans="1:2" ht="13.5" customHeight="1" x14ac:dyDescent="0.25">
      <c r="A38" t="s">
        <v>6591</v>
      </c>
      <c r="B38">
        <v>36</v>
      </c>
    </row>
    <row r="39" spans="1:2" ht="13.5" customHeight="1" x14ac:dyDescent="0.25">
      <c r="A39" t="s">
        <v>6591</v>
      </c>
      <c r="B39">
        <v>37</v>
      </c>
    </row>
    <row r="40" spans="1:2" ht="13.5" customHeight="1" x14ac:dyDescent="0.25">
      <c r="A40" t="s">
        <v>6591</v>
      </c>
      <c r="B40">
        <v>38</v>
      </c>
    </row>
    <row r="41" spans="1:2" ht="13.5" customHeight="1" x14ac:dyDescent="0.25">
      <c r="A41" t="s">
        <v>6591</v>
      </c>
      <c r="B41">
        <v>39</v>
      </c>
    </row>
    <row r="42" spans="1:2" ht="13.5" customHeight="1" x14ac:dyDescent="0.25">
      <c r="A42" t="s">
        <v>6591</v>
      </c>
      <c r="B42">
        <v>40</v>
      </c>
    </row>
    <row r="43" spans="1:2" ht="13.5" customHeight="1" x14ac:dyDescent="0.25">
      <c r="A43" t="s">
        <v>6592</v>
      </c>
      <c r="B43">
        <v>1</v>
      </c>
    </row>
    <row r="44" spans="1:2" ht="13.5" customHeight="1" x14ac:dyDescent="0.25">
      <c r="A44" t="s">
        <v>6592</v>
      </c>
      <c r="B44">
        <v>2</v>
      </c>
    </row>
    <row r="45" spans="1:2" ht="13.5" customHeight="1" x14ac:dyDescent="0.25">
      <c r="A45" t="s">
        <v>6592</v>
      </c>
      <c r="B45">
        <v>3</v>
      </c>
    </row>
    <row r="46" spans="1:2" ht="13.5" customHeight="1" x14ac:dyDescent="0.25">
      <c r="A46" t="s">
        <v>6592</v>
      </c>
      <c r="B46">
        <v>4</v>
      </c>
    </row>
    <row r="47" spans="1:2" ht="13.5" customHeight="1" x14ac:dyDescent="0.25">
      <c r="A47" t="s">
        <v>6592</v>
      </c>
      <c r="B47">
        <v>5</v>
      </c>
    </row>
    <row r="48" spans="1:2" ht="13.5" customHeight="1" x14ac:dyDescent="0.25">
      <c r="A48" t="s">
        <v>6592</v>
      </c>
      <c r="B48">
        <v>6</v>
      </c>
    </row>
    <row r="49" spans="1:2" ht="13.5" customHeight="1" x14ac:dyDescent="0.25">
      <c r="A49" t="s">
        <v>6592</v>
      </c>
      <c r="B49">
        <v>7</v>
      </c>
    </row>
    <row r="50" spans="1:2" ht="13.5" customHeight="1" x14ac:dyDescent="0.25">
      <c r="A50" t="s">
        <v>6592</v>
      </c>
      <c r="B50">
        <v>8</v>
      </c>
    </row>
    <row r="51" spans="1:2" ht="13.5" customHeight="1" x14ac:dyDescent="0.25">
      <c r="A51" t="s">
        <v>6592</v>
      </c>
      <c r="B51">
        <v>9</v>
      </c>
    </row>
    <row r="52" spans="1:2" ht="13.5" customHeight="1" x14ac:dyDescent="0.25">
      <c r="A52" t="s">
        <v>6592</v>
      </c>
      <c r="B52">
        <v>10</v>
      </c>
    </row>
    <row r="53" spans="1:2" ht="13.5" customHeight="1" x14ac:dyDescent="0.25">
      <c r="A53" t="s">
        <v>6592</v>
      </c>
      <c r="B53">
        <v>11</v>
      </c>
    </row>
    <row r="54" spans="1:2" ht="13.5" customHeight="1" x14ac:dyDescent="0.25">
      <c r="A54" t="s">
        <v>6592</v>
      </c>
      <c r="B54">
        <v>12</v>
      </c>
    </row>
    <row r="55" spans="1:2" ht="13.5" customHeight="1" x14ac:dyDescent="0.25">
      <c r="A55" t="s">
        <v>6592</v>
      </c>
      <c r="B55">
        <v>13</v>
      </c>
    </row>
    <row r="56" spans="1:2" ht="13.5" customHeight="1" x14ac:dyDescent="0.25">
      <c r="A56" t="s">
        <v>6592</v>
      </c>
      <c r="B56">
        <v>14</v>
      </c>
    </row>
    <row r="57" spans="1:2" ht="13.5" customHeight="1" x14ac:dyDescent="0.25">
      <c r="A57" t="s">
        <v>6592</v>
      </c>
      <c r="B57">
        <v>15</v>
      </c>
    </row>
    <row r="58" spans="1:2" ht="13.5" customHeight="1" x14ac:dyDescent="0.25">
      <c r="A58" t="s">
        <v>6592</v>
      </c>
      <c r="B58">
        <v>16</v>
      </c>
    </row>
    <row r="59" spans="1:2" ht="13.5" customHeight="1" x14ac:dyDescent="0.25">
      <c r="A59" t="s">
        <v>6592</v>
      </c>
      <c r="B59">
        <v>17</v>
      </c>
    </row>
    <row r="60" spans="1:2" ht="13.5" customHeight="1" x14ac:dyDescent="0.25">
      <c r="A60" t="s">
        <v>6592</v>
      </c>
      <c r="B60">
        <v>18</v>
      </c>
    </row>
    <row r="61" spans="1:2" ht="13.5" customHeight="1" x14ac:dyDescent="0.25">
      <c r="A61" t="s">
        <v>6592</v>
      </c>
      <c r="B61">
        <v>19</v>
      </c>
    </row>
    <row r="62" spans="1:2" ht="13.5" customHeight="1" x14ac:dyDescent="0.25">
      <c r="A62" t="s">
        <v>6592</v>
      </c>
      <c r="B62">
        <v>20</v>
      </c>
    </row>
    <row r="63" spans="1:2" ht="13.5" customHeight="1" x14ac:dyDescent="0.25">
      <c r="A63" t="s">
        <v>6592</v>
      </c>
      <c r="B63">
        <v>21</v>
      </c>
    </row>
    <row r="64" spans="1:2" ht="13.5" customHeight="1" x14ac:dyDescent="0.25">
      <c r="A64" t="s">
        <v>6592</v>
      </c>
      <c r="B64">
        <v>22</v>
      </c>
    </row>
    <row r="65" spans="1:2" ht="13.5" customHeight="1" x14ac:dyDescent="0.25">
      <c r="A65" t="s">
        <v>6592</v>
      </c>
      <c r="B65">
        <v>23</v>
      </c>
    </row>
    <row r="66" spans="1:2" ht="13.5" customHeight="1" x14ac:dyDescent="0.25">
      <c r="A66" t="s">
        <v>6592</v>
      </c>
      <c r="B66">
        <v>24</v>
      </c>
    </row>
    <row r="67" spans="1:2" ht="13.5" customHeight="1" x14ac:dyDescent="0.25">
      <c r="A67" t="s">
        <v>6592</v>
      </c>
      <c r="B67">
        <v>25</v>
      </c>
    </row>
    <row r="68" spans="1:2" ht="13.5" customHeight="1" x14ac:dyDescent="0.25">
      <c r="A68" t="s">
        <v>6592</v>
      </c>
      <c r="B68">
        <v>26</v>
      </c>
    </row>
    <row r="69" spans="1:2" ht="13.5" customHeight="1" x14ac:dyDescent="0.25">
      <c r="A69" t="s">
        <v>6592</v>
      </c>
      <c r="B69">
        <v>27</v>
      </c>
    </row>
    <row r="70" spans="1:2" ht="13.5" customHeight="1" x14ac:dyDescent="0.25">
      <c r="A70" t="s">
        <v>6592</v>
      </c>
      <c r="B70">
        <v>28</v>
      </c>
    </row>
    <row r="71" spans="1:2" ht="13.5" customHeight="1" x14ac:dyDescent="0.25">
      <c r="A71" t="s">
        <v>6592</v>
      </c>
      <c r="B71">
        <v>29</v>
      </c>
    </row>
    <row r="72" spans="1:2" ht="13.5" customHeight="1" x14ac:dyDescent="0.25">
      <c r="A72" t="s">
        <v>6592</v>
      </c>
      <c r="B72">
        <v>30</v>
      </c>
    </row>
    <row r="73" spans="1:2" ht="13.5" customHeight="1" x14ac:dyDescent="0.25">
      <c r="A73" t="s">
        <v>6592</v>
      </c>
      <c r="B73">
        <v>31</v>
      </c>
    </row>
    <row r="74" spans="1:2" ht="13.5" customHeight="1" x14ac:dyDescent="0.25">
      <c r="A74" t="s">
        <v>6592</v>
      </c>
      <c r="B74">
        <v>32</v>
      </c>
    </row>
    <row r="75" spans="1:2" ht="13.5" customHeight="1" x14ac:dyDescent="0.25">
      <c r="A75" t="s">
        <v>6592</v>
      </c>
      <c r="B75">
        <v>33</v>
      </c>
    </row>
    <row r="76" spans="1:2" ht="13.5" customHeight="1" x14ac:dyDescent="0.25">
      <c r="A76" t="s">
        <v>6592</v>
      </c>
      <c r="B76">
        <v>34</v>
      </c>
    </row>
    <row r="77" spans="1:2" ht="13.5" customHeight="1" x14ac:dyDescent="0.25">
      <c r="A77" t="s">
        <v>6592</v>
      </c>
      <c r="B77">
        <v>35</v>
      </c>
    </row>
    <row r="78" spans="1:2" ht="13.5" customHeight="1" x14ac:dyDescent="0.25">
      <c r="A78" t="s">
        <v>6592</v>
      </c>
      <c r="B78">
        <v>36</v>
      </c>
    </row>
    <row r="79" spans="1:2" ht="13.5" customHeight="1" x14ac:dyDescent="0.25">
      <c r="A79" t="s">
        <v>6592</v>
      </c>
      <c r="B79">
        <v>37</v>
      </c>
    </row>
    <row r="80" spans="1:2" ht="13.5" customHeight="1" x14ac:dyDescent="0.25">
      <c r="A80" t="s">
        <v>6592</v>
      </c>
      <c r="B80">
        <v>38</v>
      </c>
    </row>
    <row r="81" spans="1:2" ht="13.5" customHeight="1" x14ac:dyDescent="0.25">
      <c r="A81" t="s">
        <v>6592</v>
      </c>
      <c r="B81">
        <v>39</v>
      </c>
    </row>
    <row r="82" spans="1:2" ht="13.5" customHeight="1" x14ac:dyDescent="0.25">
      <c r="A82" t="s">
        <v>6592</v>
      </c>
      <c r="B82">
        <v>40</v>
      </c>
    </row>
    <row r="83" spans="1:2" ht="13.5" customHeight="1" x14ac:dyDescent="0.25">
      <c r="A83" t="s">
        <v>6592</v>
      </c>
      <c r="B83">
        <v>41</v>
      </c>
    </row>
    <row r="84" spans="1:2" ht="13.5" customHeight="1" x14ac:dyDescent="0.25">
      <c r="A84" t="s">
        <v>6592</v>
      </c>
      <c r="B84">
        <v>42</v>
      </c>
    </row>
    <row r="85" spans="1:2" ht="13.5" customHeight="1" x14ac:dyDescent="0.25">
      <c r="A85" t="s">
        <v>6592</v>
      </c>
      <c r="B85">
        <v>43</v>
      </c>
    </row>
    <row r="86" spans="1:2" ht="13.5" customHeight="1" x14ac:dyDescent="0.25">
      <c r="A86" t="s">
        <v>6592</v>
      </c>
      <c r="B86">
        <v>44</v>
      </c>
    </row>
    <row r="87" spans="1:2" ht="13.5" customHeight="1" x14ac:dyDescent="0.25">
      <c r="A87" t="s">
        <v>6592</v>
      </c>
      <c r="B87">
        <v>45</v>
      </c>
    </row>
    <row r="88" spans="1:2" ht="13.5" customHeight="1" x14ac:dyDescent="0.25">
      <c r="A88" t="s">
        <v>6592</v>
      </c>
      <c r="B88">
        <v>46</v>
      </c>
    </row>
    <row r="89" spans="1:2" ht="13.5" customHeight="1" x14ac:dyDescent="0.25">
      <c r="A89" t="s">
        <v>6592</v>
      </c>
      <c r="B89">
        <v>47</v>
      </c>
    </row>
    <row r="90" spans="1:2" ht="13.5" customHeight="1" x14ac:dyDescent="0.25">
      <c r="A90" t="s">
        <v>6592</v>
      </c>
      <c r="B90">
        <v>48</v>
      </c>
    </row>
    <row r="91" spans="1:2" ht="13.5" customHeight="1" x14ac:dyDescent="0.25">
      <c r="A91" t="s">
        <v>6592</v>
      </c>
      <c r="B91">
        <v>49</v>
      </c>
    </row>
    <row r="92" spans="1:2" ht="13.5" customHeight="1" x14ac:dyDescent="0.25">
      <c r="A92" t="s">
        <v>6592</v>
      </c>
      <c r="B92">
        <v>50</v>
      </c>
    </row>
    <row r="93" spans="1:2" ht="13.5" customHeight="1" x14ac:dyDescent="0.25">
      <c r="A93" t="s">
        <v>6592</v>
      </c>
      <c r="B93">
        <v>51</v>
      </c>
    </row>
    <row r="94" spans="1:2" ht="13.5" customHeight="1" x14ac:dyDescent="0.25">
      <c r="A94" t="s">
        <v>6592</v>
      </c>
      <c r="B94">
        <v>52</v>
      </c>
    </row>
    <row r="95" spans="1:2" ht="13.5" customHeight="1" x14ac:dyDescent="0.25">
      <c r="A95" t="s">
        <v>6592</v>
      </c>
      <c r="B95">
        <v>53</v>
      </c>
    </row>
    <row r="96" spans="1:2" ht="13.5" customHeight="1" x14ac:dyDescent="0.25">
      <c r="A96" t="s">
        <v>6592</v>
      </c>
      <c r="B96">
        <v>54</v>
      </c>
    </row>
    <row r="97" spans="1:2" ht="13.5" customHeight="1" x14ac:dyDescent="0.25">
      <c r="A97" t="s">
        <v>6593</v>
      </c>
      <c r="B97">
        <v>1</v>
      </c>
    </row>
    <row r="98" spans="1:2" ht="13.5" customHeight="1" x14ac:dyDescent="0.25">
      <c r="A98" t="s">
        <v>6593</v>
      </c>
      <c r="B98">
        <v>2</v>
      </c>
    </row>
    <row r="99" spans="1:2" ht="13.5" customHeight="1" x14ac:dyDescent="0.25">
      <c r="A99" t="s">
        <v>6593</v>
      </c>
      <c r="B99">
        <v>3</v>
      </c>
    </row>
    <row r="100" spans="1:2" ht="13.5" customHeight="1" x14ac:dyDescent="0.25">
      <c r="A100" t="s">
        <v>6593</v>
      </c>
      <c r="B100">
        <v>4</v>
      </c>
    </row>
    <row r="101" spans="1:2" ht="13.5" customHeight="1" x14ac:dyDescent="0.25">
      <c r="A101" t="s">
        <v>6593</v>
      </c>
      <c r="B101">
        <v>5</v>
      </c>
    </row>
    <row r="102" spans="1:2" ht="13.5" customHeight="1" x14ac:dyDescent="0.25">
      <c r="A102" t="s">
        <v>6593</v>
      </c>
      <c r="B102">
        <v>6</v>
      </c>
    </row>
    <row r="103" spans="1:2" ht="13.5" customHeight="1" x14ac:dyDescent="0.25">
      <c r="A103" t="s">
        <v>6593</v>
      </c>
      <c r="B103">
        <v>7</v>
      </c>
    </row>
    <row r="104" spans="1:2" ht="13.5" customHeight="1" x14ac:dyDescent="0.25">
      <c r="A104" t="s">
        <v>6593</v>
      </c>
      <c r="B104">
        <v>8</v>
      </c>
    </row>
    <row r="105" spans="1:2" ht="13.5" customHeight="1" x14ac:dyDescent="0.25">
      <c r="A105" t="s">
        <v>6593</v>
      </c>
      <c r="B105">
        <v>9</v>
      </c>
    </row>
    <row r="106" spans="1:2" ht="13.5" customHeight="1" x14ac:dyDescent="0.25">
      <c r="A106" t="s">
        <v>6593</v>
      </c>
      <c r="B106">
        <v>10</v>
      </c>
    </row>
    <row r="107" spans="1:2" ht="13.5" customHeight="1" x14ac:dyDescent="0.25">
      <c r="A107" t="s">
        <v>6593</v>
      </c>
      <c r="B107">
        <v>11</v>
      </c>
    </row>
    <row r="108" spans="1:2" ht="13.5" customHeight="1" x14ac:dyDescent="0.25">
      <c r="A108" t="s">
        <v>6593</v>
      </c>
      <c r="B108">
        <v>12</v>
      </c>
    </row>
    <row r="109" spans="1:2" ht="13.5" customHeight="1" x14ac:dyDescent="0.25">
      <c r="A109" t="s">
        <v>6593</v>
      </c>
      <c r="B109">
        <v>13</v>
      </c>
    </row>
    <row r="110" spans="1:2" ht="13.5" customHeight="1" x14ac:dyDescent="0.25">
      <c r="A110" t="s">
        <v>6593</v>
      </c>
      <c r="B110">
        <v>14</v>
      </c>
    </row>
    <row r="111" spans="1:2" ht="13.5" customHeight="1" x14ac:dyDescent="0.25">
      <c r="A111" t="s">
        <v>6593</v>
      </c>
      <c r="B111">
        <v>15</v>
      </c>
    </row>
    <row r="112" spans="1:2" ht="13.5" customHeight="1" x14ac:dyDescent="0.25">
      <c r="A112" t="s">
        <v>6593</v>
      </c>
      <c r="B112">
        <v>16</v>
      </c>
    </row>
    <row r="113" spans="1:2" ht="13.5" customHeight="1" x14ac:dyDescent="0.25">
      <c r="A113" t="s">
        <v>6593</v>
      </c>
      <c r="B113">
        <v>17</v>
      </c>
    </row>
    <row r="114" spans="1:2" ht="13.5" customHeight="1" x14ac:dyDescent="0.25">
      <c r="A114" t="s">
        <v>6593</v>
      </c>
      <c r="B114">
        <v>18</v>
      </c>
    </row>
    <row r="115" spans="1:2" ht="13.5" customHeight="1" x14ac:dyDescent="0.25">
      <c r="A115" t="s">
        <v>6593</v>
      </c>
      <c r="B115">
        <v>19</v>
      </c>
    </row>
    <row r="116" spans="1:2" ht="13.5" customHeight="1" x14ac:dyDescent="0.25">
      <c r="A116" t="s">
        <v>6593</v>
      </c>
      <c r="B116">
        <v>20</v>
      </c>
    </row>
    <row r="117" spans="1:2" ht="13.5" customHeight="1" x14ac:dyDescent="0.25">
      <c r="A117" t="s">
        <v>6593</v>
      </c>
      <c r="B117">
        <v>21</v>
      </c>
    </row>
    <row r="118" spans="1:2" ht="13.5" customHeight="1" x14ac:dyDescent="0.25">
      <c r="A118" t="s">
        <v>6593</v>
      </c>
      <c r="B118">
        <v>22</v>
      </c>
    </row>
    <row r="119" spans="1:2" ht="13.5" customHeight="1" x14ac:dyDescent="0.25">
      <c r="A119" t="s">
        <v>6593</v>
      </c>
      <c r="B119">
        <v>23</v>
      </c>
    </row>
    <row r="120" spans="1:2" ht="13.5" customHeight="1" x14ac:dyDescent="0.25">
      <c r="A120" t="s">
        <v>6593</v>
      </c>
      <c r="B120">
        <v>24</v>
      </c>
    </row>
    <row r="121" spans="1:2" ht="13.5" customHeight="1" x14ac:dyDescent="0.25">
      <c r="A121" t="s">
        <v>6593</v>
      </c>
      <c r="B121">
        <v>25</v>
      </c>
    </row>
    <row r="122" spans="1:2" ht="13.5" customHeight="1" x14ac:dyDescent="0.25">
      <c r="A122" t="s">
        <v>6593</v>
      </c>
      <c r="B122">
        <v>26</v>
      </c>
    </row>
    <row r="123" spans="1:2" ht="13.5" customHeight="1" x14ac:dyDescent="0.25">
      <c r="A123" t="s">
        <v>6593</v>
      </c>
      <c r="B123">
        <v>27</v>
      </c>
    </row>
    <row r="124" spans="1:2" ht="13.5" customHeight="1" x14ac:dyDescent="0.25">
      <c r="A124" t="s">
        <v>6593</v>
      </c>
      <c r="B124">
        <v>28</v>
      </c>
    </row>
    <row r="125" spans="1:2" ht="13.5" customHeight="1" x14ac:dyDescent="0.25">
      <c r="A125" t="s">
        <v>6593</v>
      </c>
      <c r="B125">
        <v>29</v>
      </c>
    </row>
    <row r="126" spans="1:2" ht="13.5" customHeight="1" x14ac:dyDescent="0.25">
      <c r="A126" t="s">
        <v>6593</v>
      </c>
      <c r="B126">
        <v>30</v>
      </c>
    </row>
    <row r="127" spans="1:2" ht="13.5" customHeight="1" x14ac:dyDescent="0.25">
      <c r="A127" t="s">
        <v>6593</v>
      </c>
      <c r="B127">
        <v>31</v>
      </c>
    </row>
    <row r="128" spans="1:2" ht="13.5" customHeight="1" x14ac:dyDescent="0.25">
      <c r="A128" t="s">
        <v>6593</v>
      </c>
      <c r="B128">
        <v>32</v>
      </c>
    </row>
    <row r="129" spans="1:2" ht="13.5" customHeight="1" x14ac:dyDescent="0.25">
      <c r="A129" t="s">
        <v>6593</v>
      </c>
      <c r="B129">
        <v>33</v>
      </c>
    </row>
    <row r="130" spans="1:2" ht="13.5" customHeight="1" x14ac:dyDescent="0.25">
      <c r="A130" t="s">
        <v>6593</v>
      </c>
      <c r="B130">
        <v>34</v>
      </c>
    </row>
    <row r="131" spans="1:2" ht="13.5" customHeight="1" x14ac:dyDescent="0.25">
      <c r="A131" t="s">
        <v>6593</v>
      </c>
      <c r="B131">
        <v>35</v>
      </c>
    </row>
    <row r="132" spans="1:2" ht="13.5" customHeight="1" x14ac:dyDescent="0.25">
      <c r="A132" t="s">
        <v>6593</v>
      </c>
      <c r="B132">
        <v>36</v>
      </c>
    </row>
    <row r="133" spans="1:2" ht="13.5" customHeight="1" x14ac:dyDescent="0.25">
      <c r="A133" t="s">
        <v>6593</v>
      </c>
      <c r="B133">
        <v>37</v>
      </c>
    </row>
    <row r="134" spans="1:2" ht="13.5" customHeight="1" x14ac:dyDescent="0.25">
      <c r="A134" t="s">
        <v>6593</v>
      </c>
      <c r="B134">
        <v>38</v>
      </c>
    </row>
    <row r="135" spans="1:2" ht="13.5" customHeight="1" x14ac:dyDescent="0.25">
      <c r="A135" t="s">
        <v>6593</v>
      </c>
      <c r="B135">
        <v>39</v>
      </c>
    </row>
    <row r="136" spans="1:2" ht="13.5" customHeight="1" x14ac:dyDescent="0.25">
      <c r="A136" t="s">
        <v>6593</v>
      </c>
      <c r="B136">
        <v>40</v>
      </c>
    </row>
    <row r="137" spans="1:2" ht="13.5" customHeight="1" x14ac:dyDescent="0.25">
      <c r="A137" t="s">
        <v>6593</v>
      </c>
      <c r="B137">
        <v>41</v>
      </c>
    </row>
    <row r="138" spans="1:2" ht="13.5" customHeight="1" x14ac:dyDescent="0.25">
      <c r="A138" t="s">
        <v>6593</v>
      </c>
      <c r="B138">
        <v>42</v>
      </c>
    </row>
    <row r="139" spans="1:2" ht="13.5" customHeight="1" x14ac:dyDescent="0.25">
      <c r="A139" t="s">
        <v>6593</v>
      </c>
      <c r="B139">
        <v>43</v>
      </c>
    </row>
    <row r="140" spans="1:2" ht="13.5" customHeight="1" x14ac:dyDescent="0.25">
      <c r="A140" t="s">
        <v>6593</v>
      </c>
      <c r="B140">
        <v>44</v>
      </c>
    </row>
    <row r="141" spans="1:2" ht="13.5" customHeight="1" x14ac:dyDescent="0.25">
      <c r="A141" t="s">
        <v>6593</v>
      </c>
      <c r="B141">
        <v>45</v>
      </c>
    </row>
    <row r="142" spans="1:2" ht="13.5" customHeight="1" x14ac:dyDescent="0.25">
      <c r="A142" t="s">
        <v>6593</v>
      </c>
      <c r="B142">
        <v>46</v>
      </c>
    </row>
    <row r="143" spans="1:2" ht="13.5" customHeight="1" x14ac:dyDescent="0.25">
      <c r="A143" t="s">
        <v>6593</v>
      </c>
      <c r="B143">
        <v>47</v>
      </c>
    </row>
    <row r="144" spans="1:2" ht="13.5" customHeight="1" x14ac:dyDescent="0.25">
      <c r="A144" t="s">
        <v>6593</v>
      </c>
      <c r="B144">
        <v>48</v>
      </c>
    </row>
    <row r="145" spans="1:2" ht="13.5" customHeight="1" x14ac:dyDescent="0.25">
      <c r="A145" t="s">
        <v>6593</v>
      </c>
      <c r="B145">
        <v>49</v>
      </c>
    </row>
    <row r="146" spans="1:2" ht="13.5" customHeight="1" x14ac:dyDescent="0.25">
      <c r="A146" t="s">
        <v>6593</v>
      </c>
      <c r="B146">
        <v>50</v>
      </c>
    </row>
    <row r="147" spans="1:2" ht="13.5" customHeight="1" x14ac:dyDescent="0.25">
      <c r="A147" t="s">
        <v>6593</v>
      </c>
      <c r="B147">
        <v>51</v>
      </c>
    </row>
    <row r="148" spans="1:2" ht="13.5" customHeight="1" x14ac:dyDescent="0.25">
      <c r="A148" t="s">
        <v>6593</v>
      </c>
      <c r="B148">
        <v>52</v>
      </c>
    </row>
    <row r="149" spans="1:2" ht="13.5" customHeight="1" x14ac:dyDescent="0.25">
      <c r="A149" t="s">
        <v>6593</v>
      </c>
      <c r="B149">
        <v>53</v>
      </c>
    </row>
    <row r="150" spans="1:2" ht="13.5" customHeight="1" x14ac:dyDescent="0.25">
      <c r="A150" t="s">
        <v>6593</v>
      </c>
      <c r="B150">
        <v>54</v>
      </c>
    </row>
    <row r="151" spans="1:2" ht="13.5" customHeight="1" x14ac:dyDescent="0.25">
      <c r="A151" t="s">
        <v>6587</v>
      </c>
      <c r="B151">
        <v>1</v>
      </c>
    </row>
    <row r="152" spans="1:2" ht="13.5" customHeight="1" x14ac:dyDescent="0.25">
      <c r="A152" t="s">
        <v>6587</v>
      </c>
      <c r="B152">
        <v>2</v>
      </c>
    </row>
    <row r="153" spans="1:2" ht="13.5" customHeight="1" x14ac:dyDescent="0.25">
      <c r="A153" t="s">
        <v>6587</v>
      </c>
      <c r="B153">
        <v>3</v>
      </c>
    </row>
    <row r="154" spans="1:2" ht="13.5" customHeight="1" x14ac:dyDescent="0.25">
      <c r="A154" t="s">
        <v>6587</v>
      </c>
      <c r="B154">
        <v>4</v>
      </c>
    </row>
    <row r="155" spans="1:2" ht="13.5" customHeight="1" x14ac:dyDescent="0.25">
      <c r="A155" t="s">
        <v>6587</v>
      </c>
      <c r="B155">
        <v>5</v>
      </c>
    </row>
    <row r="156" spans="1:2" ht="13.5" customHeight="1" x14ac:dyDescent="0.25">
      <c r="A156" t="s">
        <v>6587</v>
      </c>
      <c r="B156">
        <v>6</v>
      </c>
    </row>
    <row r="157" spans="1:2" ht="13.5" customHeight="1" x14ac:dyDescent="0.25">
      <c r="A157" t="s">
        <v>6587</v>
      </c>
      <c r="B157">
        <v>7</v>
      </c>
    </row>
    <row r="158" spans="1:2" ht="13.5" customHeight="1" x14ac:dyDescent="0.25">
      <c r="A158" t="s">
        <v>6587</v>
      </c>
      <c r="B158">
        <v>8</v>
      </c>
    </row>
    <row r="159" spans="1:2" ht="13.5" customHeight="1" x14ac:dyDescent="0.25">
      <c r="A159" t="s">
        <v>6587</v>
      </c>
      <c r="B159">
        <v>9</v>
      </c>
    </row>
    <row r="160" spans="1:2" ht="13.5" customHeight="1" x14ac:dyDescent="0.25">
      <c r="A160" t="s">
        <v>6587</v>
      </c>
      <c r="B160">
        <v>10</v>
      </c>
    </row>
    <row r="161" spans="1:2" ht="13.5" customHeight="1" x14ac:dyDescent="0.25">
      <c r="A161" t="s">
        <v>6587</v>
      </c>
      <c r="B161">
        <v>11</v>
      </c>
    </row>
    <row r="162" spans="1:2" ht="13.5" customHeight="1" x14ac:dyDescent="0.25">
      <c r="A162" t="s">
        <v>6587</v>
      </c>
      <c r="B162">
        <v>12</v>
      </c>
    </row>
    <row r="163" spans="1:2" ht="13.5" customHeight="1" x14ac:dyDescent="0.25">
      <c r="A163" t="s">
        <v>6587</v>
      </c>
      <c r="B163">
        <v>13</v>
      </c>
    </row>
    <row r="164" spans="1:2" ht="13.5" customHeight="1" x14ac:dyDescent="0.25">
      <c r="A164" t="s">
        <v>6587</v>
      </c>
      <c r="B164">
        <v>14</v>
      </c>
    </row>
    <row r="165" spans="1:2" ht="13.5" customHeight="1" x14ac:dyDescent="0.25">
      <c r="A165" t="s">
        <v>6587</v>
      </c>
      <c r="B165">
        <v>15</v>
      </c>
    </row>
    <row r="166" spans="1:2" ht="13.5" customHeight="1" x14ac:dyDescent="0.25">
      <c r="A166" t="s">
        <v>6587</v>
      </c>
      <c r="B166">
        <v>16</v>
      </c>
    </row>
    <row r="167" spans="1:2" ht="13.5" customHeight="1" x14ac:dyDescent="0.25">
      <c r="A167" t="s">
        <v>6587</v>
      </c>
      <c r="B167">
        <v>17</v>
      </c>
    </row>
    <row r="168" spans="1:2" ht="13.5" customHeight="1" x14ac:dyDescent="0.25">
      <c r="A168" t="s">
        <v>6587</v>
      </c>
      <c r="B168">
        <v>18</v>
      </c>
    </row>
    <row r="169" spans="1:2" ht="13.5" customHeight="1" x14ac:dyDescent="0.25">
      <c r="A169" t="s">
        <v>6587</v>
      </c>
      <c r="B169">
        <v>19</v>
      </c>
    </row>
    <row r="170" spans="1:2" ht="13.5" customHeight="1" x14ac:dyDescent="0.25">
      <c r="A170" t="s">
        <v>6587</v>
      </c>
      <c r="B170">
        <v>20</v>
      </c>
    </row>
    <row r="171" spans="1:2" ht="13.5" customHeight="1" x14ac:dyDescent="0.25">
      <c r="A171" t="s">
        <v>6587</v>
      </c>
      <c r="B171">
        <v>21</v>
      </c>
    </row>
    <row r="172" spans="1:2" ht="13.5" customHeight="1" x14ac:dyDescent="0.25">
      <c r="A172" t="s">
        <v>6587</v>
      </c>
      <c r="B172">
        <v>22</v>
      </c>
    </row>
    <row r="173" spans="1:2" ht="13.5" customHeight="1" x14ac:dyDescent="0.25">
      <c r="A173" t="s">
        <v>6587</v>
      </c>
      <c r="B173">
        <v>23</v>
      </c>
    </row>
    <row r="174" spans="1:2" ht="13.5" customHeight="1" x14ac:dyDescent="0.25">
      <c r="A174" t="s">
        <v>6587</v>
      </c>
      <c r="B174">
        <v>24</v>
      </c>
    </row>
    <row r="175" spans="1:2" ht="13.5" customHeight="1" x14ac:dyDescent="0.25">
      <c r="A175" t="s">
        <v>6587</v>
      </c>
      <c r="B175">
        <v>25</v>
      </c>
    </row>
    <row r="176" spans="1:2" ht="13.5" customHeight="1" x14ac:dyDescent="0.25">
      <c r="A176" t="s">
        <v>6587</v>
      </c>
      <c r="B176">
        <v>26</v>
      </c>
    </row>
    <row r="177" spans="1:2" ht="13.5" customHeight="1" x14ac:dyDescent="0.25">
      <c r="A177" t="s">
        <v>6587</v>
      </c>
      <c r="B177">
        <v>27</v>
      </c>
    </row>
    <row r="178" spans="1:2" ht="13.5" customHeight="1" x14ac:dyDescent="0.25">
      <c r="A178" t="s">
        <v>6587</v>
      </c>
      <c r="B178">
        <v>28</v>
      </c>
    </row>
    <row r="179" spans="1:2" ht="13.5" customHeight="1" x14ac:dyDescent="0.25">
      <c r="A179" t="s">
        <v>6587</v>
      </c>
      <c r="B179">
        <v>29</v>
      </c>
    </row>
    <row r="180" spans="1:2" ht="13.5" customHeight="1" x14ac:dyDescent="0.25">
      <c r="A180" t="s">
        <v>6587</v>
      </c>
      <c r="B180">
        <v>30</v>
      </c>
    </row>
    <row r="181" spans="1:2" ht="13.5" customHeight="1" x14ac:dyDescent="0.25">
      <c r="A181" t="s">
        <v>6587</v>
      </c>
      <c r="B181">
        <v>31</v>
      </c>
    </row>
    <row r="182" spans="1:2" ht="13.5" customHeight="1" x14ac:dyDescent="0.25">
      <c r="A182" t="s">
        <v>6587</v>
      </c>
      <c r="B182">
        <v>32</v>
      </c>
    </row>
    <row r="183" spans="1:2" ht="13.5" customHeight="1" x14ac:dyDescent="0.25">
      <c r="A183" t="s">
        <v>6587</v>
      </c>
      <c r="B183">
        <v>33</v>
      </c>
    </row>
    <row r="184" spans="1:2" ht="13.5" customHeight="1" x14ac:dyDescent="0.25">
      <c r="A184" t="s">
        <v>6587</v>
      </c>
      <c r="B184">
        <v>34</v>
      </c>
    </row>
    <row r="185" spans="1:2" ht="13.5" customHeight="1" x14ac:dyDescent="0.25">
      <c r="A185" t="s">
        <v>6587</v>
      </c>
      <c r="B185">
        <v>35</v>
      </c>
    </row>
    <row r="186" spans="1:2" ht="13.5" customHeight="1" x14ac:dyDescent="0.25">
      <c r="A186" t="s">
        <v>6587</v>
      </c>
      <c r="B186">
        <v>36</v>
      </c>
    </row>
    <row r="187" spans="1:2" ht="13.5" customHeight="1" x14ac:dyDescent="0.25">
      <c r="A187" t="s">
        <v>6587</v>
      </c>
      <c r="B187">
        <v>37</v>
      </c>
    </row>
    <row r="188" spans="1:2" ht="13.5" customHeight="1" x14ac:dyDescent="0.25">
      <c r="A188" t="s">
        <v>6587</v>
      </c>
      <c r="B188">
        <v>38</v>
      </c>
    </row>
    <row r="189" spans="1:2" ht="13.5" customHeight="1" x14ac:dyDescent="0.25">
      <c r="A189" t="s">
        <v>6587</v>
      </c>
      <c r="B189">
        <v>39</v>
      </c>
    </row>
    <row r="190" spans="1:2" ht="13.5" customHeight="1" x14ac:dyDescent="0.25">
      <c r="A190" t="s">
        <v>6587</v>
      </c>
      <c r="B190">
        <v>40</v>
      </c>
    </row>
    <row r="191" spans="1:2" ht="13.5" customHeight="1" x14ac:dyDescent="0.25">
      <c r="A191" t="s">
        <v>6590</v>
      </c>
      <c r="B191">
        <v>1</v>
      </c>
    </row>
    <row r="192" spans="1:2" ht="13.5" customHeight="1" x14ac:dyDescent="0.25">
      <c r="A192" t="s">
        <v>6590</v>
      </c>
      <c r="B192">
        <v>2</v>
      </c>
    </row>
    <row r="193" spans="1:2" ht="13.5" customHeight="1" x14ac:dyDescent="0.25">
      <c r="A193" t="s">
        <v>6590</v>
      </c>
      <c r="B193">
        <v>3</v>
      </c>
    </row>
    <row r="194" spans="1:2" ht="13.5" customHeight="1" x14ac:dyDescent="0.25">
      <c r="A194" t="s">
        <v>6590</v>
      </c>
      <c r="B194">
        <v>4</v>
      </c>
    </row>
    <row r="195" spans="1:2" ht="13.5" customHeight="1" x14ac:dyDescent="0.25">
      <c r="A195" t="s">
        <v>6590</v>
      </c>
      <c r="B195">
        <v>5</v>
      </c>
    </row>
    <row r="196" spans="1:2" ht="13.5" customHeight="1" x14ac:dyDescent="0.25">
      <c r="A196" t="s">
        <v>6590</v>
      </c>
      <c r="B196">
        <v>6</v>
      </c>
    </row>
    <row r="197" spans="1:2" ht="13.5" customHeight="1" x14ac:dyDescent="0.25">
      <c r="A197" t="s">
        <v>6590</v>
      </c>
      <c r="B197">
        <v>7</v>
      </c>
    </row>
    <row r="198" spans="1:2" ht="13.5" customHeight="1" x14ac:dyDescent="0.25">
      <c r="A198" t="s">
        <v>6590</v>
      </c>
      <c r="B198">
        <v>8</v>
      </c>
    </row>
    <row r="199" spans="1:2" ht="13.5" customHeight="1" x14ac:dyDescent="0.25">
      <c r="A199" t="s">
        <v>6590</v>
      </c>
      <c r="B199">
        <v>9</v>
      </c>
    </row>
    <row r="200" spans="1:2" ht="13.5" customHeight="1" x14ac:dyDescent="0.25">
      <c r="A200" t="s">
        <v>6590</v>
      </c>
      <c r="B200">
        <v>10</v>
      </c>
    </row>
    <row r="201" spans="1:2" ht="13.5" customHeight="1" x14ac:dyDescent="0.25">
      <c r="A201" t="s">
        <v>6588</v>
      </c>
      <c r="B201">
        <v>1</v>
      </c>
    </row>
    <row r="202" spans="1:2" ht="13.5" customHeight="1" x14ac:dyDescent="0.25">
      <c r="A202" t="s">
        <v>6588</v>
      </c>
      <c r="B202">
        <v>2</v>
      </c>
    </row>
    <row r="203" spans="1:2" ht="13.5" customHeight="1" x14ac:dyDescent="0.25">
      <c r="A203" t="s">
        <v>6588</v>
      </c>
      <c r="B203">
        <v>3</v>
      </c>
    </row>
    <row r="204" spans="1:2" ht="13.5" customHeight="1" x14ac:dyDescent="0.25">
      <c r="A204" t="s">
        <v>6588</v>
      </c>
      <c r="B204">
        <v>4</v>
      </c>
    </row>
    <row r="205" spans="1:2" ht="13.5" customHeight="1" x14ac:dyDescent="0.25">
      <c r="A205" t="s">
        <v>6588</v>
      </c>
      <c r="B205">
        <v>5</v>
      </c>
    </row>
    <row r="206" spans="1:2" ht="13.5" customHeight="1" x14ac:dyDescent="0.25">
      <c r="A206" t="s">
        <v>6588</v>
      </c>
      <c r="B206">
        <v>6</v>
      </c>
    </row>
    <row r="207" spans="1:2" ht="13.5" customHeight="1" x14ac:dyDescent="0.25">
      <c r="A207" t="s">
        <v>6588</v>
      </c>
      <c r="B207">
        <v>7</v>
      </c>
    </row>
    <row r="208" spans="1:2" ht="13.5" customHeight="1" x14ac:dyDescent="0.25">
      <c r="A208" t="s">
        <v>6588</v>
      </c>
      <c r="B208">
        <v>8</v>
      </c>
    </row>
    <row r="209" spans="1:2" ht="13.5" customHeight="1" x14ac:dyDescent="0.25">
      <c r="A209" t="s">
        <v>6588</v>
      </c>
      <c r="B209">
        <v>9</v>
      </c>
    </row>
    <row r="210" spans="1:2" ht="13.5" customHeight="1" x14ac:dyDescent="0.25">
      <c r="A210" t="s">
        <v>6588</v>
      </c>
      <c r="B210">
        <v>10</v>
      </c>
    </row>
    <row r="211" spans="1:2" ht="13.5" customHeight="1" x14ac:dyDescent="0.25">
      <c r="A211" t="s">
        <v>6589</v>
      </c>
      <c r="B211">
        <v>1</v>
      </c>
    </row>
    <row r="212" spans="1:2" ht="13.5" customHeight="1" x14ac:dyDescent="0.25">
      <c r="A212" t="s">
        <v>6589</v>
      </c>
      <c r="B212">
        <v>2</v>
      </c>
    </row>
    <row r="213" spans="1:2" ht="13.5" customHeight="1" x14ac:dyDescent="0.25">
      <c r="A213" t="s">
        <v>6589</v>
      </c>
      <c r="B213">
        <v>3</v>
      </c>
    </row>
    <row r="214" spans="1:2" ht="13.5" customHeight="1" x14ac:dyDescent="0.25">
      <c r="A214" t="s">
        <v>6589</v>
      </c>
      <c r="B214">
        <v>4</v>
      </c>
    </row>
    <row r="215" spans="1:2" ht="13.5" customHeight="1" x14ac:dyDescent="0.25">
      <c r="A215" t="s">
        <v>6589</v>
      </c>
      <c r="B215">
        <v>5</v>
      </c>
    </row>
    <row r="216" spans="1:2" ht="13.5" customHeight="1" x14ac:dyDescent="0.25">
      <c r="A216" t="s">
        <v>6589</v>
      </c>
      <c r="B216">
        <v>6</v>
      </c>
    </row>
    <row r="217" spans="1:2" ht="13.5" customHeight="1" x14ac:dyDescent="0.25">
      <c r="A217" t="s">
        <v>6589</v>
      </c>
      <c r="B217">
        <v>7</v>
      </c>
    </row>
    <row r="218" spans="1:2" ht="13.5" customHeight="1" x14ac:dyDescent="0.25">
      <c r="A218" t="s">
        <v>6589</v>
      </c>
      <c r="B218">
        <v>8</v>
      </c>
    </row>
    <row r="219" spans="1:2" ht="13.5" customHeight="1" x14ac:dyDescent="0.25">
      <c r="A219" t="s">
        <v>6589</v>
      </c>
      <c r="B219">
        <v>9</v>
      </c>
    </row>
    <row r="220" spans="1:2" ht="13.5" customHeight="1" x14ac:dyDescent="0.25">
      <c r="A220" t="s">
        <v>6589</v>
      </c>
      <c r="B220">
        <v>10</v>
      </c>
    </row>
    <row r="221" spans="1:2" ht="13.5" customHeight="1" x14ac:dyDescent="0.25">
      <c r="A221" t="s">
        <v>6586</v>
      </c>
      <c r="B221">
        <v>1</v>
      </c>
    </row>
    <row r="222" spans="1:2" ht="13.5" customHeight="1" x14ac:dyDescent="0.25">
      <c r="A222" t="s">
        <v>6586</v>
      </c>
      <c r="B222">
        <v>2</v>
      </c>
    </row>
    <row r="223" spans="1:2" ht="13.5" customHeight="1" x14ac:dyDescent="0.25">
      <c r="A223" t="s">
        <v>6586</v>
      </c>
      <c r="B223">
        <v>3</v>
      </c>
    </row>
    <row r="224" spans="1:2" ht="13.5" customHeight="1" x14ac:dyDescent="0.25">
      <c r="A224" t="s">
        <v>6586</v>
      </c>
      <c r="B224">
        <v>4</v>
      </c>
    </row>
    <row r="225" spans="1:2" ht="13.5" customHeight="1" x14ac:dyDescent="0.25">
      <c r="A225" t="s">
        <v>6586</v>
      </c>
      <c r="B225">
        <v>5</v>
      </c>
    </row>
    <row r="226" spans="1:2" ht="13.5" customHeight="1" x14ac:dyDescent="0.25">
      <c r="A226" t="s">
        <v>6586</v>
      </c>
      <c r="B226">
        <v>6</v>
      </c>
    </row>
    <row r="227" spans="1:2" ht="13.5" customHeight="1" x14ac:dyDescent="0.25">
      <c r="A227" t="s">
        <v>6586</v>
      </c>
      <c r="B227">
        <v>7</v>
      </c>
    </row>
    <row r="228" spans="1:2" ht="13.5" customHeight="1" x14ac:dyDescent="0.25">
      <c r="A228" t="s">
        <v>6586</v>
      </c>
      <c r="B228">
        <v>8</v>
      </c>
    </row>
    <row r="229" spans="1:2" ht="13.5" customHeight="1" x14ac:dyDescent="0.25">
      <c r="A229" t="s">
        <v>6586</v>
      </c>
      <c r="B229">
        <v>9</v>
      </c>
    </row>
    <row r="230" spans="1:2" ht="13.5" customHeight="1" x14ac:dyDescent="0.25">
      <c r="A230" t="s">
        <v>6586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82" t="s">
        <v>8717</v>
      </c>
      <c r="B1" s="3982" t="s">
        <v>8718</v>
      </c>
      <c r="C1" s="3982" t="s">
        <v>8719</v>
      </c>
      <c r="D1" s="3982"/>
      <c r="E1" s="3982"/>
      <c r="F1" s="3982" t="s">
        <v>8720</v>
      </c>
      <c r="G1" s="3982"/>
      <c r="H1" s="3982"/>
      <c r="I1" s="3982" t="s">
        <v>8721</v>
      </c>
      <c r="J1" s="3982"/>
      <c r="K1" s="3982"/>
    </row>
    <row r="2" spans="1:11" ht="17.399999999999999" x14ac:dyDescent="0.25">
      <c r="A2" s="3982"/>
      <c r="B2" s="3982"/>
      <c r="C2" s="2557" t="s">
        <v>4141</v>
      </c>
      <c r="D2" s="2557" t="s">
        <v>4142</v>
      </c>
      <c r="E2" s="2557" t="s">
        <v>4143</v>
      </c>
      <c r="F2" s="2557" t="s">
        <v>4141</v>
      </c>
      <c r="G2" s="2557" t="s">
        <v>4142</v>
      </c>
      <c r="H2" s="2557" t="s">
        <v>4143</v>
      </c>
      <c r="I2" s="2557" t="s">
        <v>4141</v>
      </c>
      <c r="J2" s="2557" t="s">
        <v>4142</v>
      </c>
      <c r="K2" s="2557" t="s">
        <v>4143</v>
      </c>
    </row>
    <row r="3" spans="1:11" x14ac:dyDescent="0.25">
      <c r="A3" t="s">
        <v>6551</v>
      </c>
      <c r="B3">
        <v>1</v>
      </c>
    </row>
    <row r="4" spans="1:11" ht="13.5" customHeight="1" x14ac:dyDescent="0.25">
      <c r="A4" t="s">
        <v>6551</v>
      </c>
      <c r="B4">
        <v>2</v>
      </c>
    </row>
    <row r="5" spans="1:11" ht="13.5" customHeight="1" x14ac:dyDescent="0.25">
      <c r="A5" t="s">
        <v>6551</v>
      </c>
      <c r="B5">
        <v>3</v>
      </c>
    </row>
    <row r="6" spans="1:11" ht="13.5" customHeight="1" x14ac:dyDescent="0.25">
      <c r="A6" t="s">
        <v>6551</v>
      </c>
      <c r="B6">
        <v>4</v>
      </c>
    </row>
    <row r="7" spans="1:11" ht="13.5" customHeight="1" x14ac:dyDescent="0.25">
      <c r="A7" t="s">
        <v>6551</v>
      </c>
      <c r="B7">
        <v>5</v>
      </c>
    </row>
    <row r="8" spans="1:11" ht="13.5" customHeight="1" x14ac:dyDescent="0.25">
      <c r="A8" t="s">
        <v>6551</v>
      </c>
      <c r="B8">
        <v>6</v>
      </c>
    </row>
    <row r="9" spans="1:11" ht="13.5" customHeight="1" x14ac:dyDescent="0.25">
      <c r="A9" t="s">
        <v>6551</v>
      </c>
      <c r="B9">
        <v>7</v>
      </c>
    </row>
    <row r="10" spans="1:11" ht="13.5" customHeight="1" x14ac:dyDescent="0.25">
      <c r="A10" t="s">
        <v>6551</v>
      </c>
      <c r="B10">
        <v>8</v>
      </c>
    </row>
    <row r="11" spans="1:11" ht="13.5" customHeight="1" x14ac:dyDescent="0.25">
      <c r="A11" t="s">
        <v>6551</v>
      </c>
      <c r="B11">
        <v>9</v>
      </c>
    </row>
    <row r="12" spans="1:11" ht="13.5" customHeight="1" x14ac:dyDescent="0.25">
      <c r="A12" t="s">
        <v>6551</v>
      </c>
      <c r="B12">
        <v>10</v>
      </c>
    </row>
    <row r="13" spans="1:11" ht="13.5" customHeight="1" x14ac:dyDescent="0.25">
      <c r="A13" t="s">
        <v>6551</v>
      </c>
      <c r="B13">
        <v>11</v>
      </c>
    </row>
    <row r="14" spans="1:11" ht="13.5" customHeight="1" x14ac:dyDescent="0.25">
      <c r="A14" t="s">
        <v>6551</v>
      </c>
      <c r="B14">
        <v>12</v>
      </c>
    </row>
    <row r="15" spans="1:11" ht="13.5" customHeight="1" x14ac:dyDescent="0.25">
      <c r="A15" t="s">
        <v>6551</v>
      </c>
      <c r="B15">
        <v>13</v>
      </c>
    </row>
    <row r="16" spans="1:11" ht="13.5" customHeight="1" x14ac:dyDescent="0.25">
      <c r="A16" t="s">
        <v>6551</v>
      </c>
      <c r="B16">
        <v>14</v>
      </c>
    </row>
    <row r="17" spans="1:2" ht="13.5" customHeight="1" x14ac:dyDescent="0.25">
      <c r="A17" t="s">
        <v>6551</v>
      </c>
      <c r="B17">
        <v>15</v>
      </c>
    </row>
    <row r="18" spans="1:2" ht="13.5" customHeight="1" x14ac:dyDescent="0.25">
      <c r="A18" t="s">
        <v>6551</v>
      </c>
      <c r="B18">
        <v>16</v>
      </c>
    </row>
    <row r="19" spans="1:2" ht="13.5" customHeight="1" x14ac:dyDescent="0.25">
      <c r="A19" t="s">
        <v>6551</v>
      </c>
      <c r="B19">
        <v>17</v>
      </c>
    </row>
    <row r="20" spans="1:2" ht="13.5" customHeight="1" x14ac:dyDescent="0.25">
      <c r="A20" t="s">
        <v>6570</v>
      </c>
      <c r="B20">
        <v>1</v>
      </c>
    </row>
    <row r="21" spans="1:2" ht="13.5" customHeight="1" x14ac:dyDescent="0.25">
      <c r="A21" t="s">
        <v>6570</v>
      </c>
      <c r="B21">
        <v>2</v>
      </c>
    </row>
    <row r="22" spans="1:2" ht="13.5" customHeight="1" x14ac:dyDescent="0.25">
      <c r="A22" t="s">
        <v>6570</v>
      </c>
      <c r="B22">
        <v>3</v>
      </c>
    </row>
    <row r="23" spans="1:2" ht="13.5" customHeight="1" x14ac:dyDescent="0.25">
      <c r="A23" t="s">
        <v>6570</v>
      </c>
      <c r="B23">
        <v>4</v>
      </c>
    </row>
    <row r="24" spans="1:2" ht="13.5" customHeight="1" x14ac:dyDescent="0.25">
      <c r="A24" t="s">
        <v>6570</v>
      </c>
      <c r="B24">
        <v>5</v>
      </c>
    </row>
    <row r="25" spans="1:2" ht="13.5" customHeight="1" x14ac:dyDescent="0.25">
      <c r="A25" t="s">
        <v>6570</v>
      </c>
      <c r="B25">
        <v>6</v>
      </c>
    </row>
    <row r="26" spans="1:2" ht="13.5" customHeight="1" x14ac:dyDescent="0.25">
      <c r="A26" t="s">
        <v>6570</v>
      </c>
      <c r="B26">
        <v>7</v>
      </c>
    </row>
    <row r="27" spans="1:2" ht="13.5" customHeight="1" x14ac:dyDescent="0.25">
      <c r="A27" t="s">
        <v>6570</v>
      </c>
      <c r="B27">
        <v>8</v>
      </c>
    </row>
    <row r="28" spans="1:2" ht="13.5" customHeight="1" x14ac:dyDescent="0.25">
      <c r="A28" t="s">
        <v>6570</v>
      </c>
      <c r="B28">
        <v>9</v>
      </c>
    </row>
    <row r="29" spans="1:2" ht="13.5" customHeight="1" x14ac:dyDescent="0.25">
      <c r="A29" t="s">
        <v>6570</v>
      </c>
      <c r="B29">
        <v>10</v>
      </c>
    </row>
    <row r="30" spans="1:2" ht="13.5" customHeight="1" x14ac:dyDescent="0.25">
      <c r="A30" t="s">
        <v>6570</v>
      </c>
      <c r="B30">
        <v>11</v>
      </c>
    </row>
    <row r="31" spans="1:2" ht="13.5" customHeight="1" x14ac:dyDescent="0.25">
      <c r="A31" t="s">
        <v>6570</v>
      </c>
      <c r="B31">
        <v>12</v>
      </c>
    </row>
    <row r="32" spans="1:2" ht="13.5" customHeight="1" x14ac:dyDescent="0.25">
      <c r="A32" t="s">
        <v>6570</v>
      </c>
      <c r="B32">
        <v>13</v>
      </c>
    </row>
    <row r="33" spans="1:2" ht="13.5" customHeight="1" x14ac:dyDescent="0.25">
      <c r="A33" t="s">
        <v>6570</v>
      </c>
      <c r="B33">
        <v>14</v>
      </c>
    </row>
    <row r="34" spans="1:2" ht="13.5" customHeight="1" x14ac:dyDescent="0.25">
      <c r="A34" t="s">
        <v>6570</v>
      </c>
      <c r="B34">
        <v>15</v>
      </c>
    </row>
    <row r="35" spans="1:2" ht="13.5" customHeight="1" x14ac:dyDescent="0.25">
      <c r="A35" t="s">
        <v>6570</v>
      </c>
      <c r="B35">
        <v>16</v>
      </c>
    </row>
    <row r="36" spans="1:2" ht="13.5" customHeight="1" x14ac:dyDescent="0.25">
      <c r="A36" t="s">
        <v>6570</v>
      </c>
      <c r="B36">
        <v>17</v>
      </c>
    </row>
    <row r="37" spans="1:2" ht="13.5" customHeight="1" x14ac:dyDescent="0.25">
      <c r="A37" t="s">
        <v>6570</v>
      </c>
      <c r="B37">
        <v>18</v>
      </c>
    </row>
    <row r="38" spans="1:2" ht="13.5" customHeight="1" x14ac:dyDescent="0.25">
      <c r="A38" t="s">
        <v>6570</v>
      </c>
      <c r="B38">
        <v>19</v>
      </c>
    </row>
    <row r="39" spans="1:2" ht="13.5" customHeight="1" x14ac:dyDescent="0.25">
      <c r="A39" t="s">
        <v>6570</v>
      </c>
      <c r="B39">
        <v>20</v>
      </c>
    </row>
    <row r="40" spans="1:2" ht="13.5" customHeight="1" x14ac:dyDescent="0.25">
      <c r="A40" t="s">
        <v>6570</v>
      </c>
      <c r="B40">
        <v>21</v>
      </c>
    </row>
    <row r="41" spans="1:2" ht="13.5" customHeight="1" x14ac:dyDescent="0.25">
      <c r="A41" t="s">
        <v>6570</v>
      </c>
      <c r="B41">
        <v>22</v>
      </c>
    </row>
    <row r="42" spans="1:2" ht="13.5" customHeight="1" x14ac:dyDescent="0.25">
      <c r="A42" t="s">
        <v>6570</v>
      </c>
      <c r="B42">
        <v>23</v>
      </c>
    </row>
    <row r="43" spans="1:2" ht="13.5" customHeight="1" x14ac:dyDescent="0.25">
      <c r="A43" t="s">
        <v>6570</v>
      </c>
      <c r="B43">
        <v>24</v>
      </c>
    </row>
    <row r="44" spans="1:2" ht="13.5" customHeight="1" x14ac:dyDescent="0.25">
      <c r="A44" t="s">
        <v>6570</v>
      </c>
      <c r="B44">
        <v>25</v>
      </c>
    </row>
    <row r="45" spans="1:2" ht="13.5" customHeight="1" x14ac:dyDescent="0.25">
      <c r="A45" t="s">
        <v>6570</v>
      </c>
      <c r="B45">
        <v>26</v>
      </c>
    </row>
    <row r="46" spans="1:2" ht="13.5" customHeight="1" x14ac:dyDescent="0.25">
      <c r="A46" t="s">
        <v>6570</v>
      </c>
      <c r="B46">
        <v>27</v>
      </c>
    </row>
    <row r="47" spans="1:2" ht="13.5" customHeight="1" x14ac:dyDescent="0.25">
      <c r="A47" t="s">
        <v>6570</v>
      </c>
      <c r="B47">
        <v>28</v>
      </c>
    </row>
    <row r="48" spans="1:2" ht="13.5" customHeight="1" x14ac:dyDescent="0.25">
      <c r="A48" t="s">
        <v>6570</v>
      </c>
      <c r="B48">
        <v>29</v>
      </c>
    </row>
    <row r="49" spans="1:2" ht="13.5" customHeight="1" x14ac:dyDescent="0.25">
      <c r="A49" t="s">
        <v>6570</v>
      </c>
      <c r="B49">
        <v>30</v>
      </c>
    </row>
    <row r="50" spans="1:2" ht="13.5" customHeight="1" x14ac:dyDescent="0.25">
      <c r="A50" t="s">
        <v>6570</v>
      </c>
      <c r="B50">
        <v>31</v>
      </c>
    </row>
    <row r="51" spans="1:2" ht="13.5" customHeight="1" x14ac:dyDescent="0.25">
      <c r="A51" t="s">
        <v>6570</v>
      </c>
      <c r="B51">
        <v>32</v>
      </c>
    </row>
    <row r="52" spans="1:2" ht="13.5" customHeight="1" x14ac:dyDescent="0.25">
      <c r="A52" t="s">
        <v>6570</v>
      </c>
      <c r="B52">
        <v>33</v>
      </c>
    </row>
    <row r="53" spans="1:2" ht="13.5" customHeight="1" x14ac:dyDescent="0.25">
      <c r="A53" t="s">
        <v>6570</v>
      </c>
      <c r="B53">
        <v>34</v>
      </c>
    </row>
    <row r="54" spans="1:2" ht="13.5" customHeight="1" x14ac:dyDescent="0.25">
      <c r="A54" t="s">
        <v>6570</v>
      </c>
      <c r="B54">
        <v>35</v>
      </c>
    </row>
    <row r="55" spans="1:2" ht="13.5" customHeight="1" x14ac:dyDescent="0.25">
      <c r="A55" t="s">
        <v>6570</v>
      </c>
      <c r="B55">
        <v>36</v>
      </c>
    </row>
    <row r="56" spans="1:2" ht="13.5" customHeight="1" x14ac:dyDescent="0.25">
      <c r="A56" t="s">
        <v>6570</v>
      </c>
      <c r="B56">
        <v>37</v>
      </c>
    </row>
    <row r="57" spans="1:2" ht="13.5" customHeight="1" x14ac:dyDescent="0.25">
      <c r="A57" t="s">
        <v>6570</v>
      </c>
      <c r="B57">
        <v>38</v>
      </c>
    </row>
    <row r="58" spans="1:2" ht="13.5" customHeight="1" x14ac:dyDescent="0.25">
      <c r="A58" t="s">
        <v>6570</v>
      </c>
      <c r="B58">
        <v>39</v>
      </c>
    </row>
    <row r="59" spans="1:2" ht="13.5" customHeight="1" x14ac:dyDescent="0.25">
      <c r="A59" t="s">
        <v>6570</v>
      </c>
      <c r="B59">
        <v>40</v>
      </c>
    </row>
    <row r="60" spans="1:2" ht="13.5" customHeight="1" x14ac:dyDescent="0.25">
      <c r="A60" t="s">
        <v>6570</v>
      </c>
      <c r="B60">
        <v>41</v>
      </c>
    </row>
    <row r="61" spans="1:2" ht="13.5" customHeight="1" x14ac:dyDescent="0.25">
      <c r="A61" t="s">
        <v>6570</v>
      </c>
      <c r="B61">
        <v>42</v>
      </c>
    </row>
    <row r="62" spans="1:2" ht="13.5" customHeight="1" x14ac:dyDescent="0.25">
      <c r="A62" t="s">
        <v>6570</v>
      </c>
      <c r="B62">
        <v>43</v>
      </c>
    </row>
    <row r="63" spans="1:2" ht="13.5" customHeight="1" x14ac:dyDescent="0.25">
      <c r="A63" t="s">
        <v>6570</v>
      </c>
      <c r="B63">
        <v>44</v>
      </c>
    </row>
    <row r="64" spans="1:2" ht="13.5" customHeight="1" x14ac:dyDescent="0.25">
      <c r="A64" t="s">
        <v>6570</v>
      </c>
      <c r="B64">
        <v>45</v>
      </c>
    </row>
    <row r="65" spans="1:2" ht="13.5" customHeight="1" x14ac:dyDescent="0.25">
      <c r="A65" t="s">
        <v>6570</v>
      </c>
      <c r="B65">
        <v>46</v>
      </c>
    </row>
    <row r="66" spans="1:2" ht="13.5" customHeight="1" x14ac:dyDescent="0.25">
      <c r="A66" t="s">
        <v>6570</v>
      </c>
      <c r="B66">
        <v>47</v>
      </c>
    </row>
    <row r="67" spans="1:2" ht="13.5" customHeight="1" x14ac:dyDescent="0.25">
      <c r="A67" t="s">
        <v>6570</v>
      </c>
      <c r="B67">
        <v>48</v>
      </c>
    </row>
    <row r="68" spans="1:2" ht="13.5" customHeight="1" x14ac:dyDescent="0.25">
      <c r="A68" t="s">
        <v>6570</v>
      </c>
      <c r="B68">
        <v>49</v>
      </c>
    </row>
    <row r="69" spans="1:2" ht="13.5" customHeight="1" x14ac:dyDescent="0.25">
      <c r="A69" t="s">
        <v>6570</v>
      </c>
      <c r="B69">
        <v>50</v>
      </c>
    </row>
    <row r="70" spans="1:2" ht="13.5" customHeight="1" x14ac:dyDescent="0.25">
      <c r="A70" t="s">
        <v>6570</v>
      </c>
      <c r="B70">
        <v>51</v>
      </c>
    </row>
    <row r="71" spans="1:2" ht="13.5" customHeight="1" x14ac:dyDescent="0.25">
      <c r="A71" t="s">
        <v>6570</v>
      </c>
      <c r="B71">
        <v>52</v>
      </c>
    </row>
    <row r="72" spans="1:2" ht="13.5" customHeight="1" x14ac:dyDescent="0.25">
      <c r="A72" t="s">
        <v>6570</v>
      </c>
      <c r="B72">
        <v>53</v>
      </c>
    </row>
    <row r="73" spans="1:2" ht="13.5" customHeight="1" x14ac:dyDescent="0.25">
      <c r="A73" t="s">
        <v>6570</v>
      </c>
      <c r="B73">
        <v>54</v>
      </c>
    </row>
    <row r="74" spans="1:2" ht="13.5" customHeight="1" x14ac:dyDescent="0.25">
      <c r="A74" t="s">
        <v>6571</v>
      </c>
      <c r="B74">
        <v>1</v>
      </c>
    </row>
    <row r="75" spans="1:2" ht="13.5" customHeight="1" x14ac:dyDescent="0.25">
      <c r="A75" t="s">
        <v>6571</v>
      </c>
      <c r="B75">
        <v>2</v>
      </c>
    </row>
    <row r="76" spans="1:2" ht="13.5" customHeight="1" x14ac:dyDescent="0.25">
      <c r="A76" t="s">
        <v>6571</v>
      </c>
      <c r="B76">
        <v>3</v>
      </c>
    </row>
    <row r="77" spans="1:2" ht="13.5" customHeight="1" x14ac:dyDescent="0.25">
      <c r="A77" t="s">
        <v>6571</v>
      </c>
      <c r="B77">
        <v>4</v>
      </c>
    </row>
    <row r="78" spans="1:2" ht="13.5" customHeight="1" x14ac:dyDescent="0.25">
      <c r="A78" t="s">
        <v>6571</v>
      </c>
      <c r="B78">
        <v>5</v>
      </c>
    </row>
    <row r="79" spans="1:2" ht="13.5" customHeight="1" x14ac:dyDescent="0.25">
      <c r="A79" t="s">
        <v>6571</v>
      </c>
      <c r="B79">
        <v>6</v>
      </c>
    </row>
    <row r="80" spans="1:2" ht="13.5" customHeight="1" x14ac:dyDescent="0.25">
      <c r="A80" t="s">
        <v>6571</v>
      </c>
      <c r="B80">
        <v>7</v>
      </c>
    </row>
    <row r="81" spans="1:2" ht="13.5" customHeight="1" x14ac:dyDescent="0.25">
      <c r="A81" t="s">
        <v>6571</v>
      </c>
      <c r="B81">
        <v>8</v>
      </c>
    </row>
    <row r="82" spans="1:2" ht="13.5" customHeight="1" x14ac:dyDescent="0.25">
      <c r="A82" t="s">
        <v>6571</v>
      </c>
      <c r="B82">
        <v>9</v>
      </c>
    </row>
    <row r="83" spans="1:2" ht="13.5" customHeight="1" x14ac:dyDescent="0.25">
      <c r="A83" t="s">
        <v>6571</v>
      </c>
      <c r="B83">
        <v>10</v>
      </c>
    </row>
    <row r="84" spans="1:2" ht="13.5" customHeight="1" x14ac:dyDescent="0.25">
      <c r="A84" t="s">
        <v>6571</v>
      </c>
      <c r="B84">
        <v>11</v>
      </c>
    </row>
    <row r="85" spans="1:2" ht="13.5" customHeight="1" x14ac:dyDescent="0.25">
      <c r="A85" t="s">
        <v>6571</v>
      </c>
      <c r="B85">
        <v>12</v>
      </c>
    </row>
    <row r="86" spans="1:2" ht="13.5" customHeight="1" x14ac:dyDescent="0.25">
      <c r="A86" t="s">
        <v>6571</v>
      </c>
      <c r="B86">
        <v>13</v>
      </c>
    </row>
    <row r="87" spans="1:2" ht="13.5" customHeight="1" x14ac:dyDescent="0.25">
      <c r="A87" t="s">
        <v>6571</v>
      </c>
      <c r="B87">
        <v>14</v>
      </c>
    </row>
    <row r="88" spans="1:2" ht="13.5" customHeight="1" x14ac:dyDescent="0.25">
      <c r="A88" t="s">
        <v>6571</v>
      </c>
      <c r="B88">
        <v>15</v>
      </c>
    </row>
    <row r="89" spans="1:2" ht="13.5" customHeight="1" x14ac:dyDescent="0.25">
      <c r="A89" t="s">
        <v>6571</v>
      </c>
      <c r="B89">
        <v>16</v>
      </c>
    </row>
    <row r="90" spans="1:2" ht="13.5" customHeight="1" x14ac:dyDescent="0.25">
      <c r="A90" t="s">
        <v>6571</v>
      </c>
      <c r="B90">
        <v>17</v>
      </c>
    </row>
    <row r="91" spans="1:2" ht="13.5" customHeight="1" x14ac:dyDescent="0.25">
      <c r="A91" t="s">
        <v>6571</v>
      </c>
      <c r="B91">
        <v>18</v>
      </c>
    </row>
    <row r="92" spans="1:2" ht="13.5" customHeight="1" x14ac:dyDescent="0.25">
      <c r="A92" t="s">
        <v>6571</v>
      </c>
      <c r="B92">
        <v>19</v>
      </c>
    </row>
    <row r="93" spans="1:2" ht="13.5" customHeight="1" x14ac:dyDescent="0.25">
      <c r="A93" t="s">
        <v>6571</v>
      </c>
      <c r="B93">
        <v>20</v>
      </c>
    </row>
    <row r="94" spans="1:2" ht="13.5" customHeight="1" x14ac:dyDescent="0.25">
      <c r="A94" t="s">
        <v>6571</v>
      </c>
      <c r="B94">
        <v>21</v>
      </c>
    </row>
    <row r="95" spans="1:2" ht="13.5" customHeight="1" x14ac:dyDescent="0.25">
      <c r="A95" t="s">
        <v>6571</v>
      </c>
      <c r="B95">
        <v>22</v>
      </c>
    </row>
    <row r="96" spans="1:2" ht="13.5" customHeight="1" x14ac:dyDescent="0.25">
      <c r="A96" t="s">
        <v>6571</v>
      </c>
      <c r="B96">
        <v>23</v>
      </c>
    </row>
    <row r="97" spans="1:2" ht="13.5" customHeight="1" x14ac:dyDescent="0.25">
      <c r="A97" t="s">
        <v>6571</v>
      </c>
      <c r="B97">
        <v>24</v>
      </c>
    </row>
    <row r="98" spans="1:2" ht="13.5" customHeight="1" x14ac:dyDescent="0.25">
      <c r="A98" t="s">
        <v>6571</v>
      </c>
      <c r="B98">
        <v>25</v>
      </c>
    </row>
    <row r="99" spans="1:2" ht="13.5" customHeight="1" x14ac:dyDescent="0.25">
      <c r="A99" t="s">
        <v>6571</v>
      </c>
      <c r="B99">
        <v>26</v>
      </c>
    </row>
    <row r="100" spans="1:2" ht="13.5" customHeight="1" x14ac:dyDescent="0.25">
      <c r="A100" t="s">
        <v>6571</v>
      </c>
      <c r="B100">
        <v>27</v>
      </c>
    </row>
    <row r="101" spans="1:2" ht="13.5" customHeight="1" x14ac:dyDescent="0.25">
      <c r="A101" t="s">
        <v>6571</v>
      </c>
      <c r="B101">
        <v>28</v>
      </c>
    </row>
    <row r="102" spans="1:2" ht="13.5" customHeight="1" x14ac:dyDescent="0.25">
      <c r="A102" t="s">
        <v>6571</v>
      </c>
      <c r="B102">
        <v>29</v>
      </c>
    </row>
    <row r="103" spans="1:2" ht="13.5" customHeight="1" x14ac:dyDescent="0.25">
      <c r="A103" t="s">
        <v>6571</v>
      </c>
      <c r="B103">
        <v>30</v>
      </c>
    </row>
    <row r="104" spans="1:2" ht="13.5" customHeight="1" x14ac:dyDescent="0.25">
      <c r="A104" t="s">
        <v>6571</v>
      </c>
      <c r="B104">
        <v>31</v>
      </c>
    </row>
    <row r="105" spans="1:2" ht="13.5" customHeight="1" x14ac:dyDescent="0.25">
      <c r="A105" t="s">
        <v>6571</v>
      </c>
      <c r="B105">
        <v>32</v>
      </c>
    </row>
    <row r="106" spans="1:2" ht="13.5" customHeight="1" x14ac:dyDescent="0.25">
      <c r="A106" t="s">
        <v>6571</v>
      </c>
      <c r="B106">
        <v>33</v>
      </c>
    </row>
    <row r="107" spans="1:2" ht="13.5" customHeight="1" x14ac:dyDescent="0.25">
      <c r="A107" t="s">
        <v>6571</v>
      </c>
      <c r="B107">
        <v>34</v>
      </c>
    </row>
    <row r="108" spans="1:2" ht="13.5" customHeight="1" x14ac:dyDescent="0.25">
      <c r="A108" t="s">
        <v>6571</v>
      </c>
      <c r="B108">
        <v>35</v>
      </c>
    </row>
    <row r="109" spans="1:2" ht="13.5" customHeight="1" x14ac:dyDescent="0.25">
      <c r="A109" t="s">
        <v>6571</v>
      </c>
      <c r="B109">
        <v>36</v>
      </c>
    </row>
    <row r="110" spans="1:2" ht="13.5" customHeight="1" x14ac:dyDescent="0.25">
      <c r="A110" t="s">
        <v>6571</v>
      </c>
      <c r="B110">
        <v>37</v>
      </c>
    </row>
    <row r="111" spans="1:2" ht="13.5" customHeight="1" x14ac:dyDescent="0.25">
      <c r="A111" t="s">
        <v>6571</v>
      </c>
      <c r="B111">
        <v>38</v>
      </c>
    </row>
    <row r="112" spans="1:2" ht="13.5" customHeight="1" x14ac:dyDescent="0.25">
      <c r="A112" t="s">
        <v>6571</v>
      </c>
      <c r="B112">
        <v>39</v>
      </c>
    </row>
    <row r="113" spans="1:2" ht="13.5" customHeight="1" x14ac:dyDescent="0.25">
      <c r="A113" t="s">
        <v>6571</v>
      </c>
      <c r="B113">
        <v>40</v>
      </c>
    </row>
    <row r="114" spans="1:2" ht="13.5" customHeight="1" x14ac:dyDescent="0.25">
      <c r="A114" t="s">
        <v>6571</v>
      </c>
      <c r="B114">
        <v>41</v>
      </c>
    </row>
    <row r="115" spans="1:2" ht="13.5" customHeight="1" x14ac:dyDescent="0.25">
      <c r="A115" t="s">
        <v>6571</v>
      </c>
      <c r="B115">
        <v>42</v>
      </c>
    </row>
    <row r="116" spans="1:2" ht="13.5" customHeight="1" x14ac:dyDescent="0.25">
      <c r="A116" t="s">
        <v>6571</v>
      </c>
      <c r="B116">
        <v>43</v>
      </c>
    </row>
    <row r="117" spans="1:2" ht="13.5" customHeight="1" x14ac:dyDescent="0.25">
      <c r="A117" t="s">
        <v>6571</v>
      </c>
      <c r="B117">
        <v>44</v>
      </c>
    </row>
    <row r="118" spans="1:2" ht="13.5" customHeight="1" x14ac:dyDescent="0.25">
      <c r="A118" t="s">
        <v>6571</v>
      </c>
      <c r="B118">
        <v>45</v>
      </c>
    </row>
    <row r="119" spans="1:2" ht="13.5" customHeight="1" x14ac:dyDescent="0.25">
      <c r="A119" t="s">
        <v>6571</v>
      </c>
      <c r="B119">
        <v>46</v>
      </c>
    </row>
    <row r="120" spans="1:2" ht="13.5" customHeight="1" x14ac:dyDescent="0.25">
      <c r="A120" t="s">
        <v>6571</v>
      </c>
      <c r="B120">
        <v>47</v>
      </c>
    </row>
    <row r="121" spans="1:2" ht="13.5" customHeight="1" x14ac:dyDescent="0.25">
      <c r="A121" t="s">
        <v>6571</v>
      </c>
      <c r="B121">
        <v>48</v>
      </c>
    </row>
    <row r="122" spans="1:2" ht="13.5" customHeight="1" x14ac:dyDescent="0.25">
      <c r="A122" t="s">
        <v>6571</v>
      </c>
      <c r="B122">
        <v>49</v>
      </c>
    </row>
    <row r="123" spans="1:2" ht="13.5" customHeight="1" x14ac:dyDescent="0.25">
      <c r="A123" t="s">
        <v>6571</v>
      </c>
      <c r="B123">
        <v>50</v>
      </c>
    </row>
    <row r="124" spans="1:2" ht="13.5" customHeight="1" x14ac:dyDescent="0.25">
      <c r="A124" t="s">
        <v>6571</v>
      </c>
      <c r="B124">
        <v>51</v>
      </c>
    </row>
    <row r="125" spans="1:2" ht="13.5" customHeight="1" x14ac:dyDescent="0.25">
      <c r="A125" t="s">
        <v>6571</v>
      </c>
      <c r="B125">
        <v>52</v>
      </c>
    </row>
    <row r="126" spans="1:2" ht="13.5" customHeight="1" x14ac:dyDescent="0.25">
      <c r="A126" t="s">
        <v>6571</v>
      </c>
      <c r="B126">
        <v>53</v>
      </c>
    </row>
    <row r="127" spans="1:2" ht="13.5" customHeight="1" x14ac:dyDescent="0.25">
      <c r="A127" t="s">
        <v>6571</v>
      </c>
      <c r="B127">
        <v>54</v>
      </c>
    </row>
    <row r="128" spans="1:2" ht="13.5" customHeight="1" x14ac:dyDescent="0.25">
      <c r="A128" t="s">
        <v>6572</v>
      </c>
      <c r="B128">
        <v>1</v>
      </c>
    </row>
    <row r="129" spans="1:2" ht="13.5" customHeight="1" x14ac:dyDescent="0.25">
      <c r="A129" t="s">
        <v>6572</v>
      </c>
      <c r="B129">
        <v>2</v>
      </c>
    </row>
    <row r="130" spans="1:2" ht="13.5" customHeight="1" x14ac:dyDescent="0.25">
      <c r="A130" t="s">
        <v>6572</v>
      </c>
      <c r="B130">
        <v>3</v>
      </c>
    </row>
    <row r="131" spans="1:2" ht="13.5" customHeight="1" x14ac:dyDescent="0.25">
      <c r="A131" t="s">
        <v>6572</v>
      </c>
      <c r="B131">
        <v>4</v>
      </c>
    </row>
    <row r="132" spans="1:2" ht="13.5" customHeight="1" x14ac:dyDescent="0.25">
      <c r="A132" t="s">
        <v>6572</v>
      </c>
      <c r="B132">
        <v>5</v>
      </c>
    </row>
    <row r="133" spans="1:2" ht="13.5" customHeight="1" x14ac:dyDescent="0.25">
      <c r="A133" t="s">
        <v>6572</v>
      </c>
      <c r="B133">
        <v>6</v>
      </c>
    </row>
    <row r="134" spans="1:2" ht="13.5" customHeight="1" x14ac:dyDescent="0.25">
      <c r="A134" t="s">
        <v>6572</v>
      </c>
      <c r="B134">
        <v>7</v>
      </c>
    </row>
    <row r="135" spans="1:2" ht="13.5" customHeight="1" x14ac:dyDescent="0.25">
      <c r="A135" t="s">
        <v>6572</v>
      </c>
      <c r="B135">
        <v>8</v>
      </c>
    </row>
    <row r="136" spans="1:2" ht="13.5" customHeight="1" x14ac:dyDescent="0.25">
      <c r="A136" t="s">
        <v>6572</v>
      </c>
      <c r="B136">
        <v>9</v>
      </c>
    </row>
    <row r="137" spans="1:2" ht="13.5" customHeight="1" x14ac:dyDescent="0.25">
      <c r="A137" t="s">
        <v>6572</v>
      </c>
      <c r="B137">
        <v>10</v>
      </c>
    </row>
    <row r="138" spans="1:2" ht="13.5" customHeight="1" x14ac:dyDescent="0.25">
      <c r="A138" t="s">
        <v>6572</v>
      </c>
      <c r="B138">
        <v>11</v>
      </c>
    </row>
    <row r="139" spans="1:2" ht="13.5" customHeight="1" x14ac:dyDescent="0.25">
      <c r="A139" t="s">
        <v>6572</v>
      </c>
      <c r="B139">
        <v>12</v>
      </c>
    </row>
    <row r="140" spans="1:2" ht="13.5" customHeight="1" x14ac:dyDescent="0.25">
      <c r="A140" t="s">
        <v>6572</v>
      </c>
      <c r="B140">
        <v>13</v>
      </c>
    </row>
    <row r="141" spans="1:2" ht="13.5" customHeight="1" x14ac:dyDescent="0.25">
      <c r="A141" t="s">
        <v>6572</v>
      </c>
      <c r="B141">
        <v>14</v>
      </c>
    </row>
    <row r="142" spans="1:2" ht="13.5" customHeight="1" x14ac:dyDescent="0.25">
      <c r="A142" t="s">
        <v>6572</v>
      </c>
      <c r="B142">
        <v>15</v>
      </c>
    </row>
    <row r="143" spans="1:2" ht="13.5" customHeight="1" x14ac:dyDescent="0.25">
      <c r="A143" t="s">
        <v>6572</v>
      </c>
      <c r="B143">
        <v>16</v>
      </c>
    </row>
    <row r="144" spans="1:2" ht="13.5" customHeight="1" x14ac:dyDescent="0.25">
      <c r="A144" t="s">
        <v>6572</v>
      </c>
      <c r="B144">
        <v>17</v>
      </c>
    </row>
    <row r="145" spans="1:2" ht="13.5" customHeight="1" x14ac:dyDescent="0.25">
      <c r="A145" t="s">
        <v>6572</v>
      </c>
      <c r="B145">
        <v>18</v>
      </c>
    </row>
    <row r="146" spans="1:2" ht="13.5" customHeight="1" x14ac:dyDescent="0.25">
      <c r="A146" t="s">
        <v>6572</v>
      </c>
      <c r="B146">
        <v>19</v>
      </c>
    </row>
    <row r="147" spans="1:2" ht="13.5" customHeight="1" x14ac:dyDescent="0.25">
      <c r="A147" t="s">
        <v>6572</v>
      </c>
      <c r="B147">
        <v>20</v>
      </c>
    </row>
    <row r="148" spans="1:2" ht="13.5" customHeight="1" x14ac:dyDescent="0.25">
      <c r="A148" t="s">
        <v>6572</v>
      </c>
      <c r="B148">
        <v>21</v>
      </c>
    </row>
    <row r="149" spans="1:2" ht="13.5" customHeight="1" x14ac:dyDescent="0.25">
      <c r="A149" t="s">
        <v>6572</v>
      </c>
      <c r="B149">
        <v>22</v>
      </c>
    </row>
    <row r="150" spans="1:2" ht="13.5" customHeight="1" x14ac:dyDescent="0.25">
      <c r="A150" t="s">
        <v>6572</v>
      </c>
      <c r="B150">
        <v>23</v>
      </c>
    </row>
    <row r="151" spans="1:2" ht="13.5" customHeight="1" x14ac:dyDescent="0.25">
      <c r="A151" t="s">
        <v>6572</v>
      </c>
      <c r="B151">
        <v>24</v>
      </c>
    </row>
    <row r="152" spans="1:2" ht="13.5" customHeight="1" x14ac:dyDescent="0.25">
      <c r="A152" t="s">
        <v>6572</v>
      </c>
      <c r="B152">
        <v>25</v>
      </c>
    </row>
    <row r="153" spans="1:2" ht="13.5" customHeight="1" x14ac:dyDescent="0.25">
      <c r="A153" t="s">
        <v>6572</v>
      </c>
      <c r="B153">
        <v>26</v>
      </c>
    </row>
    <row r="154" spans="1:2" ht="13.5" customHeight="1" x14ac:dyDescent="0.25">
      <c r="A154" t="s">
        <v>6572</v>
      </c>
      <c r="B154">
        <v>27</v>
      </c>
    </row>
    <row r="155" spans="1:2" ht="13.5" customHeight="1" x14ac:dyDescent="0.25">
      <c r="A155" t="s">
        <v>6572</v>
      </c>
      <c r="B155">
        <v>28</v>
      </c>
    </row>
    <row r="156" spans="1:2" ht="13.5" customHeight="1" x14ac:dyDescent="0.25">
      <c r="A156" t="s">
        <v>6572</v>
      </c>
      <c r="B156">
        <v>29</v>
      </c>
    </row>
    <row r="157" spans="1:2" ht="13.5" customHeight="1" x14ac:dyDescent="0.25">
      <c r="A157" t="s">
        <v>6572</v>
      </c>
      <c r="B157">
        <v>30</v>
      </c>
    </row>
    <row r="158" spans="1:2" ht="13.5" customHeight="1" x14ac:dyDescent="0.25">
      <c r="A158" t="s">
        <v>6572</v>
      </c>
      <c r="B158">
        <v>31</v>
      </c>
    </row>
    <row r="159" spans="1:2" ht="13.5" customHeight="1" x14ac:dyDescent="0.25">
      <c r="A159" t="s">
        <v>6572</v>
      </c>
      <c r="B159">
        <v>32</v>
      </c>
    </row>
    <row r="160" spans="1:2" ht="13.5" customHeight="1" x14ac:dyDescent="0.25">
      <c r="A160" t="s">
        <v>6572</v>
      </c>
      <c r="B160">
        <v>33</v>
      </c>
    </row>
    <row r="161" spans="1:2" ht="13.5" customHeight="1" x14ac:dyDescent="0.25">
      <c r="A161" t="s">
        <v>6572</v>
      </c>
      <c r="B161">
        <v>34</v>
      </c>
    </row>
    <row r="162" spans="1:2" ht="13.5" customHeight="1" x14ac:dyDescent="0.25">
      <c r="A162" t="s">
        <v>6572</v>
      </c>
      <c r="B162">
        <v>35</v>
      </c>
    </row>
    <row r="163" spans="1:2" ht="13.5" customHeight="1" x14ac:dyDescent="0.25">
      <c r="A163" t="s">
        <v>6572</v>
      </c>
      <c r="B163">
        <v>36</v>
      </c>
    </row>
    <row r="164" spans="1:2" ht="13.5" customHeight="1" x14ac:dyDescent="0.25">
      <c r="A164" t="s">
        <v>6572</v>
      </c>
      <c r="B164">
        <v>37</v>
      </c>
    </row>
    <row r="165" spans="1:2" ht="13.5" customHeight="1" x14ac:dyDescent="0.25">
      <c r="A165" t="s">
        <v>6572</v>
      </c>
      <c r="B165">
        <v>38</v>
      </c>
    </row>
    <row r="166" spans="1:2" ht="13.5" customHeight="1" x14ac:dyDescent="0.25">
      <c r="A166" t="s">
        <v>6572</v>
      </c>
      <c r="B166">
        <v>39</v>
      </c>
    </row>
    <row r="167" spans="1:2" ht="13.5" customHeight="1" x14ac:dyDescent="0.25">
      <c r="A167" t="s">
        <v>6572</v>
      </c>
      <c r="B167">
        <v>40</v>
      </c>
    </row>
    <row r="168" spans="1:2" ht="13.5" customHeight="1" x14ac:dyDescent="0.25">
      <c r="A168" t="s">
        <v>6572</v>
      </c>
      <c r="B168">
        <v>41</v>
      </c>
    </row>
    <row r="169" spans="1:2" ht="13.5" customHeight="1" x14ac:dyDescent="0.25">
      <c r="A169" t="s">
        <v>6572</v>
      </c>
      <c r="B169">
        <v>42</v>
      </c>
    </row>
    <row r="170" spans="1:2" ht="13.5" customHeight="1" x14ac:dyDescent="0.25">
      <c r="A170" t="s">
        <v>6572</v>
      </c>
      <c r="B170">
        <v>43</v>
      </c>
    </row>
    <row r="171" spans="1:2" ht="13.5" customHeight="1" x14ac:dyDescent="0.25">
      <c r="A171" t="s">
        <v>6572</v>
      </c>
      <c r="B171">
        <v>44</v>
      </c>
    </row>
    <row r="172" spans="1:2" ht="13.5" customHeight="1" x14ac:dyDescent="0.25">
      <c r="A172" t="s">
        <v>6572</v>
      </c>
      <c r="B172">
        <v>45</v>
      </c>
    </row>
    <row r="173" spans="1:2" ht="13.5" customHeight="1" x14ac:dyDescent="0.25">
      <c r="A173" t="s">
        <v>6572</v>
      </c>
      <c r="B173">
        <v>46</v>
      </c>
    </row>
    <row r="174" spans="1:2" ht="13.5" customHeight="1" x14ac:dyDescent="0.25">
      <c r="A174" t="s">
        <v>6572</v>
      </c>
      <c r="B174">
        <v>47</v>
      </c>
    </row>
    <row r="175" spans="1:2" ht="13.5" customHeight="1" x14ac:dyDescent="0.25">
      <c r="A175" t="s">
        <v>6572</v>
      </c>
      <c r="B175">
        <v>48</v>
      </c>
    </row>
    <row r="176" spans="1:2" ht="13.5" customHeight="1" x14ac:dyDescent="0.25">
      <c r="A176" t="s">
        <v>6572</v>
      </c>
      <c r="B176">
        <v>49</v>
      </c>
    </row>
    <row r="177" spans="1:2" ht="13.5" customHeight="1" x14ac:dyDescent="0.25">
      <c r="A177" t="s">
        <v>6572</v>
      </c>
      <c r="B177">
        <v>50</v>
      </c>
    </row>
    <row r="178" spans="1:2" ht="13.5" customHeight="1" x14ac:dyDescent="0.25">
      <c r="A178" t="s">
        <v>6573</v>
      </c>
      <c r="B178">
        <v>1</v>
      </c>
    </row>
    <row r="179" spans="1:2" ht="13.5" customHeight="1" x14ac:dyDescent="0.25">
      <c r="A179" t="s">
        <v>6573</v>
      </c>
      <c r="B179">
        <v>2</v>
      </c>
    </row>
    <row r="180" spans="1:2" ht="13.5" customHeight="1" x14ac:dyDescent="0.25">
      <c r="A180" t="s">
        <v>6573</v>
      </c>
      <c r="B180">
        <v>3</v>
      </c>
    </row>
    <row r="181" spans="1:2" ht="13.5" customHeight="1" x14ac:dyDescent="0.25">
      <c r="A181" t="s">
        <v>6573</v>
      </c>
      <c r="B181">
        <v>4</v>
      </c>
    </row>
    <row r="182" spans="1:2" ht="13.5" customHeight="1" x14ac:dyDescent="0.25">
      <c r="A182" t="s">
        <v>6573</v>
      </c>
      <c r="B182">
        <v>5</v>
      </c>
    </row>
    <row r="183" spans="1:2" ht="13.5" customHeight="1" x14ac:dyDescent="0.25">
      <c r="A183" t="s">
        <v>6573</v>
      </c>
      <c r="B183">
        <v>6</v>
      </c>
    </row>
    <row r="184" spans="1:2" ht="13.5" customHeight="1" x14ac:dyDescent="0.25">
      <c r="A184" t="s">
        <v>6573</v>
      </c>
      <c r="B184">
        <v>7</v>
      </c>
    </row>
    <row r="185" spans="1:2" ht="13.5" customHeight="1" x14ac:dyDescent="0.25">
      <c r="A185" t="s">
        <v>6573</v>
      </c>
      <c r="B185">
        <v>8</v>
      </c>
    </row>
    <row r="186" spans="1:2" ht="13.5" customHeight="1" x14ac:dyDescent="0.25">
      <c r="A186" t="s">
        <v>6573</v>
      </c>
      <c r="B186">
        <v>9</v>
      </c>
    </row>
    <row r="187" spans="1:2" ht="13.5" customHeight="1" x14ac:dyDescent="0.25">
      <c r="A187" t="s">
        <v>6573</v>
      </c>
      <c r="B187">
        <v>10</v>
      </c>
    </row>
    <row r="188" spans="1:2" ht="13.5" customHeight="1" x14ac:dyDescent="0.25">
      <c r="A188" t="s">
        <v>6573</v>
      </c>
      <c r="B188">
        <v>11</v>
      </c>
    </row>
    <row r="189" spans="1:2" ht="13.5" customHeight="1" x14ac:dyDescent="0.25">
      <c r="A189" t="s">
        <v>6573</v>
      </c>
      <c r="B189">
        <v>12</v>
      </c>
    </row>
    <row r="190" spans="1:2" ht="13.5" customHeight="1" x14ac:dyDescent="0.25">
      <c r="A190" t="s">
        <v>6573</v>
      </c>
      <c r="B190">
        <v>13</v>
      </c>
    </row>
    <row r="191" spans="1:2" ht="13.5" customHeight="1" x14ac:dyDescent="0.25">
      <c r="A191" t="s">
        <v>6573</v>
      </c>
      <c r="B191">
        <v>14</v>
      </c>
    </row>
    <row r="192" spans="1:2" ht="13.5" customHeight="1" x14ac:dyDescent="0.25">
      <c r="A192" t="s">
        <v>6573</v>
      </c>
      <c r="B192">
        <v>15</v>
      </c>
    </row>
    <row r="193" spans="1:2" ht="13.5" customHeight="1" x14ac:dyDescent="0.25">
      <c r="A193" t="s">
        <v>6573</v>
      </c>
      <c r="B193">
        <v>16</v>
      </c>
    </row>
    <row r="194" spans="1:2" ht="13.5" customHeight="1" x14ac:dyDescent="0.25">
      <c r="A194" t="s">
        <v>6573</v>
      </c>
      <c r="B194">
        <v>17</v>
      </c>
    </row>
    <row r="195" spans="1:2" ht="13.5" customHeight="1" x14ac:dyDescent="0.25">
      <c r="A195" t="s">
        <v>6573</v>
      </c>
      <c r="B195">
        <v>18</v>
      </c>
    </row>
    <row r="196" spans="1:2" ht="13.5" customHeight="1" x14ac:dyDescent="0.25">
      <c r="A196" t="s">
        <v>6573</v>
      </c>
      <c r="B196">
        <v>19</v>
      </c>
    </row>
    <row r="197" spans="1:2" ht="13.5" customHeight="1" x14ac:dyDescent="0.25">
      <c r="A197" t="s">
        <v>6573</v>
      </c>
      <c r="B197">
        <v>20</v>
      </c>
    </row>
    <row r="198" spans="1:2" ht="13.5" customHeight="1" x14ac:dyDescent="0.25">
      <c r="A198" t="s">
        <v>6573</v>
      </c>
      <c r="B198">
        <v>21</v>
      </c>
    </row>
    <row r="199" spans="1:2" ht="13.5" customHeight="1" x14ac:dyDescent="0.25">
      <c r="A199" t="s">
        <v>6573</v>
      </c>
      <c r="B199">
        <v>22</v>
      </c>
    </row>
    <row r="200" spans="1:2" ht="13.5" customHeight="1" x14ac:dyDescent="0.25">
      <c r="A200" t="s">
        <v>6573</v>
      </c>
      <c r="B200">
        <v>23</v>
      </c>
    </row>
    <row r="201" spans="1:2" ht="13.5" customHeight="1" x14ac:dyDescent="0.25">
      <c r="A201" t="s">
        <v>6573</v>
      </c>
      <c r="B201">
        <v>24</v>
      </c>
    </row>
    <row r="202" spans="1:2" ht="13.5" customHeight="1" x14ac:dyDescent="0.25">
      <c r="A202" t="s">
        <v>6573</v>
      </c>
      <c r="B202">
        <v>25</v>
      </c>
    </row>
    <row r="203" spans="1:2" ht="13.5" customHeight="1" x14ac:dyDescent="0.25">
      <c r="A203" t="s">
        <v>6573</v>
      </c>
      <c r="B203">
        <v>26</v>
      </c>
    </row>
    <row r="204" spans="1:2" ht="13.5" customHeight="1" x14ac:dyDescent="0.25">
      <c r="A204" t="s">
        <v>6573</v>
      </c>
      <c r="B204">
        <v>27</v>
      </c>
    </row>
    <row r="205" spans="1:2" ht="13.5" customHeight="1" x14ac:dyDescent="0.25">
      <c r="A205" t="s">
        <v>6573</v>
      </c>
      <c r="B205">
        <v>28</v>
      </c>
    </row>
    <row r="206" spans="1:2" ht="13.5" customHeight="1" x14ac:dyDescent="0.25">
      <c r="A206" t="s">
        <v>6573</v>
      </c>
      <c r="B206">
        <v>29</v>
      </c>
    </row>
    <row r="207" spans="1:2" ht="13.5" customHeight="1" x14ac:dyDescent="0.25">
      <c r="A207" t="s">
        <v>6573</v>
      </c>
      <c r="B207">
        <v>30</v>
      </c>
    </row>
    <row r="208" spans="1:2" ht="13.5" customHeight="1" x14ac:dyDescent="0.25">
      <c r="A208" t="s">
        <v>6573</v>
      </c>
      <c r="B208">
        <v>31</v>
      </c>
    </row>
    <row r="209" spans="1:2" ht="13.5" customHeight="1" x14ac:dyDescent="0.25">
      <c r="A209" t="s">
        <v>6573</v>
      </c>
      <c r="B209">
        <v>32</v>
      </c>
    </row>
    <row r="210" spans="1:2" ht="13.5" customHeight="1" x14ac:dyDescent="0.25">
      <c r="A210" t="s">
        <v>6573</v>
      </c>
      <c r="B210">
        <v>33</v>
      </c>
    </row>
    <row r="211" spans="1:2" ht="13.5" customHeight="1" x14ac:dyDescent="0.25">
      <c r="A211" t="s">
        <v>6573</v>
      </c>
      <c r="B211">
        <v>34</v>
      </c>
    </row>
    <row r="212" spans="1:2" ht="13.5" customHeight="1" x14ac:dyDescent="0.25">
      <c r="A212" t="s">
        <v>6573</v>
      </c>
      <c r="B212">
        <v>35</v>
      </c>
    </row>
    <row r="213" spans="1:2" ht="13.5" customHeight="1" x14ac:dyDescent="0.25">
      <c r="A213" t="s">
        <v>6573</v>
      </c>
      <c r="B213">
        <v>36</v>
      </c>
    </row>
    <row r="214" spans="1:2" ht="13.5" customHeight="1" x14ac:dyDescent="0.25">
      <c r="A214" t="s">
        <v>6573</v>
      </c>
      <c r="B214">
        <v>37</v>
      </c>
    </row>
    <row r="215" spans="1:2" ht="13.5" customHeight="1" x14ac:dyDescent="0.25">
      <c r="A215" t="s">
        <v>6573</v>
      </c>
      <c r="B215">
        <v>38</v>
      </c>
    </row>
    <row r="216" spans="1:2" ht="13.5" customHeight="1" x14ac:dyDescent="0.25">
      <c r="A216" t="s">
        <v>6573</v>
      </c>
      <c r="B216">
        <v>39</v>
      </c>
    </row>
    <row r="217" spans="1:2" ht="13.5" customHeight="1" x14ac:dyDescent="0.25">
      <c r="A217" t="s">
        <v>6573</v>
      </c>
      <c r="B217">
        <v>40</v>
      </c>
    </row>
    <row r="218" spans="1:2" ht="13.5" customHeight="1" x14ac:dyDescent="0.25">
      <c r="A218" t="s">
        <v>6573</v>
      </c>
      <c r="B218">
        <v>41</v>
      </c>
    </row>
    <row r="219" spans="1:2" ht="13.5" customHeight="1" x14ac:dyDescent="0.25">
      <c r="A219" t="s">
        <v>6573</v>
      </c>
      <c r="B219">
        <v>42</v>
      </c>
    </row>
    <row r="220" spans="1:2" ht="13.5" customHeight="1" x14ac:dyDescent="0.25">
      <c r="A220" t="s">
        <v>6573</v>
      </c>
      <c r="B220">
        <v>43</v>
      </c>
    </row>
    <row r="221" spans="1:2" ht="13.5" customHeight="1" x14ac:dyDescent="0.25">
      <c r="A221" t="s">
        <v>6573</v>
      </c>
      <c r="B221">
        <v>44</v>
      </c>
    </row>
    <row r="222" spans="1:2" ht="13.5" customHeight="1" x14ac:dyDescent="0.25">
      <c r="A222" t="s">
        <v>6573</v>
      </c>
      <c r="B222">
        <v>45</v>
      </c>
    </row>
    <row r="223" spans="1:2" ht="13.5" customHeight="1" x14ac:dyDescent="0.25">
      <c r="A223" t="s">
        <v>6573</v>
      </c>
      <c r="B223">
        <v>46</v>
      </c>
    </row>
    <row r="224" spans="1:2" ht="13.5" customHeight="1" x14ac:dyDescent="0.25">
      <c r="A224" t="s">
        <v>6573</v>
      </c>
      <c r="B224">
        <v>47</v>
      </c>
    </row>
    <row r="225" spans="1:2" ht="13.5" customHeight="1" x14ac:dyDescent="0.25">
      <c r="A225" t="s">
        <v>6573</v>
      </c>
      <c r="B225">
        <v>48</v>
      </c>
    </row>
    <row r="226" spans="1:2" ht="13.5" customHeight="1" x14ac:dyDescent="0.25">
      <c r="A226" t="s">
        <v>6573</v>
      </c>
      <c r="B226">
        <v>49</v>
      </c>
    </row>
    <row r="227" spans="1:2" ht="13.5" customHeight="1" x14ac:dyDescent="0.25">
      <c r="A227" t="s">
        <v>6573</v>
      </c>
      <c r="B227">
        <v>50</v>
      </c>
    </row>
    <row r="228" spans="1:2" ht="13.5" customHeight="1" x14ac:dyDescent="0.25">
      <c r="A228" t="s">
        <v>6574</v>
      </c>
      <c r="B228">
        <v>1</v>
      </c>
    </row>
    <row r="229" spans="1:2" ht="13.5" customHeight="1" x14ac:dyDescent="0.25">
      <c r="A229" t="s">
        <v>6574</v>
      </c>
      <c r="B229">
        <v>2</v>
      </c>
    </row>
    <row r="230" spans="1:2" ht="13.5" customHeight="1" x14ac:dyDescent="0.25">
      <c r="A230" t="s">
        <v>6574</v>
      </c>
      <c r="B230">
        <v>3</v>
      </c>
    </row>
    <row r="231" spans="1:2" ht="13.5" customHeight="1" x14ac:dyDescent="0.25">
      <c r="A231" t="s">
        <v>6574</v>
      </c>
      <c r="B231">
        <v>4</v>
      </c>
    </row>
    <row r="232" spans="1:2" ht="13.5" customHeight="1" x14ac:dyDescent="0.25">
      <c r="A232" t="s">
        <v>6574</v>
      </c>
      <c r="B232">
        <v>5</v>
      </c>
    </row>
    <row r="233" spans="1:2" ht="13.5" customHeight="1" x14ac:dyDescent="0.25">
      <c r="A233" t="s">
        <v>6574</v>
      </c>
      <c r="B233">
        <v>6</v>
      </c>
    </row>
    <row r="234" spans="1:2" ht="13.5" customHeight="1" x14ac:dyDescent="0.25">
      <c r="A234" t="s">
        <v>6574</v>
      </c>
      <c r="B234">
        <v>7</v>
      </c>
    </row>
    <row r="235" spans="1:2" ht="13.5" customHeight="1" x14ac:dyDescent="0.25">
      <c r="A235" t="s">
        <v>6574</v>
      </c>
      <c r="B235">
        <v>8</v>
      </c>
    </row>
    <row r="236" spans="1:2" ht="13.5" customHeight="1" x14ac:dyDescent="0.25">
      <c r="A236" t="s">
        <v>6574</v>
      </c>
      <c r="B236">
        <v>9</v>
      </c>
    </row>
    <row r="237" spans="1:2" ht="13.5" customHeight="1" x14ac:dyDescent="0.25">
      <c r="A237" t="s">
        <v>6574</v>
      </c>
      <c r="B237">
        <v>10</v>
      </c>
    </row>
    <row r="238" spans="1:2" ht="13.5" customHeight="1" x14ac:dyDescent="0.25">
      <c r="A238" t="s">
        <v>6574</v>
      </c>
      <c r="B238">
        <v>11</v>
      </c>
    </row>
    <row r="239" spans="1:2" ht="13.5" customHeight="1" x14ac:dyDescent="0.25">
      <c r="A239" t="s">
        <v>6574</v>
      </c>
      <c r="B239">
        <v>12</v>
      </c>
    </row>
    <row r="240" spans="1:2" ht="13.5" customHeight="1" x14ac:dyDescent="0.25">
      <c r="A240" t="s">
        <v>6574</v>
      </c>
      <c r="B240">
        <v>13</v>
      </c>
    </row>
    <row r="241" spans="1:2" ht="13.5" customHeight="1" x14ac:dyDescent="0.25">
      <c r="A241" t="s">
        <v>6574</v>
      </c>
      <c r="B241">
        <v>14</v>
      </c>
    </row>
    <row r="242" spans="1:2" ht="13.5" customHeight="1" x14ac:dyDescent="0.25">
      <c r="A242" t="s">
        <v>6574</v>
      </c>
      <c r="B242">
        <v>15</v>
      </c>
    </row>
    <row r="243" spans="1:2" ht="13.5" customHeight="1" x14ac:dyDescent="0.25">
      <c r="A243" t="s">
        <v>6574</v>
      </c>
      <c r="B243">
        <v>16</v>
      </c>
    </row>
    <row r="244" spans="1:2" ht="13.5" customHeight="1" x14ac:dyDescent="0.25">
      <c r="A244" t="s">
        <v>6574</v>
      </c>
      <c r="B244">
        <v>17</v>
      </c>
    </row>
    <row r="245" spans="1:2" ht="13.5" customHeight="1" x14ac:dyDescent="0.25">
      <c r="A245" t="s">
        <v>6574</v>
      </c>
      <c r="B245">
        <v>18</v>
      </c>
    </row>
    <row r="246" spans="1:2" ht="13.5" customHeight="1" x14ac:dyDescent="0.25">
      <c r="A246" t="s">
        <v>6574</v>
      </c>
      <c r="B246">
        <v>19</v>
      </c>
    </row>
    <row r="247" spans="1:2" ht="13.5" customHeight="1" x14ac:dyDescent="0.25">
      <c r="A247" t="s">
        <v>6574</v>
      </c>
      <c r="B247">
        <v>20</v>
      </c>
    </row>
    <row r="248" spans="1:2" ht="13.5" customHeight="1" x14ac:dyDescent="0.25">
      <c r="A248" t="s">
        <v>6574</v>
      </c>
      <c r="B248">
        <v>21</v>
      </c>
    </row>
    <row r="249" spans="1:2" ht="13.5" customHeight="1" x14ac:dyDescent="0.25">
      <c r="A249" t="s">
        <v>6574</v>
      </c>
      <c r="B249">
        <v>22</v>
      </c>
    </row>
    <row r="250" spans="1:2" ht="13.5" customHeight="1" x14ac:dyDescent="0.25">
      <c r="A250" t="s">
        <v>6574</v>
      </c>
      <c r="B250">
        <v>23</v>
      </c>
    </row>
    <row r="251" spans="1:2" ht="13.5" customHeight="1" x14ac:dyDescent="0.25">
      <c r="A251" t="s">
        <v>6574</v>
      </c>
      <c r="B251">
        <v>24</v>
      </c>
    </row>
    <row r="252" spans="1:2" ht="13.5" customHeight="1" x14ac:dyDescent="0.25">
      <c r="A252" t="s">
        <v>6574</v>
      </c>
      <c r="B252">
        <v>25</v>
      </c>
    </row>
    <row r="253" spans="1:2" ht="13.5" customHeight="1" x14ac:dyDescent="0.25">
      <c r="A253" t="s">
        <v>6574</v>
      </c>
      <c r="B253">
        <v>26</v>
      </c>
    </row>
    <row r="254" spans="1:2" ht="13.5" customHeight="1" x14ac:dyDescent="0.25">
      <c r="A254" t="s">
        <v>6574</v>
      </c>
      <c r="B254">
        <v>27</v>
      </c>
    </row>
    <row r="255" spans="1:2" ht="13.5" customHeight="1" x14ac:dyDescent="0.25">
      <c r="A255" t="s">
        <v>6574</v>
      </c>
      <c r="B255">
        <v>28</v>
      </c>
    </row>
    <row r="256" spans="1:2" ht="13.5" customHeight="1" x14ac:dyDescent="0.25">
      <c r="A256" t="s">
        <v>6574</v>
      </c>
      <c r="B256">
        <v>29</v>
      </c>
    </row>
    <row r="257" spans="1:2" ht="13.5" customHeight="1" x14ac:dyDescent="0.25">
      <c r="A257" t="s">
        <v>6574</v>
      </c>
      <c r="B257">
        <v>30</v>
      </c>
    </row>
    <row r="258" spans="1:2" ht="13.5" customHeight="1" x14ac:dyDescent="0.25">
      <c r="A258" t="s">
        <v>6574</v>
      </c>
      <c r="B258">
        <v>31</v>
      </c>
    </row>
    <row r="259" spans="1:2" ht="13.5" customHeight="1" x14ac:dyDescent="0.25">
      <c r="A259" t="s">
        <v>6574</v>
      </c>
      <c r="B259">
        <v>32</v>
      </c>
    </row>
    <row r="260" spans="1:2" ht="13.5" customHeight="1" x14ac:dyDescent="0.25">
      <c r="A260" t="s">
        <v>6574</v>
      </c>
      <c r="B260">
        <v>33</v>
      </c>
    </row>
    <row r="261" spans="1:2" ht="13.5" customHeight="1" x14ac:dyDescent="0.25">
      <c r="A261" t="s">
        <v>6574</v>
      </c>
      <c r="B261">
        <v>34</v>
      </c>
    </row>
    <row r="262" spans="1:2" ht="13.5" customHeight="1" x14ac:dyDescent="0.25">
      <c r="A262" t="s">
        <v>6574</v>
      </c>
      <c r="B262">
        <v>35</v>
      </c>
    </row>
    <row r="263" spans="1:2" ht="13.5" customHeight="1" x14ac:dyDescent="0.25">
      <c r="A263" t="s">
        <v>6574</v>
      </c>
      <c r="B263">
        <v>36</v>
      </c>
    </row>
    <row r="264" spans="1:2" ht="13.5" customHeight="1" x14ac:dyDescent="0.25">
      <c r="A264" t="s">
        <v>6574</v>
      </c>
      <c r="B264">
        <v>37</v>
      </c>
    </row>
    <row r="265" spans="1:2" ht="13.5" customHeight="1" x14ac:dyDescent="0.25">
      <c r="A265" t="s">
        <v>6574</v>
      </c>
      <c r="B265">
        <v>38</v>
      </c>
    </row>
    <row r="266" spans="1:2" ht="13.5" customHeight="1" x14ac:dyDescent="0.25">
      <c r="A266" t="s">
        <v>6574</v>
      </c>
      <c r="B266">
        <v>39</v>
      </c>
    </row>
    <row r="267" spans="1:2" ht="13.5" customHeight="1" x14ac:dyDescent="0.25">
      <c r="A267" t="s">
        <v>6574</v>
      </c>
      <c r="B267">
        <v>40</v>
      </c>
    </row>
    <row r="268" spans="1:2" ht="13.5" customHeight="1" x14ac:dyDescent="0.25">
      <c r="A268" t="s">
        <v>6574</v>
      </c>
      <c r="B268">
        <v>41</v>
      </c>
    </row>
    <row r="269" spans="1:2" ht="13.5" customHeight="1" x14ac:dyDescent="0.25">
      <c r="A269" t="s">
        <v>6574</v>
      </c>
      <c r="B269">
        <v>42</v>
      </c>
    </row>
    <row r="270" spans="1:2" ht="13.5" customHeight="1" x14ac:dyDescent="0.25">
      <c r="A270" t="s">
        <v>6574</v>
      </c>
      <c r="B270">
        <v>43</v>
      </c>
    </row>
    <row r="271" spans="1:2" ht="13.5" customHeight="1" x14ac:dyDescent="0.25">
      <c r="A271" t="s">
        <v>6574</v>
      </c>
      <c r="B271">
        <v>44</v>
      </c>
    </row>
    <row r="272" spans="1:2" ht="13.5" customHeight="1" x14ac:dyDescent="0.25">
      <c r="A272" t="s">
        <v>6574</v>
      </c>
      <c r="B272">
        <v>45</v>
      </c>
    </row>
    <row r="273" spans="1:2" ht="13.5" customHeight="1" x14ac:dyDescent="0.25">
      <c r="A273" t="s">
        <v>6574</v>
      </c>
      <c r="B273">
        <v>46</v>
      </c>
    </row>
    <row r="274" spans="1:2" ht="13.5" customHeight="1" x14ac:dyDescent="0.25">
      <c r="A274" t="s">
        <v>6574</v>
      </c>
      <c r="B274">
        <v>47</v>
      </c>
    </row>
    <row r="275" spans="1:2" ht="13.5" customHeight="1" x14ac:dyDescent="0.25">
      <c r="A275" t="s">
        <v>6574</v>
      </c>
      <c r="B275">
        <v>48</v>
      </c>
    </row>
    <row r="276" spans="1:2" ht="13.5" customHeight="1" x14ac:dyDescent="0.25">
      <c r="A276" t="s">
        <v>6574</v>
      </c>
      <c r="B276">
        <v>49</v>
      </c>
    </row>
    <row r="277" spans="1:2" ht="13.5" customHeight="1" x14ac:dyDescent="0.25">
      <c r="A277" t="s">
        <v>6574</v>
      </c>
      <c r="B277">
        <v>50</v>
      </c>
    </row>
    <row r="278" spans="1:2" ht="13.5" customHeight="1" x14ac:dyDescent="0.25">
      <c r="A278" t="s">
        <v>6575</v>
      </c>
      <c r="B278">
        <v>1</v>
      </c>
    </row>
    <row r="279" spans="1:2" ht="13.5" customHeight="1" x14ac:dyDescent="0.25">
      <c r="A279" t="s">
        <v>6575</v>
      </c>
      <c r="B279">
        <v>2</v>
      </c>
    </row>
    <row r="280" spans="1:2" ht="13.5" customHeight="1" x14ac:dyDescent="0.25">
      <c r="A280" t="s">
        <v>6575</v>
      </c>
      <c r="B280">
        <v>3</v>
      </c>
    </row>
    <row r="281" spans="1:2" ht="13.5" customHeight="1" x14ac:dyDescent="0.25">
      <c r="A281" t="s">
        <v>6575</v>
      </c>
      <c r="B281">
        <v>4</v>
      </c>
    </row>
    <row r="282" spans="1:2" ht="13.5" customHeight="1" x14ac:dyDescent="0.25">
      <c r="A282" t="s">
        <v>6575</v>
      </c>
      <c r="B282">
        <v>5</v>
      </c>
    </row>
    <row r="283" spans="1:2" ht="13.5" customHeight="1" x14ac:dyDescent="0.25">
      <c r="A283" t="s">
        <v>6575</v>
      </c>
      <c r="B283">
        <v>6</v>
      </c>
    </row>
    <row r="284" spans="1:2" ht="13.5" customHeight="1" x14ac:dyDescent="0.25">
      <c r="A284" t="s">
        <v>6575</v>
      </c>
      <c r="B284">
        <v>7</v>
      </c>
    </row>
    <row r="285" spans="1:2" ht="13.5" customHeight="1" x14ac:dyDescent="0.25">
      <c r="A285" t="s">
        <v>6575</v>
      </c>
      <c r="B285">
        <v>8</v>
      </c>
    </row>
    <row r="286" spans="1:2" ht="13.5" customHeight="1" x14ac:dyDescent="0.25">
      <c r="A286" t="s">
        <v>6575</v>
      </c>
      <c r="B286">
        <v>9</v>
      </c>
    </row>
    <row r="287" spans="1:2" ht="13.5" customHeight="1" x14ac:dyDescent="0.25">
      <c r="A287" t="s">
        <v>6575</v>
      </c>
      <c r="B287">
        <v>10</v>
      </c>
    </row>
    <row r="288" spans="1:2" ht="13.5" customHeight="1" x14ac:dyDescent="0.25">
      <c r="A288" t="s">
        <v>6575</v>
      </c>
      <c r="B288">
        <v>11</v>
      </c>
    </row>
    <row r="289" spans="1:2" ht="13.5" customHeight="1" x14ac:dyDescent="0.25">
      <c r="A289" t="s">
        <v>6575</v>
      </c>
      <c r="B289">
        <v>12</v>
      </c>
    </row>
    <row r="290" spans="1:2" ht="13.5" customHeight="1" x14ac:dyDescent="0.25">
      <c r="A290" t="s">
        <v>6575</v>
      </c>
      <c r="B290">
        <v>13</v>
      </c>
    </row>
    <row r="291" spans="1:2" ht="13.5" customHeight="1" x14ac:dyDescent="0.25">
      <c r="A291" t="s">
        <v>6575</v>
      </c>
      <c r="B291">
        <v>14</v>
      </c>
    </row>
    <row r="292" spans="1:2" ht="13.5" customHeight="1" x14ac:dyDescent="0.25">
      <c r="A292" t="s">
        <v>6575</v>
      </c>
      <c r="B292">
        <v>15</v>
      </c>
    </row>
    <row r="293" spans="1:2" ht="13.5" customHeight="1" x14ac:dyDescent="0.25">
      <c r="A293" t="s">
        <v>6575</v>
      </c>
      <c r="B293">
        <v>16</v>
      </c>
    </row>
    <row r="294" spans="1:2" ht="13.5" customHeight="1" x14ac:dyDescent="0.25">
      <c r="A294" t="s">
        <v>6575</v>
      </c>
      <c r="B294">
        <v>17</v>
      </c>
    </row>
    <row r="295" spans="1:2" ht="13.5" customHeight="1" x14ac:dyDescent="0.25">
      <c r="A295" t="s">
        <v>6575</v>
      </c>
      <c r="B295">
        <v>18</v>
      </c>
    </row>
    <row r="296" spans="1:2" ht="13.5" customHeight="1" x14ac:dyDescent="0.25">
      <c r="A296" t="s">
        <v>6575</v>
      </c>
      <c r="B296">
        <v>19</v>
      </c>
    </row>
    <row r="297" spans="1:2" ht="13.5" customHeight="1" x14ac:dyDescent="0.25">
      <c r="A297" t="s">
        <v>6575</v>
      </c>
      <c r="B297">
        <v>20</v>
      </c>
    </row>
    <row r="298" spans="1:2" ht="13.5" customHeight="1" x14ac:dyDescent="0.25">
      <c r="A298" t="s">
        <v>6575</v>
      </c>
      <c r="B298">
        <v>21</v>
      </c>
    </row>
    <row r="299" spans="1:2" ht="13.5" customHeight="1" x14ac:dyDescent="0.25">
      <c r="A299" t="s">
        <v>6575</v>
      </c>
      <c r="B299">
        <v>22</v>
      </c>
    </row>
    <row r="300" spans="1:2" ht="13.5" customHeight="1" x14ac:dyDescent="0.25">
      <c r="A300" t="s">
        <v>6575</v>
      </c>
      <c r="B300">
        <v>23</v>
      </c>
    </row>
    <row r="301" spans="1:2" ht="13.5" customHeight="1" x14ac:dyDescent="0.25">
      <c r="A301" t="s">
        <v>6575</v>
      </c>
      <c r="B301">
        <v>24</v>
      </c>
    </row>
    <row r="302" spans="1:2" ht="13.5" customHeight="1" x14ac:dyDescent="0.25">
      <c r="A302" t="s">
        <v>6575</v>
      </c>
      <c r="B302">
        <v>25</v>
      </c>
    </row>
    <row r="303" spans="1:2" ht="13.5" customHeight="1" x14ac:dyDescent="0.25">
      <c r="A303" t="s">
        <v>6575</v>
      </c>
      <c r="B303">
        <v>26</v>
      </c>
    </row>
    <row r="304" spans="1:2" ht="13.5" customHeight="1" x14ac:dyDescent="0.25">
      <c r="A304" t="s">
        <v>6575</v>
      </c>
      <c r="B304">
        <v>27</v>
      </c>
    </row>
    <row r="305" spans="1:2" ht="13.5" customHeight="1" x14ac:dyDescent="0.25">
      <c r="A305" t="s">
        <v>6575</v>
      </c>
      <c r="B305">
        <v>28</v>
      </c>
    </row>
    <row r="306" spans="1:2" ht="13.5" customHeight="1" x14ac:dyDescent="0.25">
      <c r="A306" t="s">
        <v>6575</v>
      </c>
      <c r="B306">
        <v>29</v>
      </c>
    </row>
    <row r="307" spans="1:2" ht="13.5" customHeight="1" x14ac:dyDescent="0.25">
      <c r="A307" t="s">
        <v>6575</v>
      </c>
      <c r="B307">
        <v>30</v>
      </c>
    </row>
    <row r="308" spans="1:2" ht="13.5" customHeight="1" x14ac:dyDescent="0.25">
      <c r="A308" t="s">
        <v>6575</v>
      </c>
      <c r="B308">
        <v>31</v>
      </c>
    </row>
    <row r="309" spans="1:2" ht="13.5" customHeight="1" x14ac:dyDescent="0.25">
      <c r="A309" t="s">
        <v>6575</v>
      </c>
      <c r="B309">
        <v>32</v>
      </c>
    </row>
    <row r="310" spans="1:2" ht="13.5" customHeight="1" x14ac:dyDescent="0.25">
      <c r="A310" t="s">
        <v>6575</v>
      </c>
      <c r="B310">
        <v>33</v>
      </c>
    </row>
    <row r="311" spans="1:2" ht="13.5" customHeight="1" x14ac:dyDescent="0.25">
      <c r="A311" t="s">
        <v>6575</v>
      </c>
      <c r="B311">
        <v>34</v>
      </c>
    </row>
    <row r="312" spans="1:2" ht="13.5" customHeight="1" x14ac:dyDescent="0.25">
      <c r="A312" t="s">
        <v>6575</v>
      </c>
      <c r="B312">
        <v>35</v>
      </c>
    </row>
    <row r="313" spans="1:2" ht="13.5" customHeight="1" x14ac:dyDescent="0.25">
      <c r="A313" t="s">
        <v>6575</v>
      </c>
      <c r="B313">
        <v>36</v>
      </c>
    </row>
    <row r="314" spans="1:2" ht="13.5" customHeight="1" x14ac:dyDescent="0.25">
      <c r="A314" t="s">
        <v>6575</v>
      </c>
      <c r="B314">
        <v>37</v>
      </c>
    </row>
    <row r="315" spans="1:2" ht="13.5" customHeight="1" x14ac:dyDescent="0.25">
      <c r="A315" t="s">
        <v>6575</v>
      </c>
      <c r="B315">
        <v>38</v>
      </c>
    </row>
    <row r="316" spans="1:2" ht="13.5" customHeight="1" x14ac:dyDescent="0.25">
      <c r="A316" t="s">
        <v>6575</v>
      </c>
      <c r="B316">
        <v>39</v>
      </c>
    </row>
    <row r="317" spans="1:2" ht="13.5" customHeight="1" x14ac:dyDescent="0.25">
      <c r="A317" t="s">
        <v>6575</v>
      </c>
      <c r="B317">
        <v>40</v>
      </c>
    </row>
    <row r="318" spans="1:2" ht="13.5" customHeight="1" x14ac:dyDescent="0.25">
      <c r="A318" t="s">
        <v>6575</v>
      </c>
      <c r="B318">
        <v>41</v>
      </c>
    </row>
    <row r="319" spans="1:2" ht="13.5" customHeight="1" x14ac:dyDescent="0.25">
      <c r="A319" t="s">
        <v>6575</v>
      </c>
      <c r="B319">
        <v>42</v>
      </c>
    </row>
    <row r="320" spans="1:2" ht="13.5" customHeight="1" x14ac:dyDescent="0.25">
      <c r="A320" t="s">
        <v>6575</v>
      </c>
      <c r="B320">
        <v>43</v>
      </c>
    </row>
    <row r="321" spans="1:2" ht="13.5" customHeight="1" x14ac:dyDescent="0.25">
      <c r="A321" t="s">
        <v>6575</v>
      </c>
      <c r="B321">
        <v>44</v>
      </c>
    </row>
    <row r="322" spans="1:2" ht="13.5" customHeight="1" x14ac:dyDescent="0.25">
      <c r="A322" t="s">
        <v>6575</v>
      </c>
      <c r="B322">
        <v>45</v>
      </c>
    </row>
    <row r="323" spans="1:2" ht="13.5" customHeight="1" x14ac:dyDescent="0.25">
      <c r="A323" t="s">
        <v>6575</v>
      </c>
      <c r="B323">
        <v>46</v>
      </c>
    </row>
    <row r="324" spans="1:2" ht="13.5" customHeight="1" x14ac:dyDescent="0.25">
      <c r="A324" t="s">
        <v>6575</v>
      </c>
      <c r="B324">
        <v>47</v>
      </c>
    </row>
    <row r="325" spans="1:2" ht="13.5" customHeight="1" x14ac:dyDescent="0.25">
      <c r="A325" t="s">
        <v>6575</v>
      </c>
      <c r="B325">
        <v>48</v>
      </c>
    </row>
    <row r="326" spans="1:2" ht="13.5" customHeight="1" x14ac:dyDescent="0.25">
      <c r="A326" t="s">
        <v>6575</v>
      </c>
      <c r="B326">
        <v>49</v>
      </c>
    </row>
    <row r="327" spans="1:2" ht="13.5" customHeight="1" x14ac:dyDescent="0.25">
      <c r="A327" t="s">
        <v>6575</v>
      </c>
      <c r="B327">
        <v>50</v>
      </c>
    </row>
    <row r="328" spans="1:2" ht="13.5" customHeight="1" x14ac:dyDescent="0.25">
      <c r="A328" t="s">
        <v>6576</v>
      </c>
      <c r="B328">
        <v>1</v>
      </c>
    </row>
    <row r="329" spans="1:2" ht="13.5" customHeight="1" x14ac:dyDescent="0.25">
      <c r="A329" t="s">
        <v>6576</v>
      </c>
      <c r="B329">
        <v>2</v>
      </c>
    </row>
    <row r="330" spans="1:2" ht="13.5" customHeight="1" x14ac:dyDescent="0.25">
      <c r="A330" t="s">
        <v>6576</v>
      </c>
      <c r="B330">
        <v>3</v>
      </c>
    </row>
    <row r="331" spans="1:2" ht="13.5" customHeight="1" x14ac:dyDescent="0.25">
      <c r="A331" t="s">
        <v>6576</v>
      </c>
      <c r="B331">
        <v>4</v>
      </c>
    </row>
    <row r="332" spans="1:2" ht="13.5" customHeight="1" x14ac:dyDescent="0.25">
      <c r="A332" t="s">
        <v>6576</v>
      </c>
      <c r="B332">
        <v>5</v>
      </c>
    </row>
    <row r="333" spans="1:2" ht="13.5" customHeight="1" x14ac:dyDescent="0.25">
      <c r="A333" t="s">
        <v>6576</v>
      </c>
      <c r="B333">
        <v>6</v>
      </c>
    </row>
    <row r="334" spans="1:2" ht="13.5" customHeight="1" x14ac:dyDescent="0.25">
      <c r="A334" t="s">
        <v>6576</v>
      </c>
      <c r="B334">
        <v>7</v>
      </c>
    </row>
    <row r="335" spans="1:2" ht="13.5" customHeight="1" x14ac:dyDescent="0.25">
      <c r="A335" t="s">
        <v>6576</v>
      </c>
      <c r="B335">
        <v>8</v>
      </c>
    </row>
    <row r="336" spans="1:2" ht="13.5" customHeight="1" x14ac:dyDescent="0.25">
      <c r="A336" t="s">
        <v>6576</v>
      </c>
      <c r="B336">
        <v>9</v>
      </c>
    </row>
    <row r="337" spans="1:2" ht="13.5" customHeight="1" x14ac:dyDescent="0.25">
      <c r="A337" t="s">
        <v>6576</v>
      </c>
      <c r="B337">
        <v>10</v>
      </c>
    </row>
    <row r="338" spans="1:2" ht="13.5" customHeight="1" x14ac:dyDescent="0.25">
      <c r="A338" t="s">
        <v>6576</v>
      </c>
      <c r="B338">
        <v>11</v>
      </c>
    </row>
    <row r="339" spans="1:2" ht="13.5" customHeight="1" x14ac:dyDescent="0.25">
      <c r="A339" t="s">
        <v>6576</v>
      </c>
      <c r="B339">
        <v>12</v>
      </c>
    </row>
    <row r="340" spans="1:2" ht="13.5" customHeight="1" x14ac:dyDescent="0.25">
      <c r="A340" t="s">
        <v>6576</v>
      </c>
      <c r="B340">
        <v>13</v>
      </c>
    </row>
    <row r="341" spans="1:2" ht="13.5" customHeight="1" x14ac:dyDescent="0.25">
      <c r="A341" t="s">
        <v>6576</v>
      </c>
      <c r="B341">
        <v>14</v>
      </c>
    </row>
    <row r="342" spans="1:2" ht="13.5" customHeight="1" x14ac:dyDescent="0.25">
      <c r="A342" t="s">
        <v>6576</v>
      </c>
      <c r="B342">
        <v>15</v>
      </c>
    </row>
    <row r="343" spans="1:2" ht="13.5" customHeight="1" x14ac:dyDescent="0.25">
      <c r="A343" t="s">
        <v>6576</v>
      </c>
      <c r="B343">
        <v>16</v>
      </c>
    </row>
    <row r="344" spans="1:2" ht="13.5" customHeight="1" x14ac:dyDescent="0.25">
      <c r="A344" t="s">
        <v>6576</v>
      </c>
      <c r="B344">
        <v>17</v>
      </c>
    </row>
    <row r="345" spans="1:2" ht="13.5" customHeight="1" x14ac:dyDescent="0.25">
      <c r="A345" t="s">
        <v>6576</v>
      </c>
      <c r="B345">
        <v>18</v>
      </c>
    </row>
    <row r="346" spans="1:2" ht="13.5" customHeight="1" x14ac:dyDescent="0.25">
      <c r="A346" t="s">
        <v>6576</v>
      </c>
      <c r="B346">
        <v>19</v>
      </c>
    </row>
    <row r="347" spans="1:2" ht="13.5" customHeight="1" x14ac:dyDescent="0.25">
      <c r="A347" t="s">
        <v>6576</v>
      </c>
      <c r="B347">
        <v>20</v>
      </c>
    </row>
    <row r="348" spans="1:2" ht="13.5" customHeight="1" x14ac:dyDescent="0.25">
      <c r="A348" t="s">
        <v>6576</v>
      </c>
      <c r="B348">
        <v>21</v>
      </c>
    </row>
    <row r="349" spans="1:2" ht="13.5" customHeight="1" x14ac:dyDescent="0.25">
      <c r="A349" t="s">
        <v>6576</v>
      </c>
      <c r="B349">
        <v>22</v>
      </c>
    </row>
    <row r="350" spans="1:2" ht="13.5" customHeight="1" x14ac:dyDescent="0.25">
      <c r="A350" t="s">
        <v>6576</v>
      </c>
      <c r="B350">
        <v>23</v>
      </c>
    </row>
    <row r="351" spans="1:2" ht="13.5" customHeight="1" x14ac:dyDescent="0.25">
      <c r="A351" t="s">
        <v>6576</v>
      </c>
      <c r="B351">
        <v>24</v>
      </c>
    </row>
    <row r="352" spans="1:2" ht="13.5" customHeight="1" x14ac:dyDescent="0.25">
      <c r="A352" t="s">
        <v>6576</v>
      </c>
      <c r="B352">
        <v>25</v>
      </c>
    </row>
    <row r="353" spans="1:2" ht="13.5" customHeight="1" x14ac:dyDescent="0.25">
      <c r="A353" t="s">
        <v>6576</v>
      </c>
      <c r="B353">
        <v>26</v>
      </c>
    </row>
    <row r="354" spans="1:2" ht="13.5" customHeight="1" x14ac:dyDescent="0.25">
      <c r="A354" t="s">
        <v>6576</v>
      </c>
      <c r="B354">
        <v>27</v>
      </c>
    </row>
    <row r="355" spans="1:2" ht="13.5" customHeight="1" x14ac:dyDescent="0.25">
      <c r="A355" t="s">
        <v>6576</v>
      </c>
      <c r="B355">
        <v>28</v>
      </c>
    </row>
    <row r="356" spans="1:2" ht="13.5" customHeight="1" x14ac:dyDescent="0.25">
      <c r="A356" t="s">
        <v>6576</v>
      </c>
      <c r="B356">
        <v>29</v>
      </c>
    </row>
    <row r="357" spans="1:2" ht="13.5" customHeight="1" x14ac:dyDescent="0.25">
      <c r="A357" t="s">
        <v>6576</v>
      </c>
      <c r="B357">
        <v>30</v>
      </c>
    </row>
    <row r="358" spans="1:2" ht="13.5" customHeight="1" x14ac:dyDescent="0.25">
      <c r="A358" t="s">
        <v>6576</v>
      </c>
      <c r="B358">
        <v>31</v>
      </c>
    </row>
    <row r="359" spans="1:2" ht="13.5" customHeight="1" x14ac:dyDescent="0.25">
      <c r="A359" t="s">
        <v>6576</v>
      </c>
      <c r="B359">
        <v>32</v>
      </c>
    </row>
    <row r="360" spans="1:2" ht="13.5" customHeight="1" x14ac:dyDescent="0.25">
      <c r="A360" t="s">
        <v>6576</v>
      </c>
      <c r="B360">
        <v>33</v>
      </c>
    </row>
    <row r="361" spans="1:2" ht="13.5" customHeight="1" x14ac:dyDescent="0.25">
      <c r="A361" t="s">
        <v>6576</v>
      </c>
      <c r="B361">
        <v>34</v>
      </c>
    </row>
    <row r="362" spans="1:2" ht="13.5" customHeight="1" x14ac:dyDescent="0.25">
      <c r="A362" t="s">
        <v>6576</v>
      </c>
      <c r="B362">
        <v>35</v>
      </c>
    </row>
    <row r="363" spans="1:2" ht="13.5" customHeight="1" x14ac:dyDescent="0.25">
      <c r="A363" t="s">
        <v>6576</v>
      </c>
      <c r="B363">
        <v>36</v>
      </c>
    </row>
    <row r="364" spans="1:2" ht="13.5" customHeight="1" x14ac:dyDescent="0.25">
      <c r="A364" t="s">
        <v>6576</v>
      </c>
      <c r="B364">
        <v>37</v>
      </c>
    </row>
    <row r="365" spans="1:2" ht="13.5" customHeight="1" x14ac:dyDescent="0.25">
      <c r="A365" t="s">
        <v>6576</v>
      </c>
      <c r="B365">
        <v>38</v>
      </c>
    </row>
    <row r="366" spans="1:2" ht="13.5" customHeight="1" x14ac:dyDescent="0.25">
      <c r="A366" t="s">
        <v>6576</v>
      </c>
      <c r="B366">
        <v>39</v>
      </c>
    </row>
    <row r="367" spans="1:2" ht="13.5" customHeight="1" x14ac:dyDescent="0.25">
      <c r="A367" t="s">
        <v>6576</v>
      </c>
      <c r="B367">
        <v>40</v>
      </c>
    </row>
    <row r="368" spans="1:2" ht="13.5" customHeight="1" x14ac:dyDescent="0.25">
      <c r="A368" t="s">
        <v>6576</v>
      </c>
      <c r="B368">
        <v>41</v>
      </c>
    </row>
    <row r="369" spans="1:2" ht="13.5" customHeight="1" x14ac:dyDescent="0.25">
      <c r="A369" t="s">
        <v>6576</v>
      </c>
      <c r="B369">
        <v>42</v>
      </c>
    </row>
    <row r="370" spans="1:2" ht="13.5" customHeight="1" x14ac:dyDescent="0.25">
      <c r="A370" t="s">
        <v>6576</v>
      </c>
      <c r="B370">
        <v>43</v>
      </c>
    </row>
    <row r="371" spans="1:2" ht="13.5" customHeight="1" x14ac:dyDescent="0.25">
      <c r="A371" t="s">
        <v>6576</v>
      </c>
      <c r="B371">
        <v>44</v>
      </c>
    </row>
    <row r="372" spans="1:2" ht="13.5" customHeight="1" x14ac:dyDescent="0.25">
      <c r="A372" t="s">
        <v>6576</v>
      </c>
      <c r="B372">
        <v>45</v>
      </c>
    </row>
    <row r="373" spans="1:2" ht="13.5" customHeight="1" x14ac:dyDescent="0.25">
      <c r="A373" t="s">
        <v>6576</v>
      </c>
      <c r="B373">
        <v>46</v>
      </c>
    </row>
    <row r="374" spans="1:2" ht="13.5" customHeight="1" x14ac:dyDescent="0.25">
      <c r="A374" t="s">
        <v>6576</v>
      </c>
      <c r="B374">
        <v>47</v>
      </c>
    </row>
    <row r="375" spans="1:2" ht="13.5" customHeight="1" x14ac:dyDescent="0.25">
      <c r="A375" t="s">
        <v>6576</v>
      </c>
      <c r="B375">
        <v>48</v>
      </c>
    </row>
    <row r="376" spans="1:2" ht="13.5" customHeight="1" x14ac:dyDescent="0.25">
      <c r="A376" t="s">
        <v>6576</v>
      </c>
      <c r="B376">
        <v>49</v>
      </c>
    </row>
    <row r="377" spans="1:2" ht="13.5" customHeight="1" x14ac:dyDescent="0.25">
      <c r="A377" t="s">
        <v>6576</v>
      </c>
      <c r="B377">
        <v>50</v>
      </c>
    </row>
    <row r="378" spans="1:2" ht="13.5" customHeight="1" x14ac:dyDescent="0.25">
      <c r="A378" t="s">
        <v>6577</v>
      </c>
      <c r="B378">
        <v>1</v>
      </c>
    </row>
    <row r="379" spans="1:2" ht="13.5" customHeight="1" x14ac:dyDescent="0.25">
      <c r="A379" t="s">
        <v>6577</v>
      </c>
      <c r="B379">
        <v>2</v>
      </c>
    </row>
    <row r="380" spans="1:2" ht="13.5" customHeight="1" x14ac:dyDescent="0.25">
      <c r="A380" t="s">
        <v>6577</v>
      </c>
      <c r="B380">
        <v>3</v>
      </c>
    </row>
    <row r="381" spans="1:2" ht="13.5" customHeight="1" x14ac:dyDescent="0.25">
      <c r="A381" t="s">
        <v>6577</v>
      </c>
      <c r="B381">
        <v>4</v>
      </c>
    </row>
    <row r="382" spans="1:2" ht="13.5" customHeight="1" x14ac:dyDescent="0.25">
      <c r="A382" t="s">
        <v>6577</v>
      </c>
      <c r="B382">
        <v>5</v>
      </c>
    </row>
    <row r="383" spans="1:2" ht="13.5" customHeight="1" x14ac:dyDescent="0.25">
      <c r="A383" t="s">
        <v>6577</v>
      </c>
      <c r="B383">
        <v>6</v>
      </c>
    </row>
    <row r="384" spans="1:2" ht="13.5" customHeight="1" x14ac:dyDescent="0.25">
      <c r="A384" t="s">
        <v>6577</v>
      </c>
      <c r="B384">
        <v>7</v>
      </c>
    </row>
    <row r="385" spans="1:2" ht="13.5" customHeight="1" x14ac:dyDescent="0.25">
      <c r="A385" t="s">
        <v>6577</v>
      </c>
      <c r="B385">
        <v>8</v>
      </c>
    </row>
    <row r="386" spans="1:2" ht="13.5" customHeight="1" x14ac:dyDescent="0.25">
      <c r="A386" t="s">
        <v>6577</v>
      </c>
      <c r="B386">
        <v>9</v>
      </c>
    </row>
    <row r="387" spans="1:2" ht="13.5" customHeight="1" x14ac:dyDescent="0.25">
      <c r="A387" t="s">
        <v>6577</v>
      </c>
      <c r="B387">
        <v>10</v>
      </c>
    </row>
    <row r="388" spans="1:2" ht="13.5" customHeight="1" x14ac:dyDescent="0.25">
      <c r="A388" t="s">
        <v>6577</v>
      </c>
      <c r="B388">
        <v>11</v>
      </c>
    </row>
    <row r="389" spans="1:2" ht="13.5" customHeight="1" x14ac:dyDescent="0.25">
      <c r="A389" t="s">
        <v>6577</v>
      </c>
      <c r="B389">
        <v>12</v>
      </c>
    </row>
    <row r="390" spans="1:2" ht="13.5" customHeight="1" x14ac:dyDescent="0.25">
      <c r="A390" t="s">
        <v>6577</v>
      </c>
      <c r="B390">
        <v>13</v>
      </c>
    </row>
    <row r="391" spans="1:2" ht="13.5" customHeight="1" x14ac:dyDescent="0.25">
      <c r="A391" t="s">
        <v>6577</v>
      </c>
      <c r="B391">
        <v>14</v>
      </c>
    </row>
    <row r="392" spans="1:2" ht="13.5" customHeight="1" x14ac:dyDescent="0.25">
      <c r="A392" t="s">
        <v>6577</v>
      </c>
      <c r="B392">
        <v>15</v>
      </c>
    </row>
    <row r="393" spans="1:2" ht="13.5" customHeight="1" x14ac:dyDescent="0.25">
      <c r="A393" t="s">
        <v>6577</v>
      </c>
      <c r="B393">
        <v>16</v>
      </c>
    </row>
    <row r="394" spans="1:2" ht="13.5" customHeight="1" x14ac:dyDescent="0.25">
      <c r="A394" t="s">
        <v>6577</v>
      </c>
      <c r="B394">
        <v>17</v>
      </c>
    </row>
    <row r="395" spans="1:2" ht="13.5" customHeight="1" x14ac:dyDescent="0.25">
      <c r="A395" t="s">
        <v>6577</v>
      </c>
      <c r="B395">
        <v>18</v>
      </c>
    </row>
    <row r="396" spans="1:2" ht="13.5" customHeight="1" x14ac:dyDescent="0.25">
      <c r="A396" t="s">
        <v>6577</v>
      </c>
      <c r="B396">
        <v>19</v>
      </c>
    </row>
    <row r="397" spans="1:2" ht="13.5" customHeight="1" x14ac:dyDescent="0.25">
      <c r="A397" t="s">
        <v>6577</v>
      </c>
      <c r="B397">
        <v>20</v>
      </c>
    </row>
    <row r="398" spans="1:2" ht="13.5" customHeight="1" x14ac:dyDescent="0.25">
      <c r="A398" t="s">
        <v>6577</v>
      </c>
      <c r="B398">
        <v>21</v>
      </c>
    </row>
    <row r="399" spans="1:2" ht="13.5" customHeight="1" x14ac:dyDescent="0.25">
      <c r="A399" t="s">
        <v>6577</v>
      </c>
      <c r="B399">
        <v>22</v>
      </c>
    </row>
    <row r="400" spans="1:2" ht="13.5" customHeight="1" x14ac:dyDescent="0.25">
      <c r="A400" t="s">
        <v>6577</v>
      </c>
      <c r="B400">
        <v>23</v>
      </c>
    </row>
    <row r="401" spans="1:2" ht="13.5" customHeight="1" x14ac:dyDescent="0.25">
      <c r="A401" t="s">
        <v>6577</v>
      </c>
      <c r="B401">
        <v>24</v>
      </c>
    </row>
    <row r="402" spans="1:2" ht="13.5" customHeight="1" x14ac:dyDescent="0.25">
      <c r="A402" t="s">
        <v>6577</v>
      </c>
      <c r="B402">
        <v>25</v>
      </c>
    </row>
    <row r="403" spans="1:2" ht="13.5" customHeight="1" x14ac:dyDescent="0.25">
      <c r="A403" t="s">
        <v>6577</v>
      </c>
      <c r="B403">
        <v>26</v>
      </c>
    </row>
    <row r="404" spans="1:2" ht="13.5" customHeight="1" x14ac:dyDescent="0.25">
      <c r="A404" t="s">
        <v>6577</v>
      </c>
      <c r="B404">
        <v>27</v>
      </c>
    </row>
    <row r="405" spans="1:2" ht="13.5" customHeight="1" x14ac:dyDescent="0.25">
      <c r="A405" t="s">
        <v>6577</v>
      </c>
      <c r="B405">
        <v>28</v>
      </c>
    </row>
    <row r="406" spans="1:2" ht="13.5" customHeight="1" x14ac:dyDescent="0.25">
      <c r="A406" t="s">
        <v>6577</v>
      </c>
      <c r="B406">
        <v>29</v>
      </c>
    </row>
    <row r="407" spans="1:2" ht="13.5" customHeight="1" x14ac:dyDescent="0.25">
      <c r="A407" t="s">
        <v>6577</v>
      </c>
      <c r="B407">
        <v>30</v>
      </c>
    </row>
    <row r="408" spans="1:2" ht="13.5" customHeight="1" x14ac:dyDescent="0.25">
      <c r="A408" t="s">
        <v>6577</v>
      </c>
      <c r="B408">
        <v>31</v>
      </c>
    </row>
    <row r="409" spans="1:2" ht="13.5" customHeight="1" x14ac:dyDescent="0.25">
      <c r="A409" t="s">
        <v>6577</v>
      </c>
      <c r="B409">
        <v>32</v>
      </c>
    </row>
    <row r="410" spans="1:2" ht="13.5" customHeight="1" x14ac:dyDescent="0.25">
      <c r="A410" t="s">
        <v>6577</v>
      </c>
      <c r="B410">
        <v>33</v>
      </c>
    </row>
    <row r="411" spans="1:2" ht="13.5" customHeight="1" x14ac:dyDescent="0.25">
      <c r="A411" t="s">
        <v>6577</v>
      </c>
      <c r="B411">
        <v>34</v>
      </c>
    </row>
    <row r="412" spans="1:2" ht="13.5" customHeight="1" x14ac:dyDescent="0.25">
      <c r="A412" t="s">
        <v>6577</v>
      </c>
      <c r="B412">
        <v>35</v>
      </c>
    </row>
    <row r="413" spans="1:2" ht="13.5" customHeight="1" x14ac:dyDescent="0.25">
      <c r="A413" t="s">
        <v>6577</v>
      </c>
      <c r="B413">
        <v>36</v>
      </c>
    </row>
    <row r="414" spans="1:2" ht="13.5" customHeight="1" x14ac:dyDescent="0.25">
      <c r="A414" t="s">
        <v>6577</v>
      </c>
      <c r="B414">
        <v>37</v>
      </c>
    </row>
    <row r="415" spans="1:2" ht="13.5" customHeight="1" x14ac:dyDescent="0.25">
      <c r="A415" t="s">
        <v>6577</v>
      </c>
      <c r="B415">
        <v>38</v>
      </c>
    </row>
    <row r="416" spans="1:2" ht="13.5" customHeight="1" x14ac:dyDescent="0.25">
      <c r="A416" t="s">
        <v>6577</v>
      </c>
      <c r="B416">
        <v>39</v>
      </c>
    </row>
    <row r="417" spans="1:2" ht="13.5" customHeight="1" x14ac:dyDescent="0.25">
      <c r="A417" t="s">
        <v>6577</v>
      </c>
      <c r="B417">
        <v>40</v>
      </c>
    </row>
    <row r="418" spans="1:2" ht="13.5" customHeight="1" x14ac:dyDescent="0.25">
      <c r="A418" t="s">
        <v>6577</v>
      </c>
      <c r="B418">
        <v>41</v>
      </c>
    </row>
    <row r="419" spans="1:2" ht="13.5" customHeight="1" x14ac:dyDescent="0.25">
      <c r="A419" t="s">
        <v>6577</v>
      </c>
      <c r="B419">
        <v>42</v>
      </c>
    </row>
    <row r="420" spans="1:2" ht="13.5" customHeight="1" x14ac:dyDescent="0.25">
      <c r="A420" t="s">
        <v>6577</v>
      </c>
      <c r="B420">
        <v>43</v>
      </c>
    </row>
    <row r="421" spans="1:2" ht="13.5" customHeight="1" x14ac:dyDescent="0.25">
      <c r="A421" t="s">
        <v>6577</v>
      </c>
      <c r="B421">
        <v>44</v>
      </c>
    </row>
    <row r="422" spans="1:2" ht="13.5" customHeight="1" x14ac:dyDescent="0.25">
      <c r="A422" t="s">
        <v>6577</v>
      </c>
      <c r="B422">
        <v>45</v>
      </c>
    </row>
    <row r="423" spans="1:2" ht="13.5" customHeight="1" x14ac:dyDescent="0.25">
      <c r="A423" t="s">
        <v>6577</v>
      </c>
      <c r="B423">
        <v>46</v>
      </c>
    </row>
    <row r="424" spans="1:2" ht="13.5" customHeight="1" x14ac:dyDescent="0.25">
      <c r="A424" t="s">
        <v>6577</v>
      </c>
      <c r="B424">
        <v>47</v>
      </c>
    </row>
    <row r="425" spans="1:2" ht="13.5" customHeight="1" x14ac:dyDescent="0.25">
      <c r="A425" t="s">
        <v>6577</v>
      </c>
      <c r="B425">
        <v>48</v>
      </c>
    </row>
    <row r="426" spans="1:2" ht="13.5" customHeight="1" x14ac:dyDescent="0.25">
      <c r="A426" t="s">
        <v>6577</v>
      </c>
      <c r="B426">
        <v>49</v>
      </c>
    </row>
    <row r="427" spans="1:2" ht="13.5" customHeight="1" x14ac:dyDescent="0.25">
      <c r="A427" t="s">
        <v>6577</v>
      </c>
      <c r="B427">
        <v>50</v>
      </c>
    </row>
    <row r="428" spans="1:2" ht="13.5" customHeight="1" x14ac:dyDescent="0.25">
      <c r="A428" t="s">
        <v>6578</v>
      </c>
      <c r="B428">
        <v>1</v>
      </c>
    </row>
    <row r="429" spans="1:2" ht="13.5" customHeight="1" x14ac:dyDescent="0.25">
      <c r="A429" t="s">
        <v>6578</v>
      </c>
      <c r="B429">
        <v>2</v>
      </c>
    </row>
    <row r="430" spans="1:2" ht="13.5" customHeight="1" x14ac:dyDescent="0.25">
      <c r="A430" t="s">
        <v>6578</v>
      </c>
      <c r="B430">
        <v>3</v>
      </c>
    </row>
    <row r="431" spans="1:2" ht="13.5" customHeight="1" x14ac:dyDescent="0.25">
      <c r="A431" t="s">
        <v>6578</v>
      </c>
      <c r="B431">
        <v>4</v>
      </c>
    </row>
    <row r="432" spans="1:2" ht="13.5" customHeight="1" x14ac:dyDescent="0.25">
      <c r="A432" t="s">
        <v>6578</v>
      </c>
      <c r="B432">
        <v>5</v>
      </c>
    </row>
    <row r="433" spans="1:2" ht="13.5" customHeight="1" x14ac:dyDescent="0.25">
      <c r="A433" t="s">
        <v>6578</v>
      </c>
      <c r="B433">
        <v>6</v>
      </c>
    </row>
    <row r="434" spans="1:2" ht="13.5" customHeight="1" x14ac:dyDescent="0.25">
      <c r="A434" t="s">
        <v>6578</v>
      </c>
      <c r="B434">
        <v>7</v>
      </c>
    </row>
    <row r="435" spans="1:2" ht="13.5" customHeight="1" x14ac:dyDescent="0.25">
      <c r="A435" t="s">
        <v>6578</v>
      </c>
      <c r="B435">
        <v>8</v>
      </c>
    </row>
    <row r="436" spans="1:2" ht="13.5" customHeight="1" x14ac:dyDescent="0.25">
      <c r="A436" t="s">
        <v>6578</v>
      </c>
      <c r="B436">
        <v>9</v>
      </c>
    </row>
    <row r="437" spans="1:2" ht="13.5" customHeight="1" x14ac:dyDescent="0.25">
      <c r="A437" t="s">
        <v>6578</v>
      </c>
      <c r="B437">
        <v>10</v>
      </c>
    </row>
    <row r="438" spans="1:2" ht="13.5" customHeight="1" x14ac:dyDescent="0.25">
      <c r="A438" t="s">
        <v>6578</v>
      </c>
      <c r="B438">
        <v>11</v>
      </c>
    </row>
    <row r="439" spans="1:2" ht="13.5" customHeight="1" x14ac:dyDescent="0.25">
      <c r="A439" t="s">
        <v>6578</v>
      </c>
      <c r="B439">
        <v>12</v>
      </c>
    </row>
    <row r="440" spans="1:2" ht="13.5" customHeight="1" x14ac:dyDescent="0.25">
      <c r="A440" t="s">
        <v>6578</v>
      </c>
      <c r="B440">
        <v>13</v>
      </c>
    </row>
    <row r="441" spans="1:2" ht="13.5" customHeight="1" x14ac:dyDescent="0.25">
      <c r="A441" t="s">
        <v>6578</v>
      </c>
      <c r="B441">
        <v>14</v>
      </c>
    </row>
    <row r="442" spans="1:2" ht="13.5" customHeight="1" x14ac:dyDescent="0.25">
      <c r="A442" t="s">
        <v>6578</v>
      </c>
      <c r="B442">
        <v>15</v>
      </c>
    </row>
    <row r="443" spans="1:2" ht="13.5" customHeight="1" x14ac:dyDescent="0.25">
      <c r="A443" t="s">
        <v>6578</v>
      </c>
      <c r="B443">
        <v>16</v>
      </c>
    </row>
    <row r="444" spans="1:2" ht="13.5" customHeight="1" x14ac:dyDescent="0.25">
      <c r="A444" t="s">
        <v>6578</v>
      </c>
      <c r="B444">
        <v>17</v>
      </c>
    </row>
    <row r="445" spans="1:2" ht="13.5" customHeight="1" x14ac:dyDescent="0.25">
      <c r="A445" t="s">
        <v>6578</v>
      </c>
      <c r="B445">
        <v>18</v>
      </c>
    </row>
    <row r="446" spans="1:2" ht="13.5" customHeight="1" x14ac:dyDescent="0.25">
      <c r="A446" t="s">
        <v>6578</v>
      </c>
      <c r="B446">
        <v>19</v>
      </c>
    </row>
    <row r="447" spans="1:2" ht="13.5" customHeight="1" x14ac:dyDescent="0.25">
      <c r="A447" t="s">
        <v>6578</v>
      </c>
      <c r="B447">
        <v>20</v>
      </c>
    </row>
    <row r="448" spans="1:2" ht="13.5" customHeight="1" x14ac:dyDescent="0.25">
      <c r="A448" t="s">
        <v>6578</v>
      </c>
      <c r="B448">
        <v>21</v>
      </c>
    </row>
    <row r="449" spans="1:2" ht="13.5" customHeight="1" x14ac:dyDescent="0.25">
      <c r="A449" t="s">
        <v>6578</v>
      </c>
      <c r="B449">
        <v>22</v>
      </c>
    </row>
    <row r="450" spans="1:2" ht="13.5" customHeight="1" x14ac:dyDescent="0.25">
      <c r="A450" t="s">
        <v>6578</v>
      </c>
      <c r="B450">
        <v>23</v>
      </c>
    </row>
    <row r="451" spans="1:2" ht="13.5" customHeight="1" x14ac:dyDescent="0.25">
      <c r="A451" t="s">
        <v>6578</v>
      </c>
      <c r="B451">
        <v>24</v>
      </c>
    </row>
    <row r="452" spans="1:2" ht="13.5" customHeight="1" x14ac:dyDescent="0.25">
      <c r="A452" t="s">
        <v>6578</v>
      </c>
      <c r="B452">
        <v>25</v>
      </c>
    </row>
    <row r="453" spans="1:2" ht="13.5" customHeight="1" x14ac:dyDescent="0.25">
      <c r="A453" t="s">
        <v>6578</v>
      </c>
      <c r="B453">
        <v>26</v>
      </c>
    </row>
    <row r="454" spans="1:2" ht="13.5" customHeight="1" x14ac:dyDescent="0.25">
      <c r="A454" t="s">
        <v>6578</v>
      </c>
      <c r="B454">
        <v>27</v>
      </c>
    </row>
    <row r="455" spans="1:2" ht="13.5" customHeight="1" x14ac:dyDescent="0.25">
      <c r="A455" t="s">
        <v>6578</v>
      </c>
      <c r="B455">
        <v>28</v>
      </c>
    </row>
    <row r="456" spans="1:2" ht="13.5" customHeight="1" x14ac:dyDescent="0.25">
      <c r="A456" t="s">
        <v>6578</v>
      </c>
      <c r="B456">
        <v>29</v>
      </c>
    </row>
    <row r="457" spans="1:2" ht="13.5" customHeight="1" x14ac:dyDescent="0.25">
      <c r="A457" t="s">
        <v>6578</v>
      </c>
      <c r="B457">
        <v>30</v>
      </c>
    </row>
    <row r="458" spans="1:2" ht="13.5" customHeight="1" x14ac:dyDescent="0.25">
      <c r="A458" t="s">
        <v>6578</v>
      </c>
      <c r="B458">
        <v>31</v>
      </c>
    </row>
    <row r="459" spans="1:2" ht="13.5" customHeight="1" x14ac:dyDescent="0.25">
      <c r="A459" t="s">
        <v>6578</v>
      </c>
      <c r="B459">
        <v>32</v>
      </c>
    </row>
    <row r="460" spans="1:2" ht="13.5" customHeight="1" x14ac:dyDescent="0.25">
      <c r="A460" t="s">
        <v>6578</v>
      </c>
      <c r="B460">
        <v>33</v>
      </c>
    </row>
    <row r="461" spans="1:2" ht="13.5" customHeight="1" x14ac:dyDescent="0.25">
      <c r="A461" t="s">
        <v>6578</v>
      </c>
      <c r="B461">
        <v>34</v>
      </c>
    </row>
    <row r="462" spans="1:2" ht="13.5" customHeight="1" x14ac:dyDescent="0.25">
      <c r="A462" t="s">
        <v>6578</v>
      </c>
      <c r="B462">
        <v>35</v>
      </c>
    </row>
    <row r="463" spans="1:2" ht="13.5" customHeight="1" x14ac:dyDescent="0.25">
      <c r="A463" t="s">
        <v>6578</v>
      </c>
      <c r="B463">
        <v>36</v>
      </c>
    </row>
    <row r="464" spans="1:2" ht="13.5" customHeight="1" x14ac:dyDescent="0.25">
      <c r="A464" t="s">
        <v>6578</v>
      </c>
      <c r="B464">
        <v>37</v>
      </c>
    </row>
    <row r="465" spans="1:2" ht="13.5" customHeight="1" x14ac:dyDescent="0.25">
      <c r="A465" t="s">
        <v>6578</v>
      </c>
      <c r="B465">
        <v>38</v>
      </c>
    </row>
    <row r="466" spans="1:2" ht="13.5" customHeight="1" x14ac:dyDescent="0.25">
      <c r="A466" t="s">
        <v>6578</v>
      </c>
      <c r="B466">
        <v>39</v>
      </c>
    </row>
    <row r="467" spans="1:2" ht="13.5" customHeight="1" x14ac:dyDescent="0.25">
      <c r="A467" t="s">
        <v>6578</v>
      </c>
      <c r="B467">
        <v>40</v>
      </c>
    </row>
    <row r="468" spans="1:2" ht="13.5" customHeight="1" x14ac:dyDescent="0.25">
      <c r="A468" t="s">
        <v>6578</v>
      </c>
      <c r="B468">
        <v>41</v>
      </c>
    </row>
    <row r="469" spans="1:2" ht="13.5" customHeight="1" x14ac:dyDescent="0.25">
      <c r="A469" t="s">
        <v>6578</v>
      </c>
      <c r="B469">
        <v>42</v>
      </c>
    </row>
    <row r="470" spans="1:2" ht="13.5" customHeight="1" x14ac:dyDescent="0.25">
      <c r="A470" t="s">
        <v>6578</v>
      </c>
      <c r="B470">
        <v>43</v>
      </c>
    </row>
    <row r="471" spans="1:2" ht="13.5" customHeight="1" x14ac:dyDescent="0.25">
      <c r="A471" t="s">
        <v>6578</v>
      </c>
      <c r="B471">
        <v>44</v>
      </c>
    </row>
    <row r="472" spans="1:2" ht="13.5" customHeight="1" x14ac:dyDescent="0.25">
      <c r="A472" t="s">
        <v>6578</v>
      </c>
      <c r="B472">
        <v>45</v>
      </c>
    </row>
    <row r="473" spans="1:2" ht="13.5" customHeight="1" x14ac:dyDescent="0.25">
      <c r="A473" t="s">
        <v>6578</v>
      </c>
      <c r="B473">
        <v>46</v>
      </c>
    </row>
    <row r="474" spans="1:2" ht="13.5" customHeight="1" x14ac:dyDescent="0.25">
      <c r="A474" t="s">
        <v>6578</v>
      </c>
      <c r="B474">
        <v>47</v>
      </c>
    </row>
    <row r="475" spans="1:2" ht="13.5" customHeight="1" x14ac:dyDescent="0.25">
      <c r="A475" t="s">
        <v>6578</v>
      </c>
      <c r="B475">
        <v>48</v>
      </c>
    </row>
    <row r="476" spans="1:2" ht="13.5" customHeight="1" x14ac:dyDescent="0.25">
      <c r="A476" t="s">
        <v>6578</v>
      </c>
      <c r="B476">
        <v>49</v>
      </c>
    </row>
    <row r="477" spans="1:2" ht="13.5" customHeight="1" x14ac:dyDescent="0.25">
      <c r="A477" t="s">
        <v>6578</v>
      </c>
      <c r="B477">
        <v>50</v>
      </c>
    </row>
    <row r="478" spans="1:2" ht="13.5" customHeight="1" x14ac:dyDescent="0.25">
      <c r="A478" t="s">
        <v>6579</v>
      </c>
      <c r="B478">
        <v>1</v>
      </c>
    </row>
    <row r="479" spans="1:2" ht="13.5" customHeight="1" x14ac:dyDescent="0.25">
      <c r="A479" t="s">
        <v>6579</v>
      </c>
      <c r="B479">
        <v>2</v>
      </c>
    </row>
    <row r="480" spans="1:2" ht="13.5" customHeight="1" x14ac:dyDescent="0.25">
      <c r="A480" t="s">
        <v>6579</v>
      </c>
      <c r="B480">
        <v>3</v>
      </c>
    </row>
    <row r="481" spans="1:2" ht="13.5" customHeight="1" x14ac:dyDescent="0.25">
      <c r="A481" t="s">
        <v>6579</v>
      </c>
      <c r="B481">
        <v>4</v>
      </c>
    </row>
    <row r="482" spans="1:2" ht="13.5" customHeight="1" x14ac:dyDescent="0.25">
      <c r="A482" t="s">
        <v>6579</v>
      </c>
      <c r="B482">
        <v>5</v>
      </c>
    </row>
    <row r="483" spans="1:2" ht="13.5" customHeight="1" x14ac:dyDescent="0.25">
      <c r="A483" t="s">
        <v>6579</v>
      </c>
      <c r="B483">
        <v>6</v>
      </c>
    </row>
    <row r="484" spans="1:2" ht="13.5" customHeight="1" x14ac:dyDescent="0.25">
      <c r="A484" t="s">
        <v>6579</v>
      </c>
      <c r="B484">
        <v>7</v>
      </c>
    </row>
    <row r="485" spans="1:2" ht="13.5" customHeight="1" x14ac:dyDescent="0.25">
      <c r="A485" t="s">
        <v>6579</v>
      </c>
      <c r="B485">
        <v>8</v>
      </c>
    </row>
    <row r="486" spans="1:2" ht="13.5" customHeight="1" x14ac:dyDescent="0.25">
      <c r="A486" t="s">
        <v>6579</v>
      </c>
      <c r="B486">
        <v>9</v>
      </c>
    </row>
    <row r="487" spans="1:2" ht="13.5" customHeight="1" x14ac:dyDescent="0.25">
      <c r="A487" t="s">
        <v>6579</v>
      </c>
      <c r="B487">
        <v>10</v>
      </c>
    </row>
    <row r="488" spans="1:2" ht="13.5" customHeight="1" x14ac:dyDescent="0.25">
      <c r="A488" t="s">
        <v>6579</v>
      </c>
      <c r="B488">
        <v>11</v>
      </c>
    </row>
    <row r="489" spans="1:2" ht="13.5" customHeight="1" x14ac:dyDescent="0.25">
      <c r="A489" t="s">
        <v>6579</v>
      </c>
      <c r="B489">
        <v>12</v>
      </c>
    </row>
    <row r="490" spans="1:2" ht="13.5" customHeight="1" x14ac:dyDescent="0.25">
      <c r="A490" t="s">
        <v>6579</v>
      </c>
      <c r="B490">
        <v>13</v>
      </c>
    </row>
    <row r="491" spans="1:2" ht="13.5" customHeight="1" x14ac:dyDescent="0.25">
      <c r="A491" t="s">
        <v>6579</v>
      </c>
      <c r="B491">
        <v>14</v>
      </c>
    </row>
    <row r="492" spans="1:2" ht="13.5" customHeight="1" x14ac:dyDescent="0.25">
      <c r="A492" t="s">
        <v>6579</v>
      </c>
      <c r="B492">
        <v>15</v>
      </c>
    </row>
    <row r="493" spans="1:2" ht="13.5" customHeight="1" x14ac:dyDescent="0.25">
      <c r="A493" t="s">
        <v>6579</v>
      </c>
      <c r="B493">
        <v>16</v>
      </c>
    </row>
    <row r="494" spans="1:2" ht="13.5" customHeight="1" x14ac:dyDescent="0.25">
      <c r="A494" t="s">
        <v>6579</v>
      </c>
      <c r="B494">
        <v>17</v>
      </c>
    </row>
    <row r="495" spans="1:2" ht="13.5" customHeight="1" x14ac:dyDescent="0.25">
      <c r="A495" t="s">
        <v>6579</v>
      </c>
      <c r="B495">
        <v>18</v>
      </c>
    </row>
    <row r="496" spans="1:2" ht="13.5" customHeight="1" x14ac:dyDescent="0.25">
      <c r="A496" t="s">
        <v>6579</v>
      </c>
      <c r="B496">
        <v>19</v>
      </c>
    </row>
    <row r="497" spans="1:2" ht="13.5" customHeight="1" x14ac:dyDescent="0.25">
      <c r="A497" t="s">
        <v>6579</v>
      </c>
      <c r="B497">
        <v>20</v>
      </c>
    </row>
    <row r="498" spans="1:2" ht="13.5" customHeight="1" x14ac:dyDescent="0.25">
      <c r="A498" t="s">
        <v>6579</v>
      </c>
      <c r="B498">
        <v>21</v>
      </c>
    </row>
    <row r="499" spans="1:2" ht="13.5" customHeight="1" x14ac:dyDescent="0.25">
      <c r="A499" t="s">
        <v>6579</v>
      </c>
      <c r="B499">
        <v>22</v>
      </c>
    </row>
    <row r="500" spans="1:2" ht="13.5" customHeight="1" x14ac:dyDescent="0.25">
      <c r="A500" t="s">
        <v>6579</v>
      </c>
      <c r="B500">
        <v>23</v>
      </c>
    </row>
    <row r="501" spans="1:2" ht="13.5" customHeight="1" x14ac:dyDescent="0.25">
      <c r="A501" t="s">
        <v>6579</v>
      </c>
      <c r="B501">
        <v>24</v>
      </c>
    </row>
    <row r="502" spans="1:2" ht="13.5" customHeight="1" x14ac:dyDescent="0.25">
      <c r="A502" t="s">
        <v>6579</v>
      </c>
      <c r="B502">
        <v>25</v>
      </c>
    </row>
    <row r="503" spans="1:2" ht="13.5" customHeight="1" x14ac:dyDescent="0.25">
      <c r="A503" t="s">
        <v>6579</v>
      </c>
      <c r="B503">
        <v>26</v>
      </c>
    </row>
    <row r="504" spans="1:2" ht="13.5" customHeight="1" x14ac:dyDescent="0.25">
      <c r="A504" t="s">
        <v>6579</v>
      </c>
      <c r="B504">
        <v>27</v>
      </c>
    </row>
    <row r="505" spans="1:2" ht="13.5" customHeight="1" x14ac:dyDescent="0.25">
      <c r="A505" t="s">
        <v>6579</v>
      </c>
      <c r="B505">
        <v>28</v>
      </c>
    </row>
    <row r="506" spans="1:2" ht="13.5" customHeight="1" x14ac:dyDescent="0.25">
      <c r="A506" t="s">
        <v>6579</v>
      </c>
      <c r="B506">
        <v>29</v>
      </c>
    </row>
    <row r="507" spans="1:2" ht="13.5" customHeight="1" x14ac:dyDescent="0.25">
      <c r="A507" t="s">
        <v>6579</v>
      </c>
      <c r="B507">
        <v>30</v>
      </c>
    </row>
    <row r="508" spans="1:2" ht="13.5" customHeight="1" x14ac:dyDescent="0.25">
      <c r="A508" t="s">
        <v>6579</v>
      </c>
      <c r="B508">
        <v>31</v>
      </c>
    </row>
    <row r="509" spans="1:2" ht="13.5" customHeight="1" x14ac:dyDescent="0.25">
      <c r="A509" t="s">
        <v>6579</v>
      </c>
      <c r="B509">
        <v>32</v>
      </c>
    </row>
    <row r="510" spans="1:2" ht="13.5" customHeight="1" x14ac:dyDescent="0.25">
      <c r="A510" t="s">
        <v>6579</v>
      </c>
      <c r="B510">
        <v>33</v>
      </c>
    </row>
    <row r="511" spans="1:2" ht="13.5" customHeight="1" x14ac:dyDescent="0.25">
      <c r="A511" t="s">
        <v>6579</v>
      </c>
      <c r="B511">
        <v>34</v>
      </c>
    </row>
    <row r="512" spans="1:2" ht="13.5" customHeight="1" x14ac:dyDescent="0.25">
      <c r="A512" t="s">
        <v>6579</v>
      </c>
      <c r="B512">
        <v>35</v>
      </c>
    </row>
    <row r="513" spans="1:2" ht="13.5" customHeight="1" x14ac:dyDescent="0.25">
      <c r="A513" t="s">
        <v>6579</v>
      </c>
      <c r="B513">
        <v>36</v>
      </c>
    </row>
    <row r="514" spans="1:2" ht="13.5" customHeight="1" x14ac:dyDescent="0.25">
      <c r="A514" t="s">
        <v>6579</v>
      </c>
      <c r="B514">
        <v>37</v>
      </c>
    </row>
    <row r="515" spans="1:2" ht="13.5" customHeight="1" x14ac:dyDescent="0.25">
      <c r="A515" t="s">
        <v>6579</v>
      </c>
      <c r="B515">
        <v>38</v>
      </c>
    </row>
    <row r="516" spans="1:2" ht="13.5" customHeight="1" x14ac:dyDescent="0.25">
      <c r="A516" t="s">
        <v>6579</v>
      </c>
      <c r="B516">
        <v>39</v>
      </c>
    </row>
    <row r="517" spans="1:2" ht="13.5" customHeight="1" x14ac:dyDescent="0.25">
      <c r="A517" t="s">
        <v>6579</v>
      </c>
      <c r="B517">
        <v>40</v>
      </c>
    </row>
    <row r="518" spans="1:2" ht="13.5" customHeight="1" x14ac:dyDescent="0.25">
      <c r="A518" t="s">
        <v>6579</v>
      </c>
      <c r="B518">
        <v>41</v>
      </c>
    </row>
    <row r="519" spans="1:2" ht="13.5" customHeight="1" x14ac:dyDescent="0.25">
      <c r="A519" t="s">
        <v>6579</v>
      </c>
      <c r="B519">
        <v>42</v>
      </c>
    </row>
    <row r="520" spans="1:2" ht="13.5" customHeight="1" x14ac:dyDescent="0.25">
      <c r="A520" t="s">
        <v>6579</v>
      </c>
      <c r="B520">
        <v>43</v>
      </c>
    </row>
    <row r="521" spans="1:2" ht="13.5" customHeight="1" x14ac:dyDescent="0.25">
      <c r="A521" t="s">
        <v>6579</v>
      </c>
      <c r="B521">
        <v>44</v>
      </c>
    </row>
    <row r="522" spans="1:2" ht="13.5" customHeight="1" x14ac:dyDescent="0.25">
      <c r="A522" t="s">
        <v>6579</v>
      </c>
      <c r="B522">
        <v>45</v>
      </c>
    </row>
    <row r="523" spans="1:2" ht="13.5" customHeight="1" x14ac:dyDescent="0.25">
      <c r="A523" t="s">
        <v>6579</v>
      </c>
      <c r="B523">
        <v>46</v>
      </c>
    </row>
    <row r="524" spans="1:2" ht="13.5" customHeight="1" x14ac:dyDescent="0.25">
      <c r="A524" t="s">
        <v>6579</v>
      </c>
      <c r="B524">
        <v>47</v>
      </c>
    </row>
    <row r="525" spans="1:2" ht="13.5" customHeight="1" x14ac:dyDescent="0.25">
      <c r="A525" t="s">
        <v>6579</v>
      </c>
      <c r="B525">
        <v>48</v>
      </c>
    </row>
    <row r="526" spans="1:2" ht="13.5" customHeight="1" x14ac:dyDescent="0.25">
      <c r="A526" t="s">
        <v>6579</v>
      </c>
      <c r="B526">
        <v>49</v>
      </c>
    </row>
    <row r="527" spans="1:2" ht="13.5" customHeight="1" x14ac:dyDescent="0.25">
      <c r="A527" t="s">
        <v>6579</v>
      </c>
      <c r="B527">
        <v>50</v>
      </c>
    </row>
    <row r="528" spans="1:2" ht="13.5" customHeight="1" x14ac:dyDescent="0.25">
      <c r="A528" t="s">
        <v>6580</v>
      </c>
      <c r="B528">
        <v>1</v>
      </c>
    </row>
    <row r="529" spans="1:2" ht="13.5" customHeight="1" x14ac:dyDescent="0.25">
      <c r="A529" t="s">
        <v>6580</v>
      </c>
      <c r="B529">
        <v>2</v>
      </c>
    </row>
    <row r="530" spans="1:2" ht="13.5" customHeight="1" x14ac:dyDescent="0.25">
      <c r="A530" t="s">
        <v>6580</v>
      </c>
      <c r="B530">
        <v>3</v>
      </c>
    </row>
    <row r="531" spans="1:2" ht="13.5" customHeight="1" x14ac:dyDescent="0.25">
      <c r="A531" t="s">
        <v>6580</v>
      </c>
      <c r="B531">
        <v>4</v>
      </c>
    </row>
    <row r="532" spans="1:2" ht="13.5" customHeight="1" x14ac:dyDescent="0.25">
      <c r="A532" t="s">
        <v>6580</v>
      </c>
      <c r="B532">
        <v>5</v>
      </c>
    </row>
    <row r="533" spans="1:2" ht="13.5" customHeight="1" x14ac:dyDescent="0.25">
      <c r="A533" t="s">
        <v>6580</v>
      </c>
      <c r="B533">
        <v>6</v>
      </c>
    </row>
    <row r="534" spans="1:2" ht="13.5" customHeight="1" x14ac:dyDescent="0.25">
      <c r="A534" t="s">
        <v>6580</v>
      </c>
      <c r="B534">
        <v>7</v>
      </c>
    </row>
    <row r="535" spans="1:2" ht="13.5" customHeight="1" x14ac:dyDescent="0.25">
      <c r="A535" t="s">
        <v>6580</v>
      </c>
      <c r="B535">
        <v>8</v>
      </c>
    </row>
    <row r="536" spans="1:2" ht="13.5" customHeight="1" x14ac:dyDescent="0.25">
      <c r="A536" t="s">
        <v>6580</v>
      </c>
      <c r="B536">
        <v>9</v>
      </c>
    </row>
    <row r="537" spans="1:2" ht="13.5" customHeight="1" x14ac:dyDescent="0.25">
      <c r="A537" t="s">
        <v>6580</v>
      </c>
      <c r="B537">
        <v>10</v>
      </c>
    </row>
    <row r="538" spans="1:2" ht="13.5" customHeight="1" x14ac:dyDescent="0.25">
      <c r="A538" t="s">
        <v>6580</v>
      </c>
      <c r="B538">
        <v>11</v>
      </c>
    </row>
    <row r="539" spans="1:2" ht="13.5" customHeight="1" x14ac:dyDescent="0.25">
      <c r="A539" t="s">
        <v>6580</v>
      </c>
      <c r="B539">
        <v>12</v>
      </c>
    </row>
    <row r="540" spans="1:2" ht="13.5" customHeight="1" x14ac:dyDescent="0.25">
      <c r="A540" t="s">
        <v>6580</v>
      </c>
      <c r="B540">
        <v>13</v>
      </c>
    </row>
    <row r="541" spans="1:2" ht="13.5" customHeight="1" x14ac:dyDescent="0.25">
      <c r="A541" t="s">
        <v>6580</v>
      </c>
      <c r="B541">
        <v>14</v>
      </c>
    </row>
    <row r="542" spans="1:2" ht="13.5" customHeight="1" x14ac:dyDescent="0.25">
      <c r="A542" t="s">
        <v>6580</v>
      </c>
      <c r="B542">
        <v>15</v>
      </c>
    </row>
    <row r="543" spans="1:2" ht="13.5" customHeight="1" x14ac:dyDescent="0.25">
      <c r="A543" t="s">
        <v>6580</v>
      </c>
      <c r="B543">
        <v>16</v>
      </c>
    </row>
    <row r="544" spans="1:2" ht="13.5" customHeight="1" x14ac:dyDescent="0.25">
      <c r="A544" t="s">
        <v>6580</v>
      </c>
      <c r="B544">
        <v>17</v>
      </c>
    </row>
    <row r="545" spans="1:2" ht="13.5" customHeight="1" x14ac:dyDescent="0.25">
      <c r="A545" t="s">
        <v>6580</v>
      </c>
      <c r="B545">
        <v>18</v>
      </c>
    </row>
    <row r="546" spans="1:2" ht="13.5" customHeight="1" x14ac:dyDescent="0.25">
      <c r="A546" t="s">
        <v>6580</v>
      </c>
      <c r="B546">
        <v>19</v>
      </c>
    </row>
    <row r="547" spans="1:2" ht="13.5" customHeight="1" x14ac:dyDescent="0.25">
      <c r="A547" t="s">
        <v>6580</v>
      </c>
      <c r="B547">
        <v>20</v>
      </c>
    </row>
    <row r="548" spans="1:2" ht="13.5" customHeight="1" x14ac:dyDescent="0.25">
      <c r="A548" t="s">
        <v>6580</v>
      </c>
      <c r="B548">
        <v>21</v>
      </c>
    </row>
    <row r="549" spans="1:2" ht="13.5" customHeight="1" x14ac:dyDescent="0.25">
      <c r="A549" t="s">
        <v>6580</v>
      </c>
      <c r="B549">
        <v>22</v>
      </c>
    </row>
    <row r="550" spans="1:2" ht="13.5" customHeight="1" x14ac:dyDescent="0.25">
      <c r="A550" t="s">
        <v>6580</v>
      </c>
      <c r="B550">
        <v>23</v>
      </c>
    </row>
    <row r="551" spans="1:2" ht="13.5" customHeight="1" x14ac:dyDescent="0.25">
      <c r="A551" t="s">
        <v>6580</v>
      </c>
      <c r="B551">
        <v>24</v>
      </c>
    </row>
    <row r="552" spans="1:2" ht="13.5" customHeight="1" x14ac:dyDescent="0.25">
      <c r="A552" t="s">
        <v>6580</v>
      </c>
      <c r="B552">
        <v>25</v>
      </c>
    </row>
    <row r="553" spans="1:2" ht="13.5" customHeight="1" x14ac:dyDescent="0.25">
      <c r="A553" t="s">
        <v>6580</v>
      </c>
      <c r="B553">
        <v>26</v>
      </c>
    </row>
    <row r="554" spans="1:2" ht="13.5" customHeight="1" x14ac:dyDescent="0.25">
      <c r="A554" t="s">
        <v>6580</v>
      </c>
      <c r="B554">
        <v>27</v>
      </c>
    </row>
    <row r="555" spans="1:2" ht="13.5" customHeight="1" x14ac:dyDescent="0.25">
      <c r="A555" t="s">
        <v>6580</v>
      </c>
      <c r="B555">
        <v>28</v>
      </c>
    </row>
    <row r="556" spans="1:2" ht="13.5" customHeight="1" x14ac:dyDescent="0.25">
      <c r="A556" t="s">
        <v>6580</v>
      </c>
      <c r="B556">
        <v>29</v>
      </c>
    </row>
    <row r="557" spans="1:2" ht="13.5" customHeight="1" x14ac:dyDescent="0.25">
      <c r="A557" t="s">
        <v>6580</v>
      </c>
      <c r="B557">
        <v>30</v>
      </c>
    </row>
    <row r="558" spans="1:2" ht="13.5" customHeight="1" x14ac:dyDescent="0.25">
      <c r="A558" t="s">
        <v>6580</v>
      </c>
      <c r="B558">
        <v>31</v>
      </c>
    </row>
    <row r="559" spans="1:2" ht="13.5" customHeight="1" x14ac:dyDescent="0.25">
      <c r="A559" t="s">
        <v>6580</v>
      </c>
      <c r="B559">
        <v>32</v>
      </c>
    </row>
    <row r="560" spans="1:2" ht="13.5" customHeight="1" x14ac:dyDescent="0.25">
      <c r="A560" t="s">
        <v>6580</v>
      </c>
      <c r="B560">
        <v>33</v>
      </c>
    </row>
    <row r="561" spans="1:2" ht="13.5" customHeight="1" x14ac:dyDescent="0.25">
      <c r="A561" t="s">
        <v>6580</v>
      </c>
      <c r="B561">
        <v>34</v>
      </c>
    </row>
    <row r="562" spans="1:2" ht="13.5" customHeight="1" x14ac:dyDescent="0.25">
      <c r="A562" t="s">
        <v>6580</v>
      </c>
      <c r="B562">
        <v>35</v>
      </c>
    </row>
    <row r="563" spans="1:2" ht="13.5" customHeight="1" x14ac:dyDescent="0.25">
      <c r="A563" t="s">
        <v>6580</v>
      </c>
      <c r="B563">
        <v>36</v>
      </c>
    </row>
    <row r="564" spans="1:2" ht="13.5" customHeight="1" x14ac:dyDescent="0.25">
      <c r="A564" t="s">
        <v>6580</v>
      </c>
      <c r="B564">
        <v>37</v>
      </c>
    </row>
    <row r="565" spans="1:2" ht="13.5" customHeight="1" x14ac:dyDescent="0.25">
      <c r="A565" t="s">
        <v>6580</v>
      </c>
      <c r="B565">
        <v>38</v>
      </c>
    </row>
    <row r="566" spans="1:2" ht="13.5" customHeight="1" x14ac:dyDescent="0.25">
      <c r="A566" t="s">
        <v>6580</v>
      </c>
      <c r="B566">
        <v>39</v>
      </c>
    </row>
    <row r="567" spans="1:2" ht="13.5" customHeight="1" x14ac:dyDescent="0.25">
      <c r="A567" t="s">
        <v>6580</v>
      </c>
      <c r="B567">
        <v>40</v>
      </c>
    </row>
    <row r="568" spans="1:2" ht="13.5" customHeight="1" x14ac:dyDescent="0.25">
      <c r="A568" t="s">
        <v>6580</v>
      </c>
      <c r="B568">
        <v>41</v>
      </c>
    </row>
    <row r="569" spans="1:2" ht="13.5" customHeight="1" x14ac:dyDescent="0.25">
      <c r="A569" t="s">
        <v>6580</v>
      </c>
      <c r="B569">
        <v>42</v>
      </c>
    </row>
    <row r="570" spans="1:2" ht="13.5" customHeight="1" x14ac:dyDescent="0.25">
      <c r="A570" t="s">
        <v>6580</v>
      </c>
      <c r="B570">
        <v>43</v>
      </c>
    </row>
    <row r="571" spans="1:2" ht="13.5" customHeight="1" x14ac:dyDescent="0.25">
      <c r="A571" t="s">
        <v>6580</v>
      </c>
      <c r="B571">
        <v>44</v>
      </c>
    </row>
    <row r="572" spans="1:2" ht="13.5" customHeight="1" x14ac:dyDescent="0.25">
      <c r="A572" t="s">
        <v>6580</v>
      </c>
      <c r="B572">
        <v>45</v>
      </c>
    </row>
    <row r="573" spans="1:2" ht="13.5" customHeight="1" x14ac:dyDescent="0.25">
      <c r="A573" t="s">
        <v>6580</v>
      </c>
      <c r="B573">
        <v>46</v>
      </c>
    </row>
    <row r="574" spans="1:2" ht="13.5" customHeight="1" x14ac:dyDescent="0.25">
      <c r="A574" t="s">
        <v>6580</v>
      </c>
      <c r="B574">
        <v>47</v>
      </c>
    </row>
    <row r="575" spans="1:2" ht="13.5" customHeight="1" x14ac:dyDescent="0.25">
      <c r="A575" t="s">
        <v>6580</v>
      </c>
      <c r="B575">
        <v>48</v>
      </c>
    </row>
    <row r="576" spans="1:2" ht="13.5" customHeight="1" x14ac:dyDescent="0.25">
      <c r="A576" t="s">
        <v>6580</v>
      </c>
      <c r="B576">
        <v>49</v>
      </c>
    </row>
    <row r="577" spans="1:2" ht="13.5" customHeight="1" x14ac:dyDescent="0.25">
      <c r="A577" t="s">
        <v>6580</v>
      </c>
      <c r="B577">
        <v>50</v>
      </c>
    </row>
    <row r="578" spans="1:2" ht="13.5" customHeight="1" x14ac:dyDescent="0.25">
      <c r="A578" t="s">
        <v>6580</v>
      </c>
      <c r="B578">
        <v>51</v>
      </c>
    </row>
    <row r="579" spans="1:2" ht="13.5" customHeight="1" x14ac:dyDescent="0.25">
      <c r="A579" t="s">
        <v>6580</v>
      </c>
      <c r="B579">
        <v>52</v>
      </c>
    </row>
    <row r="580" spans="1:2" ht="13.5" customHeight="1" x14ac:dyDescent="0.25">
      <c r="A580" t="s">
        <v>6580</v>
      </c>
      <c r="B580">
        <v>53</v>
      </c>
    </row>
    <row r="581" spans="1:2" ht="13.5" customHeight="1" x14ac:dyDescent="0.25">
      <c r="A581" t="s">
        <v>6580</v>
      </c>
      <c r="B581">
        <v>54</v>
      </c>
    </row>
    <row r="582" spans="1:2" ht="13.5" customHeight="1" x14ac:dyDescent="0.25">
      <c r="A582" t="s">
        <v>6581</v>
      </c>
      <c r="B582">
        <v>1</v>
      </c>
    </row>
    <row r="583" spans="1:2" ht="13.5" customHeight="1" x14ac:dyDescent="0.25">
      <c r="A583" t="s">
        <v>6581</v>
      </c>
      <c r="B583">
        <v>2</v>
      </c>
    </row>
    <row r="584" spans="1:2" ht="13.5" customHeight="1" x14ac:dyDescent="0.25">
      <c r="A584" t="s">
        <v>6581</v>
      </c>
      <c r="B584">
        <v>3</v>
      </c>
    </row>
    <row r="585" spans="1:2" ht="13.5" customHeight="1" x14ac:dyDescent="0.25">
      <c r="A585" t="s">
        <v>6581</v>
      </c>
      <c r="B585">
        <v>4</v>
      </c>
    </row>
    <row r="586" spans="1:2" ht="13.5" customHeight="1" x14ac:dyDescent="0.25">
      <c r="A586" t="s">
        <v>6581</v>
      </c>
      <c r="B586">
        <v>5</v>
      </c>
    </row>
    <row r="587" spans="1:2" ht="13.5" customHeight="1" x14ac:dyDescent="0.25">
      <c r="A587" t="s">
        <v>6581</v>
      </c>
      <c r="B587">
        <v>6</v>
      </c>
    </row>
    <row r="588" spans="1:2" ht="13.5" customHeight="1" x14ac:dyDescent="0.25">
      <c r="A588" t="s">
        <v>6581</v>
      </c>
      <c r="B588">
        <v>7</v>
      </c>
    </row>
    <row r="589" spans="1:2" ht="13.5" customHeight="1" x14ac:dyDescent="0.25">
      <c r="A589" t="s">
        <v>6581</v>
      </c>
      <c r="B589">
        <v>8</v>
      </c>
    </row>
    <row r="590" spans="1:2" ht="13.5" customHeight="1" x14ac:dyDescent="0.25">
      <c r="A590" t="s">
        <v>6581</v>
      </c>
      <c r="B590">
        <v>9</v>
      </c>
    </row>
    <row r="591" spans="1:2" ht="13.5" customHeight="1" x14ac:dyDescent="0.25">
      <c r="A591" t="s">
        <v>6581</v>
      </c>
      <c r="B591">
        <v>10</v>
      </c>
    </row>
    <row r="592" spans="1:2" ht="13.5" customHeight="1" x14ac:dyDescent="0.25">
      <c r="A592" t="s">
        <v>6581</v>
      </c>
      <c r="B592">
        <v>11</v>
      </c>
    </row>
    <row r="593" spans="1:2" ht="13.5" customHeight="1" x14ac:dyDescent="0.25">
      <c r="A593" t="s">
        <v>6581</v>
      </c>
      <c r="B593">
        <v>12</v>
      </c>
    </row>
    <row r="594" spans="1:2" ht="13.5" customHeight="1" x14ac:dyDescent="0.25">
      <c r="A594" t="s">
        <v>6581</v>
      </c>
      <c r="B594">
        <v>13</v>
      </c>
    </row>
    <row r="595" spans="1:2" ht="13.5" customHeight="1" x14ac:dyDescent="0.25">
      <c r="A595" t="s">
        <v>6581</v>
      </c>
      <c r="B595">
        <v>14</v>
      </c>
    </row>
    <row r="596" spans="1:2" ht="13.5" customHeight="1" x14ac:dyDescent="0.25">
      <c r="A596" t="s">
        <v>6581</v>
      </c>
      <c r="B596">
        <v>15</v>
      </c>
    </row>
    <row r="597" spans="1:2" ht="13.5" customHeight="1" x14ac:dyDescent="0.25">
      <c r="A597" t="s">
        <v>6581</v>
      </c>
      <c r="B597">
        <v>16</v>
      </c>
    </row>
    <row r="598" spans="1:2" ht="13.5" customHeight="1" x14ac:dyDescent="0.25">
      <c r="A598" t="s">
        <v>6581</v>
      </c>
      <c r="B598">
        <v>17</v>
      </c>
    </row>
    <row r="599" spans="1:2" ht="13.5" customHeight="1" x14ac:dyDescent="0.25">
      <c r="A599" t="s">
        <v>6581</v>
      </c>
      <c r="B599">
        <v>18</v>
      </c>
    </row>
    <row r="600" spans="1:2" ht="13.5" customHeight="1" x14ac:dyDescent="0.25">
      <c r="A600" t="s">
        <v>6581</v>
      </c>
      <c r="B600">
        <v>19</v>
      </c>
    </row>
    <row r="601" spans="1:2" ht="13.5" customHeight="1" x14ac:dyDescent="0.25">
      <c r="A601" t="s">
        <v>6581</v>
      </c>
      <c r="B601">
        <v>20</v>
      </c>
    </row>
    <row r="602" spans="1:2" ht="13.5" customHeight="1" x14ac:dyDescent="0.25">
      <c r="A602" t="s">
        <v>6581</v>
      </c>
      <c r="B602">
        <v>21</v>
      </c>
    </row>
    <row r="603" spans="1:2" ht="13.5" customHeight="1" x14ac:dyDescent="0.25">
      <c r="A603" t="s">
        <v>6581</v>
      </c>
      <c r="B603">
        <v>22</v>
      </c>
    </row>
    <row r="604" spans="1:2" ht="13.5" customHeight="1" x14ac:dyDescent="0.25">
      <c r="A604" t="s">
        <v>6581</v>
      </c>
      <c r="B604">
        <v>23</v>
      </c>
    </row>
    <row r="605" spans="1:2" ht="13.5" customHeight="1" x14ac:dyDescent="0.25">
      <c r="A605" t="s">
        <v>6581</v>
      </c>
      <c r="B605">
        <v>24</v>
      </c>
    </row>
    <row r="606" spans="1:2" ht="13.5" customHeight="1" x14ac:dyDescent="0.25">
      <c r="A606" t="s">
        <v>6581</v>
      </c>
      <c r="B606">
        <v>25</v>
      </c>
    </row>
    <row r="607" spans="1:2" ht="13.5" customHeight="1" x14ac:dyDescent="0.25">
      <c r="A607" t="s">
        <v>6581</v>
      </c>
      <c r="B607">
        <v>26</v>
      </c>
    </row>
    <row r="608" spans="1:2" ht="13.5" customHeight="1" x14ac:dyDescent="0.25">
      <c r="A608" t="s">
        <v>6581</v>
      </c>
      <c r="B608">
        <v>27</v>
      </c>
    </row>
    <row r="609" spans="1:2" ht="13.5" customHeight="1" x14ac:dyDescent="0.25">
      <c r="A609" t="s">
        <v>6581</v>
      </c>
      <c r="B609">
        <v>28</v>
      </c>
    </row>
    <row r="610" spans="1:2" ht="13.5" customHeight="1" x14ac:dyDescent="0.25">
      <c r="A610" t="s">
        <v>6581</v>
      </c>
      <c r="B610">
        <v>29</v>
      </c>
    </row>
    <row r="611" spans="1:2" ht="13.5" customHeight="1" x14ac:dyDescent="0.25">
      <c r="A611" t="s">
        <v>6581</v>
      </c>
      <c r="B611">
        <v>30</v>
      </c>
    </row>
    <row r="612" spans="1:2" ht="13.5" customHeight="1" x14ac:dyDescent="0.25">
      <c r="A612" t="s">
        <v>6581</v>
      </c>
      <c r="B612">
        <v>31</v>
      </c>
    </row>
    <row r="613" spans="1:2" ht="13.5" customHeight="1" x14ac:dyDescent="0.25">
      <c r="A613" t="s">
        <v>6581</v>
      </c>
      <c r="B613">
        <v>32</v>
      </c>
    </row>
    <row r="614" spans="1:2" ht="13.5" customHeight="1" x14ac:dyDescent="0.25">
      <c r="A614" t="s">
        <v>6581</v>
      </c>
      <c r="B614">
        <v>33</v>
      </c>
    </row>
    <row r="615" spans="1:2" ht="13.5" customHeight="1" x14ac:dyDescent="0.25">
      <c r="A615" t="s">
        <v>6581</v>
      </c>
      <c r="B615">
        <v>34</v>
      </c>
    </row>
    <row r="616" spans="1:2" ht="13.5" customHeight="1" x14ac:dyDescent="0.25">
      <c r="A616" t="s">
        <v>6581</v>
      </c>
      <c r="B616">
        <v>35</v>
      </c>
    </row>
    <row r="617" spans="1:2" ht="13.5" customHeight="1" x14ac:dyDescent="0.25">
      <c r="A617" t="s">
        <v>6581</v>
      </c>
      <c r="B617">
        <v>36</v>
      </c>
    </row>
    <row r="618" spans="1:2" ht="13.5" customHeight="1" x14ac:dyDescent="0.25">
      <c r="A618" t="s">
        <v>6581</v>
      </c>
      <c r="B618">
        <v>37</v>
      </c>
    </row>
    <row r="619" spans="1:2" ht="13.5" customHeight="1" x14ac:dyDescent="0.25">
      <c r="A619" t="s">
        <v>6581</v>
      </c>
      <c r="B619">
        <v>38</v>
      </c>
    </row>
    <row r="620" spans="1:2" ht="13.5" customHeight="1" x14ac:dyDescent="0.25">
      <c r="A620" t="s">
        <v>6581</v>
      </c>
      <c r="B620">
        <v>39</v>
      </c>
    </row>
    <row r="621" spans="1:2" ht="13.5" customHeight="1" x14ac:dyDescent="0.25">
      <c r="A621" t="s">
        <v>6581</v>
      </c>
      <c r="B621">
        <v>40</v>
      </c>
    </row>
    <row r="622" spans="1:2" ht="13.5" customHeight="1" x14ac:dyDescent="0.25">
      <c r="A622" t="s">
        <v>6581</v>
      </c>
      <c r="B622">
        <v>41</v>
      </c>
    </row>
    <row r="623" spans="1:2" ht="13.5" customHeight="1" x14ac:dyDescent="0.25">
      <c r="A623" t="s">
        <v>6581</v>
      </c>
      <c r="B623">
        <v>42</v>
      </c>
    </row>
    <row r="624" spans="1:2" ht="13.5" customHeight="1" x14ac:dyDescent="0.25">
      <c r="A624" t="s">
        <v>6581</v>
      </c>
      <c r="B624">
        <v>43</v>
      </c>
    </row>
    <row r="625" spans="1:2" ht="13.5" customHeight="1" x14ac:dyDescent="0.25">
      <c r="A625" t="s">
        <v>6581</v>
      </c>
      <c r="B625">
        <v>44</v>
      </c>
    </row>
    <row r="626" spans="1:2" ht="13.5" customHeight="1" x14ac:dyDescent="0.25">
      <c r="A626" t="s">
        <v>6581</v>
      </c>
      <c r="B626">
        <v>45</v>
      </c>
    </row>
    <row r="627" spans="1:2" ht="13.5" customHeight="1" x14ac:dyDescent="0.25">
      <c r="A627" t="s">
        <v>6581</v>
      </c>
      <c r="B627">
        <v>46</v>
      </c>
    </row>
    <row r="628" spans="1:2" ht="13.5" customHeight="1" x14ac:dyDescent="0.25">
      <c r="A628" t="s">
        <v>6581</v>
      </c>
      <c r="B628">
        <v>47</v>
      </c>
    </row>
    <row r="629" spans="1:2" ht="13.5" customHeight="1" x14ac:dyDescent="0.25">
      <c r="A629" t="s">
        <v>6581</v>
      </c>
      <c r="B629">
        <v>48</v>
      </c>
    </row>
    <row r="630" spans="1:2" ht="13.5" customHeight="1" x14ac:dyDescent="0.25">
      <c r="A630" t="s">
        <v>6581</v>
      </c>
      <c r="B630">
        <v>49</v>
      </c>
    </row>
    <row r="631" spans="1:2" ht="13.5" customHeight="1" x14ac:dyDescent="0.25">
      <c r="A631" t="s">
        <v>6581</v>
      </c>
      <c r="B631">
        <v>50</v>
      </c>
    </row>
    <row r="632" spans="1:2" ht="13.5" customHeight="1" x14ac:dyDescent="0.25">
      <c r="A632" t="s">
        <v>6581</v>
      </c>
      <c r="B632">
        <v>51</v>
      </c>
    </row>
    <row r="633" spans="1:2" ht="13.5" customHeight="1" x14ac:dyDescent="0.25">
      <c r="A633" t="s">
        <v>6581</v>
      </c>
      <c r="B633">
        <v>52</v>
      </c>
    </row>
    <row r="634" spans="1:2" ht="13.5" customHeight="1" x14ac:dyDescent="0.25">
      <c r="A634" t="s">
        <v>6581</v>
      </c>
      <c r="B634">
        <v>53</v>
      </c>
    </row>
    <row r="635" spans="1:2" ht="13.5" customHeight="1" x14ac:dyDescent="0.25">
      <c r="A635" t="s">
        <v>6581</v>
      </c>
      <c r="B635">
        <v>54</v>
      </c>
    </row>
    <row r="636" spans="1:2" ht="13.5" customHeight="1" x14ac:dyDescent="0.25">
      <c r="A636" t="s">
        <v>6582</v>
      </c>
      <c r="B636">
        <v>1</v>
      </c>
    </row>
    <row r="637" spans="1:2" ht="13.5" customHeight="1" x14ac:dyDescent="0.25">
      <c r="A637" t="s">
        <v>6582</v>
      </c>
      <c r="B637">
        <v>2</v>
      </c>
    </row>
    <row r="638" spans="1:2" ht="13.5" customHeight="1" x14ac:dyDescent="0.25">
      <c r="A638" t="s">
        <v>6582</v>
      </c>
      <c r="B638">
        <v>3</v>
      </c>
    </row>
    <row r="639" spans="1:2" ht="13.5" customHeight="1" x14ac:dyDescent="0.25">
      <c r="A639" t="s">
        <v>6582</v>
      </c>
      <c r="B639">
        <v>4</v>
      </c>
    </row>
    <row r="640" spans="1:2" ht="13.5" customHeight="1" x14ac:dyDescent="0.25">
      <c r="A640" t="s">
        <v>6582</v>
      </c>
      <c r="B640">
        <v>5</v>
      </c>
    </row>
    <row r="641" spans="1:2" ht="13.5" customHeight="1" x14ac:dyDescent="0.25">
      <c r="A641" t="s">
        <v>6582</v>
      </c>
      <c r="B641">
        <v>6</v>
      </c>
    </row>
    <row r="642" spans="1:2" ht="13.5" customHeight="1" x14ac:dyDescent="0.25">
      <c r="A642" t="s">
        <v>6582</v>
      </c>
      <c r="B642">
        <v>7</v>
      </c>
    </row>
    <row r="643" spans="1:2" ht="13.5" customHeight="1" x14ac:dyDescent="0.25">
      <c r="A643" t="s">
        <v>6582</v>
      </c>
      <c r="B643">
        <v>8</v>
      </c>
    </row>
    <row r="644" spans="1:2" ht="13.5" customHeight="1" x14ac:dyDescent="0.25">
      <c r="A644" t="s">
        <v>6582</v>
      </c>
      <c r="B644">
        <v>9</v>
      </c>
    </row>
    <row r="645" spans="1:2" ht="13.5" customHeight="1" x14ac:dyDescent="0.25">
      <c r="A645" t="s">
        <v>6582</v>
      </c>
      <c r="B645">
        <v>10</v>
      </c>
    </row>
    <row r="646" spans="1:2" ht="13.5" customHeight="1" x14ac:dyDescent="0.25">
      <c r="A646" t="s">
        <v>6582</v>
      </c>
      <c r="B646">
        <v>11</v>
      </c>
    </row>
    <row r="647" spans="1:2" ht="13.5" customHeight="1" x14ac:dyDescent="0.25">
      <c r="A647" t="s">
        <v>6582</v>
      </c>
      <c r="B647">
        <v>12</v>
      </c>
    </row>
    <row r="648" spans="1:2" ht="13.5" customHeight="1" x14ac:dyDescent="0.25">
      <c r="A648" t="s">
        <v>6582</v>
      </c>
      <c r="B648">
        <v>13</v>
      </c>
    </row>
    <row r="649" spans="1:2" ht="13.5" customHeight="1" x14ac:dyDescent="0.25">
      <c r="A649" t="s">
        <v>6582</v>
      </c>
      <c r="B649">
        <v>14</v>
      </c>
    </row>
    <row r="650" spans="1:2" ht="13.5" customHeight="1" x14ac:dyDescent="0.25">
      <c r="A650" t="s">
        <v>6582</v>
      </c>
      <c r="B650">
        <v>15</v>
      </c>
    </row>
    <row r="651" spans="1:2" ht="13.5" customHeight="1" x14ac:dyDescent="0.25">
      <c r="A651" t="s">
        <v>6582</v>
      </c>
      <c r="B651">
        <v>16</v>
      </c>
    </row>
    <row r="652" spans="1:2" ht="13.5" customHeight="1" x14ac:dyDescent="0.25">
      <c r="A652" t="s">
        <v>6582</v>
      </c>
      <c r="B652">
        <v>17</v>
      </c>
    </row>
    <row r="653" spans="1:2" ht="13.5" customHeight="1" x14ac:dyDescent="0.25">
      <c r="A653" t="s">
        <v>6582</v>
      </c>
      <c r="B653">
        <v>18</v>
      </c>
    </row>
    <row r="654" spans="1:2" ht="13.5" customHeight="1" x14ac:dyDescent="0.25">
      <c r="A654" t="s">
        <v>6582</v>
      </c>
      <c r="B654">
        <v>19</v>
      </c>
    </row>
    <row r="655" spans="1:2" ht="13.5" customHeight="1" x14ac:dyDescent="0.25">
      <c r="A655" t="s">
        <v>6582</v>
      </c>
      <c r="B655">
        <v>20</v>
      </c>
    </row>
    <row r="656" spans="1:2" ht="13.5" customHeight="1" x14ac:dyDescent="0.25">
      <c r="A656" t="s">
        <v>6582</v>
      </c>
      <c r="B656">
        <v>21</v>
      </c>
    </row>
    <row r="657" spans="1:2" ht="13.5" customHeight="1" x14ac:dyDescent="0.25">
      <c r="A657" t="s">
        <v>6582</v>
      </c>
      <c r="B657">
        <v>22</v>
      </c>
    </row>
    <row r="658" spans="1:2" ht="13.5" customHeight="1" x14ac:dyDescent="0.25">
      <c r="A658" t="s">
        <v>6582</v>
      </c>
      <c r="B658">
        <v>23</v>
      </c>
    </row>
    <row r="659" spans="1:2" ht="13.5" customHeight="1" x14ac:dyDescent="0.25">
      <c r="A659" t="s">
        <v>6582</v>
      </c>
      <c r="B659">
        <v>24</v>
      </c>
    </row>
    <row r="660" spans="1:2" ht="13.5" customHeight="1" x14ac:dyDescent="0.25">
      <c r="A660" t="s">
        <v>6582</v>
      </c>
      <c r="B660">
        <v>25</v>
      </c>
    </row>
    <row r="661" spans="1:2" ht="13.5" customHeight="1" x14ac:dyDescent="0.25">
      <c r="A661" t="s">
        <v>6582</v>
      </c>
      <c r="B661">
        <v>26</v>
      </c>
    </row>
    <row r="662" spans="1:2" ht="13.5" customHeight="1" x14ac:dyDescent="0.25">
      <c r="A662" t="s">
        <v>6582</v>
      </c>
      <c r="B662">
        <v>27</v>
      </c>
    </row>
    <row r="663" spans="1:2" ht="13.5" customHeight="1" x14ac:dyDescent="0.25">
      <c r="A663" t="s">
        <v>6582</v>
      </c>
      <c r="B663">
        <v>28</v>
      </c>
    </row>
    <row r="664" spans="1:2" ht="13.5" customHeight="1" x14ac:dyDescent="0.25">
      <c r="A664" t="s">
        <v>6582</v>
      </c>
      <c r="B664">
        <v>29</v>
      </c>
    </row>
    <row r="665" spans="1:2" ht="13.5" customHeight="1" x14ac:dyDescent="0.25">
      <c r="A665" t="s">
        <v>6582</v>
      </c>
      <c r="B665">
        <v>30</v>
      </c>
    </row>
    <row r="666" spans="1:2" ht="13.5" customHeight="1" x14ac:dyDescent="0.25">
      <c r="A666" t="s">
        <v>6582</v>
      </c>
      <c r="B666">
        <v>31</v>
      </c>
    </row>
    <row r="667" spans="1:2" ht="13.5" customHeight="1" x14ac:dyDescent="0.25">
      <c r="A667" t="s">
        <v>6582</v>
      </c>
      <c r="B667">
        <v>32</v>
      </c>
    </row>
    <row r="668" spans="1:2" ht="13.5" customHeight="1" x14ac:dyDescent="0.25">
      <c r="A668" t="s">
        <v>6582</v>
      </c>
      <c r="B668">
        <v>33</v>
      </c>
    </row>
    <row r="669" spans="1:2" ht="13.5" customHeight="1" x14ac:dyDescent="0.25">
      <c r="A669" t="s">
        <v>6582</v>
      </c>
      <c r="B669">
        <v>34</v>
      </c>
    </row>
    <row r="670" spans="1:2" ht="13.5" customHeight="1" x14ac:dyDescent="0.25">
      <c r="A670" t="s">
        <v>6582</v>
      </c>
      <c r="B670">
        <v>35</v>
      </c>
    </row>
    <row r="671" spans="1:2" ht="13.5" customHeight="1" x14ac:dyDescent="0.25">
      <c r="A671" t="s">
        <v>6582</v>
      </c>
      <c r="B671">
        <v>36</v>
      </c>
    </row>
    <row r="672" spans="1:2" ht="13.5" customHeight="1" x14ac:dyDescent="0.25">
      <c r="A672" t="s">
        <v>6582</v>
      </c>
      <c r="B672">
        <v>37</v>
      </c>
    </row>
    <row r="673" spans="1:2" ht="13.5" customHeight="1" x14ac:dyDescent="0.25">
      <c r="A673" t="s">
        <v>6582</v>
      </c>
      <c r="B673">
        <v>38</v>
      </c>
    </row>
    <row r="674" spans="1:2" ht="13.5" customHeight="1" x14ac:dyDescent="0.25">
      <c r="A674" t="s">
        <v>6582</v>
      </c>
      <c r="B674">
        <v>39</v>
      </c>
    </row>
    <row r="675" spans="1:2" ht="13.5" customHeight="1" x14ac:dyDescent="0.25">
      <c r="A675" t="s">
        <v>6582</v>
      </c>
      <c r="B675">
        <v>40</v>
      </c>
    </row>
    <row r="676" spans="1:2" ht="13.5" customHeight="1" x14ac:dyDescent="0.25">
      <c r="A676" t="s">
        <v>6582</v>
      </c>
      <c r="B676">
        <v>41</v>
      </c>
    </row>
    <row r="677" spans="1:2" ht="13.5" customHeight="1" x14ac:dyDescent="0.25">
      <c r="A677" t="s">
        <v>6582</v>
      </c>
      <c r="B677">
        <v>42</v>
      </c>
    </row>
    <row r="678" spans="1:2" ht="13.5" customHeight="1" x14ac:dyDescent="0.25">
      <c r="A678" t="s">
        <v>6582</v>
      </c>
      <c r="B678">
        <v>43</v>
      </c>
    </row>
    <row r="679" spans="1:2" ht="13.5" customHeight="1" x14ac:dyDescent="0.25">
      <c r="A679" t="s">
        <v>6582</v>
      </c>
      <c r="B679">
        <v>44</v>
      </c>
    </row>
    <row r="680" spans="1:2" ht="13.5" customHeight="1" x14ac:dyDescent="0.25">
      <c r="A680" t="s">
        <v>6582</v>
      </c>
      <c r="B680">
        <v>45</v>
      </c>
    </row>
    <row r="681" spans="1:2" ht="13.5" customHeight="1" x14ac:dyDescent="0.25">
      <c r="A681" t="s">
        <v>6582</v>
      </c>
      <c r="B681">
        <v>46</v>
      </c>
    </row>
    <row r="682" spans="1:2" ht="13.5" customHeight="1" x14ac:dyDescent="0.25">
      <c r="A682" t="s">
        <v>6582</v>
      </c>
      <c r="B682">
        <v>47</v>
      </c>
    </row>
    <row r="683" spans="1:2" ht="13.5" customHeight="1" x14ac:dyDescent="0.25">
      <c r="A683" t="s">
        <v>6582</v>
      </c>
      <c r="B683">
        <v>48</v>
      </c>
    </row>
    <row r="684" spans="1:2" ht="13.5" customHeight="1" x14ac:dyDescent="0.25">
      <c r="A684" t="s">
        <v>6582</v>
      </c>
      <c r="B684">
        <v>49</v>
      </c>
    </row>
    <row r="685" spans="1:2" ht="13.5" customHeight="1" x14ac:dyDescent="0.25">
      <c r="A685" t="s">
        <v>6582</v>
      </c>
      <c r="B685">
        <v>50</v>
      </c>
    </row>
    <row r="686" spans="1:2" ht="13.5" customHeight="1" x14ac:dyDescent="0.25">
      <c r="A686" t="s">
        <v>6582</v>
      </c>
      <c r="B686">
        <v>51</v>
      </c>
    </row>
    <row r="687" spans="1:2" ht="13.5" customHeight="1" x14ac:dyDescent="0.25">
      <c r="A687" t="s">
        <v>6582</v>
      </c>
      <c r="B687">
        <v>52</v>
      </c>
    </row>
    <row r="688" spans="1:2" ht="13.5" customHeight="1" x14ac:dyDescent="0.25">
      <c r="A688" t="s">
        <v>6582</v>
      </c>
      <c r="B688">
        <v>53</v>
      </c>
    </row>
    <row r="689" spans="1:2" ht="13.5" customHeight="1" x14ac:dyDescent="0.25">
      <c r="A689" t="s">
        <v>6582</v>
      </c>
      <c r="B689">
        <v>54</v>
      </c>
    </row>
    <row r="690" spans="1:2" ht="13.5" customHeight="1" x14ac:dyDescent="0.25">
      <c r="A690" t="s">
        <v>6583</v>
      </c>
      <c r="B690">
        <v>1</v>
      </c>
    </row>
    <row r="691" spans="1:2" ht="13.5" customHeight="1" x14ac:dyDescent="0.25">
      <c r="A691" t="s">
        <v>6583</v>
      </c>
      <c r="B691">
        <v>2</v>
      </c>
    </row>
    <row r="692" spans="1:2" ht="13.5" customHeight="1" x14ac:dyDescent="0.25">
      <c r="A692" t="s">
        <v>6583</v>
      </c>
      <c r="B692">
        <v>3</v>
      </c>
    </row>
    <row r="693" spans="1:2" ht="13.5" customHeight="1" x14ac:dyDescent="0.25">
      <c r="A693" t="s">
        <v>6583</v>
      </c>
      <c r="B693">
        <v>4</v>
      </c>
    </row>
    <row r="694" spans="1:2" ht="13.5" customHeight="1" x14ac:dyDescent="0.25">
      <c r="A694" t="s">
        <v>6583</v>
      </c>
      <c r="B694">
        <v>5</v>
      </c>
    </row>
    <row r="695" spans="1:2" ht="13.5" customHeight="1" x14ac:dyDescent="0.25">
      <c r="A695" t="s">
        <v>6583</v>
      </c>
      <c r="B695">
        <v>6</v>
      </c>
    </row>
    <row r="696" spans="1:2" ht="13.5" customHeight="1" x14ac:dyDescent="0.25">
      <c r="A696" t="s">
        <v>6583</v>
      </c>
      <c r="B696">
        <v>7</v>
      </c>
    </row>
    <row r="697" spans="1:2" ht="13.5" customHeight="1" x14ac:dyDescent="0.25">
      <c r="A697" t="s">
        <v>6583</v>
      </c>
      <c r="B697">
        <v>8</v>
      </c>
    </row>
    <row r="698" spans="1:2" ht="13.5" customHeight="1" x14ac:dyDescent="0.25">
      <c r="A698" t="s">
        <v>6583</v>
      </c>
      <c r="B698">
        <v>9</v>
      </c>
    </row>
    <row r="699" spans="1:2" ht="13.5" customHeight="1" x14ac:dyDescent="0.25">
      <c r="A699" t="s">
        <v>6583</v>
      </c>
      <c r="B699">
        <v>10</v>
      </c>
    </row>
    <row r="700" spans="1:2" ht="13.5" customHeight="1" x14ac:dyDescent="0.25">
      <c r="A700" t="s">
        <v>6583</v>
      </c>
      <c r="B700">
        <v>11</v>
      </c>
    </row>
    <row r="701" spans="1:2" ht="13.5" customHeight="1" x14ac:dyDescent="0.25">
      <c r="A701" t="s">
        <v>6583</v>
      </c>
      <c r="B701">
        <v>12</v>
      </c>
    </row>
    <row r="702" spans="1:2" ht="13.5" customHeight="1" x14ac:dyDescent="0.25">
      <c r="A702" t="s">
        <v>6583</v>
      </c>
      <c r="B702">
        <v>13</v>
      </c>
    </row>
    <row r="703" spans="1:2" ht="13.5" customHeight="1" x14ac:dyDescent="0.25">
      <c r="A703" t="s">
        <v>6583</v>
      </c>
      <c r="B703">
        <v>14</v>
      </c>
    </row>
    <row r="704" spans="1:2" ht="13.5" customHeight="1" x14ac:dyDescent="0.25">
      <c r="A704" t="s">
        <v>6583</v>
      </c>
      <c r="B704">
        <v>15</v>
      </c>
    </row>
    <row r="705" spans="1:2" ht="13.5" customHeight="1" x14ac:dyDescent="0.25">
      <c r="A705" t="s">
        <v>6583</v>
      </c>
      <c r="B705">
        <v>16</v>
      </c>
    </row>
    <row r="706" spans="1:2" ht="13.5" customHeight="1" x14ac:dyDescent="0.25">
      <c r="A706" t="s">
        <v>6583</v>
      </c>
      <c r="B706">
        <v>17</v>
      </c>
    </row>
    <row r="707" spans="1:2" ht="13.5" customHeight="1" x14ac:dyDescent="0.25">
      <c r="A707" t="s">
        <v>6583</v>
      </c>
      <c r="B707">
        <v>18</v>
      </c>
    </row>
    <row r="708" spans="1:2" ht="13.5" customHeight="1" x14ac:dyDescent="0.25">
      <c r="A708" t="s">
        <v>6583</v>
      </c>
      <c r="B708">
        <v>19</v>
      </c>
    </row>
    <row r="709" spans="1:2" ht="13.5" customHeight="1" x14ac:dyDescent="0.25">
      <c r="A709" t="s">
        <v>6583</v>
      </c>
      <c r="B709">
        <v>20</v>
      </c>
    </row>
    <row r="710" spans="1:2" ht="13.5" customHeight="1" x14ac:dyDescent="0.25">
      <c r="A710" t="s">
        <v>6583</v>
      </c>
      <c r="B710">
        <v>21</v>
      </c>
    </row>
    <row r="711" spans="1:2" ht="13.5" customHeight="1" x14ac:dyDescent="0.25">
      <c r="A711" t="s">
        <v>6583</v>
      </c>
      <c r="B711">
        <v>22</v>
      </c>
    </row>
    <row r="712" spans="1:2" ht="13.5" customHeight="1" x14ac:dyDescent="0.25">
      <c r="A712" t="s">
        <v>6583</v>
      </c>
      <c r="B712">
        <v>23</v>
      </c>
    </row>
    <row r="713" spans="1:2" ht="13.5" customHeight="1" x14ac:dyDescent="0.25">
      <c r="A713" t="s">
        <v>6583</v>
      </c>
      <c r="B713">
        <v>24</v>
      </c>
    </row>
    <row r="714" spans="1:2" ht="13.5" customHeight="1" x14ac:dyDescent="0.25">
      <c r="A714" t="s">
        <v>6583</v>
      </c>
      <c r="B714">
        <v>25</v>
      </c>
    </row>
    <row r="715" spans="1:2" ht="13.5" customHeight="1" x14ac:dyDescent="0.25">
      <c r="A715" t="s">
        <v>6583</v>
      </c>
      <c r="B715">
        <v>26</v>
      </c>
    </row>
    <row r="716" spans="1:2" ht="13.5" customHeight="1" x14ac:dyDescent="0.25">
      <c r="A716" t="s">
        <v>6583</v>
      </c>
      <c r="B716">
        <v>27</v>
      </c>
    </row>
    <row r="717" spans="1:2" ht="13.5" customHeight="1" x14ac:dyDescent="0.25">
      <c r="A717" t="s">
        <v>6583</v>
      </c>
      <c r="B717">
        <v>28</v>
      </c>
    </row>
    <row r="718" spans="1:2" ht="13.5" customHeight="1" x14ac:dyDescent="0.25">
      <c r="A718" t="s">
        <v>6583</v>
      </c>
      <c r="B718">
        <v>29</v>
      </c>
    </row>
    <row r="719" spans="1:2" ht="13.5" customHeight="1" x14ac:dyDescent="0.25">
      <c r="A719" t="s">
        <v>6583</v>
      </c>
      <c r="B719">
        <v>30</v>
      </c>
    </row>
    <row r="720" spans="1:2" ht="13.5" customHeight="1" x14ac:dyDescent="0.25">
      <c r="A720" t="s">
        <v>6583</v>
      </c>
      <c r="B720">
        <v>31</v>
      </c>
    </row>
    <row r="721" spans="1:2" ht="13.5" customHeight="1" x14ac:dyDescent="0.25">
      <c r="A721" t="s">
        <v>6583</v>
      </c>
      <c r="B721">
        <v>32</v>
      </c>
    </row>
    <row r="722" spans="1:2" ht="13.5" customHeight="1" x14ac:dyDescent="0.25">
      <c r="A722" t="s">
        <v>6583</v>
      </c>
      <c r="B722">
        <v>33</v>
      </c>
    </row>
    <row r="723" spans="1:2" ht="13.5" customHeight="1" x14ac:dyDescent="0.25">
      <c r="A723" t="s">
        <v>6583</v>
      </c>
      <c r="B723">
        <v>34</v>
      </c>
    </row>
    <row r="724" spans="1:2" ht="13.5" customHeight="1" x14ac:dyDescent="0.25">
      <c r="A724" t="s">
        <v>6583</v>
      </c>
      <c r="B724">
        <v>35</v>
      </c>
    </row>
    <row r="725" spans="1:2" ht="13.5" customHeight="1" x14ac:dyDescent="0.25">
      <c r="A725" t="s">
        <v>6583</v>
      </c>
      <c r="B725">
        <v>36</v>
      </c>
    </row>
    <row r="726" spans="1:2" ht="13.5" customHeight="1" x14ac:dyDescent="0.25">
      <c r="A726" t="s">
        <v>6583</v>
      </c>
      <c r="B726">
        <v>37</v>
      </c>
    </row>
    <row r="727" spans="1:2" ht="13.5" customHeight="1" x14ac:dyDescent="0.25">
      <c r="A727" t="s">
        <v>6583</v>
      </c>
      <c r="B727">
        <v>38</v>
      </c>
    </row>
    <row r="728" spans="1:2" ht="13.5" customHeight="1" x14ac:dyDescent="0.25">
      <c r="A728" t="s">
        <v>6583</v>
      </c>
      <c r="B728">
        <v>39</v>
      </c>
    </row>
    <row r="729" spans="1:2" ht="13.5" customHeight="1" x14ac:dyDescent="0.25">
      <c r="A729" t="s">
        <v>6583</v>
      </c>
      <c r="B729">
        <v>40</v>
      </c>
    </row>
    <row r="730" spans="1:2" ht="13.5" customHeight="1" x14ac:dyDescent="0.25">
      <c r="A730" t="s">
        <v>6583</v>
      </c>
      <c r="B730">
        <v>41</v>
      </c>
    </row>
    <row r="731" spans="1:2" ht="13.5" customHeight="1" x14ac:dyDescent="0.25">
      <c r="A731" t="s">
        <v>6583</v>
      </c>
      <c r="B731">
        <v>42</v>
      </c>
    </row>
    <row r="732" spans="1:2" ht="13.5" customHeight="1" x14ac:dyDescent="0.25">
      <c r="A732" t="s">
        <v>6583</v>
      </c>
      <c r="B732">
        <v>43</v>
      </c>
    </row>
    <row r="733" spans="1:2" ht="13.5" customHeight="1" x14ac:dyDescent="0.25">
      <c r="A733" t="s">
        <v>6583</v>
      </c>
      <c r="B733">
        <v>44</v>
      </c>
    </row>
    <row r="734" spans="1:2" ht="13.5" customHeight="1" x14ac:dyDescent="0.25">
      <c r="A734" t="s">
        <v>6583</v>
      </c>
      <c r="B734">
        <v>45</v>
      </c>
    </row>
    <row r="735" spans="1:2" ht="13.5" customHeight="1" x14ac:dyDescent="0.25">
      <c r="A735" t="s">
        <v>6583</v>
      </c>
      <c r="B735">
        <v>46</v>
      </c>
    </row>
    <row r="736" spans="1:2" ht="13.5" customHeight="1" x14ac:dyDescent="0.25">
      <c r="A736" t="s">
        <v>6583</v>
      </c>
      <c r="B736">
        <v>47</v>
      </c>
    </row>
    <row r="737" spans="1:2" ht="13.5" customHeight="1" x14ac:dyDescent="0.25">
      <c r="A737" t="s">
        <v>6583</v>
      </c>
      <c r="B737">
        <v>48</v>
      </c>
    </row>
    <row r="738" spans="1:2" ht="13.5" customHeight="1" x14ac:dyDescent="0.25">
      <c r="A738" t="s">
        <v>6583</v>
      </c>
      <c r="B738">
        <v>49</v>
      </c>
    </row>
    <row r="739" spans="1:2" ht="13.5" customHeight="1" x14ac:dyDescent="0.25">
      <c r="A739" t="s">
        <v>6583</v>
      </c>
      <c r="B739">
        <v>50</v>
      </c>
    </row>
    <row r="740" spans="1:2" ht="13.5" customHeight="1" x14ac:dyDescent="0.25">
      <c r="A740" t="s">
        <v>6583</v>
      </c>
      <c r="B740">
        <v>51</v>
      </c>
    </row>
    <row r="741" spans="1:2" ht="13.5" customHeight="1" x14ac:dyDescent="0.25">
      <c r="A741" t="s">
        <v>6583</v>
      </c>
      <c r="B741">
        <v>52</v>
      </c>
    </row>
    <row r="742" spans="1:2" ht="13.5" customHeight="1" x14ac:dyDescent="0.25">
      <c r="A742" t="s">
        <v>6583</v>
      </c>
      <c r="B742">
        <v>53</v>
      </c>
    </row>
    <row r="743" spans="1:2" ht="13.5" customHeight="1" x14ac:dyDescent="0.25">
      <c r="A743" t="s">
        <v>6583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82" t="s">
        <v>8717</v>
      </c>
      <c r="B1" s="3982" t="s">
        <v>8718</v>
      </c>
      <c r="C1" s="3982" t="s">
        <v>8719</v>
      </c>
      <c r="D1" s="3982"/>
      <c r="E1" s="3982"/>
      <c r="F1" s="3982" t="s">
        <v>8720</v>
      </c>
      <c r="G1" s="3982"/>
      <c r="H1" s="3982"/>
      <c r="I1" s="3982" t="s">
        <v>8721</v>
      </c>
      <c r="J1" s="3982"/>
      <c r="K1" s="3982"/>
    </row>
    <row r="2" spans="1:11" ht="17.399999999999999" x14ac:dyDescent="0.25">
      <c r="A2" s="3982"/>
      <c r="B2" s="3982"/>
      <c r="C2" s="2557" t="s">
        <v>4141</v>
      </c>
      <c r="D2" s="2557" t="s">
        <v>4142</v>
      </c>
      <c r="E2" s="2557" t="s">
        <v>4143</v>
      </c>
      <c r="F2" s="2557" t="s">
        <v>4141</v>
      </c>
      <c r="G2" s="2557" t="s">
        <v>4142</v>
      </c>
      <c r="H2" s="2557" t="s">
        <v>4143</v>
      </c>
      <c r="I2" s="2557" t="s">
        <v>4141</v>
      </c>
      <c r="J2" s="2557" t="s">
        <v>4142</v>
      </c>
      <c r="K2" s="2557" t="s">
        <v>4143</v>
      </c>
    </row>
    <row r="3" spans="1:11" x14ac:dyDescent="0.25">
      <c r="A3" t="s">
        <v>6516</v>
      </c>
      <c r="B3">
        <v>1</v>
      </c>
    </row>
    <row r="4" spans="1:11" ht="13.5" customHeight="1" x14ac:dyDescent="0.25">
      <c r="A4" t="s">
        <v>6516</v>
      </c>
      <c r="B4">
        <v>2</v>
      </c>
    </row>
    <row r="5" spans="1:11" ht="13.5" customHeight="1" x14ac:dyDescent="0.25">
      <c r="A5" t="s">
        <v>6516</v>
      </c>
      <c r="B5">
        <v>3</v>
      </c>
    </row>
    <row r="6" spans="1:11" ht="13.5" customHeight="1" x14ac:dyDescent="0.25">
      <c r="A6" t="s">
        <v>6516</v>
      </c>
      <c r="B6">
        <v>4</v>
      </c>
    </row>
    <row r="7" spans="1:11" ht="13.5" customHeight="1" x14ac:dyDescent="0.25">
      <c r="A7" t="s">
        <v>6516</v>
      </c>
      <c r="B7">
        <v>5</v>
      </c>
    </row>
    <row r="8" spans="1:11" ht="13.5" customHeight="1" x14ac:dyDescent="0.25">
      <c r="A8" t="s">
        <v>6516</v>
      </c>
      <c r="B8">
        <v>6</v>
      </c>
    </row>
    <row r="9" spans="1:11" ht="13.5" customHeight="1" x14ac:dyDescent="0.25">
      <c r="A9" t="s">
        <v>6516</v>
      </c>
      <c r="B9">
        <v>7</v>
      </c>
    </row>
    <row r="10" spans="1:11" ht="13.5" customHeight="1" x14ac:dyDescent="0.25">
      <c r="A10" t="s">
        <v>6516</v>
      </c>
      <c r="B10">
        <v>8</v>
      </c>
    </row>
    <row r="11" spans="1:11" ht="13.5" customHeight="1" x14ac:dyDescent="0.25">
      <c r="A11" t="s">
        <v>6516</v>
      </c>
      <c r="B11">
        <v>9</v>
      </c>
    </row>
    <row r="12" spans="1:11" ht="13.5" customHeight="1" x14ac:dyDescent="0.25">
      <c r="A12" t="s">
        <v>6516</v>
      </c>
      <c r="B12">
        <v>10</v>
      </c>
    </row>
    <row r="13" spans="1:11" ht="13.5" customHeight="1" x14ac:dyDescent="0.25">
      <c r="A13" t="s">
        <v>6516</v>
      </c>
      <c r="B13">
        <v>11</v>
      </c>
    </row>
    <row r="14" spans="1:11" ht="13.5" customHeight="1" x14ac:dyDescent="0.25">
      <c r="A14" t="s">
        <v>6516</v>
      </c>
      <c r="B14">
        <v>12</v>
      </c>
    </row>
    <row r="15" spans="1:11" ht="13.5" customHeight="1" x14ac:dyDescent="0.25">
      <c r="A15" t="s">
        <v>6516</v>
      </c>
      <c r="B15">
        <v>13</v>
      </c>
    </row>
    <row r="16" spans="1:11" ht="13.5" customHeight="1" x14ac:dyDescent="0.25">
      <c r="A16" t="s">
        <v>6516</v>
      </c>
      <c r="B16">
        <v>14</v>
      </c>
    </row>
    <row r="17" spans="1:2" ht="13.5" customHeight="1" x14ac:dyDescent="0.25">
      <c r="A17" t="s">
        <v>6516</v>
      </c>
      <c r="B17">
        <v>15</v>
      </c>
    </row>
    <row r="18" spans="1:2" ht="13.5" customHeight="1" x14ac:dyDescent="0.25">
      <c r="A18" t="s">
        <v>6516</v>
      </c>
      <c r="B18">
        <v>16</v>
      </c>
    </row>
    <row r="19" spans="1:2" ht="13.5" customHeight="1" x14ac:dyDescent="0.25">
      <c r="A19" t="s">
        <v>6516</v>
      </c>
      <c r="B19">
        <v>17</v>
      </c>
    </row>
    <row r="20" spans="1:2" ht="13.5" customHeight="1" x14ac:dyDescent="0.25">
      <c r="A20" t="s">
        <v>6516</v>
      </c>
      <c r="B20">
        <v>18</v>
      </c>
    </row>
    <row r="21" spans="1:2" ht="13.5" customHeight="1" x14ac:dyDescent="0.25">
      <c r="A21" t="s">
        <v>6517</v>
      </c>
      <c r="B21">
        <v>1</v>
      </c>
    </row>
    <row r="22" spans="1:2" ht="13.5" customHeight="1" x14ac:dyDescent="0.25">
      <c r="A22" t="s">
        <v>6517</v>
      </c>
      <c r="B22">
        <v>2</v>
      </c>
    </row>
    <row r="23" spans="1:2" ht="13.5" customHeight="1" x14ac:dyDescent="0.25">
      <c r="A23" t="s">
        <v>6517</v>
      </c>
      <c r="B23">
        <v>3</v>
      </c>
    </row>
    <row r="24" spans="1:2" ht="13.5" customHeight="1" x14ac:dyDescent="0.25">
      <c r="A24" t="s">
        <v>6517</v>
      </c>
      <c r="B24">
        <v>4</v>
      </c>
    </row>
    <row r="25" spans="1:2" ht="13.5" customHeight="1" x14ac:dyDescent="0.25">
      <c r="A25" t="s">
        <v>6518</v>
      </c>
      <c r="B25">
        <v>1</v>
      </c>
    </row>
    <row r="26" spans="1:2" ht="13.5" customHeight="1" x14ac:dyDescent="0.25">
      <c r="A26" t="s">
        <v>6518</v>
      </c>
      <c r="B26">
        <v>2</v>
      </c>
    </row>
    <row r="27" spans="1:2" ht="13.5" customHeight="1" x14ac:dyDescent="0.25">
      <c r="A27" t="s">
        <v>6518</v>
      </c>
      <c r="B27">
        <v>3</v>
      </c>
    </row>
    <row r="28" spans="1:2" ht="13.5" customHeight="1" x14ac:dyDescent="0.25">
      <c r="A28" t="s">
        <v>6518</v>
      </c>
      <c r="B28">
        <v>4</v>
      </c>
    </row>
    <row r="29" spans="1:2" ht="13.5" customHeight="1" x14ac:dyDescent="0.25">
      <c r="A29" t="s">
        <v>6518</v>
      </c>
      <c r="B29">
        <v>5</v>
      </c>
    </row>
    <row r="30" spans="1:2" ht="13.5" customHeight="1" x14ac:dyDescent="0.25">
      <c r="A30" t="s">
        <v>6518</v>
      </c>
      <c r="B30">
        <v>6</v>
      </c>
    </row>
    <row r="31" spans="1:2" ht="13.5" customHeight="1" x14ac:dyDescent="0.25">
      <c r="A31" t="s">
        <v>6518</v>
      </c>
      <c r="B31">
        <v>7</v>
      </c>
    </row>
    <row r="32" spans="1:2" ht="13.5" customHeight="1" x14ac:dyDescent="0.25">
      <c r="A32" t="s">
        <v>6518</v>
      </c>
      <c r="B32">
        <v>8</v>
      </c>
    </row>
    <row r="33" spans="1:2" ht="13.5" customHeight="1" x14ac:dyDescent="0.25">
      <c r="A33" t="s">
        <v>6518</v>
      </c>
      <c r="B33">
        <v>9</v>
      </c>
    </row>
    <row r="34" spans="1:2" ht="13.5" customHeight="1" x14ac:dyDescent="0.25">
      <c r="A34" t="s">
        <v>6518</v>
      </c>
      <c r="B34">
        <v>10</v>
      </c>
    </row>
    <row r="35" spans="1:2" ht="13.5" customHeight="1" x14ac:dyDescent="0.25">
      <c r="A35" t="s">
        <v>6518</v>
      </c>
      <c r="B35">
        <v>11</v>
      </c>
    </row>
    <row r="36" spans="1:2" ht="13.5" customHeight="1" x14ac:dyDescent="0.25">
      <c r="A36" t="s">
        <v>6518</v>
      </c>
      <c r="B36">
        <v>12</v>
      </c>
    </row>
    <row r="37" spans="1:2" ht="13.5" customHeight="1" x14ac:dyDescent="0.25">
      <c r="A37" t="s">
        <v>6518</v>
      </c>
      <c r="B37">
        <v>13</v>
      </c>
    </row>
    <row r="38" spans="1:2" ht="13.5" customHeight="1" x14ac:dyDescent="0.25">
      <c r="A38" t="s">
        <v>6518</v>
      </c>
      <c r="B38">
        <v>14</v>
      </c>
    </row>
    <row r="39" spans="1:2" ht="13.5" customHeight="1" x14ac:dyDescent="0.25">
      <c r="A39" t="s">
        <v>6518</v>
      </c>
      <c r="B39">
        <v>15</v>
      </c>
    </row>
    <row r="40" spans="1:2" ht="13.5" customHeight="1" x14ac:dyDescent="0.25">
      <c r="A40" t="s">
        <v>6518</v>
      </c>
      <c r="B40">
        <v>16</v>
      </c>
    </row>
    <row r="41" spans="1:2" ht="13.5" customHeight="1" x14ac:dyDescent="0.25">
      <c r="A41" t="s">
        <v>6518</v>
      </c>
      <c r="B41">
        <v>17</v>
      </c>
    </row>
    <row r="42" spans="1:2" ht="13.5" customHeight="1" x14ac:dyDescent="0.25">
      <c r="A42" t="s">
        <v>6518</v>
      </c>
      <c r="B42">
        <v>18</v>
      </c>
    </row>
    <row r="43" spans="1:2" ht="13.5" customHeight="1" x14ac:dyDescent="0.25">
      <c r="A43" t="s">
        <v>6518</v>
      </c>
      <c r="B43">
        <v>19</v>
      </c>
    </row>
    <row r="44" spans="1:2" ht="13.5" customHeight="1" x14ac:dyDescent="0.25">
      <c r="A44" t="s">
        <v>6518</v>
      </c>
      <c r="B44">
        <v>20</v>
      </c>
    </row>
    <row r="45" spans="1:2" ht="13.5" customHeight="1" x14ac:dyDescent="0.25">
      <c r="A45" t="s">
        <v>6518</v>
      </c>
      <c r="B45">
        <v>21</v>
      </c>
    </row>
    <row r="46" spans="1:2" ht="13.5" customHeight="1" x14ac:dyDescent="0.25">
      <c r="A46" t="s">
        <v>6518</v>
      </c>
      <c r="B46">
        <v>22</v>
      </c>
    </row>
    <row r="47" spans="1:2" ht="13.5" customHeight="1" x14ac:dyDescent="0.25">
      <c r="A47" t="s">
        <v>6518</v>
      </c>
      <c r="B47">
        <v>23</v>
      </c>
    </row>
    <row r="48" spans="1:2" ht="13.5" customHeight="1" x14ac:dyDescent="0.25">
      <c r="A48" t="s">
        <v>6518</v>
      </c>
      <c r="B48">
        <v>24</v>
      </c>
    </row>
    <row r="49" spans="1:2" ht="13.5" customHeight="1" x14ac:dyDescent="0.25">
      <c r="A49" t="s">
        <v>6518</v>
      </c>
      <c r="B49">
        <v>25</v>
      </c>
    </row>
    <row r="50" spans="1:2" ht="13.5" customHeight="1" x14ac:dyDescent="0.25">
      <c r="A50" t="s">
        <v>6518</v>
      </c>
      <c r="B50">
        <v>26</v>
      </c>
    </row>
    <row r="51" spans="1:2" ht="13.5" customHeight="1" x14ac:dyDescent="0.25">
      <c r="A51" t="s">
        <v>6518</v>
      </c>
      <c r="B51">
        <v>55</v>
      </c>
    </row>
    <row r="52" spans="1:2" ht="13.5" customHeight="1" x14ac:dyDescent="0.25">
      <c r="A52" t="s">
        <v>6518</v>
      </c>
      <c r="B52">
        <v>56</v>
      </c>
    </row>
    <row r="53" spans="1:2" ht="13.5" customHeight="1" x14ac:dyDescent="0.25">
      <c r="A53" t="s">
        <v>6518</v>
      </c>
      <c r="B53">
        <v>57</v>
      </c>
    </row>
    <row r="54" spans="1:2" ht="13.5" customHeight="1" x14ac:dyDescent="0.25">
      <c r="A54" t="s">
        <v>6518</v>
      </c>
      <c r="B54">
        <v>58</v>
      </c>
    </row>
    <row r="55" spans="1:2" ht="13.5" customHeight="1" x14ac:dyDescent="0.25">
      <c r="A55" t="s">
        <v>6518</v>
      </c>
      <c r="B55">
        <v>59</v>
      </c>
    </row>
    <row r="56" spans="1:2" ht="13.5" customHeight="1" x14ac:dyDescent="0.25">
      <c r="A56" t="s">
        <v>6518</v>
      </c>
      <c r="B56">
        <v>60</v>
      </c>
    </row>
    <row r="57" spans="1:2" ht="13.5" customHeight="1" x14ac:dyDescent="0.25">
      <c r="A57" t="s">
        <v>6518</v>
      </c>
      <c r="B57">
        <v>61</v>
      </c>
    </row>
    <row r="58" spans="1:2" ht="13.5" customHeight="1" x14ac:dyDescent="0.25">
      <c r="A58" t="s">
        <v>6518</v>
      </c>
      <c r="B58">
        <v>62</v>
      </c>
    </row>
    <row r="59" spans="1:2" ht="13.5" customHeight="1" x14ac:dyDescent="0.25">
      <c r="A59" t="s">
        <v>6518</v>
      </c>
      <c r="B59">
        <v>63</v>
      </c>
    </row>
    <row r="60" spans="1:2" ht="13.5" customHeight="1" x14ac:dyDescent="0.25">
      <c r="A60" t="s">
        <v>6518</v>
      </c>
      <c r="B60">
        <v>64</v>
      </c>
    </row>
    <row r="61" spans="1:2" ht="13.5" customHeight="1" x14ac:dyDescent="0.25">
      <c r="A61" t="s">
        <v>6518</v>
      </c>
      <c r="B61">
        <v>65</v>
      </c>
    </row>
    <row r="62" spans="1:2" ht="13.5" customHeight="1" x14ac:dyDescent="0.25">
      <c r="A62" t="s">
        <v>6518</v>
      </c>
      <c r="B62">
        <v>66</v>
      </c>
    </row>
    <row r="63" spans="1:2" ht="13.5" customHeight="1" x14ac:dyDescent="0.25">
      <c r="A63" t="s">
        <v>6518</v>
      </c>
      <c r="B63">
        <v>67</v>
      </c>
    </row>
    <row r="64" spans="1:2" ht="13.5" customHeight="1" x14ac:dyDescent="0.25">
      <c r="A64" t="s">
        <v>6518</v>
      </c>
      <c r="B64">
        <v>68</v>
      </c>
    </row>
    <row r="65" spans="1:2" ht="13.5" customHeight="1" x14ac:dyDescent="0.25">
      <c r="A65" t="s">
        <v>6518</v>
      </c>
      <c r="B65">
        <v>69</v>
      </c>
    </row>
    <row r="66" spans="1:2" ht="13.5" customHeight="1" x14ac:dyDescent="0.25">
      <c r="A66" t="s">
        <v>6518</v>
      </c>
      <c r="B66">
        <v>70</v>
      </c>
    </row>
    <row r="67" spans="1:2" ht="13.5" customHeight="1" x14ac:dyDescent="0.25">
      <c r="A67" t="s">
        <v>6518</v>
      </c>
      <c r="B67">
        <v>71</v>
      </c>
    </row>
    <row r="68" spans="1:2" ht="13.5" customHeight="1" x14ac:dyDescent="0.25">
      <c r="A68" t="s">
        <v>6518</v>
      </c>
      <c r="B68">
        <v>72</v>
      </c>
    </row>
    <row r="69" spans="1:2" ht="13.5" customHeight="1" x14ac:dyDescent="0.25">
      <c r="A69" t="s">
        <v>6518</v>
      </c>
      <c r="B69">
        <v>73</v>
      </c>
    </row>
    <row r="70" spans="1:2" ht="13.5" customHeight="1" x14ac:dyDescent="0.25">
      <c r="A70" t="s">
        <v>6518</v>
      </c>
      <c r="B70">
        <v>74</v>
      </c>
    </row>
    <row r="71" spans="1:2" ht="13.5" customHeight="1" x14ac:dyDescent="0.25">
      <c r="A71" t="s">
        <v>6518</v>
      </c>
      <c r="B71">
        <v>75</v>
      </c>
    </row>
    <row r="72" spans="1:2" ht="13.5" customHeight="1" x14ac:dyDescent="0.25">
      <c r="A72" t="s">
        <v>6518</v>
      </c>
      <c r="B72">
        <v>76</v>
      </c>
    </row>
    <row r="73" spans="1:2" ht="13.5" customHeight="1" x14ac:dyDescent="0.25">
      <c r="A73" t="s">
        <v>6518</v>
      </c>
      <c r="B73">
        <v>77</v>
      </c>
    </row>
    <row r="74" spans="1:2" ht="13.5" customHeight="1" x14ac:dyDescent="0.25">
      <c r="A74" t="s">
        <v>6518</v>
      </c>
      <c r="B74">
        <v>78</v>
      </c>
    </row>
    <row r="75" spans="1:2" ht="13.5" customHeight="1" x14ac:dyDescent="0.25">
      <c r="A75" t="s">
        <v>6518</v>
      </c>
      <c r="B75">
        <v>79</v>
      </c>
    </row>
    <row r="76" spans="1:2" ht="13.5" customHeight="1" x14ac:dyDescent="0.25">
      <c r="A76" t="s">
        <v>6518</v>
      </c>
      <c r="B76">
        <v>80</v>
      </c>
    </row>
    <row r="77" spans="1:2" ht="13.5" customHeight="1" x14ac:dyDescent="0.25">
      <c r="A77" t="s">
        <v>6519</v>
      </c>
      <c r="B77">
        <v>1</v>
      </c>
    </row>
    <row r="78" spans="1:2" ht="13.5" customHeight="1" x14ac:dyDescent="0.25">
      <c r="A78" t="s">
        <v>6519</v>
      </c>
      <c r="B78">
        <v>2</v>
      </c>
    </row>
    <row r="79" spans="1:2" ht="13.5" customHeight="1" x14ac:dyDescent="0.25">
      <c r="A79" t="s">
        <v>6519</v>
      </c>
      <c r="B79">
        <v>3</v>
      </c>
    </row>
    <row r="80" spans="1:2" ht="13.5" customHeight="1" x14ac:dyDescent="0.25">
      <c r="A80" t="s">
        <v>6519</v>
      </c>
      <c r="B80">
        <v>4</v>
      </c>
    </row>
    <row r="81" spans="1:2" ht="13.5" customHeight="1" x14ac:dyDescent="0.25">
      <c r="A81" t="s">
        <v>6519</v>
      </c>
      <c r="B81">
        <v>5</v>
      </c>
    </row>
    <row r="82" spans="1:2" ht="13.5" customHeight="1" x14ac:dyDescent="0.25">
      <c r="A82" t="s">
        <v>6519</v>
      </c>
      <c r="B82">
        <v>6</v>
      </c>
    </row>
    <row r="83" spans="1:2" ht="13.5" customHeight="1" x14ac:dyDescent="0.25">
      <c r="A83" t="s">
        <v>6519</v>
      </c>
      <c r="B83">
        <v>7</v>
      </c>
    </row>
    <row r="84" spans="1:2" ht="13.5" customHeight="1" x14ac:dyDescent="0.25">
      <c r="A84" t="s">
        <v>6519</v>
      </c>
      <c r="B84">
        <v>8</v>
      </c>
    </row>
    <row r="85" spans="1:2" ht="13.5" customHeight="1" x14ac:dyDescent="0.25">
      <c r="A85" t="s">
        <v>6519</v>
      </c>
      <c r="B85">
        <v>9</v>
      </c>
    </row>
    <row r="86" spans="1:2" ht="13.5" customHeight="1" x14ac:dyDescent="0.25">
      <c r="A86" t="s">
        <v>6519</v>
      </c>
      <c r="B86">
        <v>10</v>
      </c>
    </row>
    <row r="87" spans="1:2" ht="13.5" customHeight="1" x14ac:dyDescent="0.25">
      <c r="A87" t="s">
        <v>6519</v>
      </c>
      <c r="B87">
        <v>11</v>
      </c>
    </row>
    <row r="88" spans="1:2" ht="13.5" customHeight="1" x14ac:dyDescent="0.25">
      <c r="A88" t="s">
        <v>6519</v>
      </c>
      <c r="B88">
        <v>12</v>
      </c>
    </row>
    <row r="89" spans="1:2" ht="13.5" customHeight="1" x14ac:dyDescent="0.25">
      <c r="A89" t="s">
        <v>6519</v>
      </c>
      <c r="B89">
        <v>13</v>
      </c>
    </row>
    <row r="90" spans="1:2" ht="13.5" customHeight="1" x14ac:dyDescent="0.25">
      <c r="A90" t="s">
        <v>6519</v>
      </c>
      <c r="B90">
        <v>14</v>
      </c>
    </row>
    <row r="91" spans="1:2" ht="13.5" customHeight="1" x14ac:dyDescent="0.25">
      <c r="A91" t="s">
        <v>6519</v>
      </c>
      <c r="B91">
        <v>15</v>
      </c>
    </row>
    <row r="92" spans="1:2" ht="13.5" customHeight="1" x14ac:dyDescent="0.25">
      <c r="A92" t="s">
        <v>6519</v>
      </c>
      <c r="B92">
        <v>16</v>
      </c>
    </row>
    <row r="93" spans="1:2" ht="13.5" customHeight="1" x14ac:dyDescent="0.25">
      <c r="A93" t="s">
        <v>6519</v>
      </c>
      <c r="B93">
        <v>17</v>
      </c>
    </row>
    <row r="94" spans="1:2" ht="13.5" customHeight="1" x14ac:dyDescent="0.25">
      <c r="A94" t="s">
        <v>6519</v>
      </c>
      <c r="B94">
        <v>18</v>
      </c>
    </row>
    <row r="95" spans="1:2" ht="13.5" customHeight="1" x14ac:dyDescent="0.25">
      <c r="A95" t="s">
        <v>6519</v>
      </c>
      <c r="B95">
        <v>19</v>
      </c>
    </row>
    <row r="96" spans="1:2" ht="13.5" customHeight="1" x14ac:dyDescent="0.25">
      <c r="A96" t="s">
        <v>6519</v>
      </c>
      <c r="B96">
        <v>20</v>
      </c>
    </row>
    <row r="97" spans="1:2" ht="13.5" customHeight="1" x14ac:dyDescent="0.25">
      <c r="A97" t="s">
        <v>6519</v>
      </c>
      <c r="B97">
        <v>21</v>
      </c>
    </row>
    <row r="98" spans="1:2" ht="13.5" customHeight="1" x14ac:dyDescent="0.25">
      <c r="A98" t="s">
        <v>6519</v>
      </c>
      <c r="B98">
        <v>22</v>
      </c>
    </row>
    <row r="99" spans="1:2" ht="13.5" customHeight="1" x14ac:dyDescent="0.25">
      <c r="A99" t="s">
        <v>6519</v>
      </c>
      <c r="B99">
        <v>23</v>
      </c>
    </row>
    <row r="100" spans="1:2" ht="13.5" customHeight="1" x14ac:dyDescent="0.25">
      <c r="A100" t="s">
        <v>6519</v>
      </c>
      <c r="B100">
        <v>24</v>
      </c>
    </row>
    <row r="101" spans="1:2" ht="13.5" customHeight="1" x14ac:dyDescent="0.25">
      <c r="A101" t="s">
        <v>6519</v>
      </c>
      <c r="B101">
        <v>25</v>
      </c>
    </row>
    <row r="102" spans="1:2" ht="13.5" customHeight="1" x14ac:dyDescent="0.25">
      <c r="A102" t="s">
        <v>6519</v>
      </c>
      <c r="B102">
        <v>26</v>
      </c>
    </row>
    <row r="103" spans="1:2" ht="13.5" customHeight="1" x14ac:dyDescent="0.25">
      <c r="A103" t="s">
        <v>6519</v>
      </c>
      <c r="B103">
        <v>55</v>
      </c>
    </row>
    <row r="104" spans="1:2" ht="13.5" customHeight="1" x14ac:dyDescent="0.25">
      <c r="A104" t="s">
        <v>6519</v>
      </c>
      <c r="B104">
        <v>56</v>
      </c>
    </row>
    <row r="105" spans="1:2" ht="13.5" customHeight="1" x14ac:dyDescent="0.25">
      <c r="A105" t="s">
        <v>6519</v>
      </c>
      <c r="B105">
        <v>57</v>
      </c>
    </row>
    <row r="106" spans="1:2" ht="13.5" customHeight="1" x14ac:dyDescent="0.25">
      <c r="A106" t="s">
        <v>6519</v>
      </c>
      <c r="B106">
        <v>58</v>
      </c>
    </row>
    <row r="107" spans="1:2" ht="13.5" customHeight="1" x14ac:dyDescent="0.25">
      <c r="A107" t="s">
        <v>6519</v>
      </c>
      <c r="B107">
        <v>59</v>
      </c>
    </row>
    <row r="108" spans="1:2" ht="13.5" customHeight="1" x14ac:dyDescent="0.25">
      <c r="A108" t="s">
        <v>6519</v>
      </c>
      <c r="B108">
        <v>60</v>
      </c>
    </row>
    <row r="109" spans="1:2" ht="13.5" customHeight="1" x14ac:dyDescent="0.25">
      <c r="A109" t="s">
        <v>6519</v>
      </c>
      <c r="B109">
        <v>61</v>
      </c>
    </row>
    <row r="110" spans="1:2" ht="13.5" customHeight="1" x14ac:dyDescent="0.25">
      <c r="A110" t="s">
        <v>6519</v>
      </c>
      <c r="B110">
        <v>62</v>
      </c>
    </row>
    <row r="111" spans="1:2" ht="13.5" customHeight="1" x14ac:dyDescent="0.25">
      <c r="A111" t="s">
        <v>6519</v>
      </c>
      <c r="B111">
        <v>63</v>
      </c>
    </row>
    <row r="112" spans="1:2" ht="13.5" customHeight="1" x14ac:dyDescent="0.25">
      <c r="A112" t="s">
        <v>6519</v>
      </c>
      <c r="B112">
        <v>64</v>
      </c>
    </row>
    <row r="113" spans="1:2" ht="13.5" customHeight="1" x14ac:dyDescent="0.25">
      <c r="A113" t="s">
        <v>6519</v>
      </c>
      <c r="B113">
        <v>65</v>
      </c>
    </row>
    <row r="114" spans="1:2" ht="13.5" customHeight="1" x14ac:dyDescent="0.25">
      <c r="A114" t="s">
        <v>6519</v>
      </c>
      <c r="B114">
        <v>66</v>
      </c>
    </row>
    <row r="115" spans="1:2" ht="13.5" customHeight="1" x14ac:dyDescent="0.25">
      <c r="A115" t="s">
        <v>6519</v>
      </c>
      <c r="B115">
        <v>67</v>
      </c>
    </row>
    <row r="116" spans="1:2" ht="13.5" customHeight="1" x14ac:dyDescent="0.25">
      <c r="A116" t="s">
        <v>6519</v>
      </c>
      <c r="B116">
        <v>68</v>
      </c>
    </row>
    <row r="117" spans="1:2" ht="13.5" customHeight="1" x14ac:dyDescent="0.25">
      <c r="A117" t="s">
        <v>6519</v>
      </c>
      <c r="B117">
        <v>69</v>
      </c>
    </row>
    <row r="118" spans="1:2" ht="13.5" customHeight="1" x14ac:dyDescent="0.25">
      <c r="A118" t="s">
        <v>6519</v>
      </c>
      <c r="B118">
        <v>70</v>
      </c>
    </row>
    <row r="119" spans="1:2" ht="13.5" customHeight="1" x14ac:dyDescent="0.25">
      <c r="A119" t="s">
        <v>6519</v>
      </c>
      <c r="B119">
        <v>71</v>
      </c>
    </row>
    <row r="120" spans="1:2" ht="13.5" customHeight="1" x14ac:dyDescent="0.25">
      <c r="A120" t="s">
        <v>6519</v>
      </c>
      <c r="B120">
        <v>72</v>
      </c>
    </row>
    <row r="121" spans="1:2" ht="13.5" customHeight="1" x14ac:dyDescent="0.25">
      <c r="A121" t="s">
        <v>6519</v>
      </c>
      <c r="B121">
        <v>73</v>
      </c>
    </row>
    <row r="122" spans="1:2" ht="13.5" customHeight="1" x14ac:dyDescent="0.25">
      <c r="A122" t="s">
        <v>6519</v>
      </c>
      <c r="B122">
        <v>74</v>
      </c>
    </row>
    <row r="123" spans="1:2" ht="13.5" customHeight="1" x14ac:dyDescent="0.25">
      <c r="A123" t="s">
        <v>6519</v>
      </c>
      <c r="B123">
        <v>75</v>
      </c>
    </row>
    <row r="124" spans="1:2" ht="13.5" customHeight="1" x14ac:dyDescent="0.25">
      <c r="A124" t="s">
        <v>6519</v>
      </c>
      <c r="B124">
        <v>76</v>
      </c>
    </row>
    <row r="125" spans="1:2" ht="13.5" customHeight="1" x14ac:dyDescent="0.25">
      <c r="A125" t="s">
        <v>6519</v>
      </c>
      <c r="B125">
        <v>77</v>
      </c>
    </row>
    <row r="126" spans="1:2" ht="13.5" customHeight="1" x14ac:dyDescent="0.25">
      <c r="A126" t="s">
        <v>6519</v>
      </c>
      <c r="B126">
        <v>78</v>
      </c>
    </row>
    <row r="127" spans="1:2" ht="13.5" customHeight="1" x14ac:dyDescent="0.25">
      <c r="A127" t="s">
        <v>6519</v>
      </c>
      <c r="B127">
        <v>79</v>
      </c>
    </row>
    <row r="128" spans="1:2" ht="13.5" customHeight="1" x14ac:dyDescent="0.25">
      <c r="A128" t="s">
        <v>6519</v>
      </c>
      <c r="B128">
        <v>80</v>
      </c>
    </row>
    <row r="129" spans="1:2" ht="13.5" customHeight="1" x14ac:dyDescent="0.25">
      <c r="A129" t="s">
        <v>6520</v>
      </c>
      <c r="B129">
        <v>1</v>
      </c>
    </row>
    <row r="130" spans="1:2" ht="13.5" customHeight="1" x14ac:dyDescent="0.25">
      <c r="A130" t="s">
        <v>6520</v>
      </c>
      <c r="B130">
        <v>2</v>
      </c>
    </row>
    <row r="131" spans="1:2" ht="13.5" customHeight="1" x14ac:dyDescent="0.25">
      <c r="A131" t="s">
        <v>6520</v>
      </c>
      <c r="B131">
        <v>3</v>
      </c>
    </row>
    <row r="132" spans="1:2" ht="13.5" customHeight="1" x14ac:dyDescent="0.25">
      <c r="A132" t="s">
        <v>6520</v>
      </c>
      <c r="B132">
        <v>4</v>
      </c>
    </row>
    <row r="133" spans="1:2" ht="13.5" customHeight="1" x14ac:dyDescent="0.25">
      <c r="A133" t="s">
        <v>6520</v>
      </c>
      <c r="B133">
        <v>5</v>
      </c>
    </row>
    <row r="134" spans="1:2" ht="13.5" customHeight="1" x14ac:dyDescent="0.25">
      <c r="A134" t="s">
        <v>6520</v>
      </c>
      <c r="B134">
        <v>6</v>
      </c>
    </row>
    <row r="135" spans="1:2" ht="13.5" customHeight="1" x14ac:dyDescent="0.25">
      <c r="A135" t="s">
        <v>6520</v>
      </c>
      <c r="B135">
        <v>7</v>
      </c>
    </row>
    <row r="136" spans="1:2" ht="13.5" customHeight="1" x14ac:dyDescent="0.25">
      <c r="A136" t="s">
        <v>6520</v>
      </c>
      <c r="B136">
        <v>8</v>
      </c>
    </row>
    <row r="137" spans="1:2" ht="13.5" customHeight="1" x14ac:dyDescent="0.25">
      <c r="A137" t="s">
        <v>6520</v>
      </c>
      <c r="B137">
        <v>9</v>
      </c>
    </row>
    <row r="138" spans="1:2" ht="13.5" customHeight="1" x14ac:dyDescent="0.25">
      <c r="A138" t="s">
        <v>6520</v>
      </c>
      <c r="B138">
        <v>10</v>
      </c>
    </row>
    <row r="139" spans="1:2" ht="13.5" customHeight="1" x14ac:dyDescent="0.25">
      <c r="A139" t="s">
        <v>6520</v>
      </c>
      <c r="B139">
        <v>11</v>
      </c>
    </row>
    <row r="140" spans="1:2" ht="13.5" customHeight="1" x14ac:dyDescent="0.25">
      <c r="A140" t="s">
        <v>6520</v>
      </c>
      <c r="B140">
        <v>12</v>
      </c>
    </row>
    <row r="141" spans="1:2" ht="13.5" customHeight="1" x14ac:dyDescent="0.25">
      <c r="A141" t="s">
        <v>6520</v>
      </c>
      <c r="B141">
        <v>13</v>
      </c>
    </row>
    <row r="142" spans="1:2" ht="13.5" customHeight="1" x14ac:dyDescent="0.25">
      <c r="A142" t="s">
        <v>6520</v>
      </c>
      <c r="B142">
        <v>14</v>
      </c>
    </row>
    <row r="143" spans="1:2" ht="13.5" customHeight="1" x14ac:dyDescent="0.25">
      <c r="A143" t="s">
        <v>6520</v>
      </c>
      <c r="B143">
        <v>15</v>
      </c>
    </row>
    <row r="144" spans="1:2" ht="13.5" customHeight="1" x14ac:dyDescent="0.25">
      <c r="A144" t="s">
        <v>6520</v>
      </c>
      <c r="B144">
        <v>16</v>
      </c>
    </row>
    <row r="145" spans="1:2" ht="13.5" customHeight="1" x14ac:dyDescent="0.25">
      <c r="A145" t="s">
        <v>6520</v>
      </c>
      <c r="B145">
        <v>17</v>
      </c>
    </row>
    <row r="146" spans="1:2" ht="13.5" customHeight="1" x14ac:dyDescent="0.25">
      <c r="A146" t="s">
        <v>6520</v>
      </c>
      <c r="B146">
        <v>18</v>
      </c>
    </row>
    <row r="147" spans="1:2" ht="13.5" customHeight="1" x14ac:dyDescent="0.25">
      <c r="A147" t="s">
        <v>6520</v>
      </c>
      <c r="B147">
        <v>19</v>
      </c>
    </row>
    <row r="148" spans="1:2" ht="13.5" customHeight="1" x14ac:dyDescent="0.25">
      <c r="A148" t="s">
        <v>6520</v>
      </c>
      <c r="B148">
        <v>20</v>
      </c>
    </row>
    <row r="149" spans="1:2" ht="13.5" customHeight="1" x14ac:dyDescent="0.25">
      <c r="A149" t="s">
        <v>6520</v>
      </c>
      <c r="B149">
        <v>21</v>
      </c>
    </row>
    <row r="150" spans="1:2" ht="13.5" customHeight="1" x14ac:dyDescent="0.25">
      <c r="A150" t="s">
        <v>6520</v>
      </c>
      <c r="B150">
        <v>22</v>
      </c>
    </row>
    <row r="151" spans="1:2" ht="13.5" customHeight="1" x14ac:dyDescent="0.25">
      <c r="A151" t="s">
        <v>6520</v>
      </c>
      <c r="B151">
        <v>23</v>
      </c>
    </row>
    <row r="152" spans="1:2" ht="13.5" customHeight="1" x14ac:dyDescent="0.25">
      <c r="A152" t="s">
        <v>6520</v>
      </c>
      <c r="B152">
        <v>24</v>
      </c>
    </row>
    <row r="153" spans="1:2" ht="13.5" customHeight="1" x14ac:dyDescent="0.25">
      <c r="A153" t="s">
        <v>6520</v>
      </c>
      <c r="B153">
        <v>25</v>
      </c>
    </row>
    <row r="154" spans="1:2" ht="13.5" customHeight="1" x14ac:dyDescent="0.25">
      <c r="A154" t="s">
        <v>6520</v>
      </c>
      <c r="B154">
        <v>26</v>
      </c>
    </row>
    <row r="155" spans="1:2" ht="13.5" customHeight="1" x14ac:dyDescent="0.25">
      <c r="A155" t="s">
        <v>6520</v>
      </c>
      <c r="B155">
        <v>55</v>
      </c>
    </row>
    <row r="156" spans="1:2" ht="13.5" customHeight="1" x14ac:dyDescent="0.25">
      <c r="A156" t="s">
        <v>6520</v>
      </c>
      <c r="B156">
        <v>56</v>
      </c>
    </row>
    <row r="157" spans="1:2" ht="13.5" customHeight="1" x14ac:dyDescent="0.25">
      <c r="A157" t="s">
        <v>6520</v>
      </c>
      <c r="B157">
        <v>57</v>
      </c>
    </row>
    <row r="158" spans="1:2" ht="13.5" customHeight="1" x14ac:dyDescent="0.25">
      <c r="A158" t="s">
        <v>6520</v>
      </c>
      <c r="B158">
        <v>58</v>
      </c>
    </row>
    <row r="159" spans="1:2" ht="13.5" customHeight="1" x14ac:dyDescent="0.25">
      <c r="A159" t="s">
        <v>6520</v>
      </c>
      <c r="B159">
        <v>59</v>
      </c>
    </row>
    <row r="160" spans="1:2" ht="13.5" customHeight="1" x14ac:dyDescent="0.25">
      <c r="A160" t="s">
        <v>6520</v>
      </c>
      <c r="B160">
        <v>60</v>
      </c>
    </row>
    <row r="161" spans="1:2" ht="13.5" customHeight="1" x14ac:dyDescent="0.25">
      <c r="A161" t="s">
        <v>6520</v>
      </c>
      <c r="B161">
        <v>61</v>
      </c>
    </row>
    <row r="162" spans="1:2" ht="13.5" customHeight="1" x14ac:dyDescent="0.25">
      <c r="A162" t="s">
        <v>6520</v>
      </c>
      <c r="B162">
        <v>62</v>
      </c>
    </row>
    <row r="163" spans="1:2" ht="13.5" customHeight="1" x14ac:dyDescent="0.25">
      <c r="A163" t="s">
        <v>6520</v>
      </c>
      <c r="B163">
        <v>63</v>
      </c>
    </row>
    <row r="164" spans="1:2" ht="13.5" customHeight="1" x14ac:dyDescent="0.25">
      <c r="A164" t="s">
        <v>6520</v>
      </c>
      <c r="B164">
        <v>64</v>
      </c>
    </row>
    <row r="165" spans="1:2" ht="13.5" customHeight="1" x14ac:dyDescent="0.25">
      <c r="A165" t="s">
        <v>6520</v>
      </c>
      <c r="B165">
        <v>65</v>
      </c>
    </row>
    <row r="166" spans="1:2" ht="13.5" customHeight="1" x14ac:dyDescent="0.25">
      <c r="A166" t="s">
        <v>6520</v>
      </c>
      <c r="B166">
        <v>66</v>
      </c>
    </row>
    <row r="167" spans="1:2" ht="13.5" customHeight="1" x14ac:dyDescent="0.25">
      <c r="A167" t="s">
        <v>6520</v>
      </c>
      <c r="B167">
        <v>67</v>
      </c>
    </row>
    <row r="168" spans="1:2" ht="13.5" customHeight="1" x14ac:dyDescent="0.25">
      <c r="A168" t="s">
        <v>6520</v>
      </c>
      <c r="B168">
        <v>68</v>
      </c>
    </row>
    <row r="169" spans="1:2" ht="13.5" customHeight="1" x14ac:dyDescent="0.25">
      <c r="A169" t="s">
        <v>6520</v>
      </c>
      <c r="B169">
        <v>69</v>
      </c>
    </row>
    <row r="170" spans="1:2" ht="13.5" customHeight="1" x14ac:dyDescent="0.25">
      <c r="A170" t="s">
        <v>6520</v>
      </c>
      <c r="B170">
        <v>70</v>
      </c>
    </row>
    <row r="171" spans="1:2" ht="13.5" customHeight="1" x14ac:dyDescent="0.25">
      <c r="A171" t="s">
        <v>6520</v>
      </c>
      <c r="B171">
        <v>71</v>
      </c>
    </row>
    <row r="172" spans="1:2" ht="13.5" customHeight="1" x14ac:dyDescent="0.25">
      <c r="A172" t="s">
        <v>6520</v>
      </c>
      <c r="B172">
        <v>72</v>
      </c>
    </row>
    <row r="173" spans="1:2" ht="13.5" customHeight="1" x14ac:dyDescent="0.25">
      <c r="A173" t="s">
        <v>6520</v>
      </c>
      <c r="B173">
        <v>73</v>
      </c>
    </row>
    <row r="174" spans="1:2" ht="13.5" customHeight="1" x14ac:dyDescent="0.25">
      <c r="A174" t="s">
        <v>6520</v>
      </c>
      <c r="B174">
        <v>74</v>
      </c>
    </row>
    <row r="175" spans="1:2" ht="13.5" customHeight="1" x14ac:dyDescent="0.25">
      <c r="A175" t="s">
        <v>6520</v>
      </c>
      <c r="B175">
        <v>75</v>
      </c>
    </row>
    <row r="176" spans="1:2" ht="13.5" customHeight="1" x14ac:dyDescent="0.25">
      <c r="A176" t="s">
        <v>6520</v>
      </c>
      <c r="B176">
        <v>76</v>
      </c>
    </row>
    <row r="177" spans="1:2" ht="13.5" customHeight="1" x14ac:dyDescent="0.25">
      <c r="A177" t="s">
        <v>6520</v>
      </c>
      <c r="B177">
        <v>77</v>
      </c>
    </row>
    <row r="178" spans="1:2" ht="13.5" customHeight="1" x14ac:dyDescent="0.25">
      <c r="A178" t="s">
        <v>6520</v>
      </c>
      <c r="B178">
        <v>78</v>
      </c>
    </row>
    <row r="179" spans="1:2" ht="13.5" customHeight="1" x14ac:dyDescent="0.25">
      <c r="A179" t="s">
        <v>6520</v>
      </c>
      <c r="B179">
        <v>79</v>
      </c>
    </row>
    <row r="180" spans="1:2" ht="13.5" customHeight="1" x14ac:dyDescent="0.25">
      <c r="A180" t="s">
        <v>6520</v>
      </c>
      <c r="B180">
        <v>80</v>
      </c>
    </row>
    <row r="181" spans="1:2" ht="13.5" customHeight="1" x14ac:dyDescent="0.25">
      <c r="A181" t="s">
        <v>6521</v>
      </c>
      <c r="B181">
        <v>1</v>
      </c>
    </row>
    <row r="182" spans="1:2" ht="13.5" customHeight="1" x14ac:dyDescent="0.25">
      <c r="A182" t="s">
        <v>6521</v>
      </c>
      <c r="B182">
        <v>2</v>
      </c>
    </row>
    <row r="183" spans="1:2" ht="13.5" customHeight="1" x14ac:dyDescent="0.25">
      <c r="A183" t="s">
        <v>6521</v>
      </c>
      <c r="B183">
        <v>3</v>
      </c>
    </row>
    <row r="184" spans="1:2" ht="13.5" customHeight="1" x14ac:dyDescent="0.25">
      <c r="A184" t="s">
        <v>6521</v>
      </c>
      <c r="B184">
        <v>4</v>
      </c>
    </row>
    <row r="185" spans="1:2" ht="13.5" customHeight="1" x14ac:dyDescent="0.25">
      <c r="A185" t="s">
        <v>6521</v>
      </c>
      <c r="B185">
        <v>5</v>
      </c>
    </row>
    <row r="186" spans="1:2" ht="13.5" customHeight="1" x14ac:dyDescent="0.25">
      <c r="A186" t="s">
        <v>6521</v>
      </c>
      <c r="B186">
        <v>6</v>
      </c>
    </row>
    <row r="187" spans="1:2" ht="13.5" customHeight="1" x14ac:dyDescent="0.25">
      <c r="A187" t="s">
        <v>6521</v>
      </c>
      <c r="B187">
        <v>7</v>
      </c>
    </row>
    <row r="188" spans="1:2" ht="13.5" customHeight="1" x14ac:dyDescent="0.25">
      <c r="A188" t="s">
        <v>6521</v>
      </c>
      <c r="B188">
        <v>8</v>
      </c>
    </row>
    <row r="189" spans="1:2" ht="13.5" customHeight="1" x14ac:dyDescent="0.25">
      <c r="A189" t="s">
        <v>6521</v>
      </c>
      <c r="B189">
        <v>9</v>
      </c>
    </row>
    <row r="190" spans="1:2" ht="13.5" customHeight="1" x14ac:dyDescent="0.25">
      <c r="A190" t="s">
        <v>6521</v>
      </c>
      <c r="B190">
        <v>10</v>
      </c>
    </row>
    <row r="191" spans="1:2" ht="13.5" customHeight="1" x14ac:dyDescent="0.25">
      <c r="A191" t="s">
        <v>6521</v>
      </c>
      <c r="B191">
        <v>11</v>
      </c>
    </row>
    <row r="192" spans="1:2" ht="13.5" customHeight="1" x14ac:dyDescent="0.25">
      <c r="A192" t="s">
        <v>6521</v>
      </c>
      <c r="B192">
        <v>12</v>
      </c>
    </row>
    <row r="193" spans="1:2" ht="13.5" customHeight="1" x14ac:dyDescent="0.25">
      <c r="A193" t="s">
        <v>6521</v>
      </c>
      <c r="B193">
        <v>13</v>
      </c>
    </row>
    <row r="194" spans="1:2" ht="13.5" customHeight="1" x14ac:dyDescent="0.25">
      <c r="A194" t="s">
        <v>6521</v>
      </c>
      <c r="B194">
        <v>14</v>
      </c>
    </row>
    <row r="195" spans="1:2" ht="13.5" customHeight="1" x14ac:dyDescent="0.25">
      <c r="A195" t="s">
        <v>6521</v>
      </c>
      <c r="B195">
        <v>15</v>
      </c>
    </row>
    <row r="196" spans="1:2" ht="13.5" customHeight="1" x14ac:dyDescent="0.25">
      <c r="A196" t="s">
        <v>6521</v>
      </c>
      <c r="B196">
        <v>16</v>
      </c>
    </row>
    <row r="197" spans="1:2" ht="13.5" customHeight="1" x14ac:dyDescent="0.25">
      <c r="A197" t="s">
        <v>6521</v>
      </c>
      <c r="B197">
        <v>17</v>
      </c>
    </row>
    <row r="198" spans="1:2" ht="13.5" customHeight="1" x14ac:dyDescent="0.25">
      <c r="A198" t="s">
        <v>6521</v>
      </c>
      <c r="B198">
        <v>18</v>
      </c>
    </row>
    <row r="199" spans="1:2" ht="13.5" customHeight="1" x14ac:dyDescent="0.25">
      <c r="A199" t="s">
        <v>6521</v>
      </c>
      <c r="B199">
        <v>19</v>
      </c>
    </row>
    <row r="200" spans="1:2" ht="13.5" customHeight="1" x14ac:dyDescent="0.25">
      <c r="A200" t="s">
        <v>6521</v>
      </c>
      <c r="B200">
        <v>20</v>
      </c>
    </row>
    <row r="201" spans="1:2" ht="13.5" customHeight="1" x14ac:dyDescent="0.25">
      <c r="A201" t="s">
        <v>6521</v>
      </c>
      <c r="B201">
        <v>21</v>
      </c>
    </row>
    <row r="202" spans="1:2" ht="13.5" customHeight="1" x14ac:dyDescent="0.25">
      <c r="A202" t="s">
        <v>6521</v>
      </c>
      <c r="B202">
        <v>22</v>
      </c>
    </row>
    <row r="203" spans="1:2" ht="13.5" customHeight="1" x14ac:dyDescent="0.25">
      <c r="A203" t="s">
        <v>6521</v>
      </c>
      <c r="B203">
        <v>23</v>
      </c>
    </row>
    <row r="204" spans="1:2" ht="13.5" customHeight="1" x14ac:dyDescent="0.25">
      <c r="A204" t="s">
        <v>6521</v>
      </c>
      <c r="B204">
        <v>24</v>
      </c>
    </row>
    <row r="205" spans="1:2" ht="13.5" customHeight="1" x14ac:dyDescent="0.25">
      <c r="A205" t="s">
        <v>6521</v>
      </c>
      <c r="B205">
        <v>25</v>
      </c>
    </row>
    <row r="206" spans="1:2" ht="13.5" customHeight="1" x14ac:dyDescent="0.25">
      <c r="A206" t="s">
        <v>6521</v>
      </c>
      <c r="B206">
        <v>26</v>
      </c>
    </row>
    <row r="207" spans="1:2" ht="13.5" customHeight="1" x14ac:dyDescent="0.25">
      <c r="A207" t="s">
        <v>6521</v>
      </c>
      <c r="B207">
        <v>55</v>
      </c>
    </row>
    <row r="208" spans="1:2" ht="13.5" customHeight="1" x14ac:dyDescent="0.25">
      <c r="A208" t="s">
        <v>6521</v>
      </c>
      <c r="B208">
        <v>56</v>
      </c>
    </row>
    <row r="209" spans="1:2" ht="13.5" customHeight="1" x14ac:dyDescent="0.25">
      <c r="A209" t="s">
        <v>6521</v>
      </c>
      <c r="B209">
        <v>57</v>
      </c>
    </row>
    <row r="210" spans="1:2" ht="13.5" customHeight="1" x14ac:dyDescent="0.25">
      <c r="A210" t="s">
        <v>6521</v>
      </c>
      <c r="B210">
        <v>58</v>
      </c>
    </row>
    <row r="211" spans="1:2" ht="13.5" customHeight="1" x14ac:dyDescent="0.25">
      <c r="A211" t="s">
        <v>6521</v>
      </c>
      <c r="B211">
        <v>59</v>
      </c>
    </row>
    <row r="212" spans="1:2" ht="13.5" customHeight="1" x14ac:dyDescent="0.25">
      <c r="A212" t="s">
        <v>6521</v>
      </c>
      <c r="B212">
        <v>60</v>
      </c>
    </row>
    <row r="213" spans="1:2" ht="13.5" customHeight="1" x14ac:dyDescent="0.25">
      <c r="A213" t="s">
        <v>6521</v>
      </c>
      <c r="B213">
        <v>61</v>
      </c>
    </row>
    <row r="214" spans="1:2" ht="13.5" customHeight="1" x14ac:dyDescent="0.25">
      <c r="A214" t="s">
        <v>6521</v>
      </c>
      <c r="B214">
        <v>62</v>
      </c>
    </row>
    <row r="215" spans="1:2" ht="13.5" customHeight="1" x14ac:dyDescent="0.25">
      <c r="A215" t="s">
        <v>6521</v>
      </c>
      <c r="B215">
        <v>63</v>
      </c>
    </row>
    <row r="216" spans="1:2" ht="13.5" customHeight="1" x14ac:dyDescent="0.25">
      <c r="A216" t="s">
        <v>6521</v>
      </c>
      <c r="B216">
        <v>64</v>
      </c>
    </row>
    <row r="217" spans="1:2" ht="13.5" customHeight="1" x14ac:dyDescent="0.25">
      <c r="A217" t="s">
        <v>6521</v>
      </c>
      <c r="B217">
        <v>65</v>
      </c>
    </row>
    <row r="218" spans="1:2" ht="13.5" customHeight="1" x14ac:dyDescent="0.25">
      <c r="A218" t="s">
        <v>6521</v>
      </c>
      <c r="B218">
        <v>66</v>
      </c>
    </row>
    <row r="219" spans="1:2" ht="13.5" customHeight="1" x14ac:dyDescent="0.25">
      <c r="A219" t="s">
        <v>6521</v>
      </c>
      <c r="B219">
        <v>67</v>
      </c>
    </row>
    <row r="220" spans="1:2" ht="13.5" customHeight="1" x14ac:dyDescent="0.25">
      <c r="A220" t="s">
        <v>6521</v>
      </c>
      <c r="B220">
        <v>68</v>
      </c>
    </row>
    <row r="221" spans="1:2" ht="13.5" customHeight="1" x14ac:dyDescent="0.25">
      <c r="A221" t="s">
        <v>6521</v>
      </c>
      <c r="B221">
        <v>69</v>
      </c>
    </row>
    <row r="222" spans="1:2" ht="13.5" customHeight="1" x14ac:dyDescent="0.25">
      <c r="A222" t="s">
        <v>6521</v>
      </c>
      <c r="B222">
        <v>70</v>
      </c>
    </row>
    <row r="223" spans="1:2" ht="13.5" customHeight="1" x14ac:dyDescent="0.25">
      <c r="A223" t="s">
        <v>6521</v>
      </c>
      <c r="B223">
        <v>71</v>
      </c>
    </row>
    <row r="224" spans="1:2" ht="13.5" customHeight="1" x14ac:dyDescent="0.25">
      <c r="A224" t="s">
        <v>6521</v>
      </c>
      <c r="B224">
        <v>72</v>
      </c>
    </row>
    <row r="225" spans="1:2" ht="13.5" customHeight="1" x14ac:dyDescent="0.25">
      <c r="A225" t="s">
        <v>6521</v>
      </c>
      <c r="B225">
        <v>73</v>
      </c>
    </row>
    <row r="226" spans="1:2" ht="13.5" customHeight="1" x14ac:dyDescent="0.25">
      <c r="A226" t="s">
        <v>6521</v>
      </c>
      <c r="B226">
        <v>74</v>
      </c>
    </row>
    <row r="227" spans="1:2" ht="13.5" customHeight="1" x14ac:dyDescent="0.25">
      <c r="A227" t="s">
        <v>6521</v>
      </c>
      <c r="B227">
        <v>75</v>
      </c>
    </row>
    <row r="228" spans="1:2" ht="13.5" customHeight="1" x14ac:dyDescent="0.25">
      <c r="A228" t="s">
        <v>6521</v>
      </c>
      <c r="B228">
        <v>76</v>
      </c>
    </row>
    <row r="229" spans="1:2" ht="13.5" customHeight="1" x14ac:dyDescent="0.25">
      <c r="A229" t="s">
        <v>6521</v>
      </c>
      <c r="B229">
        <v>77</v>
      </c>
    </row>
    <row r="230" spans="1:2" ht="13.5" customHeight="1" x14ac:dyDescent="0.25">
      <c r="A230" t="s">
        <v>6521</v>
      </c>
      <c r="B230">
        <v>78</v>
      </c>
    </row>
    <row r="231" spans="1:2" ht="13.5" customHeight="1" x14ac:dyDescent="0.25">
      <c r="A231" t="s">
        <v>6521</v>
      </c>
      <c r="B231">
        <v>79</v>
      </c>
    </row>
    <row r="232" spans="1:2" ht="13.5" customHeight="1" x14ac:dyDescent="0.25">
      <c r="A232" t="s">
        <v>6521</v>
      </c>
      <c r="B232">
        <v>80</v>
      </c>
    </row>
    <row r="233" spans="1:2" ht="13.5" customHeight="1" x14ac:dyDescent="0.25">
      <c r="A233" t="s">
        <v>6522</v>
      </c>
      <c r="B233">
        <v>1</v>
      </c>
    </row>
    <row r="234" spans="1:2" ht="13.5" customHeight="1" x14ac:dyDescent="0.25">
      <c r="A234" t="s">
        <v>6522</v>
      </c>
      <c r="B234">
        <v>2</v>
      </c>
    </row>
    <row r="235" spans="1:2" ht="13.5" customHeight="1" x14ac:dyDescent="0.25">
      <c r="A235" t="s">
        <v>6522</v>
      </c>
      <c r="B235">
        <v>3</v>
      </c>
    </row>
    <row r="236" spans="1:2" ht="13.5" customHeight="1" x14ac:dyDescent="0.25">
      <c r="A236" t="s">
        <v>6522</v>
      </c>
      <c r="B236">
        <v>4</v>
      </c>
    </row>
    <row r="237" spans="1:2" ht="13.5" customHeight="1" x14ac:dyDescent="0.25">
      <c r="A237" t="s">
        <v>6522</v>
      </c>
      <c r="B237">
        <v>5</v>
      </c>
    </row>
    <row r="238" spans="1:2" ht="13.5" customHeight="1" x14ac:dyDescent="0.25">
      <c r="A238" t="s">
        <v>6522</v>
      </c>
      <c r="B238">
        <v>6</v>
      </c>
    </row>
    <row r="239" spans="1:2" ht="13.5" customHeight="1" x14ac:dyDescent="0.25">
      <c r="A239" t="s">
        <v>6522</v>
      </c>
      <c r="B239">
        <v>7</v>
      </c>
    </row>
    <row r="240" spans="1:2" ht="13.5" customHeight="1" x14ac:dyDescent="0.25">
      <c r="A240" t="s">
        <v>6522</v>
      </c>
      <c r="B240">
        <v>8</v>
      </c>
    </row>
    <row r="241" spans="1:2" ht="13.5" customHeight="1" x14ac:dyDescent="0.25">
      <c r="A241" t="s">
        <v>6522</v>
      </c>
      <c r="B241">
        <v>9</v>
      </c>
    </row>
    <row r="242" spans="1:2" ht="13.5" customHeight="1" x14ac:dyDescent="0.25">
      <c r="A242" t="s">
        <v>6522</v>
      </c>
      <c r="B242">
        <v>10</v>
      </c>
    </row>
    <row r="243" spans="1:2" ht="13.5" customHeight="1" x14ac:dyDescent="0.25">
      <c r="A243" t="s">
        <v>6522</v>
      </c>
      <c r="B243">
        <v>11</v>
      </c>
    </row>
    <row r="244" spans="1:2" ht="13.5" customHeight="1" x14ac:dyDescent="0.25">
      <c r="A244" t="s">
        <v>6522</v>
      </c>
      <c r="B244">
        <v>12</v>
      </c>
    </row>
    <row r="245" spans="1:2" ht="13.5" customHeight="1" x14ac:dyDescent="0.25">
      <c r="A245" t="s">
        <v>6522</v>
      </c>
      <c r="B245">
        <v>13</v>
      </c>
    </row>
    <row r="246" spans="1:2" ht="13.5" customHeight="1" x14ac:dyDescent="0.25">
      <c r="A246" t="s">
        <v>6522</v>
      </c>
      <c r="B246">
        <v>14</v>
      </c>
    </row>
    <row r="247" spans="1:2" ht="13.5" customHeight="1" x14ac:dyDescent="0.25">
      <c r="A247" t="s">
        <v>6522</v>
      </c>
      <c r="B247">
        <v>15</v>
      </c>
    </row>
    <row r="248" spans="1:2" ht="13.5" customHeight="1" x14ac:dyDescent="0.25">
      <c r="A248" t="s">
        <v>6522</v>
      </c>
      <c r="B248">
        <v>16</v>
      </c>
    </row>
    <row r="249" spans="1:2" ht="13.5" customHeight="1" x14ac:dyDescent="0.25">
      <c r="A249" t="s">
        <v>6522</v>
      </c>
      <c r="B249">
        <v>17</v>
      </c>
    </row>
    <row r="250" spans="1:2" ht="13.5" customHeight="1" x14ac:dyDescent="0.25">
      <c r="A250" t="s">
        <v>6522</v>
      </c>
      <c r="B250">
        <v>18</v>
      </c>
    </row>
    <row r="251" spans="1:2" ht="13.5" customHeight="1" x14ac:dyDescent="0.25">
      <c r="A251" t="s">
        <v>6522</v>
      </c>
      <c r="B251">
        <v>19</v>
      </c>
    </row>
    <row r="252" spans="1:2" ht="13.5" customHeight="1" x14ac:dyDescent="0.25">
      <c r="A252" t="s">
        <v>6522</v>
      </c>
      <c r="B252">
        <v>20</v>
      </c>
    </row>
    <row r="253" spans="1:2" ht="13.5" customHeight="1" x14ac:dyDescent="0.25">
      <c r="A253" t="s">
        <v>6522</v>
      </c>
      <c r="B253">
        <v>21</v>
      </c>
    </row>
    <row r="254" spans="1:2" ht="13.5" customHeight="1" x14ac:dyDescent="0.25">
      <c r="A254" t="s">
        <v>6522</v>
      </c>
      <c r="B254">
        <v>22</v>
      </c>
    </row>
    <row r="255" spans="1:2" ht="13.5" customHeight="1" x14ac:dyDescent="0.25">
      <c r="A255" t="s">
        <v>6522</v>
      </c>
      <c r="B255">
        <v>23</v>
      </c>
    </row>
    <row r="256" spans="1:2" ht="13.5" customHeight="1" x14ac:dyDescent="0.25">
      <c r="A256" t="s">
        <v>6522</v>
      </c>
      <c r="B256">
        <v>24</v>
      </c>
    </row>
    <row r="257" spans="1:2" ht="13.5" customHeight="1" x14ac:dyDescent="0.25">
      <c r="A257" t="s">
        <v>6522</v>
      </c>
      <c r="B257">
        <v>25</v>
      </c>
    </row>
    <row r="258" spans="1:2" ht="13.5" customHeight="1" x14ac:dyDescent="0.25">
      <c r="A258" t="s">
        <v>6522</v>
      </c>
      <c r="B258">
        <v>26</v>
      </c>
    </row>
    <row r="259" spans="1:2" ht="13.5" customHeight="1" x14ac:dyDescent="0.25">
      <c r="A259" t="s">
        <v>6522</v>
      </c>
      <c r="B259">
        <v>27</v>
      </c>
    </row>
    <row r="260" spans="1:2" ht="13.5" customHeight="1" x14ac:dyDescent="0.25">
      <c r="A260" t="s">
        <v>6522</v>
      </c>
      <c r="B260">
        <v>28</v>
      </c>
    </row>
    <row r="261" spans="1:2" ht="13.5" customHeight="1" x14ac:dyDescent="0.25">
      <c r="A261" t="s">
        <v>6522</v>
      </c>
      <c r="B261">
        <v>29</v>
      </c>
    </row>
    <row r="262" spans="1:2" ht="13.5" customHeight="1" x14ac:dyDescent="0.25">
      <c r="A262" t="s">
        <v>6522</v>
      </c>
      <c r="B262">
        <v>30</v>
      </c>
    </row>
    <row r="263" spans="1:2" ht="13.5" customHeight="1" x14ac:dyDescent="0.25">
      <c r="A263" t="s">
        <v>6522</v>
      </c>
      <c r="B263">
        <v>31</v>
      </c>
    </row>
    <row r="264" spans="1:2" ht="13.5" customHeight="1" x14ac:dyDescent="0.25">
      <c r="A264" t="s">
        <v>6522</v>
      </c>
      <c r="B264">
        <v>32</v>
      </c>
    </row>
    <row r="265" spans="1:2" ht="13.5" customHeight="1" x14ac:dyDescent="0.25">
      <c r="A265" t="s">
        <v>6522</v>
      </c>
      <c r="B265">
        <v>33</v>
      </c>
    </row>
    <row r="266" spans="1:2" ht="13.5" customHeight="1" x14ac:dyDescent="0.25">
      <c r="A266" t="s">
        <v>6522</v>
      </c>
      <c r="B266">
        <v>34</v>
      </c>
    </row>
    <row r="267" spans="1:2" ht="13.5" customHeight="1" x14ac:dyDescent="0.25">
      <c r="A267" t="s">
        <v>6522</v>
      </c>
      <c r="B267">
        <v>35</v>
      </c>
    </row>
    <row r="268" spans="1:2" ht="13.5" customHeight="1" x14ac:dyDescent="0.25">
      <c r="A268" t="s">
        <v>6522</v>
      </c>
      <c r="B268">
        <v>36</v>
      </c>
    </row>
    <row r="269" spans="1:2" ht="13.5" customHeight="1" x14ac:dyDescent="0.25">
      <c r="A269" t="s">
        <v>6522</v>
      </c>
      <c r="B269">
        <v>37</v>
      </c>
    </row>
    <row r="270" spans="1:2" ht="13.5" customHeight="1" x14ac:dyDescent="0.25">
      <c r="A270" t="s">
        <v>6522</v>
      </c>
      <c r="B270">
        <v>38</v>
      </c>
    </row>
    <row r="271" spans="1:2" ht="13.5" customHeight="1" x14ac:dyDescent="0.25">
      <c r="A271" t="s">
        <v>6522</v>
      </c>
      <c r="B271">
        <v>39</v>
      </c>
    </row>
    <row r="272" spans="1:2" ht="13.5" customHeight="1" x14ac:dyDescent="0.25">
      <c r="A272" t="s">
        <v>6522</v>
      </c>
      <c r="B272">
        <v>40</v>
      </c>
    </row>
    <row r="273" spans="1:2" ht="13.5" customHeight="1" x14ac:dyDescent="0.25">
      <c r="A273" t="s">
        <v>6522</v>
      </c>
      <c r="B273">
        <v>41</v>
      </c>
    </row>
    <row r="274" spans="1:2" ht="13.5" customHeight="1" x14ac:dyDescent="0.25">
      <c r="A274" t="s">
        <v>6522</v>
      </c>
      <c r="B274">
        <v>42</v>
      </c>
    </row>
    <row r="275" spans="1:2" ht="13.5" customHeight="1" x14ac:dyDescent="0.25">
      <c r="A275" t="s">
        <v>6522</v>
      </c>
      <c r="B275">
        <v>43</v>
      </c>
    </row>
    <row r="276" spans="1:2" ht="13.5" customHeight="1" x14ac:dyDescent="0.25">
      <c r="A276" t="s">
        <v>6522</v>
      </c>
      <c r="B276">
        <v>44</v>
      </c>
    </row>
    <row r="277" spans="1:2" ht="13.5" customHeight="1" x14ac:dyDescent="0.25">
      <c r="A277" t="s">
        <v>6522</v>
      </c>
      <c r="B277">
        <v>45</v>
      </c>
    </row>
    <row r="278" spans="1:2" ht="13.5" customHeight="1" x14ac:dyDescent="0.25">
      <c r="A278" t="s">
        <v>6522</v>
      </c>
      <c r="B278">
        <v>46</v>
      </c>
    </row>
    <row r="279" spans="1:2" ht="13.5" customHeight="1" x14ac:dyDescent="0.25">
      <c r="A279" t="s">
        <v>6522</v>
      </c>
      <c r="B279">
        <v>47</v>
      </c>
    </row>
    <row r="280" spans="1:2" ht="13.5" customHeight="1" x14ac:dyDescent="0.25">
      <c r="A280" t="s">
        <v>6522</v>
      </c>
      <c r="B280">
        <v>48</v>
      </c>
    </row>
    <row r="281" spans="1:2" ht="13.5" customHeight="1" x14ac:dyDescent="0.25">
      <c r="A281" t="s">
        <v>6522</v>
      </c>
      <c r="B281">
        <v>49</v>
      </c>
    </row>
    <row r="282" spans="1:2" ht="13.5" customHeight="1" x14ac:dyDescent="0.25">
      <c r="A282" t="s">
        <v>6522</v>
      </c>
      <c r="B282">
        <v>50</v>
      </c>
    </row>
    <row r="283" spans="1:2" ht="13.5" customHeight="1" x14ac:dyDescent="0.25">
      <c r="A283" t="s">
        <v>6522</v>
      </c>
      <c r="B283">
        <v>51</v>
      </c>
    </row>
    <row r="284" spans="1:2" ht="13.5" customHeight="1" x14ac:dyDescent="0.25">
      <c r="A284" t="s">
        <v>6522</v>
      </c>
      <c r="B284">
        <v>52</v>
      </c>
    </row>
    <row r="285" spans="1:2" ht="13.5" customHeight="1" x14ac:dyDescent="0.25">
      <c r="A285" t="s">
        <v>6522</v>
      </c>
      <c r="B285">
        <v>53</v>
      </c>
    </row>
    <row r="286" spans="1:2" ht="13.5" customHeight="1" x14ac:dyDescent="0.25">
      <c r="A286" t="s">
        <v>6522</v>
      </c>
      <c r="B286">
        <v>54</v>
      </c>
    </row>
    <row r="287" spans="1:2" ht="13.5" customHeight="1" x14ac:dyDescent="0.25">
      <c r="A287" t="s">
        <v>6523</v>
      </c>
      <c r="B287">
        <v>1</v>
      </c>
    </row>
    <row r="288" spans="1:2" ht="13.5" customHeight="1" x14ac:dyDescent="0.25">
      <c r="A288" t="s">
        <v>6523</v>
      </c>
      <c r="B288">
        <v>2</v>
      </c>
    </row>
    <row r="289" spans="1:2" ht="13.5" customHeight="1" x14ac:dyDescent="0.25">
      <c r="A289" t="s">
        <v>6523</v>
      </c>
      <c r="B289">
        <v>3</v>
      </c>
    </row>
    <row r="290" spans="1:2" ht="13.5" customHeight="1" x14ac:dyDescent="0.25">
      <c r="A290" t="s">
        <v>6523</v>
      </c>
      <c r="B290">
        <v>4</v>
      </c>
    </row>
    <row r="291" spans="1:2" ht="13.5" customHeight="1" x14ac:dyDescent="0.25">
      <c r="A291" t="s">
        <v>6523</v>
      </c>
      <c r="B291">
        <v>5</v>
      </c>
    </row>
    <row r="292" spans="1:2" ht="13.5" customHeight="1" x14ac:dyDescent="0.25">
      <c r="A292" t="s">
        <v>6523</v>
      </c>
      <c r="B292">
        <v>6</v>
      </c>
    </row>
    <row r="293" spans="1:2" ht="13.5" customHeight="1" x14ac:dyDescent="0.25">
      <c r="A293" t="s">
        <v>6523</v>
      </c>
      <c r="B293">
        <v>7</v>
      </c>
    </row>
    <row r="294" spans="1:2" ht="13.5" customHeight="1" x14ac:dyDescent="0.25">
      <c r="A294" t="s">
        <v>6523</v>
      </c>
      <c r="B294">
        <v>8</v>
      </c>
    </row>
    <row r="295" spans="1:2" ht="13.5" customHeight="1" x14ac:dyDescent="0.25">
      <c r="A295" t="s">
        <v>6523</v>
      </c>
      <c r="B295">
        <v>9</v>
      </c>
    </row>
    <row r="296" spans="1:2" ht="13.5" customHeight="1" x14ac:dyDescent="0.25">
      <c r="A296" t="s">
        <v>6523</v>
      </c>
      <c r="B296">
        <v>10</v>
      </c>
    </row>
    <row r="297" spans="1:2" ht="13.5" customHeight="1" x14ac:dyDescent="0.25">
      <c r="A297" t="s">
        <v>6523</v>
      </c>
      <c r="B297">
        <v>11</v>
      </c>
    </row>
    <row r="298" spans="1:2" ht="13.5" customHeight="1" x14ac:dyDescent="0.25">
      <c r="A298" t="s">
        <v>6523</v>
      </c>
      <c r="B298">
        <v>12</v>
      </c>
    </row>
    <row r="299" spans="1:2" ht="13.5" customHeight="1" x14ac:dyDescent="0.25">
      <c r="A299" t="s">
        <v>6523</v>
      </c>
      <c r="B299">
        <v>13</v>
      </c>
    </row>
    <row r="300" spans="1:2" ht="13.5" customHeight="1" x14ac:dyDescent="0.25">
      <c r="A300" t="s">
        <v>6523</v>
      </c>
      <c r="B300">
        <v>14</v>
      </c>
    </row>
    <row r="301" spans="1:2" ht="13.5" customHeight="1" x14ac:dyDescent="0.25">
      <c r="A301" t="s">
        <v>6523</v>
      </c>
      <c r="B301">
        <v>15</v>
      </c>
    </row>
    <row r="302" spans="1:2" ht="13.5" customHeight="1" x14ac:dyDescent="0.25">
      <c r="A302" t="s">
        <v>6523</v>
      </c>
      <c r="B302">
        <v>16</v>
      </c>
    </row>
    <row r="303" spans="1:2" ht="13.5" customHeight="1" x14ac:dyDescent="0.25">
      <c r="A303" t="s">
        <v>6523</v>
      </c>
      <c r="B303">
        <v>17</v>
      </c>
    </row>
    <row r="304" spans="1:2" ht="13.5" customHeight="1" x14ac:dyDescent="0.25">
      <c r="A304" t="s">
        <v>6523</v>
      </c>
      <c r="B304">
        <v>18</v>
      </c>
    </row>
    <row r="305" spans="1:2" ht="13.5" customHeight="1" x14ac:dyDescent="0.25">
      <c r="A305" t="s">
        <v>6523</v>
      </c>
      <c r="B305">
        <v>19</v>
      </c>
    </row>
    <row r="306" spans="1:2" ht="13.5" customHeight="1" x14ac:dyDescent="0.25">
      <c r="A306" t="s">
        <v>6523</v>
      </c>
      <c r="B306">
        <v>20</v>
      </c>
    </row>
    <row r="307" spans="1:2" ht="13.5" customHeight="1" x14ac:dyDescent="0.25">
      <c r="A307" t="s">
        <v>6523</v>
      </c>
      <c r="B307">
        <v>21</v>
      </c>
    </row>
    <row r="308" spans="1:2" ht="13.5" customHeight="1" x14ac:dyDescent="0.25">
      <c r="A308" t="s">
        <v>6523</v>
      </c>
      <c r="B308">
        <v>22</v>
      </c>
    </row>
    <row r="309" spans="1:2" ht="13.5" customHeight="1" x14ac:dyDescent="0.25">
      <c r="A309" t="s">
        <v>6523</v>
      </c>
      <c r="B309">
        <v>23</v>
      </c>
    </row>
    <row r="310" spans="1:2" ht="13.5" customHeight="1" x14ac:dyDescent="0.25">
      <c r="A310" t="s">
        <v>6523</v>
      </c>
      <c r="B310">
        <v>24</v>
      </c>
    </row>
    <row r="311" spans="1:2" ht="13.5" customHeight="1" x14ac:dyDescent="0.25">
      <c r="A311" t="s">
        <v>6523</v>
      </c>
      <c r="B311">
        <v>25</v>
      </c>
    </row>
    <row r="312" spans="1:2" ht="13.5" customHeight="1" x14ac:dyDescent="0.25">
      <c r="A312" t="s">
        <v>6523</v>
      </c>
      <c r="B312">
        <v>26</v>
      </c>
    </row>
    <row r="313" spans="1:2" ht="13.5" customHeight="1" x14ac:dyDescent="0.25">
      <c r="A313" t="s">
        <v>6523</v>
      </c>
      <c r="B313">
        <v>27</v>
      </c>
    </row>
    <row r="314" spans="1:2" ht="13.5" customHeight="1" x14ac:dyDescent="0.25">
      <c r="A314" t="s">
        <v>6523</v>
      </c>
      <c r="B314">
        <v>28</v>
      </c>
    </row>
    <row r="315" spans="1:2" ht="13.5" customHeight="1" x14ac:dyDescent="0.25">
      <c r="A315" t="s">
        <v>6523</v>
      </c>
      <c r="B315">
        <v>29</v>
      </c>
    </row>
    <row r="316" spans="1:2" ht="13.5" customHeight="1" x14ac:dyDescent="0.25">
      <c r="A316" t="s">
        <v>6523</v>
      </c>
      <c r="B316">
        <v>30</v>
      </c>
    </row>
    <row r="317" spans="1:2" ht="13.5" customHeight="1" x14ac:dyDescent="0.25">
      <c r="A317" t="s">
        <v>6523</v>
      </c>
      <c r="B317">
        <v>31</v>
      </c>
    </row>
    <row r="318" spans="1:2" ht="13.5" customHeight="1" x14ac:dyDescent="0.25">
      <c r="A318" t="s">
        <v>6523</v>
      </c>
      <c r="B318">
        <v>32</v>
      </c>
    </row>
    <row r="319" spans="1:2" ht="13.5" customHeight="1" x14ac:dyDescent="0.25">
      <c r="A319" t="s">
        <v>6523</v>
      </c>
      <c r="B319">
        <v>33</v>
      </c>
    </row>
    <row r="320" spans="1:2" ht="13.5" customHeight="1" x14ac:dyDescent="0.25">
      <c r="A320" t="s">
        <v>6523</v>
      </c>
      <c r="B320">
        <v>34</v>
      </c>
    </row>
    <row r="321" spans="1:2" ht="13.5" customHeight="1" x14ac:dyDescent="0.25">
      <c r="A321" t="s">
        <v>6523</v>
      </c>
      <c r="B321">
        <v>35</v>
      </c>
    </row>
    <row r="322" spans="1:2" ht="13.5" customHeight="1" x14ac:dyDescent="0.25">
      <c r="A322" t="s">
        <v>6523</v>
      </c>
      <c r="B322">
        <v>36</v>
      </c>
    </row>
    <row r="323" spans="1:2" ht="13.5" customHeight="1" x14ac:dyDescent="0.25">
      <c r="A323" t="s">
        <v>6523</v>
      </c>
      <c r="B323">
        <v>37</v>
      </c>
    </row>
    <row r="324" spans="1:2" ht="13.5" customHeight="1" x14ac:dyDescent="0.25">
      <c r="A324" t="s">
        <v>6523</v>
      </c>
      <c r="B324">
        <v>38</v>
      </c>
    </row>
    <row r="325" spans="1:2" ht="13.5" customHeight="1" x14ac:dyDescent="0.25">
      <c r="A325" t="s">
        <v>6523</v>
      </c>
      <c r="B325">
        <v>39</v>
      </c>
    </row>
    <row r="326" spans="1:2" ht="13.5" customHeight="1" x14ac:dyDescent="0.25">
      <c r="A326" t="s">
        <v>6523</v>
      </c>
      <c r="B326">
        <v>40</v>
      </c>
    </row>
    <row r="327" spans="1:2" ht="13.5" customHeight="1" x14ac:dyDescent="0.25">
      <c r="A327" t="s">
        <v>6523</v>
      </c>
      <c r="B327">
        <v>41</v>
      </c>
    </row>
    <row r="328" spans="1:2" ht="13.5" customHeight="1" x14ac:dyDescent="0.25">
      <c r="A328" t="s">
        <v>6523</v>
      </c>
      <c r="B328">
        <v>42</v>
      </c>
    </row>
    <row r="329" spans="1:2" ht="13.5" customHeight="1" x14ac:dyDescent="0.25">
      <c r="A329" t="s">
        <v>6523</v>
      </c>
      <c r="B329">
        <v>43</v>
      </c>
    </row>
    <row r="330" spans="1:2" ht="13.5" customHeight="1" x14ac:dyDescent="0.25">
      <c r="A330" t="s">
        <v>6523</v>
      </c>
      <c r="B330">
        <v>44</v>
      </c>
    </row>
    <row r="331" spans="1:2" ht="13.5" customHeight="1" x14ac:dyDescent="0.25">
      <c r="A331" t="s">
        <v>6523</v>
      </c>
      <c r="B331">
        <v>45</v>
      </c>
    </row>
    <row r="332" spans="1:2" ht="13.5" customHeight="1" x14ac:dyDescent="0.25">
      <c r="A332" t="s">
        <v>6523</v>
      </c>
      <c r="B332">
        <v>46</v>
      </c>
    </row>
    <row r="333" spans="1:2" ht="13.5" customHeight="1" x14ac:dyDescent="0.25">
      <c r="A333" t="s">
        <v>6523</v>
      </c>
      <c r="B333">
        <v>47</v>
      </c>
    </row>
    <row r="334" spans="1:2" ht="13.5" customHeight="1" x14ac:dyDescent="0.25">
      <c r="A334" t="s">
        <v>6523</v>
      </c>
      <c r="B334">
        <v>48</v>
      </c>
    </row>
    <row r="335" spans="1:2" ht="13.5" customHeight="1" x14ac:dyDescent="0.25">
      <c r="A335" t="s">
        <v>6523</v>
      </c>
      <c r="B335">
        <v>49</v>
      </c>
    </row>
    <row r="336" spans="1:2" ht="13.5" customHeight="1" x14ac:dyDescent="0.25">
      <c r="A336" t="s">
        <v>6523</v>
      </c>
      <c r="B336">
        <v>50</v>
      </c>
    </row>
    <row r="337" spans="1:2" ht="13.5" customHeight="1" x14ac:dyDescent="0.25">
      <c r="A337" t="s">
        <v>6523</v>
      </c>
      <c r="B337">
        <v>51</v>
      </c>
    </row>
    <row r="338" spans="1:2" ht="13.5" customHeight="1" x14ac:dyDescent="0.25">
      <c r="A338" t="s">
        <v>6523</v>
      </c>
      <c r="B338">
        <v>52</v>
      </c>
    </row>
    <row r="339" spans="1:2" ht="13.5" customHeight="1" x14ac:dyDescent="0.25">
      <c r="A339" t="s">
        <v>6523</v>
      </c>
      <c r="B339">
        <v>53</v>
      </c>
    </row>
    <row r="340" spans="1:2" ht="13.5" customHeight="1" x14ac:dyDescent="0.25">
      <c r="A340" t="s">
        <v>6523</v>
      </c>
      <c r="B340">
        <v>54</v>
      </c>
    </row>
    <row r="341" spans="1:2" ht="13.5" customHeight="1" x14ac:dyDescent="0.25">
      <c r="A341" t="s">
        <v>6524</v>
      </c>
      <c r="B341">
        <v>1</v>
      </c>
    </row>
    <row r="342" spans="1:2" ht="13.5" customHeight="1" x14ac:dyDescent="0.25">
      <c r="A342" t="s">
        <v>6524</v>
      </c>
      <c r="B342">
        <v>2</v>
      </c>
    </row>
    <row r="343" spans="1:2" ht="13.5" customHeight="1" x14ac:dyDescent="0.25">
      <c r="A343" t="s">
        <v>6524</v>
      </c>
      <c r="B343">
        <v>3</v>
      </c>
    </row>
    <row r="344" spans="1:2" ht="13.5" customHeight="1" x14ac:dyDescent="0.25">
      <c r="A344" t="s">
        <v>6524</v>
      </c>
      <c r="B344">
        <v>4</v>
      </c>
    </row>
    <row r="345" spans="1:2" ht="13.5" customHeight="1" x14ac:dyDescent="0.25">
      <c r="A345" t="s">
        <v>6524</v>
      </c>
      <c r="B345">
        <v>5</v>
      </c>
    </row>
    <row r="346" spans="1:2" ht="13.5" customHeight="1" x14ac:dyDescent="0.25">
      <c r="A346" t="s">
        <v>6524</v>
      </c>
      <c r="B346">
        <v>6</v>
      </c>
    </row>
    <row r="347" spans="1:2" ht="13.5" customHeight="1" x14ac:dyDescent="0.25">
      <c r="A347" t="s">
        <v>6524</v>
      </c>
      <c r="B347">
        <v>7</v>
      </c>
    </row>
    <row r="348" spans="1:2" ht="13.5" customHeight="1" x14ac:dyDescent="0.25">
      <c r="A348" t="s">
        <v>6524</v>
      </c>
      <c r="B348">
        <v>8</v>
      </c>
    </row>
    <row r="349" spans="1:2" ht="13.5" customHeight="1" x14ac:dyDescent="0.25">
      <c r="A349" t="s">
        <v>6524</v>
      </c>
      <c r="B349">
        <v>9</v>
      </c>
    </row>
    <row r="350" spans="1:2" ht="13.5" customHeight="1" x14ac:dyDescent="0.25">
      <c r="A350" t="s">
        <v>6524</v>
      </c>
      <c r="B350">
        <v>10</v>
      </c>
    </row>
    <row r="351" spans="1:2" ht="13.5" customHeight="1" x14ac:dyDescent="0.25">
      <c r="A351" t="s">
        <v>6524</v>
      </c>
      <c r="B351">
        <v>11</v>
      </c>
    </row>
    <row r="352" spans="1:2" ht="13.5" customHeight="1" x14ac:dyDescent="0.25">
      <c r="A352" t="s">
        <v>6524</v>
      </c>
      <c r="B352">
        <v>12</v>
      </c>
    </row>
    <row r="353" spans="1:2" ht="13.5" customHeight="1" x14ac:dyDescent="0.25">
      <c r="A353" t="s">
        <v>6524</v>
      </c>
      <c r="B353">
        <v>13</v>
      </c>
    </row>
    <row r="354" spans="1:2" ht="13.5" customHeight="1" x14ac:dyDescent="0.25">
      <c r="A354" t="s">
        <v>6524</v>
      </c>
      <c r="B354">
        <v>14</v>
      </c>
    </row>
    <row r="355" spans="1:2" ht="13.5" customHeight="1" x14ac:dyDescent="0.25">
      <c r="A355" t="s">
        <v>6524</v>
      </c>
      <c r="B355">
        <v>15</v>
      </c>
    </row>
    <row r="356" spans="1:2" ht="13.5" customHeight="1" x14ac:dyDescent="0.25">
      <c r="A356" t="s">
        <v>6524</v>
      </c>
      <c r="B356">
        <v>16</v>
      </c>
    </row>
    <row r="357" spans="1:2" ht="13.5" customHeight="1" x14ac:dyDescent="0.25">
      <c r="A357" t="s">
        <v>6524</v>
      </c>
      <c r="B357">
        <v>17</v>
      </c>
    </row>
    <row r="358" spans="1:2" ht="13.5" customHeight="1" x14ac:dyDescent="0.25">
      <c r="A358" t="s">
        <v>6524</v>
      </c>
      <c r="B358">
        <v>18</v>
      </c>
    </row>
    <row r="359" spans="1:2" ht="13.5" customHeight="1" x14ac:dyDescent="0.25">
      <c r="A359" t="s">
        <v>6524</v>
      </c>
      <c r="B359">
        <v>19</v>
      </c>
    </row>
    <row r="360" spans="1:2" ht="13.5" customHeight="1" x14ac:dyDescent="0.25">
      <c r="A360" t="s">
        <v>6524</v>
      </c>
      <c r="B360">
        <v>20</v>
      </c>
    </row>
    <row r="361" spans="1:2" ht="13.5" customHeight="1" x14ac:dyDescent="0.25">
      <c r="A361" t="s">
        <v>6524</v>
      </c>
      <c r="B361">
        <v>21</v>
      </c>
    </row>
    <row r="362" spans="1:2" ht="13.5" customHeight="1" x14ac:dyDescent="0.25">
      <c r="A362" t="s">
        <v>6524</v>
      </c>
      <c r="B362">
        <v>22</v>
      </c>
    </row>
    <row r="363" spans="1:2" ht="13.5" customHeight="1" x14ac:dyDescent="0.25">
      <c r="A363" t="s">
        <v>6524</v>
      </c>
      <c r="B363">
        <v>23</v>
      </c>
    </row>
    <row r="364" spans="1:2" ht="13.5" customHeight="1" x14ac:dyDescent="0.25">
      <c r="A364" t="s">
        <v>6524</v>
      </c>
      <c r="B364">
        <v>24</v>
      </c>
    </row>
    <row r="365" spans="1:2" ht="13.5" customHeight="1" x14ac:dyDescent="0.25">
      <c r="A365" t="s">
        <v>6524</v>
      </c>
      <c r="B365">
        <v>25</v>
      </c>
    </row>
    <row r="366" spans="1:2" ht="13.5" customHeight="1" x14ac:dyDescent="0.25">
      <c r="A366" t="s">
        <v>6524</v>
      </c>
      <c r="B366">
        <v>26</v>
      </c>
    </row>
    <row r="367" spans="1:2" ht="13.5" customHeight="1" x14ac:dyDescent="0.25">
      <c r="A367" t="s">
        <v>6524</v>
      </c>
      <c r="B367">
        <v>27</v>
      </c>
    </row>
    <row r="368" spans="1:2" ht="13.5" customHeight="1" x14ac:dyDescent="0.25">
      <c r="A368" t="s">
        <v>6524</v>
      </c>
      <c r="B368">
        <v>28</v>
      </c>
    </row>
    <row r="369" spans="1:2" ht="13.5" customHeight="1" x14ac:dyDescent="0.25">
      <c r="A369" t="s">
        <v>6524</v>
      </c>
      <c r="B369">
        <v>29</v>
      </c>
    </row>
    <row r="370" spans="1:2" ht="13.5" customHeight="1" x14ac:dyDescent="0.25">
      <c r="A370" t="s">
        <v>6524</v>
      </c>
      <c r="B370">
        <v>30</v>
      </c>
    </row>
    <row r="371" spans="1:2" ht="13.5" customHeight="1" x14ac:dyDescent="0.25">
      <c r="A371" t="s">
        <v>6524</v>
      </c>
      <c r="B371">
        <v>31</v>
      </c>
    </row>
    <row r="372" spans="1:2" ht="13.5" customHeight="1" x14ac:dyDescent="0.25">
      <c r="A372" t="s">
        <v>6524</v>
      </c>
      <c r="B372">
        <v>32</v>
      </c>
    </row>
    <row r="373" spans="1:2" ht="13.5" customHeight="1" x14ac:dyDescent="0.25">
      <c r="A373" t="s">
        <v>6524</v>
      </c>
      <c r="B373">
        <v>33</v>
      </c>
    </row>
    <row r="374" spans="1:2" ht="13.5" customHeight="1" x14ac:dyDescent="0.25">
      <c r="A374" t="s">
        <v>6524</v>
      </c>
      <c r="B374">
        <v>34</v>
      </c>
    </row>
    <row r="375" spans="1:2" ht="13.5" customHeight="1" x14ac:dyDescent="0.25">
      <c r="A375" t="s">
        <v>6524</v>
      </c>
      <c r="B375">
        <v>35</v>
      </c>
    </row>
    <row r="376" spans="1:2" ht="13.5" customHeight="1" x14ac:dyDescent="0.25">
      <c r="A376" t="s">
        <v>6524</v>
      </c>
      <c r="B376">
        <v>36</v>
      </c>
    </row>
    <row r="377" spans="1:2" ht="13.5" customHeight="1" x14ac:dyDescent="0.25">
      <c r="A377" t="s">
        <v>6526</v>
      </c>
      <c r="B377">
        <v>1</v>
      </c>
    </row>
    <row r="378" spans="1:2" ht="13.5" customHeight="1" x14ac:dyDescent="0.25">
      <c r="A378" t="s">
        <v>6526</v>
      </c>
      <c r="B378">
        <v>2</v>
      </c>
    </row>
    <row r="379" spans="1:2" ht="13.5" customHeight="1" x14ac:dyDescent="0.25">
      <c r="A379" t="s">
        <v>6526</v>
      </c>
      <c r="B379">
        <v>3</v>
      </c>
    </row>
    <row r="380" spans="1:2" ht="13.5" customHeight="1" x14ac:dyDescent="0.25">
      <c r="A380" t="s">
        <v>6526</v>
      </c>
      <c r="B380">
        <v>4</v>
      </c>
    </row>
    <row r="381" spans="1:2" ht="13.5" customHeight="1" x14ac:dyDescent="0.25">
      <c r="A381" t="s">
        <v>6526</v>
      </c>
      <c r="B381">
        <v>5</v>
      </c>
    </row>
    <row r="382" spans="1:2" ht="13.5" customHeight="1" x14ac:dyDescent="0.25">
      <c r="A382" t="s">
        <v>6526</v>
      </c>
      <c r="B382">
        <v>6</v>
      </c>
    </row>
    <row r="383" spans="1:2" ht="13.5" customHeight="1" x14ac:dyDescent="0.25">
      <c r="A383" t="s">
        <v>6526</v>
      </c>
      <c r="B383">
        <v>7</v>
      </c>
    </row>
    <row r="384" spans="1:2" ht="13.5" customHeight="1" x14ac:dyDescent="0.25">
      <c r="A384" t="s">
        <v>6526</v>
      </c>
      <c r="B384">
        <v>8</v>
      </c>
    </row>
    <row r="385" spans="1:2" ht="13.5" customHeight="1" x14ac:dyDescent="0.25">
      <c r="A385" t="s">
        <v>6526</v>
      </c>
      <c r="B385">
        <v>9</v>
      </c>
    </row>
    <row r="386" spans="1:2" ht="13.5" customHeight="1" x14ac:dyDescent="0.25">
      <c r="A386" t="s">
        <v>6526</v>
      </c>
      <c r="B386">
        <v>10</v>
      </c>
    </row>
    <row r="387" spans="1:2" ht="13.5" customHeight="1" x14ac:dyDescent="0.25">
      <c r="A387" t="s">
        <v>6526</v>
      </c>
      <c r="B387">
        <v>11</v>
      </c>
    </row>
    <row r="388" spans="1:2" ht="13.5" customHeight="1" x14ac:dyDescent="0.25">
      <c r="A388" t="s">
        <v>6526</v>
      </c>
      <c r="B388">
        <v>12</v>
      </c>
    </row>
    <row r="389" spans="1:2" ht="13.5" customHeight="1" x14ac:dyDescent="0.25">
      <c r="A389" t="s">
        <v>6526</v>
      </c>
      <c r="B389">
        <v>13</v>
      </c>
    </row>
    <row r="390" spans="1:2" ht="13.5" customHeight="1" x14ac:dyDescent="0.25">
      <c r="A390" t="s">
        <v>6526</v>
      </c>
      <c r="B390">
        <v>14</v>
      </c>
    </row>
    <row r="391" spans="1:2" ht="13.5" customHeight="1" x14ac:dyDescent="0.25">
      <c r="A391" t="s">
        <v>6526</v>
      </c>
      <c r="B391">
        <v>15</v>
      </c>
    </row>
    <row r="392" spans="1:2" ht="13.5" customHeight="1" x14ac:dyDescent="0.25">
      <c r="A392" t="s">
        <v>6526</v>
      </c>
      <c r="B392">
        <v>16</v>
      </c>
    </row>
    <row r="393" spans="1:2" ht="13.5" customHeight="1" x14ac:dyDescent="0.25">
      <c r="A393" t="s">
        <v>6526</v>
      </c>
      <c r="B393">
        <v>17</v>
      </c>
    </row>
    <row r="394" spans="1:2" ht="13.5" customHeight="1" x14ac:dyDescent="0.25">
      <c r="A394" t="s">
        <v>6526</v>
      </c>
      <c r="B394">
        <v>18</v>
      </c>
    </row>
    <row r="395" spans="1:2" ht="13.5" customHeight="1" x14ac:dyDescent="0.25">
      <c r="A395" t="s">
        <v>6526</v>
      </c>
      <c r="B395">
        <v>19</v>
      </c>
    </row>
    <row r="396" spans="1:2" ht="13.5" customHeight="1" x14ac:dyDescent="0.25">
      <c r="A396" t="s">
        <v>6526</v>
      </c>
      <c r="B396">
        <v>20</v>
      </c>
    </row>
    <row r="397" spans="1:2" ht="13.5" customHeight="1" x14ac:dyDescent="0.25">
      <c r="A397" t="s">
        <v>6526</v>
      </c>
      <c r="B397">
        <v>21</v>
      </c>
    </row>
    <row r="398" spans="1:2" ht="13.5" customHeight="1" x14ac:dyDescent="0.25">
      <c r="A398" t="s">
        <v>6526</v>
      </c>
      <c r="B398">
        <v>22</v>
      </c>
    </row>
    <row r="399" spans="1:2" ht="13.5" customHeight="1" x14ac:dyDescent="0.25">
      <c r="A399" t="s">
        <v>6526</v>
      </c>
      <c r="B399">
        <v>23</v>
      </c>
    </row>
    <row r="400" spans="1:2" ht="13.5" customHeight="1" x14ac:dyDescent="0.25">
      <c r="A400" t="s">
        <v>6526</v>
      </c>
      <c r="B400">
        <v>24</v>
      </c>
    </row>
    <row r="401" spans="1:2" ht="13.5" customHeight="1" x14ac:dyDescent="0.25">
      <c r="A401" t="s">
        <v>6526</v>
      </c>
      <c r="B401">
        <v>25</v>
      </c>
    </row>
    <row r="402" spans="1:2" ht="13.5" customHeight="1" x14ac:dyDescent="0.25">
      <c r="A402" t="s">
        <v>6526</v>
      </c>
      <c r="B402">
        <v>26</v>
      </c>
    </row>
    <row r="403" spans="1:2" ht="13.5" customHeight="1" x14ac:dyDescent="0.25">
      <c r="A403" t="s">
        <v>6526</v>
      </c>
      <c r="B403">
        <v>27</v>
      </c>
    </row>
    <row r="404" spans="1:2" ht="13.5" customHeight="1" x14ac:dyDescent="0.25">
      <c r="A404" t="s">
        <v>6526</v>
      </c>
      <c r="B404">
        <v>28</v>
      </c>
    </row>
    <row r="405" spans="1:2" ht="13.5" customHeight="1" x14ac:dyDescent="0.25">
      <c r="A405" t="s">
        <v>6526</v>
      </c>
      <c r="B405">
        <v>29</v>
      </c>
    </row>
    <row r="406" spans="1:2" ht="13.5" customHeight="1" x14ac:dyDescent="0.25">
      <c r="A406" t="s">
        <v>6526</v>
      </c>
      <c r="B406">
        <v>30</v>
      </c>
    </row>
    <row r="407" spans="1:2" ht="13.5" customHeight="1" x14ac:dyDescent="0.25">
      <c r="A407" t="s">
        <v>6526</v>
      </c>
      <c r="B407">
        <v>31</v>
      </c>
    </row>
    <row r="408" spans="1:2" ht="13.5" customHeight="1" x14ac:dyDescent="0.25">
      <c r="A408" t="s">
        <v>6526</v>
      </c>
      <c r="B408">
        <v>32</v>
      </c>
    </row>
    <row r="409" spans="1:2" ht="13.5" customHeight="1" x14ac:dyDescent="0.25">
      <c r="A409" t="s">
        <v>6526</v>
      </c>
      <c r="B409">
        <v>33</v>
      </c>
    </row>
    <row r="410" spans="1:2" ht="13.5" customHeight="1" x14ac:dyDescent="0.25">
      <c r="A410" t="s">
        <v>6526</v>
      </c>
      <c r="B410">
        <v>34</v>
      </c>
    </row>
    <row r="411" spans="1:2" ht="13.5" customHeight="1" x14ac:dyDescent="0.25">
      <c r="A411" t="s">
        <v>6526</v>
      </c>
      <c r="B411">
        <v>35</v>
      </c>
    </row>
    <row r="412" spans="1:2" ht="13.5" customHeight="1" x14ac:dyDescent="0.25">
      <c r="A412" t="s">
        <v>6526</v>
      </c>
      <c r="B412">
        <v>36</v>
      </c>
    </row>
    <row r="413" spans="1:2" ht="13.5" customHeight="1" x14ac:dyDescent="0.25">
      <c r="A413" t="s">
        <v>6528</v>
      </c>
      <c r="B413">
        <v>1</v>
      </c>
    </row>
    <row r="414" spans="1:2" ht="13.5" customHeight="1" x14ac:dyDescent="0.25">
      <c r="A414" t="s">
        <v>6528</v>
      </c>
      <c r="B414">
        <v>2</v>
      </c>
    </row>
    <row r="415" spans="1:2" ht="13.5" customHeight="1" x14ac:dyDescent="0.25">
      <c r="A415" t="s">
        <v>6528</v>
      </c>
      <c r="B415">
        <v>3</v>
      </c>
    </row>
    <row r="416" spans="1:2" ht="13.5" customHeight="1" x14ac:dyDescent="0.25">
      <c r="A416" t="s">
        <v>6528</v>
      </c>
      <c r="B416">
        <v>4</v>
      </c>
    </row>
    <row r="417" spans="1:2" ht="13.5" customHeight="1" x14ac:dyDescent="0.25">
      <c r="A417" t="s">
        <v>6528</v>
      </c>
      <c r="B417">
        <v>5</v>
      </c>
    </row>
    <row r="418" spans="1:2" ht="13.5" customHeight="1" x14ac:dyDescent="0.25">
      <c r="A418" t="s">
        <v>6528</v>
      </c>
      <c r="B418">
        <v>6</v>
      </c>
    </row>
    <row r="419" spans="1:2" ht="13.5" customHeight="1" x14ac:dyDescent="0.25">
      <c r="A419" t="s">
        <v>6528</v>
      </c>
      <c r="B419">
        <v>7</v>
      </c>
    </row>
    <row r="420" spans="1:2" ht="13.5" customHeight="1" x14ac:dyDescent="0.25">
      <c r="A420" t="s">
        <v>6528</v>
      </c>
      <c r="B420">
        <v>8</v>
      </c>
    </row>
    <row r="421" spans="1:2" ht="13.5" customHeight="1" x14ac:dyDescent="0.25">
      <c r="A421" t="s">
        <v>6528</v>
      </c>
      <c r="B421">
        <v>9</v>
      </c>
    </row>
    <row r="422" spans="1:2" ht="13.5" customHeight="1" x14ac:dyDescent="0.25">
      <c r="A422" t="s">
        <v>6528</v>
      </c>
      <c r="B422">
        <v>10</v>
      </c>
    </row>
    <row r="423" spans="1:2" ht="13.5" customHeight="1" x14ac:dyDescent="0.25">
      <c r="A423" t="s">
        <v>6528</v>
      </c>
      <c r="B423">
        <v>11</v>
      </c>
    </row>
    <row r="424" spans="1:2" ht="13.5" customHeight="1" x14ac:dyDescent="0.25">
      <c r="A424" t="s">
        <v>6528</v>
      </c>
      <c r="B424">
        <v>12</v>
      </c>
    </row>
    <row r="425" spans="1:2" ht="13.5" customHeight="1" x14ac:dyDescent="0.25">
      <c r="A425" t="s">
        <v>6528</v>
      </c>
      <c r="B425">
        <v>13</v>
      </c>
    </row>
    <row r="426" spans="1:2" ht="13.5" customHeight="1" x14ac:dyDescent="0.25">
      <c r="A426" t="s">
        <v>6528</v>
      </c>
      <c r="B426">
        <v>14</v>
      </c>
    </row>
    <row r="427" spans="1:2" ht="13.5" customHeight="1" x14ac:dyDescent="0.25">
      <c r="A427" t="s">
        <v>6528</v>
      </c>
      <c r="B427">
        <v>15</v>
      </c>
    </row>
    <row r="428" spans="1:2" ht="13.5" customHeight="1" x14ac:dyDescent="0.25">
      <c r="A428" t="s">
        <v>6528</v>
      </c>
      <c r="B428">
        <v>16</v>
      </c>
    </row>
    <row r="429" spans="1:2" ht="13.5" customHeight="1" x14ac:dyDescent="0.25">
      <c r="A429" t="s">
        <v>6528</v>
      </c>
      <c r="B429">
        <v>17</v>
      </c>
    </row>
    <row r="430" spans="1:2" ht="13.5" customHeight="1" x14ac:dyDescent="0.25">
      <c r="A430" t="s">
        <v>6528</v>
      </c>
      <c r="B430">
        <v>18</v>
      </c>
    </row>
    <row r="431" spans="1:2" ht="13.5" customHeight="1" x14ac:dyDescent="0.25">
      <c r="A431" t="s">
        <v>6528</v>
      </c>
      <c r="B431">
        <v>19</v>
      </c>
    </row>
    <row r="432" spans="1:2" ht="13.5" customHeight="1" x14ac:dyDescent="0.25">
      <c r="A432" t="s">
        <v>6528</v>
      </c>
      <c r="B432">
        <v>20</v>
      </c>
    </row>
    <row r="433" spans="1:2" ht="13.5" customHeight="1" x14ac:dyDescent="0.25">
      <c r="A433" t="s">
        <v>6528</v>
      </c>
      <c r="B433">
        <v>21</v>
      </c>
    </row>
    <row r="434" spans="1:2" ht="13.5" customHeight="1" x14ac:dyDescent="0.25">
      <c r="A434" t="s">
        <v>6528</v>
      </c>
      <c r="B434">
        <v>22</v>
      </c>
    </row>
    <row r="435" spans="1:2" ht="13.5" customHeight="1" x14ac:dyDescent="0.25">
      <c r="A435" t="s">
        <v>6528</v>
      </c>
      <c r="B435">
        <v>23</v>
      </c>
    </row>
    <row r="436" spans="1:2" ht="13.5" customHeight="1" x14ac:dyDescent="0.25">
      <c r="A436" t="s">
        <v>6528</v>
      </c>
      <c r="B436">
        <v>24</v>
      </c>
    </row>
    <row r="437" spans="1:2" ht="13.5" customHeight="1" x14ac:dyDescent="0.25">
      <c r="A437" t="s">
        <v>6528</v>
      </c>
      <c r="B437">
        <v>25</v>
      </c>
    </row>
    <row r="438" spans="1:2" ht="13.5" customHeight="1" x14ac:dyDescent="0.25">
      <c r="A438" t="s">
        <v>6528</v>
      </c>
      <c r="B438">
        <v>26</v>
      </c>
    </row>
    <row r="439" spans="1:2" ht="13.5" customHeight="1" x14ac:dyDescent="0.25">
      <c r="A439" t="s">
        <v>6528</v>
      </c>
      <c r="B439">
        <v>27</v>
      </c>
    </row>
    <row r="440" spans="1:2" ht="13.5" customHeight="1" x14ac:dyDescent="0.25">
      <c r="A440" t="s">
        <v>6528</v>
      </c>
      <c r="B440">
        <v>28</v>
      </c>
    </row>
    <row r="441" spans="1:2" ht="13.5" customHeight="1" x14ac:dyDescent="0.25">
      <c r="A441" t="s">
        <v>6528</v>
      </c>
      <c r="B441">
        <v>29</v>
      </c>
    </row>
    <row r="442" spans="1:2" ht="13.5" customHeight="1" x14ac:dyDescent="0.25">
      <c r="A442" t="s">
        <v>6528</v>
      </c>
      <c r="B442">
        <v>30</v>
      </c>
    </row>
    <row r="443" spans="1:2" ht="13.5" customHeight="1" x14ac:dyDescent="0.25">
      <c r="A443" t="s">
        <v>6528</v>
      </c>
      <c r="B443">
        <v>31</v>
      </c>
    </row>
    <row r="444" spans="1:2" ht="13.5" customHeight="1" x14ac:dyDescent="0.25">
      <c r="A444" t="s">
        <v>6528</v>
      </c>
      <c r="B444">
        <v>32</v>
      </c>
    </row>
    <row r="445" spans="1:2" ht="13.5" customHeight="1" x14ac:dyDescent="0.25">
      <c r="A445" t="s">
        <v>6529</v>
      </c>
      <c r="B445">
        <v>1</v>
      </c>
    </row>
    <row r="446" spans="1:2" ht="13.5" customHeight="1" x14ac:dyDescent="0.25">
      <c r="A446" t="s">
        <v>6529</v>
      </c>
      <c r="B446">
        <v>2</v>
      </c>
    </row>
    <row r="447" spans="1:2" ht="13.5" customHeight="1" x14ac:dyDescent="0.25">
      <c r="A447" t="s">
        <v>6529</v>
      </c>
      <c r="B447">
        <v>3</v>
      </c>
    </row>
    <row r="448" spans="1:2" ht="13.5" customHeight="1" x14ac:dyDescent="0.25">
      <c r="A448" t="s">
        <v>6529</v>
      </c>
      <c r="B448">
        <v>4</v>
      </c>
    </row>
    <row r="449" spans="1:2" ht="13.5" customHeight="1" x14ac:dyDescent="0.25">
      <c r="A449" t="s">
        <v>6529</v>
      </c>
      <c r="B449">
        <v>5</v>
      </c>
    </row>
    <row r="450" spans="1:2" ht="13.5" customHeight="1" x14ac:dyDescent="0.25">
      <c r="A450" t="s">
        <v>6529</v>
      </c>
      <c r="B450">
        <v>6</v>
      </c>
    </row>
    <row r="451" spans="1:2" ht="13.5" customHeight="1" x14ac:dyDescent="0.25">
      <c r="A451" t="s">
        <v>6529</v>
      </c>
      <c r="B451">
        <v>7</v>
      </c>
    </row>
    <row r="452" spans="1:2" ht="13.5" customHeight="1" x14ac:dyDescent="0.25">
      <c r="A452" t="s">
        <v>6529</v>
      </c>
      <c r="B452">
        <v>8</v>
      </c>
    </row>
    <row r="453" spans="1:2" ht="13.5" customHeight="1" x14ac:dyDescent="0.25">
      <c r="A453" t="s">
        <v>6529</v>
      </c>
      <c r="B453">
        <v>9</v>
      </c>
    </row>
    <row r="454" spans="1:2" ht="13.5" customHeight="1" x14ac:dyDescent="0.25">
      <c r="A454" t="s">
        <v>6529</v>
      </c>
      <c r="B454">
        <v>10</v>
      </c>
    </row>
    <row r="455" spans="1:2" ht="13.5" customHeight="1" x14ac:dyDescent="0.25">
      <c r="A455" t="s">
        <v>6529</v>
      </c>
      <c r="B455">
        <v>11</v>
      </c>
    </row>
    <row r="456" spans="1:2" ht="13.5" customHeight="1" x14ac:dyDescent="0.25">
      <c r="A456" t="s">
        <v>6529</v>
      </c>
      <c r="B456">
        <v>12</v>
      </c>
    </row>
    <row r="457" spans="1:2" ht="13.5" customHeight="1" x14ac:dyDescent="0.25">
      <c r="A457" t="s">
        <v>6529</v>
      </c>
      <c r="B457">
        <v>13</v>
      </c>
    </row>
    <row r="458" spans="1:2" ht="13.5" customHeight="1" x14ac:dyDescent="0.25">
      <c r="A458" t="s">
        <v>6529</v>
      </c>
      <c r="B458">
        <v>14</v>
      </c>
    </row>
    <row r="459" spans="1:2" ht="13.5" customHeight="1" x14ac:dyDescent="0.25">
      <c r="A459" t="s">
        <v>6529</v>
      </c>
      <c r="B459">
        <v>15</v>
      </c>
    </row>
    <row r="460" spans="1:2" ht="13.5" customHeight="1" x14ac:dyDescent="0.25">
      <c r="A460" t="s">
        <v>6529</v>
      </c>
      <c r="B460">
        <v>16</v>
      </c>
    </row>
    <row r="461" spans="1:2" ht="13.5" customHeight="1" x14ac:dyDescent="0.25">
      <c r="A461" t="s">
        <v>6529</v>
      </c>
      <c r="B461">
        <v>17</v>
      </c>
    </row>
    <row r="462" spans="1:2" ht="13.5" customHeight="1" x14ac:dyDescent="0.25">
      <c r="A462" t="s">
        <v>6529</v>
      </c>
      <c r="B462">
        <v>18</v>
      </c>
    </row>
    <row r="463" spans="1:2" ht="13.5" customHeight="1" x14ac:dyDescent="0.25">
      <c r="A463" t="s">
        <v>6529</v>
      </c>
      <c r="B463">
        <v>19</v>
      </c>
    </row>
    <row r="464" spans="1:2" ht="13.5" customHeight="1" x14ac:dyDescent="0.25">
      <c r="A464" t="s">
        <v>6529</v>
      </c>
      <c r="B464">
        <v>20</v>
      </c>
    </row>
    <row r="465" spans="1:2" ht="13.5" customHeight="1" x14ac:dyDescent="0.25">
      <c r="A465" t="s">
        <v>6529</v>
      </c>
      <c r="B465">
        <v>21</v>
      </c>
    </row>
    <row r="466" spans="1:2" ht="13.5" customHeight="1" x14ac:dyDescent="0.25">
      <c r="A466" t="s">
        <v>6529</v>
      </c>
      <c r="B466">
        <v>22</v>
      </c>
    </row>
    <row r="467" spans="1:2" ht="13.5" customHeight="1" x14ac:dyDescent="0.25">
      <c r="A467" t="s">
        <v>6529</v>
      </c>
      <c r="B467">
        <v>23</v>
      </c>
    </row>
    <row r="468" spans="1:2" ht="13.5" customHeight="1" x14ac:dyDescent="0.25">
      <c r="A468" t="s">
        <v>6529</v>
      </c>
      <c r="B468">
        <v>24</v>
      </c>
    </row>
    <row r="469" spans="1:2" ht="13.5" customHeight="1" x14ac:dyDescent="0.25">
      <c r="A469" t="s">
        <v>6529</v>
      </c>
      <c r="B469">
        <v>25</v>
      </c>
    </row>
    <row r="470" spans="1:2" ht="13.5" customHeight="1" x14ac:dyDescent="0.25">
      <c r="A470" t="s">
        <v>6529</v>
      </c>
      <c r="B470">
        <v>26</v>
      </c>
    </row>
    <row r="471" spans="1:2" ht="13.5" customHeight="1" x14ac:dyDescent="0.25">
      <c r="A471" t="s">
        <v>6529</v>
      </c>
      <c r="B471">
        <v>27</v>
      </c>
    </row>
    <row r="472" spans="1:2" ht="13.5" customHeight="1" x14ac:dyDescent="0.25">
      <c r="A472" t="s">
        <v>6529</v>
      </c>
      <c r="B472">
        <v>28</v>
      </c>
    </row>
    <row r="473" spans="1:2" ht="13.5" customHeight="1" x14ac:dyDescent="0.25">
      <c r="A473" t="s">
        <v>6529</v>
      </c>
      <c r="B473">
        <v>29</v>
      </c>
    </row>
    <row r="474" spans="1:2" ht="13.5" customHeight="1" x14ac:dyDescent="0.25">
      <c r="A474" t="s">
        <v>6529</v>
      </c>
      <c r="B474">
        <v>30</v>
      </c>
    </row>
    <row r="475" spans="1:2" ht="13.5" customHeight="1" x14ac:dyDescent="0.25">
      <c r="A475" t="s">
        <v>6529</v>
      </c>
      <c r="B475">
        <v>31</v>
      </c>
    </row>
    <row r="476" spans="1:2" ht="13.5" customHeight="1" x14ac:dyDescent="0.25">
      <c r="A476" t="s">
        <v>6529</v>
      </c>
      <c r="B476">
        <v>32</v>
      </c>
    </row>
    <row r="477" spans="1:2" ht="13.5" customHeight="1" x14ac:dyDescent="0.25">
      <c r="A477" t="s">
        <v>6530</v>
      </c>
      <c r="B477">
        <v>1</v>
      </c>
    </row>
    <row r="478" spans="1:2" ht="13.5" customHeight="1" x14ac:dyDescent="0.25">
      <c r="A478" t="s">
        <v>6530</v>
      </c>
      <c r="B478">
        <v>2</v>
      </c>
    </row>
    <row r="479" spans="1:2" ht="13.5" customHeight="1" x14ac:dyDescent="0.25">
      <c r="A479" t="s">
        <v>6530</v>
      </c>
      <c r="B479">
        <v>3</v>
      </c>
    </row>
    <row r="480" spans="1:2" ht="13.5" customHeight="1" x14ac:dyDescent="0.25">
      <c r="A480" t="s">
        <v>6530</v>
      </c>
      <c r="B480">
        <v>4</v>
      </c>
    </row>
    <row r="481" spans="1:2" ht="13.5" customHeight="1" x14ac:dyDescent="0.25">
      <c r="A481" t="s">
        <v>6530</v>
      </c>
      <c r="B481">
        <v>5</v>
      </c>
    </row>
    <row r="482" spans="1:2" ht="13.5" customHeight="1" x14ac:dyDescent="0.25">
      <c r="A482" t="s">
        <v>6530</v>
      </c>
      <c r="B482">
        <v>6</v>
      </c>
    </row>
    <row r="483" spans="1:2" ht="13.5" customHeight="1" x14ac:dyDescent="0.25">
      <c r="A483" t="s">
        <v>6530</v>
      </c>
      <c r="B483">
        <v>7</v>
      </c>
    </row>
    <row r="484" spans="1:2" ht="13.5" customHeight="1" x14ac:dyDescent="0.25">
      <c r="A484" t="s">
        <v>6530</v>
      </c>
      <c r="B484">
        <v>8</v>
      </c>
    </row>
    <row r="485" spans="1:2" ht="13.5" customHeight="1" x14ac:dyDescent="0.25">
      <c r="A485" t="s">
        <v>6530</v>
      </c>
      <c r="B485">
        <v>9</v>
      </c>
    </row>
    <row r="486" spans="1:2" ht="13.5" customHeight="1" x14ac:dyDescent="0.25">
      <c r="A486" t="s">
        <v>6530</v>
      </c>
      <c r="B486">
        <v>10</v>
      </c>
    </row>
    <row r="487" spans="1:2" ht="13.5" customHeight="1" x14ac:dyDescent="0.25">
      <c r="A487" t="s">
        <v>6530</v>
      </c>
      <c r="B487">
        <v>11</v>
      </c>
    </row>
    <row r="488" spans="1:2" ht="13.5" customHeight="1" x14ac:dyDescent="0.25">
      <c r="A488" t="s">
        <v>6530</v>
      </c>
      <c r="B488">
        <v>12</v>
      </c>
    </row>
    <row r="489" spans="1:2" ht="13.5" customHeight="1" x14ac:dyDescent="0.25">
      <c r="A489" t="s">
        <v>6530</v>
      </c>
      <c r="B489">
        <v>13</v>
      </c>
    </row>
    <row r="490" spans="1:2" ht="13.5" customHeight="1" x14ac:dyDescent="0.25">
      <c r="A490" t="s">
        <v>6530</v>
      </c>
      <c r="B490">
        <v>14</v>
      </c>
    </row>
    <row r="491" spans="1:2" ht="13.5" customHeight="1" x14ac:dyDescent="0.25">
      <c r="A491" t="s">
        <v>6530</v>
      </c>
      <c r="B491">
        <v>15</v>
      </c>
    </row>
    <row r="492" spans="1:2" ht="13.5" customHeight="1" x14ac:dyDescent="0.25">
      <c r="A492" t="s">
        <v>6530</v>
      </c>
      <c r="B492">
        <v>16</v>
      </c>
    </row>
    <row r="493" spans="1:2" ht="13.5" customHeight="1" x14ac:dyDescent="0.25">
      <c r="A493" t="s">
        <v>6530</v>
      </c>
      <c r="B493">
        <v>17</v>
      </c>
    </row>
    <row r="494" spans="1:2" ht="13.5" customHeight="1" x14ac:dyDescent="0.25">
      <c r="A494" t="s">
        <v>6530</v>
      </c>
      <c r="B494">
        <v>18</v>
      </c>
    </row>
    <row r="495" spans="1:2" ht="13.5" customHeight="1" x14ac:dyDescent="0.25">
      <c r="A495" t="s">
        <v>6530</v>
      </c>
      <c r="B495">
        <v>19</v>
      </c>
    </row>
    <row r="496" spans="1:2" ht="13.5" customHeight="1" x14ac:dyDescent="0.25">
      <c r="A496" t="s">
        <v>6530</v>
      </c>
      <c r="B496">
        <v>20</v>
      </c>
    </row>
    <row r="497" spans="1:2" ht="13.5" customHeight="1" x14ac:dyDescent="0.25">
      <c r="A497" t="s">
        <v>6530</v>
      </c>
      <c r="B497">
        <v>21</v>
      </c>
    </row>
    <row r="498" spans="1:2" ht="13.5" customHeight="1" x14ac:dyDescent="0.25">
      <c r="A498" t="s">
        <v>6530</v>
      </c>
      <c r="B498">
        <v>22</v>
      </c>
    </row>
    <row r="499" spans="1:2" ht="13.5" customHeight="1" x14ac:dyDescent="0.25">
      <c r="A499" t="s">
        <v>6530</v>
      </c>
      <c r="B499">
        <v>23</v>
      </c>
    </row>
    <row r="500" spans="1:2" ht="13.5" customHeight="1" x14ac:dyDescent="0.25">
      <c r="A500" t="s">
        <v>6530</v>
      </c>
      <c r="B500">
        <v>24</v>
      </c>
    </row>
    <row r="501" spans="1:2" ht="13.5" customHeight="1" x14ac:dyDescent="0.25">
      <c r="A501" t="s">
        <v>6530</v>
      </c>
      <c r="B501">
        <v>25</v>
      </c>
    </row>
    <row r="502" spans="1:2" ht="13.5" customHeight="1" x14ac:dyDescent="0.25">
      <c r="A502" t="s">
        <v>6530</v>
      </c>
      <c r="B502">
        <v>26</v>
      </c>
    </row>
    <row r="503" spans="1:2" ht="13.5" customHeight="1" x14ac:dyDescent="0.25">
      <c r="A503" t="s">
        <v>6530</v>
      </c>
      <c r="B503">
        <v>27</v>
      </c>
    </row>
    <row r="504" spans="1:2" ht="13.5" customHeight="1" x14ac:dyDescent="0.25">
      <c r="A504" t="s">
        <v>6530</v>
      </c>
      <c r="B504">
        <v>28</v>
      </c>
    </row>
    <row r="505" spans="1:2" ht="13.5" customHeight="1" x14ac:dyDescent="0.25">
      <c r="A505" t="s">
        <v>6530</v>
      </c>
      <c r="B505">
        <v>29</v>
      </c>
    </row>
    <row r="506" spans="1:2" ht="13.5" customHeight="1" x14ac:dyDescent="0.25">
      <c r="A506" t="s">
        <v>6530</v>
      </c>
      <c r="B506">
        <v>30</v>
      </c>
    </row>
    <row r="507" spans="1:2" ht="13.5" customHeight="1" x14ac:dyDescent="0.25">
      <c r="A507" t="s">
        <v>6531</v>
      </c>
      <c r="B507">
        <v>1</v>
      </c>
    </row>
    <row r="508" spans="1:2" ht="13.5" customHeight="1" x14ac:dyDescent="0.25">
      <c r="A508" t="s">
        <v>6531</v>
      </c>
      <c r="B508">
        <v>2</v>
      </c>
    </row>
    <row r="509" spans="1:2" ht="13.5" customHeight="1" x14ac:dyDescent="0.25">
      <c r="A509" t="s">
        <v>6531</v>
      </c>
      <c r="B509">
        <v>3</v>
      </c>
    </row>
    <row r="510" spans="1:2" ht="13.5" customHeight="1" x14ac:dyDescent="0.25">
      <c r="A510" t="s">
        <v>6531</v>
      </c>
      <c r="B510">
        <v>4</v>
      </c>
    </row>
    <row r="511" spans="1:2" ht="13.5" customHeight="1" x14ac:dyDescent="0.25">
      <c r="A511" t="s">
        <v>6531</v>
      </c>
      <c r="B511">
        <v>5</v>
      </c>
    </row>
    <row r="512" spans="1:2" ht="13.5" customHeight="1" x14ac:dyDescent="0.25">
      <c r="A512" t="s">
        <v>6531</v>
      </c>
      <c r="B512">
        <v>6</v>
      </c>
    </row>
    <row r="513" spans="1:2" ht="13.5" customHeight="1" x14ac:dyDescent="0.25">
      <c r="A513" t="s">
        <v>6531</v>
      </c>
      <c r="B513">
        <v>7</v>
      </c>
    </row>
    <row r="514" spans="1:2" ht="13.5" customHeight="1" x14ac:dyDescent="0.25">
      <c r="A514" t="s">
        <v>6531</v>
      </c>
      <c r="B514">
        <v>8</v>
      </c>
    </row>
    <row r="515" spans="1:2" ht="13.5" customHeight="1" x14ac:dyDescent="0.25">
      <c r="A515" t="s">
        <v>6531</v>
      </c>
      <c r="B515">
        <v>9</v>
      </c>
    </row>
    <row r="516" spans="1:2" ht="13.5" customHeight="1" x14ac:dyDescent="0.25">
      <c r="A516" t="s">
        <v>6531</v>
      </c>
      <c r="B516">
        <v>10</v>
      </c>
    </row>
    <row r="517" spans="1:2" ht="13.5" customHeight="1" x14ac:dyDescent="0.25">
      <c r="A517" t="s">
        <v>6531</v>
      </c>
      <c r="B517">
        <v>11</v>
      </c>
    </row>
    <row r="518" spans="1:2" ht="13.5" customHeight="1" x14ac:dyDescent="0.25">
      <c r="A518" t="s">
        <v>6531</v>
      </c>
      <c r="B518">
        <v>12</v>
      </c>
    </row>
    <row r="519" spans="1:2" ht="13.5" customHeight="1" x14ac:dyDescent="0.25">
      <c r="A519" t="s">
        <v>6531</v>
      </c>
      <c r="B519">
        <v>13</v>
      </c>
    </row>
    <row r="520" spans="1:2" ht="13.5" customHeight="1" x14ac:dyDescent="0.25">
      <c r="A520" t="s">
        <v>6531</v>
      </c>
      <c r="B520">
        <v>14</v>
      </c>
    </row>
    <row r="521" spans="1:2" ht="13.5" customHeight="1" x14ac:dyDescent="0.25">
      <c r="A521" t="s">
        <v>6531</v>
      </c>
      <c r="B521">
        <v>15</v>
      </c>
    </row>
    <row r="522" spans="1:2" ht="13.5" customHeight="1" x14ac:dyDescent="0.25">
      <c r="A522" t="s">
        <v>6531</v>
      </c>
      <c r="B522">
        <v>16</v>
      </c>
    </row>
    <row r="523" spans="1:2" ht="13.5" customHeight="1" x14ac:dyDescent="0.25">
      <c r="A523" t="s">
        <v>6531</v>
      </c>
      <c r="B523">
        <v>17</v>
      </c>
    </row>
    <row r="524" spans="1:2" ht="13.5" customHeight="1" x14ac:dyDescent="0.25">
      <c r="A524" t="s">
        <v>6531</v>
      </c>
      <c r="B524">
        <v>18</v>
      </c>
    </row>
    <row r="525" spans="1:2" ht="13.5" customHeight="1" x14ac:dyDescent="0.25">
      <c r="A525" t="s">
        <v>6531</v>
      </c>
      <c r="B525">
        <v>19</v>
      </c>
    </row>
    <row r="526" spans="1:2" ht="13.5" customHeight="1" x14ac:dyDescent="0.25">
      <c r="A526" t="s">
        <v>6531</v>
      </c>
      <c r="B526">
        <v>20</v>
      </c>
    </row>
    <row r="527" spans="1:2" ht="13.5" customHeight="1" x14ac:dyDescent="0.25">
      <c r="A527" t="s">
        <v>6531</v>
      </c>
      <c r="B527">
        <v>21</v>
      </c>
    </row>
    <row r="528" spans="1:2" ht="13.5" customHeight="1" x14ac:dyDescent="0.25">
      <c r="A528" t="s">
        <v>6531</v>
      </c>
      <c r="B528">
        <v>22</v>
      </c>
    </row>
    <row r="529" spans="1:2" ht="13.5" customHeight="1" x14ac:dyDescent="0.25">
      <c r="A529" t="s">
        <v>6531</v>
      </c>
      <c r="B529">
        <v>23</v>
      </c>
    </row>
    <row r="530" spans="1:2" ht="13.5" customHeight="1" x14ac:dyDescent="0.25">
      <c r="A530" t="s">
        <v>6531</v>
      </c>
      <c r="B530">
        <v>24</v>
      </c>
    </row>
    <row r="531" spans="1:2" ht="13.5" customHeight="1" x14ac:dyDescent="0.25">
      <c r="A531" t="s">
        <v>6531</v>
      </c>
      <c r="B531">
        <v>25</v>
      </c>
    </row>
    <row r="532" spans="1:2" ht="13.5" customHeight="1" x14ac:dyDescent="0.25">
      <c r="A532" t="s">
        <v>6531</v>
      </c>
      <c r="B532">
        <v>26</v>
      </c>
    </row>
    <row r="533" spans="1:2" ht="13.5" customHeight="1" x14ac:dyDescent="0.25">
      <c r="A533" t="s">
        <v>6531</v>
      </c>
      <c r="B533">
        <v>27</v>
      </c>
    </row>
    <row r="534" spans="1:2" ht="13.5" customHeight="1" x14ac:dyDescent="0.25">
      <c r="A534" t="s">
        <v>6531</v>
      </c>
      <c r="B534">
        <v>28</v>
      </c>
    </row>
    <row r="535" spans="1:2" ht="13.5" customHeight="1" x14ac:dyDescent="0.25">
      <c r="A535" t="s">
        <v>6531</v>
      </c>
      <c r="B535">
        <v>29</v>
      </c>
    </row>
    <row r="536" spans="1:2" ht="13.5" customHeight="1" x14ac:dyDescent="0.25">
      <c r="A536" t="s">
        <v>6531</v>
      </c>
      <c r="B536">
        <v>30</v>
      </c>
    </row>
    <row r="537" spans="1:2" ht="13.5" customHeight="1" x14ac:dyDescent="0.25">
      <c r="A537" t="s">
        <v>6531</v>
      </c>
      <c r="B537">
        <v>31</v>
      </c>
    </row>
    <row r="538" spans="1:2" ht="13.5" customHeight="1" x14ac:dyDescent="0.25">
      <c r="A538" t="s">
        <v>6531</v>
      </c>
      <c r="B538">
        <v>32</v>
      </c>
    </row>
    <row r="539" spans="1:2" ht="13.5" customHeight="1" x14ac:dyDescent="0.25">
      <c r="A539" t="s">
        <v>6532</v>
      </c>
      <c r="B539">
        <v>1</v>
      </c>
    </row>
    <row r="540" spans="1:2" ht="13.5" customHeight="1" x14ac:dyDescent="0.25">
      <c r="A540" t="s">
        <v>6532</v>
      </c>
      <c r="B540">
        <v>2</v>
      </c>
    </row>
    <row r="541" spans="1:2" ht="13.5" customHeight="1" x14ac:dyDescent="0.25">
      <c r="A541" t="s">
        <v>6532</v>
      </c>
      <c r="B541">
        <v>3</v>
      </c>
    </row>
    <row r="542" spans="1:2" ht="13.5" customHeight="1" x14ac:dyDescent="0.25">
      <c r="A542" t="s">
        <v>6532</v>
      </c>
      <c r="B542">
        <v>4</v>
      </c>
    </row>
    <row r="543" spans="1:2" ht="13.5" customHeight="1" x14ac:dyDescent="0.25">
      <c r="A543" t="s">
        <v>6532</v>
      </c>
      <c r="B543">
        <v>5</v>
      </c>
    </row>
    <row r="544" spans="1:2" ht="13.5" customHeight="1" x14ac:dyDescent="0.25">
      <c r="A544" t="s">
        <v>6532</v>
      </c>
      <c r="B544">
        <v>6</v>
      </c>
    </row>
    <row r="545" spans="1:2" ht="13.5" customHeight="1" x14ac:dyDescent="0.25">
      <c r="A545" t="s">
        <v>6532</v>
      </c>
      <c r="B545">
        <v>7</v>
      </c>
    </row>
    <row r="546" spans="1:2" ht="13.5" customHeight="1" x14ac:dyDescent="0.25">
      <c r="A546" t="s">
        <v>6532</v>
      </c>
      <c r="B546">
        <v>8</v>
      </c>
    </row>
    <row r="547" spans="1:2" ht="13.5" customHeight="1" x14ac:dyDescent="0.25">
      <c r="A547" t="s">
        <v>6532</v>
      </c>
      <c r="B547">
        <v>9</v>
      </c>
    </row>
    <row r="548" spans="1:2" ht="13.5" customHeight="1" x14ac:dyDescent="0.25">
      <c r="A548" t="s">
        <v>6532</v>
      </c>
      <c r="B548">
        <v>10</v>
      </c>
    </row>
    <row r="549" spans="1:2" ht="13.5" customHeight="1" x14ac:dyDescent="0.25">
      <c r="A549" t="s">
        <v>6532</v>
      </c>
      <c r="B549">
        <v>11</v>
      </c>
    </row>
    <row r="550" spans="1:2" ht="13.5" customHeight="1" x14ac:dyDescent="0.25">
      <c r="A550" t="s">
        <v>6532</v>
      </c>
      <c r="B550">
        <v>12</v>
      </c>
    </row>
    <row r="551" spans="1:2" ht="13.5" customHeight="1" x14ac:dyDescent="0.25">
      <c r="A551" t="s">
        <v>6532</v>
      </c>
      <c r="B551">
        <v>13</v>
      </c>
    </row>
    <row r="552" spans="1:2" ht="13.5" customHeight="1" x14ac:dyDescent="0.25">
      <c r="A552" t="s">
        <v>6532</v>
      </c>
      <c r="B552">
        <v>14</v>
      </c>
    </row>
    <row r="553" spans="1:2" ht="13.5" customHeight="1" x14ac:dyDescent="0.25">
      <c r="A553" t="s">
        <v>6532</v>
      </c>
      <c r="B553">
        <v>15</v>
      </c>
    </row>
    <row r="554" spans="1:2" ht="13.5" customHeight="1" x14ac:dyDescent="0.25">
      <c r="A554" t="s">
        <v>6532</v>
      </c>
      <c r="B554">
        <v>16</v>
      </c>
    </row>
    <row r="555" spans="1:2" ht="13.5" customHeight="1" x14ac:dyDescent="0.25">
      <c r="A555" t="s">
        <v>6532</v>
      </c>
      <c r="B555">
        <v>17</v>
      </c>
    </row>
    <row r="556" spans="1:2" ht="13.5" customHeight="1" x14ac:dyDescent="0.25">
      <c r="A556" t="s">
        <v>6532</v>
      </c>
      <c r="B556">
        <v>18</v>
      </c>
    </row>
    <row r="557" spans="1:2" ht="13.5" customHeight="1" x14ac:dyDescent="0.25">
      <c r="A557" t="s">
        <v>6532</v>
      </c>
      <c r="B557">
        <v>19</v>
      </c>
    </row>
    <row r="558" spans="1:2" ht="13.5" customHeight="1" x14ac:dyDescent="0.25">
      <c r="A558" t="s">
        <v>6532</v>
      </c>
      <c r="B558">
        <v>20</v>
      </c>
    </row>
    <row r="559" spans="1:2" ht="13.5" customHeight="1" x14ac:dyDescent="0.25">
      <c r="A559" t="s">
        <v>6532</v>
      </c>
      <c r="B559">
        <v>21</v>
      </c>
    </row>
    <row r="560" spans="1:2" ht="13.5" customHeight="1" x14ac:dyDescent="0.25">
      <c r="A560" t="s">
        <v>6532</v>
      </c>
      <c r="B560">
        <v>22</v>
      </c>
    </row>
    <row r="561" spans="1:2" ht="13.5" customHeight="1" x14ac:dyDescent="0.25">
      <c r="A561" t="s">
        <v>6532</v>
      </c>
      <c r="B561">
        <v>23</v>
      </c>
    </row>
    <row r="562" spans="1:2" ht="13.5" customHeight="1" x14ac:dyDescent="0.25">
      <c r="A562" t="s">
        <v>6532</v>
      </c>
      <c r="B562">
        <v>24</v>
      </c>
    </row>
    <row r="563" spans="1:2" ht="13.5" customHeight="1" x14ac:dyDescent="0.25">
      <c r="A563" t="s">
        <v>6532</v>
      </c>
      <c r="B563">
        <v>25</v>
      </c>
    </row>
    <row r="564" spans="1:2" ht="13.5" customHeight="1" x14ac:dyDescent="0.25">
      <c r="A564" t="s">
        <v>6532</v>
      </c>
      <c r="B564">
        <v>26</v>
      </c>
    </row>
    <row r="565" spans="1:2" ht="13.5" customHeight="1" x14ac:dyDescent="0.25">
      <c r="A565" t="s">
        <v>6532</v>
      </c>
      <c r="B565">
        <v>27</v>
      </c>
    </row>
    <row r="566" spans="1:2" ht="13.5" customHeight="1" x14ac:dyDescent="0.25">
      <c r="A566" t="s">
        <v>6532</v>
      </c>
      <c r="B566">
        <v>28</v>
      </c>
    </row>
    <row r="567" spans="1:2" ht="13.5" customHeight="1" x14ac:dyDescent="0.25">
      <c r="A567" t="s">
        <v>6532</v>
      </c>
      <c r="B567">
        <v>29</v>
      </c>
    </row>
    <row r="568" spans="1:2" ht="13.5" customHeight="1" x14ac:dyDescent="0.25">
      <c r="A568" t="s">
        <v>6532</v>
      </c>
      <c r="B568">
        <v>30</v>
      </c>
    </row>
    <row r="569" spans="1:2" ht="13.5" customHeight="1" x14ac:dyDescent="0.25">
      <c r="A569" t="s">
        <v>6532</v>
      </c>
      <c r="B569">
        <v>31</v>
      </c>
    </row>
    <row r="570" spans="1:2" ht="13.5" customHeight="1" x14ac:dyDescent="0.25">
      <c r="A570" t="s">
        <v>6532</v>
      </c>
      <c r="B570">
        <v>32</v>
      </c>
    </row>
    <row r="571" spans="1:2" ht="13.5" customHeight="1" x14ac:dyDescent="0.25">
      <c r="A571" t="s">
        <v>6533</v>
      </c>
      <c r="B571">
        <v>1</v>
      </c>
    </row>
    <row r="572" spans="1:2" ht="13.5" customHeight="1" x14ac:dyDescent="0.25">
      <c r="A572" t="s">
        <v>6533</v>
      </c>
      <c r="B572">
        <v>2</v>
      </c>
    </row>
    <row r="573" spans="1:2" ht="13.5" customHeight="1" x14ac:dyDescent="0.25">
      <c r="A573" t="s">
        <v>6533</v>
      </c>
      <c r="B573">
        <v>3</v>
      </c>
    </row>
    <row r="574" spans="1:2" ht="13.5" customHeight="1" x14ac:dyDescent="0.25">
      <c r="A574" t="s">
        <v>6533</v>
      </c>
      <c r="B574">
        <v>4</v>
      </c>
    </row>
    <row r="575" spans="1:2" ht="13.5" customHeight="1" x14ac:dyDescent="0.25">
      <c r="A575" t="s">
        <v>6533</v>
      </c>
      <c r="B575">
        <v>5</v>
      </c>
    </row>
    <row r="576" spans="1:2" ht="13.5" customHeight="1" x14ac:dyDescent="0.25">
      <c r="A576" t="s">
        <v>6533</v>
      </c>
      <c r="B576">
        <v>6</v>
      </c>
    </row>
    <row r="577" spans="1:2" ht="13.5" customHeight="1" x14ac:dyDescent="0.25">
      <c r="A577" t="s">
        <v>6533</v>
      </c>
      <c r="B577">
        <v>7</v>
      </c>
    </row>
    <row r="578" spans="1:2" ht="13.5" customHeight="1" x14ac:dyDescent="0.25">
      <c r="A578" t="s">
        <v>6533</v>
      </c>
      <c r="B578">
        <v>8</v>
      </c>
    </row>
    <row r="579" spans="1:2" ht="13.5" customHeight="1" x14ac:dyDescent="0.25">
      <c r="A579" t="s">
        <v>6533</v>
      </c>
      <c r="B579">
        <v>9</v>
      </c>
    </row>
    <row r="580" spans="1:2" ht="13.5" customHeight="1" x14ac:dyDescent="0.25">
      <c r="A580" t="s">
        <v>6533</v>
      </c>
      <c r="B580">
        <v>10</v>
      </c>
    </row>
    <row r="581" spans="1:2" ht="13.5" customHeight="1" x14ac:dyDescent="0.25">
      <c r="A581" t="s">
        <v>6533</v>
      </c>
      <c r="B581">
        <v>11</v>
      </c>
    </row>
    <row r="582" spans="1:2" ht="13.5" customHeight="1" x14ac:dyDescent="0.25">
      <c r="A582" t="s">
        <v>6533</v>
      </c>
      <c r="B582">
        <v>12</v>
      </c>
    </row>
    <row r="583" spans="1:2" ht="13.5" customHeight="1" x14ac:dyDescent="0.25">
      <c r="A583" t="s">
        <v>6533</v>
      </c>
      <c r="B583">
        <v>13</v>
      </c>
    </row>
    <row r="584" spans="1:2" ht="13.5" customHeight="1" x14ac:dyDescent="0.25">
      <c r="A584" t="s">
        <v>6533</v>
      </c>
      <c r="B584">
        <v>14</v>
      </c>
    </row>
    <row r="585" spans="1:2" ht="13.5" customHeight="1" x14ac:dyDescent="0.25">
      <c r="A585" t="s">
        <v>6533</v>
      </c>
      <c r="B585">
        <v>15</v>
      </c>
    </row>
    <row r="586" spans="1:2" ht="13.5" customHeight="1" x14ac:dyDescent="0.25">
      <c r="A586" t="s">
        <v>6533</v>
      </c>
      <c r="B586">
        <v>16</v>
      </c>
    </row>
    <row r="587" spans="1:2" ht="13.5" customHeight="1" x14ac:dyDescent="0.25">
      <c r="A587" t="s">
        <v>6533</v>
      </c>
      <c r="B587">
        <v>17</v>
      </c>
    </row>
    <row r="588" spans="1:2" ht="13.5" customHeight="1" x14ac:dyDescent="0.25">
      <c r="A588" t="s">
        <v>6533</v>
      </c>
      <c r="B588">
        <v>18</v>
      </c>
    </row>
    <row r="589" spans="1:2" ht="13.5" customHeight="1" x14ac:dyDescent="0.25">
      <c r="A589" t="s">
        <v>6533</v>
      </c>
      <c r="B589">
        <v>19</v>
      </c>
    </row>
    <row r="590" spans="1:2" ht="13.5" customHeight="1" x14ac:dyDescent="0.25">
      <c r="A590" t="s">
        <v>6533</v>
      </c>
      <c r="B590">
        <v>20</v>
      </c>
    </row>
    <row r="591" spans="1:2" ht="13.5" customHeight="1" x14ac:dyDescent="0.25">
      <c r="A591" t="s">
        <v>6533</v>
      </c>
      <c r="B591">
        <v>21</v>
      </c>
    </row>
    <row r="592" spans="1:2" ht="13.5" customHeight="1" x14ac:dyDescent="0.25">
      <c r="A592" t="s">
        <v>6533</v>
      </c>
      <c r="B592">
        <v>22</v>
      </c>
    </row>
    <row r="593" spans="1:2" ht="13.5" customHeight="1" x14ac:dyDescent="0.25">
      <c r="A593" t="s">
        <v>6533</v>
      </c>
      <c r="B593">
        <v>23</v>
      </c>
    </row>
    <row r="594" spans="1:2" ht="13.5" customHeight="1" x14ac:dyDescent="0.25">
      <c r="A594" t="s">
        <v>6533</v>
      </c>
      <c r="B594">
        <v>24</v>
      </c>
    </row>
    <row r="595" spans="1:2" ht="13.5" customHeight="1" x14ac:dyDescent="0.25">
      <c r="A595" t="s">
        <v>6533</v>
      </c>
      <c r="B595">
        <v>25</v>
      </c>
    </row>
    <row r="596" spans="1:2" ht="13.5" customHeight="1" x14ac:dyDescent="0.25">
      <c r="A596" t="s">
        <v>6533</v>
      </c>
      <c r="B596">
        <v>26</v>
      </c>
    </row>
    <row r="597" spans="1:2" ht="13.5" customHeight="1" x14ac:dyDescent="0.25">
      <c r="A597" t="s">
        <v>6533</v>
      </c>
      <c r="B597">
        <v>27</v>
      </c>
    </row>
    <row r="598" spans="1:2" ht="13.5" customHeight="1" x14ac:dyDescent="0.25">
      <c r="A598" t="s">
        <v>6533</v>
      </c>
      <c r="B598">
        <v>28</v>
      </c>
    </row>
    <row r="599" spans="1:2" ht="13.5" customHeight="1" x14ac:dyDescent="0.25">
      <c r="A599" t="s">
        <v>6533</v>
      </c>
      <c r="B599">
        <v>29</v>
      </c>
    </row>
    <row r="600" spans="1:2" ht="13.5" customHeight="1" x14ac:dyDescent="0.25">
      <c r="A600" t="s">
        <v>6533</v>
      </c>
      <c r="B600">
        <v>30</v>
      </c>
    </row>
    <row r="601" spans="1:2" ht="13.5" customHeight="1" x14ac:dyDescent="0.25">
      <c r="A601" t="s">
        <v>6534</v>
      </c>
      <c r="B601">
        <v>1</v>
      </c>
    </row>
    <row r="602" spans="1:2" ht="13.5" customHeight="1" x14ac:dyDescent="0.25">
      <c r="A602" t="s">
        <v>6534</v>
      </c>
      <c r="B602">
        <v>2</v>
      </c>
    </row>
    <row r="603" spans="1:2" ht="13.5" customHeight="1" x14ac:dyDescent="0.25">
      <c r="A603" t="s">
        <v>6534</v>
      </c>
      <c r="B603">
        <v>3</v>
      </c>
    </row>
    <row r="604" spans="1:2" ht="13.5" customHeight="1" x14ac:dyDescent="0.25">
      <c r="A604" t="s">
        <v>6534</v>
      </c>
      <c r="B604">
        <v>4</v>
      </c>
    </row>
    <row r="605" spans="1:2" ht="13.5" customHeight="1" x14ac:dyDescent="0.25">
      <c r="A605" t="s">
        <v>6534</v>
      </c>
      <c r="B605">
        <v>5</v>
      </c>
    </row>
    <row r="606" spans="1:2" ht="13.5" customHeight="1" x14ac:dyDescent="0.25">
      <c r="A606" t="s">
        <v>6534</v>
      </c>
      <c r="B606">
        <v>6</v>
      </c>
    </row>
    <row r="607" spans="1:2" ht="13.5" customHeight="1" x14ac:dyDescent="0.25">
      <c r="A607" t="s">
        <v>6534</v>
      </c>
      <c r="B607">
        <v>7</v>
      </c>
    </row>
    <row r="608" spans="1:2" ht="13.5" customHeight="1" x14ac:dyDescent="0.25">
      <c r="A608" t="s">
        <v>6534</v>
      </c>
      <c r="B608">
        <v>8</v>
      </c>
    </row>
    <row r="609" spans="1:2" ht="13.5" customHeight="1" x14ac:dyDescent="0.25">
      <c r="A609" t="s">
        <v>6534</v>
      </c>
      <c r="B609">
        <v>9</v>
      </c>
    </row>
    <row r="610" spans="1:2" ht="13.5" customHeight="1" x14ac:dyDescent="0.25">
      <c r="A610" t="s">
        <v>6534</v>
      </c>
      <c r="B610">
        <v>10</v>
      </c>
    </row>
    <row r="611" spans="1:2" ht="13.5" customHeight="1" x14ac:dyDescent="0.25">
      <c r="A611" t="s">
        <v>6534</v>
      </c>
      <c r="B611">
        <v>11</v>
      </c>
    </row>
    <row r="612" spans="1:2" ht="13.5" customHeight="1" x14ac:dyDescent="0.25">
      <c r="A612" t="s">
        <v>6534</v>
      </c>
      <c r="B612">
        <v>12</v>
      </c>
    </row>
    <row r="613" spans="1:2" ht="13.5" customHeight="1" x14ac:dyDescent="0.25">
      <c r="A613" t="s">
        <v>6534</v>
      </c>
      <c r="B613">
        <v>13</v>
      </c>
    </row>
    <row r="614" spans="1:2" ht="13.5" customHeight="1" x14ac:dyDescent="0.25">
      <c r="A614" t="s">
        <v>6534</v>
      </c>
      <c r="B614">
        <v>14</v>
      </c>
    </row>
    <row r="615" spans="1:2" ht="13.5" customHeight="1" x14ac:dyDescent="0.25">
      <c r="A615" t="s">
        <v>6534</v>
      </c>
      <c r="B615">
        <v>15</v>
      </c>
    </row>
    <row r="616" spans="1:2" ht="13.5" customHeight="1" x14ac:dyDescent="0.25">
      <c r="A616" t="s">
        <v>6534</v>
      </c>
      <c r="B616">
        <v>16</v>
      </c>
    </row>
    <row r="617" spans="1:2" ht="13.5" customHeight="1" x14ac:dyDescent="0.25">
      <c r="A617" t="s">
        <v>6534</v>
      </c>
      <c r="B617">
        <v>17</v>
      </c>
    </row>
    <row r="618" spans="1:2" ht="13.5" customHeight="1" x14ac:dyDescent="0.25">
      <c r="A618" t="s">
        <v>6534</v>
      </c>
      <c r="B618">
        <v>18</v>
      </c>
    </row>
    <row r="619" spans="1:2" ht="13.5" customHeight="1" x14ac:dyDescent="0.25">
      <c r="A619" t="s">
        <v>6534</v>
      </c>
      <c r="B619">
        <v>19</v>
      </c>
    </row>
    <row r="620" spans="1:2" ht="13.5" customHeight="1" x14ac:dyDescent="0.25">
      <c r="A620" t="s">
        <v>6534</v>
      </c>
      <c r="B620">
        <v>20</v>
      </c>
    </row>
    <row r="621" spans="1:2" ht="13.5" customHeight="1" x14ac:dyDescent="0.25">
      <c r="A621" t="s">
        <v>6534</v>
      </c>
      <c r="B621">
        <v>21</v>
      </c>
    </row>
    <row r="622" spans="1:2" ht="13.5" customHeight="1" x14ac:dyDescent="0.25">
      <c r="A622" t="s">
        <v>6534</v>
      </c>
      <c r="B622">
        <v>22</v>
      </c>
    </row>
    <row r="623" spans="1:2" ht="13.5" customHeight="1" x14ac:dyDescent="0.25">
      <c r="A623" t="s">
        <v>6534</v>
      </c>
      <c r="B623">
        <v>23</v>
      </c>
    </row>
    <row r="624" spans="1:2" ht="13.5" customHeight="1" x14ac:dyDescent="0.25">
      <c r="A624" t="s">
        <v>6534</v>
      </c>
      <c r="B624">
        <v>24</v>
      </c>
    </row>
    <row r="625" spans="1:2" ht="13.5" customHeight="1" x14ac:dyDescent="0.25">
      <c r="A625" t="s">
        <v>6534</v>
      </c>
      <c r="B625">
        <v>25</v>
      </c>
    </row>
    <row r="626" spans="1:2" ht="13.5" customHeight="1" x14ac:dyDescent="0.25">
      <c r="A626" t="s">
        <v>6534</v>
      </c>
      <c r="B626">
        <v>26</v>
      </c>
    </row>
    <row r="627" spans="1:2" ht="13.5" customHeight="1" x14ac:dyDescent="0.25">
      <c r="A627" t="s">
        <v>6534</v>
      </c>
      <c r="B627">
        <v>27</v>
      </c>
    </row>
    <row r="628" spans="1:2" ht="13.5" customHeight="1" x14ac:dyDescent="0.25">
      <c r="A628" t="s">
        <v>6534</v>
      </c>
      <c r="B628">
        <v>28</v>
      </c>
    </row>
    <row r="629" spans="1:2" ht="13.5" customHeight="1" x14ac:dyDescent="0.25">
      <c r="A629" t="s">
        <v>6534</v>
      </c>
      <c r="B629">
        <v>29</v>
      </c>
    </row>
    <row r="630" spans="1:2" ht="13.5" customHeight="1" x14ac:dyDescent="0.25">
      <c r="A630" t="s">
        <v>6534</v>
      </c>
      <c r="B630">
        <v>30</v>
      </c>
    </row>
    <row r="631" spans="1:2" ht="13.5" customHeight="1" x14ac:dyDescent="0.25">
      <c r="A631" t="s">
        <v>6534</v>
      </c>
      <c r="B631">
        <v>31</v>
      </c>
    </row>
    <row r="632" spans="1:2" ht="13.5" customHeight="1" x14ac:dyDescent="0.25">
      <c r="A632" t="s">
        <v>6534</v>
      </c>
      <c r="B632">
        <v>32</v>
      </c>
    </row>
    <row r="633" spans="1:2" ht="13.5" customHeight="1" x14ac:dyDescent="0.25">
      <c r="A633" t="s">
        <v>6534</v>
      </c>
      <c r="B633">
        <v>33</v>
      </c>
    </row>
    <row r="634" spans="1:2" ht="13.5" customHeight="1" x14ac:dyDescent="0.25">
      <c r="A634" t="s">
        <v>6534</v>
      </c>
      <c r="B634">
        <v>34</v>
      </c>
    </row>
    <row r="635" spans="1:2" ht="13.5" customHeight="1" x14ac:dyDescent="0.25">
      <c r="A635" t="s">
        <v>6535</v>
      </c>
      <c r="B635">
        <v>1</v>
      </c>
    </row>
    <row r="636" spans="1:2" ht="13.5" customHeight="1" x14ac:dyDescent="0.25">
      <c r="A636" t="s">
        <v>6535</v>
      </c>
      <c r="B636">
        <v>2</v>
      </c>
    </row>
    <row r="637" spans="1:2" ht="13.5" customHeight="1" x14ac:dyDescent="0.25">
      <c r="A637" t="s">
        <v>6535</v>
      </c>
      <c r="B637">
        <v>3</v>
      </c>
    </row>
    <row r="638" spans="1:2" ht="13.5" customHeight="1" x14ac:dyDescent="0.25">
      <c r="A638" t="s">
        <v>6535</v>
      </c>
      <c r="B638">
        <v>4</v>
      </c>
    </row>
    <row r="639" spans="1:2" ht="13.5" customHeight="1" x14ac:dyDescent="0.25">
      <c r="A639" t="s">
        <v>6535</v>
      </c>
      <c r="B639">
        <v>5</v>
      </c>
    </row>
    <row r="640" spans="1:2" ht="13.5" customHeight="1" x14ac:dyDescent="0.25">
      <c r="A640" t="s">
        <v>6535</v>
      </c>
      <c r="B640">
        <v>6</v>
      </c>
    </row>
    <row r="641" spans="1:2" ht="13.5" customHeight="1" x14ac:dyDescent="0.25">
      <c r="A641" t="s">
        <v>6535</v>
      </c>
      <c r="B641">
        <v>7</v>
      </c>
    </row>
    <row r="642" spans="1:2" ht="13.5" customHeight="1" x14ac:dyDescent="0.25">
      <c r="A642" t="s">
        <v>6535</v>
      </c>
      <c r="B642">
        <v>8</v>
      </c>
    </row>
    <row r="643" spans="1:2" ht="13.5" customHeight="1" x14ac:dyDescent="0.25">
      <c r="A643" t="s">
        <v>6535</v>
      </c>
      <c r="B643">
        <v>9</v>
      </c>
    </row>
    <row r="644" spans="1:2" ht="13.5" customHeight="1" x14ac:dyDescent="0.25">
      <c r="A644" t="s">
        <v>6535</v>
      </c>
      <c r="B644">
        <v>10</v>
      </c>
    </row>
    <row r="645" spans="1:2" ht="13.5" customHeight="1" x14ac:dyDescent="0.25">
      <c r="A645" t="s">
        <v>6535</v>
      </c>
      <c r="B645">
        <v>11</v>
      </c>
    </row>
    <row r="646" spans="1:2" ht="13.5" customHeight="1" x14ac:dyDescent="0.25">
      <c r="A646" t="s">
        <v>6535</v>
      </c>
      <c r="B646">
        <v>12</v>
      </c>
    </row>
    <row r="647" spans="1:2" ht="13.5" customHeight="1" x14ac:dyDescent="0.25">
      <c r="A647" t="s">
        <v>6535</v>
      </c>
      <c r="B647">
        <v>13</v>
      </c>
    </row>
    <row r="648" spans="1:2" ht="13.5" customHeight="1" x14ac:dyDescent="0.25">
      <c r="A648" t="s">
        <v>6535</v>
      </c>
      <c r="B648">
        <v>14</v>
      </c>
    </row>
    <row r="649" spans="1:2" ht="13.5" customHeight="1" x14ac:dyDescent="0.25">
      <c r="A649" t="s">
        <v>6535</v>
      </c>
      <c r="B649">
        <v>15</v>
      </c>
    </row>
    <row r="650" spans="1:2" ht="13.5" customHeight="1" x14ac:dyDescent="0.25">
      <c r="A650" t="s">
        <v>6535</v>
      </c>
      <c r="B650">
        <v>16</v>
      </c>
    </row>
    <row r="651" spans="1:2" ht="13.5" customHeight="1" x14ac:dyDescent="0.25">
      <c r="A651" t="s">
        <v>6535</v>
      </c>
      <c r="B651">
        <v>17</v>
      </c>
    </row>
    <row r="652" spans="1:2" ht="13.5" customHeight="1" x14ac:dyDescent="0.25">
      <c r="A652" t="s">
        <v>6535</v>
      </c>
      <c r="B652">
        <v>18</v>
      </c>
    </row>
    <row r="653" spans="1:2" ht="13.5" customHeight="1" x14ac:dyDescent="0.25">
      <c r="A653" t="s">
        <v>6535</v>
      </c>
      <c r="B653">
        <v>19</v>
      </c>
    </row>
    <row r="654" spans="1:2" ht="13.5" customHeight="1" x14ac:dyDescent="0.25">
      <c r="A654" t="s">
        <v>6535</v>
      </c>
      <c r="B654">
        <v>20</v>
      </c>
    </row>
    <row r="655" spans="1:2" ht="13.5" customHeight="1" x14ac:dyDescent="0.25">
      <c r="A655" t="s">
        <v>6535</v>
      </c>
      <c r="B655">
        <v>21</v>
      </c>
    </row>
    <row r="656" spans="1:2" ht="13.5" customHeight="1" x14ac:dyDescent="0.25">
      <c r="A656" t="s">
        <v>6535</v>
      </c>
      <c r="B656">
        <v>22</v>
      </c>
    </row>
    <row r="657" spans="1:2" ht="13.5" customHeight="1" x14ac:dyDescent="0.25">
      <c r="A657" t="s">
        <v>6535</v>
      </c>
      <c r="B657">
        <v>23</v>
      </c>
    </row>
    <row r="658" spans="1:2" ht="13.5" customHeight="1" x14ac:dyDescent="0.25">
      <c r="A658" t="s">
        <v>6535</v>
      </c>
      <c r="B658">
        <v>24</v>
      </c>
    </row>
    <row r="659" spans="1:2" ht="13.5" customHeight="1" x14ac:dyDescent="0.25">
      <c r="A659" t="s">
        <v>6535</v>
      </c>
      <c r="B659">
        <v>25</v>
      </c>
    </row>
    <row r="660" spans="1:2" ht="13.5" customHeight="1" x14ac:dyDescent="0.25">
      <c r="A660" t="s">
        <v>6535</v>
      </c>
      <c r="B660">
        <v>26</v>
      </c>
    </row>
    <row r="661" spans="1:2" ht="13.5" customHeight="1" x14ac:dyDescent="0.25">
      <c r="A661" t="s">
        <v>6535</v>
      </c>
      <c r="B661">
        <v>27</v>
      </c>
    </row>
    <row r="662" spans="1:2" ht="13.5" customHeight="1" x14ac:dyDescent="0.25">
      <c r="A662" t="s">
        <v>6535</v>
      </c>
      <c r="B662">
        <v>28</v>
      </c>
    </row>
    <row r="663" spans="1:2" ht="13.5" customHeight="1" x14ac:dyDescent="0.25">
      <c r="A663" t="s">
        <v>6535</v>
      </c>
      <c r="B663">
        <v>29</v>
      </c>
    </row>
    <row r="664" spans="1:2" ht="13.5" customHeight="1" x14ac:dyDescent="0.25">
      <c r="A664" t="s">
        <v>6535</v>
      </c>
      <c r="B664">
        <v>30</v>
      </c>
    </row>
    <row r="665" spans="1:2" ht="13.5" customHeight="1" x14ac:dyDescent="0.25">
      <c r="A665" t="s">
        <v>6535</v>
      </c>
      <c r="B665">
        <v>31</v>
      </c>
    </row>
    <row r="666" spans="1:2" ht="13.5" customHeight="1" x14ac:dyDescent="0.25">
      <c r="A666" t="s">
        <v>6535</v>
      </c>
      <c r="B666">
        <v>32</v>
      </c>
    </row>
    <row r="667" spans="1:2" ht="13.5" customHeight="1" x14ac:dyDescent="0.25">
      <c r="A667" t="s">
        <v>6535</v>
      </c>
      <c r="B667">
        <v>33</v>
      </c>
    </row>
    <row r="668" spans="1:2" ht="13.5" customHeight="1" x14ac:dyDescent="0.25">
      <c r="A668" t="s">
        <v>6535</v>
      </c>
      <c r="B668">
        <v>34</v>
      </c>
    </row>
    <row r="669" spans="1:2" ht="13.5" customHeight="1" x14ac:dyDescent="0.25">
      <c r="A669" t="s">
        <v>6536</v>
      </c>
      <c r="B669">
        <v>1</v>
      </c>
    </row>
    <row r="670" spans="1:2" ht="13.5" customHeight="1" x14ac:dyDescent="0.25">
      <c r="A670" t="s">
        <v>6536</v>
      </c>
      <c r="B670">
        <v>2</v>
      </c>
    </row>
    <row r="671" spans="1:2" ht="13.5" customHeight="1" x14ac:dyDescent="0.25">
      <c r="A671" t="s">
        <v>6536</v>
      </c>
      <c r="B671">
        <v>3</v>
      </c>
    </row>
    <row r="672" spans="1:2" ht="13.5" customHeight="1" x14ac:dyDescent="0.25">
      <c r="A672" t="s">
        <v>6536</v>
      </c>
      <c r="B672">
        <v>4</v>
      </c>
    </row>
    <row r="673" spans="1:2" ht="13.5" customHeight="1" x14ac:dyDescent="0.25">
      <c r="A673" t="s">
        <v>6536</v>
      </c>
      <c r="B673">
        <v>5</v>
      </c>
    </row>
    <row r="674" spans="1:2" ht="13.5" customHeight="1" x14ac:dyDescent="0.25">
      <c r="A674" t="s">
        <v>6536</v>
      </c>
      <c r="B674">
        <v>6</v>
      </c>
    </row>
    <row r="675" spans="1:2" ht="13.5" customHeight="1" x14ac:dyDescent="0.25">
      <c r="A675" t="s">
        <v>6536</v>
      </c>
      <c r="B675">
        <v>7</v>
      </c>
    </row>
    <row r="676" spans="1:2" ht="13.5" customHeight="1" x14ac:dyDescent="0.25">
      <c r="A676" t="s">
        <v>6536</v>
      </c>
      <c r="B676">
        <v>8</v>
      </c>
    </row>
    <row r="677" spans="1:2" ht="13.5" customHeight="1" x14ac:dyDescent="0.25">
      <c r="A677" t="s">
        <v>6536</v>
      </c>
      <c r="B677">
        <v>9</v>
      </c>
    </row>
    <row r="678" spans="1:2" ht="13.5" customHeight="1" x14ac:dyDescent="0.25">
      <c r="A678" t="s">
        <v>6536</v>
      </c>
      <c r="B678">
        <v>10</v>
      </c>
    </row>
    <row r="679" spans="1:2" ht="13.5" customHeight="1" x14ac:dyDescent="0.25">
      <c r="A679" t="s">
        <v>6536</v>
      </c>
      <c r="B679">
        <v>11</v>
      </c>
    </row>
    <row r="680" spans="1:2" ht="13.5" customHeight="1" x14ac:dyDescent="0.25">
      <c r="A680" t="s">
        <v>6536</v>
      </c>
      <c r="B680">
        <v>12</v>
      </c>
    </row>
    <row r="681" spans="1:2" ht="13.5" customHeight="1" x14ac:dyDescent="0.25">
      <c r="A681" t="s">
        <v>6536</v>
      </c>
      <c r="B681">
        <v>13</v>
      </c>
    </row>
    <row r="682" spans="1:2" ht="13.5" customHeight="1" x14ac:dyDescent="0.25">
      <c r="A682" t="s">
        <v>6536</v>
      </c>
      <c r="B682">
        <v>14</v>
      </c>
    </row>
    <row r="683" spans="1:2" ht="13.5" customHeight="1" x14ac:dyDescent="0.25">
      <c r="A683" t="s">
        <v>6536</v>
      </c>
      <c r="B683">
        <v>15</v>
      </c>
    </row>
    <row r="684" spans="1:2" ht="13.5" customHeight="1" x14ac:dyDescent="0.25">
      <c r="A684" t="s">
        <v>6536</v>
      </c>
      <c r="B684">
        <v>16</v>
      </c>
    </row>
    <row r="685" spans="1:2" ht="13.5" customHeight="1" x14ac:dyDescent="0.25">
      <c r="A685" t="s">
        <v>6536</v>
      </c>
      <c r="B685">
        <v>17</v>
      </c>
    </row>
    <row r="686" spans="1:2" ht="13.5" customHeight="1" x14ac:dyDescent="0.25">
      <c r="A686" t="s">
        <v>6536</v>
      </c>
      <c r="B686">
        <v>18</v>
      </c>
    </row>
    <row r="687" spans="1:2" ht="13.5" customHeight="1" x14ac:dyDescent="0.25">
      <c r="A687" t="s">
        <v>6536</v>
      </c>
      <c r="B687">
        <v>19</v>
      </c>
    </row>
    <row r="688" spans="1:2" ht="13.5" customHeight="1" x14ac:dyDescent="0.25">
      <c r="A688" t="s">
        <v>6536</v>
      </c>
      <c r="B688">
        <v>20</v>
      </c>
    </row>
    <row r="689" spans="1:2" ht="13.5" customHeight="1" x14ac:dyDescent="0.25">
      <c r="A689" t="s">
        <v>6536</v>
      </c>
      <c r="B689">
        <v>21</v>
      </c>
    </row>
    <row r="690" spans="1:2" ht="13.5" customHeight="1" x14ac:dyDescent="0.25">
      <c r="A690" t="s">
        <v>6536</v>
      </c>
      <c r="B690">
        <v>22</v>
      </c>
    </row>
    <row r="691" spans="1:2" ht="13.5" customHeight="1" x14ac:dyDescent="0.25">
      <c r="A691" t="s">
        <v>6536</v>
      </c>
      <c r="B691">
        <v>23</v>
      </c>
    </row>
    <row r="692" spans="1:2" ht="13.5" customHeight="1" x14ac:dyDescent="0.25">
      <c r="A692" t="s">
        <v>6536</v>
      </c>
      <c r="B692">
        <v>24</v>
      </c>
    </row>
    <row r="693" spans="1:2" ht="13.5" customHeight="1" x14ac:dyDescent="0.25">
      <c r="A693" t="s">
        <v>6537</v>
      </c>
      <c r="B693">
        <v>1</v>
      </c>
    </row>
    <row r="694" spans="1:2" ht="13.5" customHeight="1" x14ac:dyDescent="0.25">
      <c r="A694" t="s">
        <v>6537</v>
      </c>
      <c r="B694">
        <v>2</v>
      </c>
    </row>
    <row r="695" spans="1:2" ht="13.5" customHeight="1" x14ac:dyDescent="0.25">
      <c r="A695" t="s">
        <v>6537</v>
      </c>
      <c r="B695">
        <v>3</v>
      </c>
    </row>
    <row r="696" spans="1:2" ht="13.5" customHeight="1" x14ac:dyDescent="0.25">
      <c r="A696" t="s">
        <v>6537</v>
      </c>
      <c r="B696">
        <v>4</v>
      </c>
    </row>
    <row r="697" spans="1:2" ht="13.5" customHeight="1" x14ac:dyDescent="0.25">
      <c r="A697" t="s">
        <v>6537</v>
      </c>
      <c r="B697">
        <v>5</v>
      </c>
    </row>
    <row r="698" spans="1:2" ht="13.5" customHeight="1" x14ac:dyDescent="0.25">
      <c r="A698" t="s">
        <v>6537</v>
      </c>
      <c r="B698">
        <v>6</v>
      </c>
    </row>
    <row r="699" spans="1:2" ht="13.5" customHeight="1" x14ac:dyDescent="0.25">
      <c r="A699" t="s">
        <v>6537</v>
      </c>
      <c r="B699">
        <v>7</v>
      </c>
    </row>
    <row r="700" spans="1:2" ht="13.5" customHeight="1" x14ac:dyDescent="0.25">
      <c r="A700" t="s">
        <v>6537</v>
      </c>
      <c r="B700">
        <v>8</v>
      </c>
    </row>
    <row r="701" spans="1:2" ht="13.5" customHeight="1" x14ac:dyDescent="0.25">
      <c r="A701" t="s">
        <v>6537</v>
      </c>
      <c r="B701">
        <v>9</v>
      </c>
    </row>
    <row r="702" spans="1:2" ht="13.5" customHeight="1" x14ac:dyDescent="0.25">
      <c r="A702" t="s">
        <v>6537</v>
      </c>
      <c r="B702">
        <v>10</v>
      </c>
    </row>
    <row r="703" spans="1:2" ht="13.5" customHeight="1" x14ac:dyDescent="0.25">
      <c r="A703" t="s">
        <v>6537</v>
      </c>
      <c r="B703">
        <v>11</v>
      </c>
    </row>
    <row r="704" spans="1:2" ht="13.5" customHeight="1" x14ac:dyDescent="0.25">
      <c r="A704" t="s">
        <v>6537</v>
      </c>
      <c r="B704">
        <v>12</v>
      </c>
    </row>
    <row r="705" spans="1:2" ht="13.5" customHeight="1" x14ac:dyDescent="0.25">
      <c r="A705" t="s">
        <v>6537</v>
      </c>
      <c r="B705">
        <v>13</v>
      </c>
    </row>
    <row r="706" spans="1:2" ht="13.5" customHeight="1" x14ac:dyDescent="0.25">
      <c r="A706" t="s">
        <v>6537</v>
      </c>
      <c r="B706">
        <v>14</v>
      </c>
    </row>
    <row r="707" spans="1:2" ht="13.5" customHeight="1" x14ac:dyDescent="0.25">
      <c r="A707" t="s">
        <v>6537</v>
      </c>
      <c r="B707">
        <v>15</v>
      </c>
    </row>
    <row r="708" spans="1:2" ht="13.5" customHeight="1" x14ac:dyDescent="0.25">
      <c r="A708" t="s">
        <v>6537</v>
      </c>
      <c r="B708">
        <v>16</v>
      </c>
    </row>
    <row r="709" spans="1:2" ht="13.5" customHeight="1" x14ac:dyDescent="0.25">
      <c r="A709" t="s">
        <v>6537</v>
      </c>
      <c r="B709">
        <v>17</v>
      </c>
    </row>
    <row r="710" spans="1:2" ht="13.5" customHeight="1" x14ac:dyDescent="0.25">
      <c r="A710" t="s">
        <v>6537</v>
      </c>
      <c r="B710">
        <v>18</v>
      </c>
    </row>
    <row r="711" spans="1:2" ht="13.5" customHeight="1" x14ac:dyDescent="0.25">
      <c r="A711" t="s">
        <v>6537</v>
      </c>
      <c r="B711">
        <v>19</v>
      </c>
    </row>
    <row r="712" spans="1:2" ht="13.5" customHeight="1" x14ac:dyDescent="0.25">
      <c r="A712" t="s">
        <v>6537</v>
      </c>
      <c r="B712">
        <v>20</v>
      </c>
    </row>
    <row r="713" spans="1:2" ht="13.5" customHeight="1" x14ac:dyDescent="0.25">
      <c r="A713" t="s">
        <v>6537</v>
      </c>
      <c r="B713">
        <v>21</v>
      </c>
    </row>
    <row r="714" spans="1:2" ht="13.5" customHeight="1" x14ac:dyDescent="0.25">
      <c r="A714" t="s">
        <v>6537</v>
      </c>
      <c r="B714">
        <v>22</v>
      </c>
    </row>
    <row r="715" spans="1:2" ht="13.5" customHeight="1" x14ac:dyDescent="0.25">
      <c r="A715" t="s">
        <v>6537</v>
      </c>
      <c r="B715">
        <v>23</v>
      </c>
    </row>
    <row r="716" spans="1:2" ht="13.5" customHeight="1" x14ac:dyDescent="0.25">
      <c r="A716" t="s">
        <v>6537</v>
      </c>
      <c r="B716">
        <v>24</v>
      </c>
    </row>
    <row r="717" spans="1:2" ht="13.5" customHeight="1" x14ac:dyDescent="0.25">
      <c r="A717" t="s">
        <v>6538</v>
      </c>
      <c r="B717">
        <v>1</v>
      </c>
    </row>
    <row r="718" spans="1:2" ht="13.5" customHeight="1" x14ac:dyDescent="0.25">
      <c r="A718" t="s">
        <v>6538</v>
      </c>
      <c r="B718">
        <v>2</v>
      </c>
    </row>
    <row r="719" spans="1:2" ht="13.5" customHeight="1" x14ac:dyDescent="0.25">
      <c r="A719" t="s">
        <v>6538</v>
      </c>
      <c r="B719">
        <v>3</v>
      </c>
    </row>
    <row r="720" spans="1:2" ht="13.5" customHeight="1" x14ac:dyDescent="0.25">
      <c r="A720" t="s">
        <v>6538</v>
      </c>
      <c r="B720">
        <v>4</v>
      </c>
    </row>
    <row r="721" spans="1:2" ht="13.5" customHeight="1" x14ac:dyDescent="0.25">
      <c r="A721" t="s">
        <v>6538</v>
      </c>
      <c r="B721">
        <v>5</v>
      </c>
    </row>
    <row r="722" spans="1:2" ht="13.5" customHeight="1" x14ac:dyDescent="0.25">
      <c r="A722" t="s">
        <v>6538</v>
      </c>
      <c r="B722">
        <v>6</v>
      </c>
    </row>
    <row r="723" spans="1:2" ht="13.5" customHeight="1" x14ac:dyDescent="0.25">
      <c r="A723" t="s">
        <v>6538</v>
      </c>
      <c r="B723">
        <v>7</v>
      </c>
    </row>
    <row r="724" spans="1:2" ht="13.5" customHeight="1" x14ac:dyDescent="0.25">
      <c r="A724" t="s">
        <v>6538</v>
      </c>
      <c r="B724">
        <v>8</v>
      </c>
    </row>
    <row r="725" spans="1:2" ht="13.5" customHeight="1" x14ac:dyDescent="0.25">
      <c r="A725" t="s">
        <v>6538</v>
      </c>
      <c r="B725">
        <v>9</v>
      </c>
    </row>
    <row r="726" spans="1:2" ht="13.5" customHeight="1" x14ac:dyDescent="0.25">
      <c r="A726" t="s">
        <v>6538</v>
      </c>
      <c r="B726">
        <v>10</v>
      </c>
    </row>
    <row r="727" spans="1:2" ht="13.5" customHeight="1" x14ac:dyDescent="0.25">
      <c r="A727" t="s">
        <v>6538</v>
      </c>
      <c r="B727">
        <v>11</v>
      </c>
    </row>
    <row r="728" spans="1:2" ht="13.5" customHeight="1" x14ac:dyDescent="0.25">
      <c r="A728" t="s">
        <v>6538</v>
      </c>
      <c r="B728">
        <v>12</v>
      </c>
    </row>
    <row r="729" spans="1:2" ht="13.5" customHeight="1" x14ac:dyDescent="0.25">
      <c r="A729" t="s">
        <v>6538</v>
      </c>
      <c r="B729">
        <v>13</v>
      </c>
    </row>
    <row r="730" spans="1:2" ht="13.5" customHeight="1" x14ac:dyDescent="0.25">
      <c r="A730" t="s">
        <v>6538</v>
      </c>
      <c r="B730">
        <v>14</v>
      </c>
    </row>
    <row r="731" spans="1:2" ht="13.5" customHeight="1" x14ac:dyDescent="0.25">
      <c r="A731" t="s">
        <v>6538</v>
      </c>
      <c r="B731">
        <v>15</v>
      </c>
    </row>
    <row r="732" spans="1:2" ht="13.5" customHeight="1" x14ac:dyDescent="0.25">
      <c r="A732" t="s">
        <v>6538</v>
      </c>
      <c r="B732">
        <v>16</v>
      </c>
    </row>
    <row r="733" spans="1:2" ht="13.5" customHeight="1" x14ac:dyDescent="0.25">
      <c r="A733" t="s">
        <v>6538</v>
      </c>
      <c r="B733">
        <v>17</v>
      </c>
    </row>
    <row r="734" spans="1:2" ht="13.5" customHeight="1" x14ac:dyDescent="0.25">
      <c r="A734" t="s">
        <v>6538</v>
      </c>
      <c r="B734">
        <v>18</v>
      </c>
    </row>
    <row r="735" spans="1:2" ht="13.5" customHeight="1" x14ac:dyDescent="0.25">
      <c r="A735" t="s">
        <v>6538</v>
      </c>
      <c r="B735">
        <v>19</v>
      </c>
    </row>
    <row r="736" spans="1:2" ht="13.5" customHeight="1" x14ac:dyDescent="0.25">
      <c r="A736" t="s">
        <v>6538</v>
      </c>
      <c r="B736">
        <v>20</v>
      </c>
    </row>
    <row r="737" spans="1:2" ht="13.5" customHeight="1" x14ac:dyDescent="0.25">
      <c r="A737" t="s">
        <v>6538</v>
      </c>
      <c r="B737">
        <v>21</v>
      </c>
    </row>
    <row r="738" spans="1:2" ht="13.5" customHeight="1" x14ac:dyDescent="0.25">
      <c r="A738" t="s">
        <v>6538</v>
      </c>
      <c r="B738">
        <v>22</v>
      </c>
    </row>
    <row r="739" spans="1:2" ht="13.5" customHeight="1" x14ac:dyDescent="0.25">
      <c r="A739" t="s">
        <v>6538</v>
      </c>
      <c r="B739">
        <v>23</v>
      </c>
    </row>
    <row r="740" spans="1:2" ht="13.5" customHeight="1" x14ac:dyDescent="0.25">
      <c r="A740" t="s">
        <v>6538</v>
      </c>
      <c r="B740">
        <v>24</v>
      </c>
    </row>
    <row r="741" spans="1:2" ht="13.5" customHeight="1" x14ac:dyDescent="0.25">
      <c r="A741" t="s">
        <v>6539</v>
      </c>
      <c r="B741">
        <v>1</v>
      </c>
    </row>
    <row r="742" spans="1:2" ht="13.5" customHeight="1" x14ac:dyDescent="0.25">
      <c r="A742" t="s">
        <v>6539</v>
      </c>
      <c r="B742">
        <v>2</v>
      </c>
    </row>
    <row r="743" spans="1:2" ht="13.5" customHeight="1" x14ac:dyDescent="0.25">
      <c r="A743" t="s">
        <v>6539</v>
      </c>
      <c r="B743">
        <v>3</v>
      </c>
    </row>
    <row r="744" spans="1:2" ht="13.5" customHeight="1" x14ac:dyDescent="0.25">
      <c r="A744" t="s">
        <v>6539</v>
      </c>
      <c r="B744">
        <v>4</v>
      </c>
    </row>
    <row r="745" spans="1:2" ht="13.5" customHeight="1" x14ac:dyDescent="0.25">
      <c r="A745" t="s">
        <v>6539</v>
      </c>
      <c r="B745">
        <v>5</v>
      </c>
    </row>
    <row r="746" spans="1:2" ht="13.5" customHeight="1" x14ac:dyDescent="0.25">
      <c r="A746" t="s">
        <v>6539</v>
      </c>
      <c r="B746">
        <v>6</v>
      </c>
    </row>
    <row r="747" spans="1:2" ht="13.5" customHeight="1" x14ac:dyDescent="0.25">
      <c r="A747" t="s">
        <v>6539</v>
      </c>
      <c r="B747">
        <v>7</v>
      </c>
    </row>
    <row r="748" spans="1:2" ht="13.5" customHeight="1" x14ac:dyDescent="0.25">
      <c r="A748" t="s">
        <v>6539</v>
      </c>
      <c r="B748">
        <v>8</v>
      </c>
    </row>
    <row r="749" spans="1:2" ht="13.5" customHeight="1" x14ac:dyDescent="0.25">
      <c r="A749" t="s">
        <v>6539</v>
      </c>
      <c r="B749">
        <v>9</v>
      </c>
    </row>
    <row r="750" spans="1:2" ht="13.5" customHeight="1" x14ac:dyDescent="0.25">
      <c r="A750" t="s">
        <v>6539</v>
      </c>
      <c r="B750">
        <v>10</v>
      </c>
    </row>
    <row r="751" spans="1:2" ht="13.5" customHeight="1" x14ac:dyDescent="0.25">
      <c r="A751" t="s">
        <v>6539</v>
      </c>
      <c r="B751">
        <v>11</v>
      </c>
    </row>
    <row r="752" spans="1:2" ht="13.5" customHeight="1" x14ac:dyDescent="0.25">
      <c r="A752" t="s">
        <v>6539</v>
      </c>
      <c r="B752">
        <v>12</v>
      </c>
    </row>
    <row r="753" spans="1:2" ht="13.5" customHeight="1" x14ac:dyDescent="0.25">
      <c r="A753" t="s">
        <v>6539</v>
      </c>
      <c r="B753">
        <v>13</v>
      </c>
    </row>
    <row r="754" spans="1:2" ht="13.5" customHeight="1" x14ac:dyDescent="0.25">
      <c r="A754" t="s">
        <v>6539</v>
      </c>
      <c r="B754">
        <v>14</v>
      </c>
    </row>
    <row r="755" spans="1:2" ht="13.5" customHeight="1" x14ac:dyDescent="0.25">
      <c r="A755" t="s">
        <v>6539</v>
      </c>
      <c r="B755">
        <v>15</v>
      </c>
    </row>
    <row r="756" spans="1:2" ht="13.5" customHeight="1" x14ac:dyDescent="0.25">
      <c r="A756" t="s">
        <v>6539</v>
      </c>
      <c r="B756">
        <v>16</v>
      </c>
    </row>
    <row r="757" spans="1:2" ht="13.5" customHeight="1" x14ac:dyDescent="0.25">
      <c r="A757" t="s">
        <v>6539</v>
      </c>
      <c r="B757">
        <v>17</v>
      </c>
    </row>
    <row r="758" spans="1:2" ht="13.5" customHeight="1" x14ac:dyDescent="0.25">
      <c r="A758" t="s">
        <v>6539</v>
      </c>
      <c r="B758">
        <v>18</v>
      </c>
    </row>
    <row r="759" spans="1:2" ht="13.5" customHeight="1" x14ac:dyDescent="0.25">
      <c r="A759" t="s">
        <v>6539</v>
      </c>
      <c r="B759">
        <v>19</v>
      </c>
    </row>
    <row r="760" spans="1:2" ht="13.5" customHeight="1" x14ac:dyDescent="0.25">
      <c r="A760" t="s">
        <v>6539</v>
      </c>
      <c r="B760">
        <v>20</v>
      </c>
    </row>
    <row r="761" spans="1:2" ht="13.5" customHeight="1" x14ac:dyDescent="0.25">
      <c r="A761" t="s">
        <v>6539</v>
      </c>
      <c r="B761">
        <v>21</v>
      </c>
    </row>
    <row r="762" spans="1:2" ht="13.5" customHeight="1" x14ac:dyDescent="0.25">
      <c r="A762" t="s">
        <v>6539</v>
      </c>
      <c r="B762">
        <v>22</v>
      </c>
    </row>
    <row r="763" spans="1:2" ht="13.5" customHeight="1" x14ac:dyDescent="0.25">
      <c r="A763" t="s">
        <v>6539</v>
      </c>
      <c r="B763">
        <v>23</v>
      </c>
    </row>
    <row r="764" spans="1:2" ht="13.5" customHeight="1" x14ac:dyDescent="0.25">
      <c r="A764" t="s">
        <v>6539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316"/>
  <sheetViews>
    <sheetView topLeftCell="A49" workbookViewId="0">
      <selection activeCell="A93" sqref="A93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82" t="s">
        <v>8717</v>
      </c>
      <c r="B1" s="3982" t="s">
        <v>8718</v>
      </c>
      <c r="C1" s="3982" t="s">
        <v>8719</v>
      </c>
      <c r="D1" s="3982"/>
      <c r="E1" s="3982"/>
      <c r="F1" s="3982" t="s">
        <v>8720</v>
      </c>
      <c r="G1" s="3982"/>
      <c r="H1" s="3982"/>
      <c r="I1" s="3982" t="s">
        <v>8721</v>
      </c>
      <c r="J1" s="3982"/>
      <c r="K1" s="3982"/>
    </row>
    <row r="2" spans="1:11" ht="17.399999999999999" x14ac:dyDescent="0.25">
      <c r="A2" s="3982"/>
      <c r="B2" s="3982"/>
      <c r="C2" s="2557" t="s">
        <v>4141</v>
      </c>
      <c r="D2" s="2557" t="s">
        <v>4142</v>
      </c>
      <c r="E2" s="2557" t="s">
        <v>4143</v>
      </c>
      <c r="F2" s="2557" t="s">
        <v>4141</v>
      </c>
      <c r="G2" s="2557" t="s">
        <v>4142</v>
      </c>
      <c r="H2" s="2557" t="s">
        <v>4143</v>
      </c>
      <c r="I2" s="2557" t="s">
        <v>4141</v>
      </c>
      <c r="J2" s="2557" t="s">
        <v>4142</v>
      </c>
      <c r="K2" s="2557" t="s">
        <v>4143</v>
      </c>
    </row>
    <row r="3" spans="1:11" x14ac:dyDescent="0.25">
      <c r="A3" t="s">
        <v>6506</v>
      </c>
      <c r="B3">
        <v>1</v>
      </c>
    </row>
    <row r="4" spans="1:11" ht="13.5" customHeight="1" x14ac:dyDescent="0.25">
      <c r="A4" t="s">
        <v>6506</v>
      </c>
      <c r="B4">
        <v>2</v>
      </c>
    </row>
    <row r="5" spans="1:11" ht="13.5" customHeight="1" x14ac:dyDescent="0.25">
      <c r="A5" t="s">
        <v>6506</v>
      </c>
      <c r="B5">
        <v>3</v>
      </c>
    </row>
    <row r="6" spans="1:11" ht="13.5" customHeight="1" x14ac:dyDescent="0.25">
      <c r="A6" t="s">
        <v>6506</v>
      </c>
      <c r="B6">
        <v>4</v>
      </c>
    </row>
    <row r="7" spans="1:11" ht="13.5" customHeight="1" x14ac:dyDescent="0.25">
      <c r="A7" t="s">
        <v>6506</v>
      </c>
      <c r="B7">
        <v>5</v>
      </c>
    </row>
    <row r="8" spans="1:11" ht="13.5" customHeight="1" x14ac:dyDescent="0.25">
      <c r="A8" t="s">
        <v>6506</v>
      </c>
      <c r="B8">
        <v>6</v>
      </c>
    </row>
    <row r="9" spans="1:11" ht="13.5" customHeight="1" x14ac:dyDescent="0.25">
      <c r="A9" t="s">
        <v>6506</v>
      </c>
      <c r="B9">
        <v>7</v>
      </c>
    </row>
    <row r="10" spans="1:11" ht="13.5" customHeight="1" x14ac:dyDescent="0.25">
      <c r="A10" t="s">
        <v>6506</v>
      </c>
      <c r="B10">
        <v>8</v>
      </c>
    </row>
    <row r="11" spans="1:11" ht="13.5" customHeight="1" x14ac:dyDescent="0.25">
      <c r="A11" t="s">
        <v>6506</v>
      </c>
      <c r="B11">
        <v>9</v>
      </c>
    </row>
    <row r="12" spans="1:11" ht="13.5" customHeight="1" x14ac:dyDescent="0.25">
      <c r="A12" t="s">
        <v>6507</v>
      </c>
      <c r="B12">
        <v>1</v>
      </c>
    </row>
    <row r="13" spans="1:11" ht="13.5" customHeight="1" x14ac:dyDescent="0.25">
      <c r="A13" t="s">
        <v>6507</v>
      </c>
      <c r="B13">
        <v>2</v>
      </c>
    </row>
    <row r="14" spans="1:11" ht="13.5" customHeight="1" x14ac:dyDescent="0.25">
      <c r="A14" t="s">
        <v>6507</v>
      </c>
      <c r="B14">
        <v>3</v>
      </c>
    </row>
    <row r="15" spans="1:11" ht="13.5" customHeight="1" x14ac:dyDescent="0.25">
      <c r="A15" t="s">
        <v>6507</v>
      </c>
      <c r="B15">
        <v>4</v>
      </c>
    </row>
    <row r="16" spans="1:11" ht="13.5" customHeight="1" x14ac:dyDescent="0.25">
      <c r="A16" t="s">
        <v>6507</v>
      </c>
      <c r="B16">
        <v>5</v>
      </c>
    </row>
    <row r="17" spans="1:2" ht="13.5" customHeight="1" x14ac:dyDescent="0.25">
      <c r="A17" t="s">
        <v>6507</v>
      </c>
      <c r="B17">
        <v>6</v>
      </c>
    </row>
    <row r="18" spans="1:2" ht="13.5" customHeight="1" x14ac:dyDescent="0.25">
      <c r="A18" t="s">
        <v>6507</v>
      </c>
      <c r="B18">
        <v>7</v>
      </c>
    </row>
    <row r="19" spans="1:2" ht="13.5" customHeight="1" x14ac:dyDescent="0.25">
      <c r="A19" t="s">
        <v>6507</v>
      </c>
      <c r="B19">
        <v>8</v>
      </c>
    </row>
    <row r="20" spans="1:2" ht="13.5" customHeight="1" x14ac:dyDescent="0.25">
      <c r="A20" t="s">
        <v>6507</v>
      </c>
      <c r="B20">
        <v>9</v>
      </c>
    </row>
    <row r="21" spans="1:2" ht="13.5" customHeight="1" x14ac:dyDescent="0.25">
      <c r="A21" t="s">
        <v>6508</v>
      </c>
      <c r="B21">
        <v>1</v>
      </c>
    </row>
    <row r="22" spans="1:2" ht="13.5" customHeight="1" x14ac:dyDescent="0.25">
      <c r="A22" t="s">
        <v>6508</v>
      </c>
      <c r="B22">
        <v>2</v>
      </c>
    </row>
    <row r="23" spans="1:2" ht="13.5" customHeight="1" x14ac:dyDescent="0.25">
      <c r="A23" t="s">
        <v>6508</v>
      </c>
      <c r="B23">
        <v>3</v>
      </c>
    </row>
    <row r="24" spans="1:2" ht="13.5" customHeight="1" x14ac:dyDescent="0.25">
      <c r="A24" t="s">
        <v>6508</v>
      </c>
      <c r="B24">
        <v>4</v>
      </c>
    </row>
    <row r="25" spans="1:2" ht="13.5" customHeight="1" x14ac:dyDescent="0.25">
      <c r="A25" t="s">
        <v>6508</v>
      </c>
      <c r="B25">
        <v>5</v>
      </c>
    </row>
    <row r="26" spans="1:2" ht="13.5" customHeight="1" x14ac:dyDescent="0.25">
      <c r="A26" t="s">
        <v>6508</v>
      </c>
      <c r="B26">
        <v>6</v>
      </c>
    </row>
    <row r="27" spans="1:2" ht="13.5" customHeight="1" x14ac:dyDescent="0.25">
      <c r="A27" t="s">
        <v>6508</v>
      </c>
      <c r="B27">
        <v>7</v>
      </c>
    </row>
    <row r="28" spans="1:2" ht="13.5" customHeight="1" x14ac:dyDescent="0.25">
      <c r="A28" t="s">
        <v>6508</v>
      </c>
      <c r="B28">
        <v>8</v>
      </c>
    </row>
    <row r="29" spans="1:2" ht="13.5" customHeight="1" x14ac:dyDescent="0.25">
      <c r="A29" t="s">
        <v>6508</v>
      </c>
      <c r="B29">
        <v>9</v>
      </c>
    </row>
    <row r="30" spans="1:2" ht="13.5" customHeight="1" x14ac:dyDescent="0.25">
      <c r="A30" t="s">
        <v>6508</v>
      </c>
      <c r="B30">
        <v>10</v>
      </c>
    </row>
    <row r="31" spans="1:2" ht="13.5" customHeight="1" x14ac:dyDescent="0.25">
      <c r="A31" t="s">
        <v>6508</v>
      </c>
      <c r="B31">
        <v>11</v>
      </c>
    </row>
    <row r="32" spans="1:2" ht="13.5" customHeight="1" x14ac:dyDescent="0.25">
      <c r="A32" t="s">
        <v>6508</v>
      </c>
      <c r="B32">
        <v>12</v>
      </c>
    </row>
    <row r="33" spans="1:2" ht="13.5" customHeight="1" x14ac:dyDescent="0.25">
      <c r="A33" t="s">
        <v>6509</v>
      </c>
      <c r="B33">
        <v>1</v>
      </c>
    </row>
    <row r="34" spans="1:2" ht="13.5" customHeight="1" x14ac:dyDescent="0.25">
      <c r="A34" t="s">
        <v>6509</v>
      </c>
      <c r="B34">
        <v>2</v>
      </c>
    </row>
    <row r="35" spans="1:2" ht="13.5" customHeight="1" x14ac:dyDescent="0.25">
      <c r="A35" t="s">
        <v>6509</v>
      </c>
      <c r="B35">
        <v>3</v>
      </c>
    </row>
    <row r="36" spans="1:2" ht="13.5" customHeight="1" x14ac:dyDescent="0.25">
      <c r="A36" t="s">
        <v>6509</v>
      </c>
      <c r="B36">
        <v>4</v>
      </c>
    </row>
    <row r="37" spans="1:2" ht="13.5" customHeight="1" x14ac:dyDescent="0.25">
      <c r="A37" t="s">
        <v>6509</v>
      </c>
      <c r="B37">
        <v>5</v>
      </c>
    </row>
    <row r="38" spans="1:2" ht="13.5" customHeight="1" x14ac:dyDescent="0.25">
      <c r="A38" t="s">
        <v>6509</v>
      </c>
      <c r="B38">
        <v>6</v>
      </c>
    </row>
    <row r="39" spans="1:2" ht="13.5" customHeight="1" x14ac:dyDescent="0.25">
      <c r="A39" t="s">
        <v>6509</v>
      </c>
      <c r="B39">
        <v>7</v>
      </c>
    </row>
    <row r="40" spans="1:2" ht="13.5" customHeight="1" x14ac:dyDescent="0.25">
      <c r="A40" t="s">
        <v>6509</v>
      </c>
      <c r="B40">
        <v>8</v>
      </c>
    </row>
    <row r="41" spans="1:2" ht="13.5" customHeight="1" x14ac:dyDescent="0.25">
      <c r="A41" t="s">
        <v>6509</v>
      </c>
      <c r="B41">
        <v>9</v>
      </c>
    </row>
    <row r="42" spans="1:2" ht="13.5" customHeight="1" x14ac:dyDescent="0.25">
      <c r="A42" t="s">
        <v>6509</v>
      </c>
      <c r="B42">
        <v>10</v>
      </c>
    </row>
    <row r="43" spans="1:2" ht="13.5" customHeight="1" x14ac:dyDescent="0.25">
      <c r="A43" t="s">
        <v>6509</v>
      </c>
      <c r="B43">
        <v>11</v>
      </c>
    </row>
    <row r="44" spans="1:2" ht="13.5" customHeight="1" x14ac:dyDescent="0.25">
      <c r="A44" t="s">
        <v>6509</v>
      </c>
      <c r="B44">
        <v>12</v>
      </c>
    </row>
    <row r="45" spans="1:2" ht="13.5" customHeight="1" x14ac:dyDescent="0.25">
      <c r="A45" t="s">
        <v>6510</v>
      </c>
      <c r="B45">
        <v>1</v>
      </c>
    </row>
    <row r="46" spans="1:2" ht="13.5" customHeight="1" x14ac:dyDescent="0.25">
      <c r="A46" t="s">
        <v>6510</v>
      </c>
      <c r="B46">
        <v>2</v>
      </c>
    </row>
    <row r="47" spans="1:2" ht="13.5" customHeight="1" x14ac:dyDescent="0.25">
      <c r="A47" t="s">
        <v>6510</v>
      </c>
      <c r="B47">
        <v>3</v>
      </c>
    </row>
    <row r="48" spans="1:2" ht="13.5" customHeight="1" x14ac:dyDescent="0.25">
      <c r="A48" t="s">
        <v>6511</v>
      </c>
      <c r="B48">
        <v>1</v>
      </c>
    </row>
    <row r="49" spans="1:2" ht="13.5" customHeight="1" x14ac:dyDescent="0.25">
      <c r="A49" t="s">
        <v>6511</v>
      </c>
      <c r="B49">
        <v>2</v>
      </c>
    </row>
    <row r="50" spans="1:2" ht="13.5" customHeight="1" x14ac:dyDescent="0.25">
      <c r="A50" t="s">
        <v>6511</v>
      </c>
      <c r="B50">
        <v>3</v>
      </c>
    </row>
    <row r="51" spans="1:2" ht="13.5" customHeight="1" x14ac:dyDescent="0.25">
      <c r="A51" t="s">
        <v>6511</v>
      </c>
      <c r="B51">
        <v>4</v>
      </c>
    </row>
    <row r="52" spans="1:2" ht="13.5" customHeight="1" x14ac:dyDescent="0.25">
      <c r="A52" t="s">
        <v>6511</v>
      </c>
      <c r="B52">
        <v>5</v>
      </c>
    </row>
    <row r="53" spans="1:2" ht="13.5" customHeight="1" x14ac:dyDescent="0.25">
      <c r="A53" t="s">
        <v>6511</v>
      </c>
      <c r="B53">
        <v>6</v>
      </c>
    </row>
    <row r="54" spans="1:2" ht="13.5" customHeight="1" x14ac:dyDescent="0.25">
      <c r="A54" t="s">
        <v>6511</v>
      </c>
      <c r="B54">
        <v>7</v>
      </c>
    </row>
    <row r="55" spans="1:2" ht="13.5" customHeight="1" x14ac:dyDescent="0.25">
      <c r="A55" t="s">
        <v>6511</v>
      </c>
      <c r="B55">
        <v>8</v>
      </c>
    </row>
    <row r="56" spans="1:2" ht="13.5" customHeight="1" x14ac:dyDescent="0.25">
      <c r="A56" t="s">
        <v>6511</v>
      </c>
      <c r="B56">
        <v>9</v>
      </c>
    </row>
    <row r="57" spans="1:2" ht="13.5" customHeight="1" x14ac:dyDescent="0.25">
      <c r="A57" t="s">
        <v>6512</v>
      </c>
      <c r="B57">
        <v>1</v>
      </c>
    </row>
    <row r="58" spans="1:2" ht="13.5" customHeight="1" x14ac:dyDescent="0.25">
      <c r="A58" t="s">
        <v>6512</v>
      </c>
      <c r="B58">
        <v>2</v>
      </c>
    </row>
    <row r="59" spans="1:2" ht="13.5" customHeight="1" x14ac:dyDescent="0.25">
      <c r="A59" t="s">
        <v>6512</v>
      </c>
      <c r="B59">
        <v>3</v>
      </c>
    </row>
    <row r="60" spans="1:2" ht="13.5" customHeight="1" x14ac:dyDescent="0.25">
      <c r="A60" t="s">
        <v>6512</v>
      </c>
      <c r="B60">
        <v>4</v>
      </c>
    </row>
    <row r="61" spans="1:2" ht="13.5" customHeight="1" x14ac:dyDescent="0.25">
      <c r="A61" t="s">
        <v>6512</v>
      </c>
      <c r="B61">
        <v>5</v>
      </c>
    </row>
    <row r="62" spans="1:2" ht="13.5" customHeight="1" x14ac:dyDescent="0.25">
      <c r="A62" t="s">
        <v>6512</v>
      </c>
      <c r="B62">
        <v>6</v>
      </c>
    </row>
    <row r="63" spans="1:2" ht="13.5" customHeight="1" x14ac:dyDescent="0.25">
      <c r="A63" t="s">
        <v>6512</v>
      </c>
      <c r="B63">
        <v>7</v>
      </c>
    </row>
    <row r="64" spans="1:2" ht="13.5" customHeight="1" x14ac:dyDescent="0.25">
      <c r="A64" t="s">
        <v>6512</v>
      </c>
      <c r="B64">
        <v>8</v>
      </c>
    </row>
    <row r="65" spans="1:2" ht="13.5" customHeight="1" x14ac:dyDescent="0.25">
      <c r="A65" t="s">
        <v>6512</v>
      </c>
      <c r="B65">
        <v>9</v>
      </c>
    </row>
    <row r="66" spans="1:2" ht="13.5" customHeight="1" x14ac:dyDescent="0.25">
      <c r="A66" t="s">
        <v>6513</v>
      </c>
      <c r="B66">
        <v>1</v>
      </c>
    </row>
    <row r="67" spans="1:2" ht="13.5" customHeight="1" x14ac:dyDescent="0.25">
      <c r="A67" t="s">
        <v>6513</v>
      </c>
      <c r="B67">
        <v>2</v>
      </c>
    </row>
    <row r="68" spans="1:2" ht="13.5" customHeight="1" x14ac:dyDescent="0.25">
      <c r="A68" t="s">
        <v>6513</v>
      </c>
      <c r="B68">
        <v>3</v>
      </c>
    </row>
    <row r="69" spans="1:2" ht="13.5" customHeight="1" x14ac:dyDescent="0.25">
      <c r="A69" t="s">
        <v>6513</v>
      </c>
      <c r="B69">
        <v>4</v>
      </c>
    </row>
    <row r="70" spans="1:2" ht="13.5" customHeight="1" x14ac:dyDescent="0.25">
      <c r="A70" t="s">
        <v>6513</v>
      </c>
      <c r="B70">
        <v>5</v>
      </c>
    </row>
    <row r="71" spans="1:2" ht="13.5" customHeight="1" x14ac:dyDescent="0.25">
      <c r="A71" t="s">
        <v>6513</v>
      </c>
      <c r="B71">
        <v>6</v>
      </c>
    </row>
    <row r="72" spans="1:2" ht="13.5" customHeight="1" x14ac:dyDescent="0.25">
      <c r="A72" t="s">
        <v>6513</v>
      </c>
      <c r="B72">
        <v>7</v>
      </c>
    </row>
    <row r="73" spans="1:2" ht="13.5" customHeight="1" x14ac:dyDescent="0.25">
      <c r="A73" t="s">
        <v>6513</v>
      </c>
      <c r="B73">
        <v>8</v>
      </c>
    </row>
    <row r="74" spans="1:2" ht="13.5" customHeight="1" x14ac:dyDescent="0.25">
      <c r="A74" t="s">
        <v>6513</v>
      </c>
      <c r="B74">
        <v>9</v>
      </c>
    </row>
    <row r="75" spans="1:2" ht="13.5" customHeight="1" x14ac:dyDescent="0.25">
      <c r="A75" t="s">
        <v>6513</v>
      </c>
      <c r="B75">
        <v>10</v>
      </c>
    </row>
    <row r="76" spans="1:2" ht="13.5" customHeight="1" x14ac:dyDescent="0.25">
      <c r="A76" t="s">
        <v>6513</v>
      </c>
      <c r="B76">
        <v>11</v>
      </c>
    </row>
    <row r="77" spans="1:2" ht="13.5" customHeight="1" x14ac:dyDescent="0.25">
      <c r="A77" t="s">
        <v>6513</v>
      </c>
      <c r="B77">
        <v>12</v>
      </c>
    </row>
    <row r="78" spans="1:2" ht="13.5" customHeight="1" x14ac:dyDescent="0.25">
      <c r="A78" t="s">
        <v>6514</v>
      </c>
      <c r="B78">
        <v>1</v>
      </c>
    </row>
    <row r="79" spans="1:2" ht="13.5" customHeight="1" x14ac:dyDescent="0.25">
      <c r="A79" t="s">
        <v>6514</v>
      </c>
      <c r="B79">
        <v>2</v>
      </c>
    </row>
    <row r="80" spans="1:2" ht="13.5" customHeight="1" x14ac:dyDescent="0.25">
      <c r="A80" t="s">
        <v>6514</v>
      </c>
      <c r="B80">
        <v>3</v>
      </c>
    </row>
    <row r="81" spans="1:2" ht="13.5" customHeight="1" x14ac:dyDescent="0.25">
      <c r="A81" t="s">
        <v>6514</v>
      </c>
      <c r="B81">
        <v>4</v>
      </c>
    </row>
    <row r="82" spans="1:2" ht="13.5" customHeight="1" x14ac:dyDescent="0.25">
      <c r="A82" t="s">
        <v>6514</v>
      </c>
      <c r="B82">
        <v>5</v>
      </c>
    </row>
    <row r="83" spans="1:2" ht="13.5" customHeight="1" x14ac:dyDescent="0.25">
      <c r="A83" t="s">
        <v>6514</v>
      </c>
      <c r="B83">
        <v>6</v>
      </c>
    </row>
    <row r="84" spans="1:2" ht="13.5" customHeight="1" x14ac:dyDescent="0.25">
      <c r="A84" t="s">
        <v>6514</v>
      </c>
      <c r="B84">
        <v>7</v>
      </c>
    </row>
    <row r="85" spans="1:2" ht="13.5" customHeight="1" x14ac:dyDescent="0.25">
      <c r="A85" t="s">
        <v>6514</v>
      </c>
      <c r="B85">
        <v>8</v>
      </c>
    </row>
    <row r="86" spans="1:2" ht="13.5" customHeight="1" x14ac:dyDescent="0.25">
      <c r="A86" t="s">
        <v>6514</v>
      </c>
      <c r="B86">
        <v>9</v>
      </c>
    </row>
    <row r="87" spans="1:2" ht="13.5" customHeight="1" x14ac:dyDescent="0.25">
      <c r="A87" t="s">
        <v>6514</v>
      </c>
      <c r="B87">
        <v>10</v>
      </c>
    </row>
    <row r="88" spans="1:2" ht="13.5" customHeight="1" x14ac:dyDescent="0.25">
      <c r="A88" t="s">
        <v>6514</v>
      </c>
      <c r="B88">
        <v>11</v>
      </c>
    </row>
    <row r="89" spans="1:2" ht="13.5" customHeight="1" x14ac:dyDescent="0.25">
      <c r="A89" t="s">
        <v>6514</v>
      </c>
      <c r="B89">
        <v>12</v>
      </c>
    </row>
    <row r="90" spans="1:2" ht="13.5" customHeight="1" x14ac:dyDescent="0.25">
      <c r="A90" t="s">
        <v>6515</v>
      </c>
      <c r="B90">
        <v>1</v>
      </c>
    </row>
    <row r="91" spans="1:2" ht="13.5" customHeight="1" x14ac:dyDescent="0.25">
      <c r="A91" t="s">
        <v>6515</v>
      </c>
      <c r="B91">
        <v>2</v>
      </c>
    </row>
    <row r="92" spans="1:2" ht="13.5" customHeight="1" x14ac:dyDescent="0.25">
      <c r="A92" t="s">
        <v>6515</v>
      </c>
      <c r="B92">
        <v>3</v>
      </c>
    </row>
    <row r="93" spans="1:2" x14ac:dyDescent="0.25">
      <c r="A93" s="3275" t="s">
        <v>10849</v>
      </c>
      <c r="B93">
        <v>1</v>
      </c>
    </row>
    <row r="94" spans="1:2" x14ac:dyDescent="0.25">
      <c r="A94" s="3275" t="s">
        <v>10849</v>
      </c>
      <c r="B94">
        <v>2</v>
      </c>
    </row>
    <row r="95" spans="1:2" x14ac:dyDescent="0.25">
      <c r="A95" s="3275" t="s">
        <v>10849</v>
      </c>
      <c r="B95">
        <v>3</v>
      </c>
    </row>
    <row r="96" spans="1:2" x14ac:dyDescent="0.25">
      <c r="A96" s="3275" t="s">
        <v>10849</v>
      </c>
      <c r="B96">
        <v>4</v>
      </c>
    </row>
    <row r="97" spans="1:2" x14ac:dyDescent="0.25">
      <c r="A97" s="3275" t="s">
        <v>10849</v>
      </c>
      <c r="B97">
        <v>5</v>
      </c>
    </row>
    <row r="98" spans="1:2" x14ac:dyDescent="0.25">
      <c r="A98" s="3275" t="s">
        <v>10849</v>
      </c>
      <c r="B98">
        <v>6</v>
      </c>
    </row>
    <row r="99" spans="1:2" x14ac:dyDescent="0.25">
      <c r="A99" s="3275" t="s">
        <v>10849</v>
      </c>
      <c r="B99">
        <v>7</v>
      </c>
    </row>
    <row r="100" spans="1:2" x14ac:dyDescent="0.25">
      <c r="A100" s="3275" t="s">
        <v>10849</v>
      </c>
      <c r="B100">
        <v>8</v>
      </c>
    </row>
    <row r="101" spans="1:2" x14ac:dyDescent="0.25">
      <c r="A101" s="3275" t="s">
        <v>10849</v>
      </c>
      <c r="B101">
        <v>9</v>
      </c>
    </row>
    <row r="102" spans="1:2" x14ac:dyDescent="0.25">
      <c r="A102" s="3275" t="s">
        <v>10849</v>
      </c>
      <c r="B102">
        <v>10</v>
      </c>
    </row>
    <row r="103" spans="1:2" x14ac:dyDescent="0.25">
      <c r="A103" s="3275" t="s">
        <v>10849</v>
      </c>
      <c r="B103">
        <v>11</v>
      </c>
    </row>
    <row r="104" spans="1:2" x14ac:dyDescent="0.25">
      <c r="A104" s="3275" t="s">
        <v>10849</v>
      </c>
      <c r="B104">
        <v>12</v>
      </c>
    </row>
    <row r="105" spans="1:2" x14ac:dyDescent="0.25">
      <c r="A105" s="3275" t="s">
        <v>10849</v>
      </c>
      <c r="B105">
        <v>13</v>
      </c>
    </row>
    <row r="106" spans="1:2" x14ac:dyDescent="0.25">
      <c r="A106" s="3275" t="s">
        <v>10849</v>
      </c>
      <c r="B106">
        <v>14</v>
      </c>
    </row>
    <row r="107" spans="1:2" x14ac:dyDescent="0.25">
      <c r="A107" s="3275" t="s">
        <v>10849</v>
      </c>
      <c r="B107">
        <v>15</v>
      </c>
    </row>
    <row r="108" spans="1:2" x14ac:dyDescent="0.25">
      <c r="A108" s="3275" t="s">
        <v>10849</v>
      </c>
      <c r="B108">
        <v>16</v>
      </c>
    </row>
    <row r="109" spans="1:2" x14ac:dyDescent="0.25">
      <c r="A109" s="3275" t="s">
        <v>10849</v>
      </c>
      <c r="B109">
        <v>17</v>
      </c>
    </row>
    <row r="110" spans="1:2" x14ac:dyDescent="0.25">
      <c r="A110" s="3275" t="s">
        <v>10849</v>
      </c>
      <c r="B110">
        <v>18</v>
      </c>
    </row>
    <row r="111" spans="1:2" x14ac:dyDescent="0.25">
      <c r="A111" s="3275" t="s">
        <v>10849</v>
      </c>
      <c r="B111">
        <v>19</v>
      </c>
    </row>
    <row r="112" spans="1:2" x14ac:dyDescent="0.25">
      <c r="A112" s="3275" t="s">
        <v>10849</v>
      </c>
      <c r="B112">
        <v>20</v>
      </c>
    </row>
    <row r="113" spans="1:2" x14ac:dyDescent="0.25">
      <c r="A113" s="3275" t="s">
        <v>10849</v>
      </c>
      <c r="B113">
        <v>21</v>
      </c>
    </row>
    <row r="114" spans="1:2" x14ac:dyDescent="0.25">
      <c r="A114" s="3275" t="s">
        <v>10849</v>
      </c>
      <c r="B114">
        <v>22</v>
      </c>
    </row>
    <row r="115" spans="1:2" x14ac:dyDescent="0.25">
      <c r="A115" s="3275" t="s">
        <v>10849</v>
      </c>
      <c r="B115">
        <v>23</v>
      </c>
    </row>
    <row r="116" spans="1:2" x14ac:dyDescent="0.25">
      <c r="A116" s="3275" t="s">
        <v>10849</v>
      </c>
      <c r="B116">
        <v>24</v>
      </c>
    </row>
    <row r="117" spans="1:2" x14ac:dyDescent="0.25">
      <c r="A117" s="3275" t="s">
        <v>10849</v>
      </c>
      <c r="B117">
        <v>25</v>
      </c>
    </row>
    <row r="118" spans="1:2" x14ac:dyDescent="0.25">
      <c r="A118" s="3275" t="s">
        <v>10849</v>
      </c>
      <c r="B118">
        <v>26</v>
      </c>
    </row>
    <row r="119" spans="1:2" x14ac:dyDescent="0.25">
      <c r="A119" s="3275" t="s">
        <v>10849</v>
      </c>
      <c r="B119">
        <v>27</v>
      </c>
    </row>
    <row r="120" spans="1:2" x14ac:dyDescent="0.25">
      <c r="A120" s="3275" t="s">
        <v>10849</v>
      </c>
      <c r="B120">
        <v>28</v>
      </c>
    </row>
    <row r="121" spans="1:2" x14ac:dyDescent="0.25">
      <c r="A121" s="3275" t="s">
        <v>10849</v>
      </c>
      <c r="B121">
        <v>29</v>
      </c>
    </row>
    <row r="122" spans="1:2" x14ac:dyDescent="0.25">
      <c r="A122" s="3275" t="s">
        <v>10849</v>
      </c>
      <c r="B122">
        <v>30</v>
      </c>
    </row>
    <row r="123" spans="1:2" x14ac:dyDescent="0.25">
      <c r="A123" s="3275" t="s">
        <v>10849</v>
      </c>
      <c r="B123">
        <v>31</v>
      </c>
    </row>
    <row r="124" spans="1:2" x14ac:dyDescent="0.25">
      <c r="A124" s="3275" t="s">
        <v>10849</v>
      </c>
      <c r="B124">
        <v>32</v>
      </c>
    </row>
    <row r="125" spans="1:2" x14ac:dyDescent="0.25">
      <c r="A125" s="3275" t="s">
        <v>10849</v>
      </c>
      <c r="B125">
        <v>33</v>
      </c>
    </row>
    <row r="126" spans="1:2" x14ac:dyDescent="0.25">
      <c r="A126" s="3275" t="s">
        <v>10849</v>
      </c>
      <c r="B126">
        <v>34</v>
      </c>
    </row>
    <row r="127" spans="1:2" x14ac:dyDescent="0.25">
      <c r="A127" s="3275" t="s">
        <v>10849</v>
      </c>
      <c r="B127">
        <v>35</v>
      </c>
    </row>
    <row r="128" spans="1:2" x14ac:dyDescent="0.25">
      <c r="A128" s="3275" t="s">
        <v>10849</v>
      </c>
      <c r="B128">
        <v>36</v>
      </c>
    </row>
    <row r="129" spans="1:2" x14ac:dyDescent="0.25">
      <c r="A129" s="3275" t="s">
        <v>10849</v>
      </c>
      <c r="B129">
        <v>37</v>
      </c>
    </row>
    <row r="130" spans="1:2" x14ac:dyDescent="0.25">
      <c r="A130" s="3275" t="s">
        <v>10849</v>
      </c>
      <c r="B130">
        <v>38</v>
      </c>
    </row>
    <row r="131" spans="1:2" x14ac:dyDescent="0.25">
      <c r="A131" s="3275" t="s">
        <v>10849</v>
      </c>
      <c r="B131">
        <v>39</v>
      </c>
    </row>
    <row r="132" spans="1:2" x14ac:dyDescent="0.25">
      <c r="A132" s="3275" t="s">
        <v>10849</v>
      </c>
      <c r="B132">
        <v>40</v>
      </c>
    </row>
    <row r="133" spans="1:2" x14ac:dyDescent="0.25">
      <c r="A133" s="3275" t="s">
        <v>10849</v>
      </c>
      <c r="B133">
        <v>41</v>
      </c>
    </row>
    <row r="134" spans="1:2" x14ac:dyDescent="0.25">
      <c r="A134" s="3275" t="s">
        <v>10849</v>
      </c>
      <c r="B134">
        <v>42</v>
      </c>
    </row>
    <row r="135" spans="1:2" x14ac:dyDescent="0.25">
      <c r="A135" s="3275" t="s">
        <v>10849</v>
      </c>
      <c r="B135">
        <v>43</v>
      </c>
    </row>
    <row r="136" spans="1:2" x14ac:dyDescent="0.25">
      <c r="A136" s="3275" t="s">
        <v>10849</v>
      </c>
      <c r="B136">
        <v>44</v>
      </c>
    </row>
    <row r="137" spans="1:2" x14ac:dyDescent="0.25">
      <c r="A137" s="3275" t="s">
        <v>10849</v>
      </c>
      <c r="B137">
        <v>45</v>
      </c>
    </row>
    <row r="138" spans="1:2" x14ac:dyDescent="0.25">
      <c r="A138" s="3275" t="s">
        <v>10849</v>
      </c>
      <c r="B138">
        <v>46</v>
      </c>
    </row>
    <row r="139" spans="1:2" x14ac:dyDescent="0.25">
      <c r="A139" s="3275" t="s">
        <v>10849</v>
      </c>
      <c r="B139">
        <v>47</v>
      </c>
    </row>
    <row r="140" spans="1:2" x14ac:dyDescent="0.25">
      <c r="A140" s="3275" t="s">
        <v>10849</v>
      </c>
      <c r="B140">
        <v>48</v>
      </c>
    </row>
    <row r="141" spans="1:2" x14ac:dyDescent="0.25">
      <c r="A141" s="3275" t="s">
        <v>10849</v>
      </c>
      <c r="B141">
        <v>49</v>
      </c>
    </row>
    <row r="142" spans="1:2" x14ac:dyDescent="0.25">
      <c r="A142" s="3275" t="s">
        <v>10849</v>
      </c>
      <c r="B142">
        <v>50</v>
      </c>
    </row>
    <row r="143" spans="1:2" x14ac:dyDescent="0.25">
      <c r="A143" s="3276" t="s">
        <v>10850</v>
      </c>
      <c r="B143">
        <v>1</v>
      </c>
    </row>
    <row r="144" spans="1:2" x14ac:dyDescent="0.25">
      <c r="A144" s="3276" t="s">
        <v>10850</v>
      </c>
      <c r="B144">
        <v>2</v>
      </c>
    </row>
    <row r="145" spans="1:2" x14ac:dyDescent="0.25">
      <c r="A145" s="3276" t="s">
        <v>10850</v>
      </c>
      <c r="B145">
        <v>3</v>
      </c>
    </row>
    <row r="146" spans="1:2" x14ac:dyDescent="0.25">
      <c r="A146" s="3276" t="s">
        <v>10850</v>
      </c>
      <c r="B146">
        <v>4</v>
      </c>
    </row>
    <row r="147" spans="1:2" x14ac:dyDescent="0.25">
      <c r="A147" s="3276" t="s">
        <v>10850</v>
      </c>
      <c r="B147">
        <v>5</v>
      </c>
    </row>
    <row r="148" spans="1:2" x14ac:dyDescent="0.25">
      <c r="A148" s="3276" t="s">
        <v>10850</v>
      </c>
      <c r="B148">
        <v>6</v>
      </c>
    </row>
    <row r="149" spans="1:2" x14ac:dyDescent="0.25">
      <c r="A149" s="3276" t="s">
        <v>10850</v>
      </c>
      <c r="B149">
        <v>7</v>
      </c>
    </row>
    <row r="150" spans="1:2" x14ac:dyDescent="0.25">
      <c r="A150" s="3276" t="s">
        <v>10850</v>
      </c>
      <c r="B150">
        <v>8</v>
      </c>
    </row>
    <row r="151" spans="1:2" x14ac:dyDescent="0.25">
      <c r="A151" s="3276" t="s">
        <v>10850</v>
      </c>
      <c r="B151">
        <v>9</v>
      </c>
    </row>
    <row r="152" spans="1:2" x14ac:dyDescent="0.25">
      <c r="A152" s="3276" t="s">
        <v>10850</v>
      </c>
      <c r="B152">
        <v>10</v>
      </c>
    </row>
    <row r="153" spans="1:2" x14ac:dyDescent="0.25">
      <c r="A153" s="3276" t="s">
        <v>10850</v>
      </c>
      <c r="B153">
        <v>11</v>
      </c>
    </row>
    <row r="154" spans="1:2" x14ac:dyDescent="0.25">
      <c r="A154" s="3276" t="s">
        <v>10850</v>
      </c>
      <c r="B154">
        <v>12</v>
      </c>
    </row>
    <row r="155" spans="1:2" x14ac:dyDescent="0.25">
      <c r="A155" s="3276" t="s">
        <v>10850</v>
      </c>
      <c r="B155">
        <v>13</v>
      </c>
    </row>
    <row r="156" spans="1:2" x14ac:dyDescent="0.25">
      <c r="A156" s="3276" t="s">
        <v>10850</v>
      </c>
      <c r="B156">
        <v>14</v>
      </c>
    </row>
    <row r="157" spans="1:2" x14ac:dyDescent="0.25">
      <c r="A157" s="3276" t="s">
        <v>10850</v>
      </c>
      <c r="B157">
        <v>15</v>
      </c>
    </row>
    <row r="158" spans="1:2" x14ac:dyDescent="0.25">
      <c r="A158" s="3276" t="s">
        <v>10850</v>
      </c>
      <c r="B158">
        <v>16</v>
      </c>
    </row>
    <row r="159" spans="1:2" x14ac:dyDescent="0.25">
      <c r="A159" s="3276" t="s">
        <v>10850</v>
      </c>
      <c r="B159">
        <v>17</v>
      </c>
    </row>
    <row r="160" spans="1:2" x14ac:dyDescent="0.25">
      <c r="A160" s="3276" t="s">
        <v>10850</v>
      </c>
      <c r="B160">
        <v>18</v>
      </c>
    </row>
    <row r="161" spans="1:2" x14ac:dyDescent="0.25">
      <c r="A161" s="3276" t="s">
        <v>10850</v>
      </c>
      <c r="B161">
        <v>19</v>
      </c>
    </row>
    <row r="162" spans="1:2" x14ac:dyDescent="0.25">
      <c r="A162" s="3276" t="s">
        <v>10850</v>
      </c>
      <c r="B162">
        <v>20</v>
      </c>
    </row>
    <row r="163" spans="1:2" x14ac:dyDescent="0.25">
      <c r="A163" s="3276" t="s">
        <v>10850</v>
      </c>
      <c r="B163">
        <v>21</v>
      </c>
    </row>
    <row r="164" spans="1:2" x14ac:dyDescent="0.25">
      <c r="A164" s="3276" t="s">
        <v>10850</v>
      </c>
      <c r="B164">
        <v>22</v>
      </c>
    </row>
    <row r="165" spans="1:2" x14ac:dyDescent="0.25">
      <c r="A165" s="3276" t="s">
        <v>10850</v>
      </c>
      <c r="B165">
        <v>23</v>
      </c>
    </row>
    <row r="166" spans="1:2" x14ac:dyDescent="0.25">
      <c r="A166" s="3276" t="s">
        <v>10850</v>
      </c>
      <c r="B166">
        <v>24</v>
      </c>
    </row>
    <row r="167" spans="1:2" x14ac:dyDescent="0.25">
      <c r="A167" s="3276" t="s">
        <v>10850</v>
      </c>
      <c r="B167">
        <v>25</v>
      </c>
    </row>
    <row r="168" spans="1:2" x14ac:dyDescent="0.25">
      <c r="A168" s="3276" t="s">
        <v>10850</v>
      </c>
      <c r="B168">
        <v>26</v>
      </c>
    </row>
    <row r="169" spans="1:2" x14ac:dyDescent="0.25">
      <c r="A169" s="3276" t="s">
        <v>10850</v>
      </c>
      <c r="B169">
        <v>27</v>
      </c>
    </row>
    <row r="170" spans="1:2" x14ac:dyDescent="0.25">
      <c r="A170" s="3276" t="s">
        <v>10850</v>
      </c>
      <c r="B170">
        <v>28</v>
      </c>
    </row>
    <row r="171" spans="1:2" x14ac:dyDescent="0.25">
      <c r="A171" s="3276" t="s">
        <v>10850</v>
      </c>
      <c r="B171">
        <v>29</v>
      </c>
    </row>
    <row r="172" spans="1:2" x14ac:dyDescent="0.25">
      <c r="A172" s="3276" t="s">
        <v>10850</v>
      </c>
      <c r="B172">
        <v>30</v>
      </c>
    </row>
    <row r="173" spans="1:2" x14ac:dyDescent="0.25">
      <c r="A173" s="3276" t="s">
        <v>10850</v>
      </c>
      <c r="B173">
        <v>31</v>
      </c>
    </row>
    <row r="174" spans="1:2" x14ac:dyDescent="0.25">
      <c r="A174" s="3276" t="s">
        <v>10850</v>
      </c>
      <c r="B174">
        <v>32</v>
      </c>
    </row>
    <row r="175" spans="1:2" x14ac:dyDescent="0.25">
      <c r="A175" s="3276" t="s">
        <v>10850</v>
      </c>
      <c r="B175">
        <v>33</v>
      </c>
    </row>
    <row r="176" spans="1:2" x14ac:dyDescent="0.25">
      <c r="A176" s="3276" t="s">
        <v>10850</v>
      </c>
      <c r="B176">
        <v>34</v>
      </c>
    </row>
    <row r="177" spans="1:2" x14ac:dyDescent="0.25">
      <c r="A177" s="3276" t="s">
        <v>10850</v>
      </c>
      <c r="B177">
        <v>35</v>
      </c>
    </row>
    <row r="178" spans="1:2" x14ac:dyDescent="0.25">
      <c r="A178" s="3276" t="s">
        <v>10850</v>
      </c>
      <c r="B178">
        <v>36</v>
      </c>
    </row>
    <row r="179" spans="1:2" x14ac:dyDescent="0.25">
      <c r="A179" s="3276" t="s">
        <v>10850</v>
      </c>
      <c r="B179">
        <v>37</v>
      </c>
    </row>
    <row r="180" spans="1:2" x14ac:dyDescent="0.25">
      <c r="A180" s="3276" t="s">
        <v>10850</v>
      </c>
      <c r="B180">
        <v>38</v>
      </c>
    </row>
    <row r="181" spans="1:2" x14ac:dyDescent="0.25">
      <c r="A181" s="3276" t="s">
        <v>10850</v>
      </c>
      <c r="B181">
        <v>39</v>
      </c>
    </row>
    <row r="182" spans="1:2" x14ac:dyDescent="0.25">
      <c r="A182" s="3276" t="s">
        <v>10850</v>
      </c>
      <c r="B182">
        <v>40</v>
      </c>
    </row>
    <row r="183" spans="1:2" x14ac:dyDescent="0.25">
      <c r="A183" s="3276" t="s">
        <v>10850</v>
      </c>
      <c r="B183">
        <v>41</v>
      </c>
    </row>
    <row r="184" spans="1:2" x14ac:dyDescent="0.25">
      <c r="A184" s="3276" t="s">
        <v>10850</v>
      </c>
      <c r="B184">
        <v>42</v>
      </c>
    </row>
    <row r="185" spans="1:2" x14ac:dyDescent="0.25">
      <c r="A185" s="3276" t="s">
        <v>10850</v>
      </c>
      <c r="B185">
        <v>43</v>
      </c>
    </row>
    <row r="186" spans="1:2" x14ac:dyDescent="0.25">
      <c r="A186" s="3276" t="s">
        <v>10850</v>
      </c>
      <c r="B186">
        <v>44</v>
      </c>
    </row>
    <row r="187" spans="1:2" x14ac:dyDescent="0.25">
      <c r="A187" s="3276" t="s">
        <v>10850</v>
      </c>
      <c r="B187">
        <v>45</v>
      </c>
    </row>
    <row r="188" spans="1:2" x14ac:dyDescent="0.25">
      <c r="A188" s="3276" t="s">
        <v>10850</v>
      </c>
      <c r="B188">
        <v>46</v>
      </c>
    </row>
    <row r="189" spans="1:2" x14ac:dyDescent="0.25">
      <c r="A189" s="3276" t="s">
        <v>10850</v>
      </c>
      <c r="B189">
        <v>47</v>
      </c>
    </row>
    <row r="190" spans="1:2" x14ac:dyDescent="0.25">
      <c r="A190" s="3276" t="s">
        <v>10850</v>
      </c>
      <c r="B190">
        <v>48</v>
      </c>
    </row>
    <row r="191" spans="1:2" x14ac:dyDescent="0.25">
      <c r="A191" s="3276" t="s">
        <v>10850</v>
      </c>
      <c r="B191">
        <v>49</v>
      </c>
    </row>
    <row r="192" spans="1:2" x14ac:dyDescent="0.25">
      <c r="A192" s="3276" t="s">
        <v>10850</v>
      </c>
      <c r="B192">
        <v>50</v>
      </c>
    </row>
    <row r="193" spans="1:2" x14ac:dyDescent="0.25">
      <c r="A193" s="3275" t="s">
        <v>10851</v>
      </c>
      <c r="B193">
        <v>1</v>
      </c>
    </row>
    <row r="194" spans="1:2" x14ac:dyDescent="0.25">
      <c r="A194" s="3275" t="s">
        <v>10851</v>
      </c>
      <c r="B194">
        <v>2</v>
      </c>
    </row>
    <row r="195" spans="1:2" x14ac:dyDescent="0.25">
      <c r="A195" s="3275" t="s">
        <v>10851</v>
      </c>
      <c r="B195">
        <v>3</v>
      </c>
    </row>
    <row r="196" spans="1:2" x14ac:dyDescent="0.25">
      <c r="A196" s="3275" t="s">
        <v>10851</v>
      </c>
      <c r="B196">
        <v>4</v>
      </c>
    </row>
    <row r="197" spans="1:2" x14ac:dyDescent="0.25">
      <c r="A197" s="3275" t="s">
        <v>10851</v>
      </c>
      <c r="B197">
        <v>5</v>
      </c>
    </row>
    <row r="198" spans="1:2" x14ac:dyDescent="0.25">
      <c r="A198" s="3275" t="s">
        <v>10851</v>
      </c>
      <c r="B198">
        <v>6</v>
      </c>
    </row>
    <row r="199" spans="1:2" x14ac:dyDescent="0.25">
      <c r="A199" s="3275" t="s">
        <v>10851</v>
      </c>
      <c r="B199">
        <v>7</v>
      </c>
    </row>
    <row r="200" spans="1:2" x14ac:dyDescent="0.25">
      <c r="A200" s="3275" t="s">
        <v>10851</v>
      </c>
      <c r="B200">
        <v>8</v>
      </c>
    </row>
    <row r="201" spans="1:2" x14ac:dyDescent="0.25">
      <c r="A201" s="3275" t="s">
        <v>10851</v>
      </c>
      <c r="B201">
        <v>9</v>
      </c>
    </row>
    <row r="202" spans="1:2" x14ac:dyDescent="0.25">
      <c r="A202" s="3275" t="s">
        <v>10851</v>
      </c>
      <c r="B202">
        <v>10</v>
      </c>
    </row>
    <row r="203" spans="1:2" x14ac:dyDescent="0.25">
      <c r="A203" s="3275" t="s">
        <v>10851</v>
      </c>
      <c r="B203">
        <v>11</v>
      </c>
    </row>
    <row r="204" spans="1:2" x14ac:dyDescent="0.25">
      <c r="A204" s="3275" t="s">
        <v>10851</v>
      </c>
      <c r="B204">
        <v>12</v>
      </c>
    </row>
    <row r="205" spans="1:2" x14ac:dyDescent="0.25">
      <c r="A205" s="3275" t="s">
        <v>10851</v>
      </c>
      <c r="B205">
        <v>13</v>
      </c>
    </row>
    <row r="206" spans="1:2" x14ac:dyDescent="0.25">
      <c r="A206" s="3275" t="s">
        <v>10851</v>
      </c>
      <c r="B206">
        <v>14</v>
      </c>
    </row>
    <row r="207" spans="1:2" x14ac:dyDescent="0.25">
      <c r="A207" s="3275" t="s">
        <v>10851</v>
      </c>
      <c r="B207">
        <v>15</v>
      </c>
    </row>
    <row r="208" spans="1:2" x14ac:dyDescent="0.25">
      <c r="A208" s="3275" t="s">
        <v>10851</v>
      </c>
      <c r="B208">
        <v>16</v>
      </c>
    </row>
    <row r="209" spans="1:2" x14ac:dyDescent="0.25">
      <c r="A209" s="3275" t="s">
        <v>10851</v>
      </c>
      <c r="B209">
        <v>17</v>
      </c>
    </row>
    <row r="210" spans="1:2" x14ac:dyDescent="0.25">
      <c r="A210" s="3275" t="s">
        <v>10851</v>
      </c>
      <c r="B210">
        <v>18</v>
      </c>
    </row>
    <row r="211" spans="1:2" x14ac:dyDescent="0.25">
      <c r="A211" s="3275" t="s">
        <v>10851</v>
      </c>
      <c r="B211">
        <v>19</v>
      </c>
    </row>
    <row r="212" spans="1:2" x14ac:dyDescent="0.25">
      <c r="A212" s="3275" t="s">
        <v>10851</v>
      </c>
      <c r="B212">
        <v>20</v>
      </c>
    </row>
    <row r="213" spans="1:2" x14ac:dyDescent="0.25">
      <c r="A213" s="3275" t="s">
        <v>10851</v>
      </c>
      <c r="B213">
        <v>21</v>
      </c>
    </row>
    <row r="214" spans="1:2" x14ac:dyDescent="0.25">
      <c r="A214" s="3275" t="s">
        <v>10851</v>
      </c>
      <c r="B214">
        <v>22</v>
      </c>
    </row>
    <row r="215" spans="1:2" x14ac:dyDescent="0.25">
      <c r="A215" s="3275" t="s">
        <v>10851</v>
      </c>
      <c r="B215">
        <v>23</v>
      </c>
    </row>
    <row r="216" spans="1:2" x14ac:dyDescent="0.25">
      <c r="A216" s="3275" t="s">
        <v>10851</v>
      </c>
      <c r="B216">
        <v>24</v>
      </c>
    </row>
    <row r="217" spans="1:2" x14ac:dyDescent="0.25">
      <c r="A217" s="3275" t="s">
        <v>10851</v>
      </c>
      <c r="B217">
        <v>25</v>
      </c>
    </row>
    <row r="218" spans="1:2" x14ac:dyDescent="0.25">
      <c r="A218" s="3275" t="s">
        <v>10851</v>
      </c>
      <c r="B218">
        <v>26</v>
      </c>
    </row>
    <row r="219" spans="1:2" x14ac:dyDescent="0.25">
      <c r="A219" s="3275" t="s">
        <v>10851</v>
      </c>
      <c r="B219">
        <v>27</v>
      </c>
    </row>
    <row r="220" spans="1:2" x14ac:dyDescent="0.25">
      <c r="A220" s="3275" t="s">
        <v>10851</v>
      </c>
      <c r="B220">
        <v>28</v>
      </c>
    </row>
    <row r="221" spans="1:2" x14ac:dyDescent="0.25">
      <c r="A221" s="3275" t="s">
        <v>10851</v>
      </c>
      <c r="B221">
        <v>29</v>
      </c>
    </row>
    <row r="222" spans="1:2" x14ac:dyDescent="0.25">
      <c r="A222" s="3275" t="s">
        <v>10851</v>
      </c>
      <c r="B222">
        <v>30</v>
      </c>
    </row>
    <row r="223" spans="1:2" x14ac:dyDescent="0.25">
      <c r="A223" s="3275" t="s">
        <v>10851</v>
      </c>
      <c r="B223">
        <v>31</v>
      </c>
    </row>
    <row r="224" spans="1:2" x14ac:dyDescent="0.25">
      <c r="A224" s="3275" t="s">
        <v>10851</v>
      </c>
      <c r="B224">
        <v>32</v>
      </c>
    </row>
    <row r="225" spans="1:2" x14ac:dyDescent="0.25">
      <c r="A225" s="3275" t="s">
        <v>10851</v>
      </c>
      <c r="B225">
        <v>33</v>
      </c>
    </row>
    <row r="226" spans="1:2" x14ac:dyDescent="0.25">
      <c r="A226" s="3275" t="s">
        <v>10851</v>
      </c>
      <c r="B226">
        <v>34</v>
      </c>
    </row>
    <row r="227" spans="1:2" x14ac:dyDescent="0.25">
      <c r="A227" s="3275" t="s">
        <v>10851</v>
      </c>
      <c r="B227">
        <v>35</v>
      </c>
    </row>
    <row r="228" spans="1:2" x14ac:dyDescent="0.25">
      <c r="A228" s="3275" t="s">
        <v>10851</v>
      </c>
      <c r="B228">
        <v>36</v>
      </c>
    </row>
    <row r="229" spans="1:2" x14ac:dyDescent="0.25">
      <c r="A229" s="3275" t="s">
        <v>10851</v>
      </c>
      <c r="B229">
        <v>37</v>
      </c>
    </row>
    <row r="230" spans="1:2" x14ac:dyDescent="0.25">
      <c r="A230" s="3275" t="s">
        <v>10851</v>
      </c>
      <c r="B230">
        <v>38</v>
      </c>
    </row>
    <row r="231" spans="1:2" x14ac:dyDescent="0.25">
      <c r="A231" s="3275" t="s">
        <v>10851</v>
      </c>
      <c r="B231">
        <v>39</v>
      </c>
    </row>
    <row r="232" spans="1:2" x14ac:dyDescent="0.25">
      <c r="A232" s="3275" t="s">
        <v>10851</v>
      </c>
      <c r="B232">
        <v>40</v>
      </c>
    </row>
    <row r="233" spans="1:2" x14ac:dyDescent="0.25">
      <c r="A233" s="3275" t="s">
        <v>10851</v>
      </c>
      <c r="B233">
        <v>41</v>
      </c>
    </row>
    <row r="234" spans="1:2" x14ac:dyDescent="0.25">
      <c r="A234" s="3275" t="s">
        <v>10851</v>
      </c>
      <c r="B234">
        <v>42</v>
      </c>
    </row>
    <row r="235" spans="1:2" x14ac:dyDescent="0.25">
      <c r="A235" s="3275" t="s">
        <v>10851</v>
      </c>
      <c r="B235">
        <v>43</v>
      </c>
    </row>
    <row r="236" spans="1:2" x14ac:dyDescent="0.25">
      <c r="A236" s="3275" t="s">
        <v>10851</v>
      </c>
      <c r="B236">
        <v>44</v>
      </c>
    </row>
    <row r="237" spans="1:2" x14ac:dyDescent="0.25">
      <c r="A237" s="3275" t="s">
        <v>10851</v>
      </c>
      <c r="B237">
        <v>45</v>
      </c>
    </row>
    <row r="238" spans="1:2" x14ac:dyDescent="0.25">
      <c r="A238" s="3275" t="s">
        <v>10851</v>
      </c>
      <c r="B238">
        <v>46</v>
      </c>
    </row>
    <row r="239" spans="1:2" x14ac:dyDescent="0.25">
      <c r="A239" s="3275" t="s">
        <v>10851</v>
      </c>
      <c r="B239">
        <v>47</v>
      </c>
    </row>
    <row r="240" spans="1:2" x14ac:dyDescent="0.25">
      <c r="A240" s="3275" t="s">
        <v>10851</v>
      </c>
      <c r="B240">
        <v>48</v>
      </c>
    </row>
    <row r="241" spans="1:2" x14ac:dyDescent="0.25">
      <c r="A241" s="3275" t="s">
        <v>10851</v>
      </c>
      <c r="B241">
        <v>49</v>
      </c>
    </row>
    <row r="242" spans="1:2" x14ac:dyDescent="0.25">
      <c r="A242" s="3275" t="s">
        <v>10851</v>
      </c>
      <c r="B242">
        <v>50</v>
      </c>
    </row>
    <row r="243" spans="1:2" x14ac:dyDescent="0.25">
      <c r="A243" s="3275" t="s">
        <v>10851</v>
      </c>
      <c r="B243">
        <v>51</v>
      </c>
    </row>
    <row r="244" spans="1:2" x14ac:dyDescent="0.25">
      <c r="A244" s="3275" t="s">
        <v>10851</v>
      </c>
      <c r="B244">
        <v>52</v>
      </c>
    </row>
    <row r="245" spans="1:2" x14ac:dyDescent="0.25">
      <c r="A245" s="3275" t="s">
        <v>10851</v>
      </c>
      <c r="B245">
        <v>53</v>
      </c>
    </row>
    <row r="246" spans="1:2" x14ac:dyDescent="0.25">
      <c r="A246" s="3275" t="s">
        <v>10851</v>
      </c>
      <c r="B246">
        <v>54</v>
      </c>
    </row>
    <row r="247" spans="1:2" x14ac:dyDescent="0.25">
      <c r="A247" s="3276" t="s">
        <v>10852</v>
      </c>
      <c r="B247">
        <v>1</v>
      </c>
    </row>
    <row r="248" spans="1:2" x14ac:dyDescent="0.25">
      <c r="A248" s="3276" t="s">
        <v>10852</v>
      </c>
      <c r="B248">
        <v>2</v>
      </c>
    </row>
    <row r="249" spans="1:2" x14ac:dyDescent="0.25">
      <c r="A249" s="3276" t="s">
        <v>10852</v>
      </c>
      <c r="B249">
        <v>3</v>
      </c>
    </row>
    <row r="250" spans="1:2" x14ac:dyDescent="0.25">
      <c r="A250" s="3276" t="s">
        <v>10852</v>
      </c>
      <c r="B250">
        <v>4</v>
      </c>
    </row>
    <row r="251" spans="1:2" x14ac:dyDescent="0.25">
      <c r="A251" s="3276" t="s">
        <v>10852</v>
      </c>
      <c r="B251">
        <v>5</v>
      </c>
    </row>
    <row r="252" spans="1:2" x14ac:dyDescent="0.25">
      <c r="A252" s="3276" t="s">
        <v>10852</v>
      </c>
      <c r="B252">
        <v>6</v>
      </c>
    </row>
    <row r="253" spans="1:2" x14ac:dyDescent="0.25">
      <c r="A253" s="3276" t="s">
        <v>10852</v>
      </c>
      <c r="B253">
        <v>7</v>
      </c>
    </row>
    <row r="254" spans="1:2" x14ac:dyDescent="0.25">
      <c r="A254" s="3276" t="s">
        <v>10852</v>
      </c>
      <c r="B254">
        <v>8</v>
      </c>
    </row>
    <row r="255" spans="1:2" x14ac:dyDescent="0.25">
      <c r="A255" s="3276" t="s">
        <v>10852</v>
      </c>
      <c r="B255">
        <v>9</v>
      </c>
    </row>
    <row r="256" spans="1:2" x14ac:dyDescent="0.25">
      <c r="A256" s="3276" t="s">
        <v>10852</v>
      </c>
      <c r="B256">
        <v>10</v>
      </c>
    </row>
    <row r="257" spans="1:2" x14ac:dyDescent="0.25">
      <c r="A257" s="3276" t="s">
        <v>10852</v>
      </c>
      <c r="B257">
        <v>11</v>
      </c>
    </row>
    <row r="258" spans="1:2" x14ac:dyDescent="0.25">
      <c r="A258" s="3276" t="s">
        <v>10852</v>
      </c>
      <c r="B258">
        <v>12</v>
      </c>
    </row>
    <row r="259" spans="1:2" x14ac:dyDescent="0.25">
      <c r="A259" s="3276" t="s">
        <v>10852</v>
      </c>
      <c r="B259">
        <v>13</v>
      </c>
    </row>
    <row r="260" spans="1:2" x14ac:dyDescent="0.25">
      <c r="A260" s="3276" t="s">
        <v>10852</v>
      </c>
      <c r="B260">
        <v>14</v>
      </c>
    </row>
    <row r="261" spans="1:2" x14ac:dyDescent="0.25">
      <c r="A261" s="3276" t="s">
        <v>10852</v>
      </c>
      <c r="B261">
        <v>15</v>
      </c>
    </row>
    <row r="262" spans="1:2" x14ac:dyDescent="0.25">
      <c r="A262" s="3276" t="s">
        <v>10852</v>
      </c>
      <c r="B262">
        <v>16</v>
      </c>
    </row>
    <row r="263" spans="1:2" x14ac:dyDescent="0.25">
      <c r="A263" s="3276" t="s">
        <v>10852</v>
      </c>
      <c r="B263">
        <v>17</v>
      </c>
    </row>
    <row r="264" spans="1:2" x14ac:dyDescent="0.25">
      <c r="A264" s="3276" t="s">
        <v>10852</v>
      </c>
      <c r="B264">
        <v>18</v>
      </c>
    </row>
    <row r="265" spans="1:2" x14ac:dyDescent="0.25">
      <c r="A265" s="3276" t="s">
        <v>10852</v>
      </c>
      <c r="B265">
        <v>19</v>
      </c>
    </row>
    <row r="266" spans="1:2" x14ac:dyDescent="0.25">
      <c r="A266" s="3276" t="s">
        <v>10852</v>
      </c>
      <c r="B266">
        <v>20</v>
      </c>
    </row>
    <row r="267" spans="1:2" x14ac:dyDescent="0.25">
      <c r="A267" s="3276" t="s">
        <v>10852</v>
      </c>
      <c r="B267">
        <v>21</v>
      </c>
    </row>
    <row r="268" spans="1:2" x14ac:dyDescent="0.25">
      <c r="A268" s="3276" t="s">
        <v>10852</v>
      </c>
      <c r="B268">
        <v>22</v>
      </c>
    </row>
    <row r="269" spans="1:2" x14ac:dyDescent="0.25">
      <c r="A269" s="3276" t="s">
        <v>10852</v>
      </c>
      <c r="B269">
        <v>23</v>
      </c>
    </row>
    <row r="270" spans="1:2" x14ac:dyDescent="0.25">
      <c r="A270" s="3276" t="s">
        <v>10852</v>
      </c>
      <c r="B270">
        <v>24</v>
      </c>
    </row>
    <row r="271" spans="1:2" x14ac:dyDescent="0.25">
      <c r="A271" s="3276" t="s">
        <v>10852</v>
      </c>
      <c r="B271">
        <v>25</v>
      </c>
    </row>
    <row r="272" spans="1:2" x14ac:dyDescent="0.25">
      <c r="A272" s="3276" t="s">
        <v>10852</v>
      </c>
      <c r="B272">
        <v>26</v>
      </c>
    </row>
    <row r="273" spans="1:2" x14ac:dyDescent="0.25">
      <c r="A273" s="3276" t="s">
        <v>10852</v>
      </c>
      <c r="B273">
        <v>27</v>
      </c>
    </row>
    <row r="274" spans="1:2" x14ac:dyDescent="0.25">
      <c r="A274" s="3276" t="s">
        <v>10852</v>
      </c>
      <c r="B274">
        <v>28</v>
      </c>
    </row>
    <row r="275" spans="1:2" x14ac:dyDescent="0.25">
      <c r="A275" s="3276" t="s">
        <v>10852</v>
      </c>
      <c r="B275">
        <v>29</v>
      </c>
    </row>
    <row r="276" spans="1:2" x14ac:dyDescent="0.25">
      <c r="A276" s="3276" t="s">
        <v>10852</v>
      </c>
      <c r="B276">
        <v>30</v>
      </c>
    </row>
    <row r="277" spans="1:2" x14ac:dyDescent="0.25">
      <c r="A277" s="3276" t="s">
        <v>10852</v>
      </c>
      <c r="B277">
        <v>31</v>
      </c>
    </row>
    <row r="278" spans="1:2" x14ac:dyDescent="0.25">
      <c r="A278" s="3276" t="s">
        <v>10852</v>
      </c>
      <c r="B278">
        <v>32</v>
      </c>
    </row>
    <row r="279" spans="1:2" x14ac:dyDescent="0.25">
      <c r="A279" s="3276" t="s">
        <v>10852</v>
      </c>
      <c r="B279">
        <v>33</v>
      </c>
    </row>
    <row r="280" spans="1:2" x14ac:dyDescent="0.25">
      <c r="A280" s="3276" t="s">
        <v>10852</v>
      </c>
      <c r="B280">
        <v>34</v>
      </c>
    </row>
    <row r="281" spans="1:2" x14ac:dyDescent="0.25">
      <c r="A281" s="3276" t="s">
        <v>10852</v>
      </c>
      <c r="B281">
        <v>35</v>
      </c>
    </row>
    <row r="282" spans="1:2" x14ac:dyDescent="0.25">
      <c r="A282" s="3276" t="s">
        <v>10852</v>
      </c>
      <c r="B282">
        <v>36</v>
      </c>
    </row>
    <row r="283" spans="1:2" x14ac:dyDescent="0.25">
      <c r="A283" s="3276" t="s">
        <v>10852</v>
      </c>
      <c r="B283">
        <v>37</v>
      </c>
    </row>
    <row r="284" spans="1:2" x14ac:dyDescent="0.25">
      <c r="A284" s="3276" t="s">
        <v>10852</v>
      </c>
      <c r="B284">
        <v>38</v>
      </c>
    </row>
    <row r="285" spans="1:2" x14ac:dyDescent="0.25">
      <c r="A285" s="3276" t="s">
        <v>10852</v>
      </c>
      <c r="B285">
        <v>39</v>
      </c>
    </row>
    <row r="286" spans="1:2" x14ac:dyDescent="0.25">
      <c r="A286" s="3276" t="s">
        <v>10852</v>
      </c>
      <c r="B286">
        <v>40</v>
      </c>
    </row>
    <row r="287" spans="1:2" x14ac:dyDescent="0.25">
      <c r="A287" s="3276" t="s">
        <v>10852</v>
      </c>
      <c r="B287">
        <v>41</v>
      </c>
    </row>
    <row r="288" spans="1:2" x14ac:dyDescent="0.25">
      <c r="A288" s="3276" t="s">
        <v>10852</v>
      </c>
      <c r="B288">
        <v>42</v>
      </c>
    </row>
    <row r="289" spans="1:2" x14ac:dyDescent="0.25">
      <c r="A289" s="3276" t="s">
        <v>10852</v>
      </c>
      <c r="B289">
        <v>43</v>
      </c>
    </row>
    <row r="290" spans="1:2" x14ac:dyDescent="0.25">
      <c r="A290" s="3276" t="s">
        <v>10852</v>
      </c>
      <c r="B290">
        <v>44</v>
      </c>
    </row>
    <row r="291" spans="1:2" x14ac:dyDescent="0.25">
      <c r="A291" s="3276" t="s">
        <v>10852</v>
      </c>
      <c r="B291">
        <v>45</v>
      </c>
    </row>
    <row r="292" spans="1:2" x14ac:dyDescent="0.25">
      <c r="A292" s="3276" t="s">
        <v>10852</v>
      </c>
      <c r="B292">
        <v>46</v>
      </c>
    </row>
    <row r="293" spans="1:2" x14ac:dyDescent="0.25">
      <c r="A293" s="3276" t="s">
        <v>10852</v>
      </c>
      <c r="B293">
        <v>47</v>
      </c>
    </row>
    <row r="294" spans="1:2" x14ac:dyDescent="0.25">
      <c r="A294" s="3276" t="s">
        <v>10852</v>
      </c>
      <c r="B294">
        <v>48</v>
      </c>
    </row>
    <row r="295" spans="1:2" x14ac:dyDescent="0.25">
      <c r="A295" s="3276" t="s">
        <v>10852</v>
      </c>
      <c r="B295">
        <v>49</v>
      </c>
    </row>
    <row r="296" spans="1:2" x14ac:dyDescent="0.25">
      <c r="A296" s="3276" t="s">
        <v>10852</v>
      </c>
      <c r="B296">
        <v>50</v>
      </c>
    </row>
    <row r="297" spans="1:2" x14ac:dyDescent="0.25">
      <c r="A297" s="3276" t="s">
        <v>10852</v>
      </c>
      <c r="B297">
        <v>51</v>
      </c>
    </row>
    <row r="298" spans="1:2" x14ac:dyDescent="0.25">
      <c r="A298" s="3276" t="s">
        <v>10852</v>
      </c>
      <c r="B298">
        <v>52</v>
      </c>
    </row>
    <row r="299" spans="1:2" x14ac:dyDescent="0.25">
      <c r="A299" s="3276" t="s">
        <v>10852</v>
      </c>
      <c r="B299">
        <v>53</v>
      </c>
    </row>
    <row r="300" spans="1:2" x14ac:dyDescent="0.25">
      <c r="A300" s="3276" t="s">
        <v>10852</v>
      </c>
      <c r="B300">
        <v>54</v>
      </c>
    </row>
    <row r="301" spans="1:2" x14ac:dyDescent="0.25">
      <c r="A301" s="3275" t="s">
        <v>10853</v>
      </c>
      <c r="B301">
        <v>1</v>
      </c>
    </row>
    <row r="302" spans="1:2" x14ac:dyDescent="0.25">
      <c r="A302" s="3275" t="s">
        <v>10853</v>
      </c>
      <c r="B302">
        <v>2</v>
      </c>
    </row>
    <row r="303" spans="1:2" x14ac:dyDescent="0.25">
      <c r="A303" s="3275" t="s">
        <v>10853</v>
      </c>
      <c r="B303">
        <v>3</v>
      </c>
    </row>
    <row r="304" spans="1:2" x14ac:dyDescent="0.25">
      <c r="A304" s="3275" t="s">
        <v>10853</v>
      </c>
      <c r="B304">
        <v>4</v>
      </c>
    </row>
    <row r="305" spans="1:2" x14ac:dyDescent="0.25">
      <c r="A305" s="3275" t="s">
        <v>10853</v>
      </c>
      <c r="B305">
        <v>5</v>
      </c>
    </row>
    <row r="306" spans="1:2" x14ac:dyDescent="0.25">
      <c r="A306" s="3275" t="s">
        <v>10853</v>
      </c>
      <c r="B306">
        <v>6</v>
      </c>
    </row>
    <row r="307" spans="1:2" x14ac:dyDescent="0.25">
      <c r="A307" s="3275" t="s">
        <v>10853</v>
      </c>
      <c r="B307">
        <v>7</v>
      </c>
    </row>
    <row r="308" spans="1:2" x14ac:dyDescent="0.25">
      <c r="A308" s="3275" t="s">
        <v>10853</v>
      </c>
      <c r="B308">
        <v>8</v>
      </c>
    </row>
    <row r="309" spans="1:2" x14ac:dyDescent="0.25">
      <c r="A309" s="3276" t="s">
        <v>10854</v>
      </c>
      <c r="B309">
        <v>1</v>
      </c>
    </row>
    <row r="310" spans="1:2" x14ac:dyDescent="0.25">
      <c r="A310" s="3276" t="s">
        <v>10854</v>
      </c>
      <c r="B310">
        <v>2</v>
      </c>
    </row>
    <row r="311" spans="1:2" x14ac:dyDescent="0.25">
      <c r="A311" s="3276" t="s">
        <v>10854</v>
      </c>
      <c r="B311">
        <v>3</v>
      </c>
    </row>
    <row r="312" spans="1:2" x14ac:dyDescent="0.25">
      <c r="A312" s="3276" t="s">
        <v>10854</v>
      </c>
      <c r="B312">
        <v>4</v>
      </c>
    </row>
    <row r="313" spans="1:2" x14ac:dyDescent="0.25">
      <c r="A313" s="3276" t="s">
        <v>10854</v>
      </c>
      <c r="B313">
        <v>5</v>
      </c>
    </row>
    <row r="314" spans="1:2" x14ac:dyDescent="0.25">
      <c r="A314" s="3276" t="s">
        <v>10854</v>
      </c>
      <c r="B314">
        <v>6</v>
      </c>
    </row>
    <row r="315" spans="1:2" x14ac:dyDescent="0.25">
      <c r="A315" s="3276" t="s">
        <v>10854</v>
      </c>
      <c r="B315">
        <v>7</v>
      </c>
    </row>
    <row r="316" spans="1:2" x14ac:dyDescent="0.25">
      <c r="A316" s="3276" t="s">
        <v>10854</v>
      </c>
      <c r="B316">
        <v>8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69921875" customWidth="1"/>
    <col min="3" max="3" width="17.69921875" bestFit="1" customWidth="1"/>
    <col min="4" max="4" width="17.3984375" bestFit="1" customWidth="1"/>
  </cols>
  <sheetData>
    <row r="1" spans="1:4" x14ac:dyDescent="0.25">
      <c r="A1" s="3966" t="s">
        <v>6634</v>
      </c>
      <c r="B1" s="3966" t="s">
        <v>8496</v>
      </c>
    </row>
    <row r="2" spans="1:4" x14ac:dyDescent="0.25">
      <c r="A2" s="3966"/>
      <c r="B2" s="3966"/>
    </row>
    <row r="3" spans="1:4" x14ac:dyDescent="0.25">
      <c r="A3" s="2511" t="s">
        <v>6645</v>
      </c>
      <c r="B3" s="2510" t="s">
        <v>8497</v>
      </c>
    </row>
    <row r="4" spans="1:4" x14ac:dyDescent="0.25">
      <c r="A4" t="s">
        <v>6646</v>
      </c>
      <c r="B4" s="2510" t="s">
        <v>8499</v>
      </c>
    </row>
    <row r="5" spans="1:4" x14ac:dyDescent="0.25">
      <c r="A5" t="s">
        <v>6647</v>
      </c>
      <c r="B5" s="2510" t="s">
        <v>8500</v>
      </c>
    </row>
    <row r="6" spans="1:4" x14ac:dyDescent="0.25">
      <c r="A6" t="s">
        <v>6648</v>
      </c>
      <c r="B6" s="2510" t="s">
        <v>8501</v>
      </c>
    </row>
    <row r="7" spans="1:4" x14ac:dyDescent="0.25">
      <c r="A7" t="s">
        <v>6649</v>
      </c>
      <c r="B7" s="2510" t="s">
        <v>8502</v>
      </c>
    </row>
    <row r="8" spans="1:4" x14ac:dyDescent="0.25">
      <c r="A8" t="s">
        <v>6650</v>
      </c>
      <c r="B8" s="2510" t="s">
        <v>8503</v>
      </c>
    </row>
    <row r="9" spans="1:4" x14ac:dyDescent="0.25">
      <c r="A9" t="s">
        <v>6651</v>
      </c>
      <c r="B9" s="2510" t="s">
        <v>8504</v>
      </c>
    </row>
    <row r="10" spans="1:4" x14ac:dyDescent="0.25">
      <c r="A10" t="s">
        <v>6652</v>
      </c>
      <c r="B10" s="2510" t="s">
        <v>8505</v>
      </c>
    </row>
    <row r="11" spans="1:4" x14ac:dyDescent="0.25">
      <c r="A11" t="s">
        <v>6653</v>
      </c>
      <c r="B11" s="2510" t="s">
        <v>8506</v>
      </c>
    </row>
    <row r="12" spans="1:4" x14ac:dyDescent="0.25">
      <c r="A12" s="2511" t="s">
        <v>6654</v>
      </c>
      <c r="B12" s="2510" t="s">
        <v>8621</v>
      </c>
      <c r="C12" s="2536" t="s">
        <v>8623</v>
      </c>
      <c r="D12" s="2536" t="s">
        <v>8625</v>
      </c>
    </row>
    <row r="13" spans="1:4" x14ac:dyDescent="0.25">
      <c r="A13" t="s">
        <v>6655</v>
      </c>
      <c r="B13" s="2510" t="s">
        <v>8499</v>
      </c>
    </row>
    <row r="14" spans="1:4" x14ac:dyDescent="0.25">
      <c r="A14" t="s">
        <v>6656</v>
      </c>
      <c r="B14" s="2510" t="s">
        <v>8500</v>
      </c>
    </row>
    <row r="15" spans="1:4" x14ac:dyDescent="0.25">
      <c r="A15" t="s">
        <v>6657</v>
      </c>
      <c r="B15" s="2510" t="s">
        <v>8501</v>
      </c>
    </row>
    <row r="16" spans="1:4" x14ac:dyDescent="0.25">
      <c r="A16" t="s">
        <v>6658</v>
      </c>
      <c r="B16" s="2510" t="s">
        <v>8502</v>
      </c>
    </row>
    <row r="17" spans="1:4" x14ac:dyDescent="0.25">
      <c r="A17" t="s">
        <v>6659</v>
      </c>
      <c r="B17" s="2510" t="s">
        <v>8503</v>
      </c>
    </row>
    <row r="18" spans="1:4" x14ac:dyDescent="0.25">
      <c r="A18" t="s">
        <v>6660</v>
      </c>
      <c r="B18" s="2510" t="s">
        <v>8504</v>
      </c>
    </row>
    <row r="19" spans="1:4" x14ac:dyDescent="0.25">
      <c r="A19" t="s">
        <v>6661</v>
      </c>
      <c r="B19" s="2510" t="s">
        <v>8505</v>
      </c>
    </row>
    <row r="20" spans="1:4" x14ac:dyDescent="0.25">
      <c r="A20" t="s">
        <v>6662</v>
      </c>
      <c r="B20" s="2510" t="s">
        <v>8506</v>
      </c>
    </row>
    <row r="21" spans="1:4" x14ac:dyDescent="0.25">
      <c r="A21" s="2511" t="s">
        <v>6663</v>
      </c>
      <c r="B21" s="2510" t="s">
        <v>8621</v>
      </c>
      <c r="C21" s="2536" t="s">
        <v>8623</v>
      </c>
      <c r="D21" s="2536" t="s">
        <v>8625</v>
      </c>
    </row>
    <row r="22" spans="1:4" x14ac:dyDescent="0.25">
      <c r="A22" t="s">
        <v>6664</v>
      </c>
      <c r="B22" s="2510" t="s">
        <v>8499</v>
      </c>
    </row>
    <row r="23" spans="1:4" x14ac:dyDescent="0.25">
      <c r="A23" t="s">
        <v>6665</v>
      </c>
      <c r="B23" s="2510" t="s">
        <v>8500</v>
      </c>
    </row>
    <row r="24" spans="1:4" x14ac:dyDescent="0.25">
      <c r="A24" t="s">
        <v>6666</v>
      </c>
      <c r="B24" s="2510" t="s">
        <v>8501</v>
      </c>
    </row>
    <row r="25" spans="1:4" x14ac:dyDescent="0.25">
      <c r="A25" t="s">
        <v>6667</v>
      </c>
      <c r="B25" s="2510" t="s">
        <v>8502</v>
      </c>
    </row>
    <row r="26" spans="1:4" x14ac:dyDescent="0.25">
      <c r="A26" t="s">
        <v>6668</v>
      </c>
      <c r="B26" s="2510" t="s">
        <v>8503</v>
      </c>
    </row>
    <row r="27" spans="1:4" x14ac:dyDescent="0.25">
      <c r="A27" t="s">
        <v>6669</v>
      </c>
      <c r="B27" s="2510" t="s">
        <v>8504</v>
      </c>
    </row>
    <row r="28" spans="1:4" x14ac:dyDescent="0.25">
      <c r="A28" t="s">
        <v>6670</v>
      </c>
      <c r="B28" s="2510" t="s">
        <v>8505</v>
      </c>
    </row>
    <row r="29" spans="1:4" x14ac:dyDescent="0.25">
      <c r="A29" t="s">
        <v>6671</v>
      </c>
      <c r="B29" s="2510" t="s">
        <v>8506</v>
      </c>
    </row>
    <row r="30" spans="1:4" x14ac:dyDescent="0.25">
      <c r="A30" s="2511" t="s">
        <v>6672</v>
      </c>
      <c r="B30" s="2510" t="s">
        <v>8621</v>
      </c>
      <c r="C30" s="2536" t="s">
        <v>8623</v>
      </c>
      <c r="D30" s="2536" t="s">
        <v>8625</v>
      </c>
    </row>
    <row r="31" spans="1:4" x14ac:dyDescent="0.25">
      <c r="A31" t="s">
        <v>6673</v>
      </c>
      <c r="B31" s="2510" t="s">
        <v>8499</v>
      </c>
    </row>
    <row r="32" spans="1:4" x14ac:dyDescent="0.25">
      <c r="A32" t="s">
        <v>6674</v>
      </c>
      <c r="B32" s="2510" t="s">
        <v>8500</v>
      </c>
    </row>
    <row r="33" spans="1:2" x14ac:dyDescent="0.25">
      <c r="A33" t="s">
        <v>6675</v>
      </c>
      <c r="B33" s="2510" t="s">
        <v>8501</v>
      </c>
    </row>
    <row r="34" spans="1:2" x14ac:dyDescent="0.25">
      <c r="A34" t="s">
        <v>6676</v>
      </c>
      <c r="B34" s="2510" t="s">
        <v>8502</v>
      </c>
    </row>
    <row r="35" spans="1:2" x14ac:dyDescent="0.25">
      <c r="A35" t="s">
        <v>6677</v>
      </c>
      <c r="B35" s="2510" t="s">
        <v>8503</v>
      </c>
    </row>
    <row r="36" spans="1:2" x14ac:dyDescent="0.25">
      <c r="A36" t="s">
        <v>6678</v>
      </c>
      <c r="B36" s="2510" t="s">
        <v>8504</v>
      </c>
    </row>
    <row r="37" spans="1:2" x14ac:dyDescent="0.25">
      <c r="A37" t="s">
        <v>6679</v>
      </c>
      <c r="B37" s="2510" t="s">
        <v>8505</v>
      </c>
    </row>
    <row r="38" spans="1:2" x14ac:dyDescent="0.25">
      <c r="A38" t="s">
        <v>6680</v>
      </c>
      <c r="B38" s="2510" t="s">
        <v>8506</v>
      </c>
    </row>
    <row r="39" spans="1:2" x14ac:dyDescent="0.25">
      <c r="A39" s="2511" t="s">
        <v>6681</v>
      </c>
      <c r="B39" s="2510" t="s">
        <v>8497</v>
      </c>
    </row>
    <row r="40" spans="1:2" x14ac:dyDescent="0.25">
      <c r="A40" t="s">
        <v>6682</v>
      </c>
      <c r="B40" s="2510" t="s">
        <v>8499</v>
      </c>
    </row>
    <row r="41" spans="1:2" x14ac:dyDescent="0.25">
      <c r="A41" t="s">
        <v>6683</v>
      </c>
      <c r="B41" s="2510" t="s">
        <v>8500</v>
      </c>
    </row>
    <row r="42" spans="1:2" x14ac:dyDescent="0.25">
      <c r="A42" t="s">
        <v>6684</v>
      </c>
      <c r="B42" s="2510" t="s">
        <v>8501</v>
      </c>
    </row>
    <row r="43" spans="1:2" x14ac:dyDescent="0.25">
      <c r="A43" t="s">
        <v>6685</v>
      </c>
      <c r="B43" s="2510" t="s">
        <v>8502</v>
      </c>
    </row>
    <row r="44" spans="1:2" x14ac:dyDescent="0.25">
      <c r="A44" t="s">
        <v>6686</v>
      </c>
      <c r="B44" s="2510" t="s">
        <v>8503</v>
      </c>
    </row>
    <row r="45" spans="1:2" x14ac:dyDescent="0.25">
      <c r="A45" t="s">
        <v>6687</v>
      </c>
      <c r="B45" s="2510" t="s">
        <v>8504</v>
      </c>
    </row>
    <row r="46" spans="1:2" x14ac:dyDescent="0.25">
      <c r="A46" t="s">
        <v>6688</v>
      </c>
      <c r="B46" s="2510" t="s">
        <v>8505</v>
      </c>
    </row>
    <row r="47" spans="1:2" x14ac:dyDescent="0.25">
      <c r="A47" t="s">
        <v>6689</v>
      </c>
      <c r="B47" s="2510" t="s">
        <v>8506</v>
      </c>
    </row>
    <row r="48" spans="1:2" x14ac:dyDescent="0.25">
      <c r="A48" t="s">
        <v>6636</v>
      </c>
      <c r="B48" s="2510" t="s">
        <v>8507</v>
      </c>
    </row>
    <row r="49" spans="1:2" x14ac:dyDescent="0.25">
      <c r="A49" t="s">
        <v>6637</v>
      </c>
      <c r="B49" s="2510" t="s">
        <v>8508</v>
      </c>
    </row>
    <row r="50" spans="1:2" x14ac:dyDescent="0.25">
      <c r="A50" t="s">
        <v>6638</v>
      </c>
      <c r="B50" s="2510" t="s">
        <v>8509</v>
      </c>
    </row>
    <row r="51" spans="1:2" x14ac:dyDescent="0.25">
      <c r="A51" s="2511" t="s">
        <v>6690</v>
      </c>
      <c r="B51" s="2510" t="s">
        <v>8497</v>
      </c>
    </row>
    <row r="52" spans="1:2" x14ac:dyDescent="0.25">
      <c r="A52" t="s">
        <v>6691</v>
      </c>
      <c r="B52" s="2510" t="s">
        <v>8499</v>
      </c>
    </row>
    <row r="53" spans="1:2" x14ac:dyDescent="0.25">
      <c r="A53" t="s">
        <v>6692</v>
      </c>
      <c r="B53" s="2510" t="s">
        <v>8500</v>
      </c>
    </row>
    <row r="54" spans="1:2" x14ac:dyDescent="0.25">
      <c r="A54" t="s">
        <v>6693</v>
      </c>
      <c r="B54" s="2510" t="s">
        <v>8501</v>
      </c>
    </row>
    <row r="55" spans="1:2" x14ac:dyDescent="0.25">
      <c r="A55" t="s">
        <v>6694</v>
      </c>
      <c r="B55" s="2510" t="s">
        <v>8502</v>
      </c>
    </row>
    <row r="56" spans="1:2" x14ac:dyDescent="0.25">
      <c r="A56" t="s">
        <v>6695</v>
      </c>
      <c r="B56" s="2510" t="s">
        <v>8503</v>
      </c>
    </row>
    <row r="57" spans="1:2" x14ac:dyDescent="0.25">
      <c r="A57" t="s">
        <v>6696</v>
      </c>
      <c r="B57" s="2510" t="s">
        <v>8504</v>
      </c>
    </row>
    <row r="58" spans="1:2" x14ac:dyDescent="0.25">
      <c r="A58" t="s">
        <v>6697</v>
      </c>
      <c r="B58" s="2510" t="s">
        <v>8505</v>
      </c>
    </row>
    <row r="59" spans="1:2" x14ac:dyDescent="0.25">
      <c r="A59" t="s">
        <v>6698</v>
      </c>
      <c r="B59" s="2510" t="s">
        <v>8506</v>
      </c>
    </row>
    <row r="60" spans="1:2" x14ac:dyDescent="0.25">
      <c r="A60" t="s">
        <v>6639</v>
      </c>
      <c r="B60" s="2510" t="s">
        <v>8507</v>
      </c>
    </row>
    <row r="61" spans="1:2" x14ac:dyDescent="0.25">
      <c r="A61" t="s">
        <v>6640</v>
      </c>
      <c r="B61" s="2510" t="s">
        <v>8508</v>
      </c>
    </row>
    <row r="62" spans="1:2" x14ac:dyDescent="0.25">
      <c r="A62" t="s">
        <v>6641</v>
      </c>
      <c r="B62" s="2510" t="s">
        <v>8509</v>
      </c>
    </row>
    <row r="63" spans="1:2" x14ac:dyDescent="0.25">
      <c r="A63" s="2511" t="s">
        <v>6699</v>
      </c>
      <c r="B63" s="2510" t="s">
        <v>8497</v>
      </c>
    </row>
    <row r="64" spans="1:2" x14ac:dyDescent="0.25">
      <c r="A64" t="s">
        <v>6700</v>
      </c>
      <c r="B64" s="2510" t="s">
        <v>8499</v>
      </c>
    </row>
    <row r="65" spans="1:2" x14ac:dyDescent="0.25">
      <c r="A65" t="s">
        <v>6701</v>
      </c>
      <c r="B65" s="2510" t="s">
        <v>8500</v>
      </c>
    </row>
    <row r="66" spans="1:2" x14ac:dyDescent="0.25">
      <c r="A66" t="s">
        <v>6702</v>
      </c>
      <c r="B66" s="2510" t="s">
        <v>8501</v>
      </c>
    </row>
    <row r="67" spans="1:2" x14ac:dyDescent="0.25">
      <c r="A67" t="s">
        <v>6703</v>
      </c>
      <c r="B67" s="2510" t="s">
        <v>8502</v>
      </c>
    </row>
    <row r="68" spans="1:2" x14ac:dyDescent="0.25">
      <c r="A68" t="s">
        <v>6704</v>
      </c>
      <c r="B68" s="2510" t="s">
        <v>8503</v>
      </c>
    </row>
    <row r="69" spans="1:2" x14ac:dyDescent="0.25">
      <c r="A69" t="s">
        <v>6705</v>
      </c>
      <c r="B69" s="2510" t="s">
        <v>8504</v>
      </c>
    </row>
    <row r="70" spans="1:2" x14ac:dyDescent="0.25">
      <c r="A70" t="s">
        <v>6706</v>
      </c>
      <c r="B70" s="2510" t="s">
        <v>8505</v>
      </c>
    </row>
    <row r="71" spans="1:2" x14ac:dyDescent="0.25">
      <c r="A71" t="s">
        <v>6707</v>
      </c>
      <c r="B71" s="2510" t="s">
        <v>8506</v>
      </c>
    </row>
    <row r="72" spans="1:2" x14ac:dyDescent="0.25">
      <c r="A72" t="s">
        <v>6642</v>
      </c>
      <c r="B72" s="2510" t="s">
        <v>8507</v>
      </c>
    </row>
    <row r="73" spans="1:2" x14ac:dyDescent="0.25">
      <c r="A73" t="s">
        <v>6643</v>
      </c>
      <c r="B73" s="2510" t="s">
        <v>8508</v>
      </c>
    </row>
    <row r="74" spans="1:2" x14ac:dyDescent="0.25">
      <c r="A74" t="s">
        <v>6644</v>
      </c>
      <c r="B74" s="2510" t="s">
        <v>8509</v>
      </c>
    </row>
    <row r="75" spans="1:2" x14ac:dyDescent="0.25">
      <c r="A75" s="2511" t="s">
        <v>6708</v>
      </c>
      <c r="B75" s="2510" t="s">
        <v>8497</v>
      </c>
    </row>
    <row r="76" spans="1:2" x14ac:dyDescent="0.25">
      <c r="A76" t="s">
        <v>6709</v>
      </c>
      <c r="B76" s="2510" t="s">
        <v>8499</v>
      </c>
    </row>
    <row r="77" spans="1:2" x14ac:dyDescent="0.25">
      <c r="A77" t="s">
        <v>6710</v>
      </c>
      <c r="B77" s="2510" t="s">
        <v>8500</v>
      </c>
    </row>
    <row r="78" spans="1:2" x14ac:dyDescent="0.25">
      <c r="A78" t="s">
        <v>6711</v>
      </c>
      <c r="B78" s="2510" t="s">
        <v>8501</v>
      </c>
    </row>
    <row r="79" spans="1:2" x14ac:dyDescent="0.25">
      <c r="A79" t="s">
        <v>6712</v>
      </c>
      <c r="B79" s="2510" t="s">
        <v>8502</v>
      </c>
    </row>
    <row r="80" spans="1:2" x14ac:dyDescent="0.25">
      <c r="A80" t="s">
        <v>6713</v>
      </c>
      <c r="B80" s="2510" t="s">
        <v>8503</v>
      </c>
    </row>
    <row r="81" spans="1:4" x14ac:dyDescent="0.25">
      <c r="A81" t="s">
        <v>6714</v>
      </c>
      <c r="B81" s="2510" t="s">
        <v>8504</v>
      </c>
    </row>
    <row r="82" spans="1:4" x14ac:dyDescent="0.25">
      <c r="A82" t="s">
        <v>6715</v>
      </c>
      <c r="B82" s="2510" t="s">
        <v>8505</v>
      </c>
    </row>
    <row r="83" spans="1:4" x14ac:dyDescent="0.25">
      <c r="A83" t="s">
        <v>6716</v>
      </c>
      <c r="B83" s="2510" t="s">
        <v>8506</v>
      </c>
    </row>
    <row r="84" spans="1:4" x14ac:dyDescent="0.25">
      <c r="A84" t="s">
        <v>6717</v>
      </c>
      <c r="B84" s="2510" t="s">
        <v>8507</v>
      </c>
    </row>
    <row r="85" spans="1:4" x14ac:dyDescent="0.25">
      <c r="A85" t="s">
        <v>6718</v>
      </c>
      <c r="B85" s="2510" t="s">
        <v>8508</v>
      </c>
    </row>
    <row r="86" spans="1:4" x14ac:dyDescent="0.25">
      <c r="A86" t="s">
        <v>6719</v>
      </c>
      <c r="B86" s="2510" t="s">
        <v>8509</v>
      </c>
    </row>
    <row r="87" spans="1:4" x14ac:dyDescent="0.25">
      <c r="A87" s="2511" t="s">
        <v>6720</v>
      </c>
      <c r="B87" s="2510" t="s">
        <v>8621</v>
      </c>
      <c r="C87" s="2536" t="s">
        <v>8623</v>
      </c>
      <c r="D87" s="2536" t="s">
        <v>8625</v>
      </c>
    </row>
    <row r="88" spans="1:4" x14ac:dyDescent="0.25">
      <c r="A88" t="s">
        <v>6721</v>
      </c>
      <c r="B88" s="2510" t="s">
        <v>8626</v>
      </c>
      <c r="C88" s="2510" t="s">
        <v>8635</v>
      </c>
      <c r="D88" s="2510" t="s">
        <v>8644</v>
      </c>
    </row>
    <row r="89" spans="1:4" x14ac:dyDescent="0.25">
      <c r="A89" t="s">
        <v>6722</v>
      </c>
      <c r="B89" s="2510" t="s">
        <v>8627</v>
      </c>
      <c r="C89" s="2510" t="s">
        <v>8636</v>
      </c>
      <c r="D89" s="2510" t="s">
        <v>8645</v>
      </c>
    </row>
    <row r="90" spans="1:4" x14ac:dyDescent="0.25">
      <c r="A90" s="2511" t="s">
        <v>6723</v>
      </c>
      <c r="B90" s="2510" t="s">
        <v>8621</v>
      </c>
      <c r="C90" s="2536" t="s">
        <v>8623</v>
      </c>
      <c r="D90" s="2536" t="s">
        <v>8625</v>
      </c>
    </row>
    <row r="91" spans="1:4" x14ac:dyDescent="0.25">
      <c r="A91" t="s">
        <v>6724</v>
      </c>
      <c r="B91" s="2510" t="s">
        <v>8626</v>
      </c>
      <c r="C91" s="2510" t="s">
        <v>8635</v>
      </c>
      <c r="D91" s="2510" t="s">
        <v>8644</v>
      </c>
    </row>
    <row r="92" spans="1:4" x14ac:dyDescent="0.25">
      <c r="A92" t="s">
        <v>6725</v>
      </c>
      <c r="B92" s="2510" t="s">
        <v>8627</v>
      </c>
      <c r="C92" s="2510" t="s">
        <v>8636</v>
      </c>
      <c r="D92" s="2510" t="s">
        <v>8645</v>
      </c>
    </row>
    <row r="93" spans="1:4" x14ac:dyDescent="0.25">
      <c r="A93" s="2511" t="s">
        <v>8673</v>
      </c>
      <c r="B93" s="2510" t="s">
        <v>8621</v>
      </c>
      <c r="C93" s="2536" t="s">
        <v>8623</v>
      </c>
      <c r="D93" s="2536" t="s">
        <v>8625</v>
      </c>
    </row>
    <row r="94" spans="1:4" x14ac:dyDescent="0.25">
      <c r="A94" t="s">
        <v>8674</v>
      </c>
      <c r="B94" s="2510" t="s">
        <v>8626</v>
      </c>
      <c r="C94" s="2510" t="s">
        <v>8635</v>
      </c>
      <c r="D94" s="2510" t="s">
        <v>8644</v>
      </c>
    </row>
    <row r="95" spans="1:4" x14ac:dyDescent="0.25">
      <c r="A95" t="s">
        <v>8675</v>
      </c>
      <c r="B95" s="2510" t="s">
        <v>8627</v>
      </c>
      <c r="C95" s="2510" t="s">
        <v>8636</v>
      </c>
      <c r="D95" s="2510" t="s">
        <v>8645</v>
      </c>
    </row>
    <row r="96" spans="1:4" x14ac:dyDescent="0.25">
      <c r="A96" t="s">
        <v>8676</v>
      </c>
      <c r="B96" s="2510" t="s">
        <v>8628</v>
      </c>
      <c r="C96" s="2510" t="s">
        <v>8637</v>
      </c>
      <c r="D96" s="2510" t="s">
        <v>8646</v>
      </c>
    </row>
    <row r="97" spans="1:4" x14ac:dyDescent="0.25">
      <c r="A97" t="s">
        <v>8677</v>
      </c>
      <c r="B97" s="2510" t="s">
        <v>8629</v>
      </c>
      <c r="C97" s="2510" t="s">
        <v>8638</v>
      </c>
      <c r="D97" s="2510" t="s">
        <v>8647</v>
      </c>
    </row>
    <row r="98" spans="1:4" x14ac:dyDescent="0.25">
      <c r="A98" t="s">
        <v>8678</v>
      </c>
      <c r="B98" s="2510" t="s">
        <v>8630</v>
      </c>
      <c r="C98" s="2510" t="s">
        <v>8639</v>
      </c>
      <c r="D98" s="2510" t="s">
        <v>8648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4005" t="s">
        <v>5890</v>
      </c>
      <c r="K1" s="4006"/>
      <c r="L1" s="4006"/>
      <c r="M1" s="4006"/>
      <c r="N1" s="4006"/>
      <c r="O1" s="4007"/>
    </row>
    <row r="2" spans="1:30" ht="14.7" customHeight="1" thickTop="1" x14ac:dyDescent="0.25">
      <c r="A2" s="4000" t="s">
        <v>5891</v>
      </c>
      <c r="B2" s="3983" t="s">
        <v>6595</v>
      </c>
      <c r="C2" s="3995" t="s">
        <v>5892</v>
      </c>
      <c r="D2" s="3987" t="s">
        <v>5893</v>
      </c>
      <c r="E2" s="3998" t="s">
        <v>5894</v>
      </c>
      <c r="F2" s="3988" t="s">
        <v>5895</v>
      </c>
      <c r="G2" s="3988" t="s">
        <v>5896</v>
      </c>
      <c r="H2" s="3988" t="s">
        <v>5897</v>
      </c>
      <c r="I2" s="3990" t="s">
        <v>5898</v>
      </c>
      <c r="J2" s="3992" t="s">
        <v>5899</v>
      </c>
      <c r="K2" s="3986"/>
      <c r="L2" s="3993"/>
      <c r="M2" s="3985" t="s">
        <v>5217</v>
      </c>
      <c r="N2" s="3986"/>
      <c r="O2" s="3986"/>
      <c r="P2" s="3986" t="s">
        <v>5900</v>
      </c>
      <c r="Q2" s="3986"/>
      <c r="R2" s="3986"/>
      <c r="S2" s="3986" t="s">
        <v>5901</v>
      </c>
      <c r="T2" s="3986"/>
      <c r="U2" s="3986"/>
      <c r="V2" s="3986" t="s">
        <v>5902</v>
      </c>
      <c r="W2" s="3986"/>
      <c r="X2" s="3986"/>
      <c r="Y2" s="3986" t="s">
        <v>5903</v>
      </c>
      <c r="Z2" s="3986"/>
      <c r="AA2" s="3986"/>
      <c r="AB2" s="3986" t="s">
        <v>4568</v>
      </c>
      <c r="AC2" s="3986"/>
      <c r="AD2" s="3987"/>
    </row>
    <row r="3" spans="1:30" ht="18" thickBot="1" x14ac:dyDescent="0.3">
      <c r="A3" s="4001"/>
      <c r="B3" s="3984"/>
      <c r="C3" s="3996"/>
      <c r="D3" s="3997"/>
      <c r="E3" s="3999"/>
      <c r="F3" s="3989"/>
      <c r="G3" s="3989"/>
      <c r="H3" s="3989"/>
      <c r="I3" s="3991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 x14ac:dyDescent="0.25">
      <c r="A4" s="4001"/>
      <c r="B4" s="250" t="s">
        <v>6622</v>
      </c>
      <c r="C4" s="2075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89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4001"/>
      <c r="B5" s="250" t="s">
        <v>6623</v>
      </c>
      <c r="C5" s="1131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0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4001"/>
      <c r="B6" s="250" t="s">
        <v>6624</v>
      </c>
      <c r="C6" s="2077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0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4001"/>
      <c r="B7" s="250" t="s">
        <v>6625</v>
      </c>
      <c r="C7" s="2076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0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4001"/>
      <c r="B8" s="250" t="s">
        <v>6626</v>
      </c>
      <c r="C8" s="2075" t="s">
        <v>4550</v>
      </c>
      <c r="D8" s="2079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0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4001"/>
      <c r="B9" s="250" t="s">
        <v>6627</v>
      </c>
      <c r="C9" s="1131" t="s">
        <v>4552</v>
      </c>
      <c r="D9" s="2079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0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4001"/>
      <c r="B10" s="250" t="s">
        <v>6628</v>
      </c>
      <c r="C10" s="2075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0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4001"/>
      <c r="B11" s="250" t="s">
        <v>6629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0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4002"/>
      <c r="B12" s="2432"/>
      <c r="C12" s="2091" t="s">
        <v>5904</v>
      </c>
      <c r="D12" s="2092" t="s">
        <v>5904</v>
      </c>
      <c r="E12" s="2093">
        <f>E7+E6+E10+E11</f>
        <v>1400</v>
      </c>
      <c r="F12" s="2094">
        <f>F7+F6+F10+F11</f>
        <v>921.45102962664259</v>
      </c>
      <c r="G12" s="2095">
        <v>700</v>
      </c>
      <c r="H12" s="2096" t="e">
        <f>H7+H6+H10+H11</f>
        <v>#REF!</v>
      </c>
      <c r="I12" s="2097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7" customHeight="1" thickTop="1" x14ac:dyDescent="0.25">
      <c r="A13" s="4000" t="s">
        <v>5909</v>
      </c>
      <c r="B13" s="3983" t="s">
        <v>6595</v>
      </c>
      <c r="C13" s="3995" t="s">
        <v>5892</v>
      </c>
      <c r="D13" s="3987" t="s">
        <v>5893</v>
      </c>
      <c r="E13" s="3998" t="s">
        <v>5894</v>
      </c>
      <c r="F13" s="3988" t="s">
        <v>5895</v>
      </c>
      <c r="G13" s="3988" t="s">
        <v>5896</v>
      </c>
      <c r="H13" s="3988" t="s">
        <v>5897</v>
      </c>
      <c r="I13" s="3990" t="s">
        <v>5898</v>
      </c>
      <c r="J13" s="3992" t="s">
        <v>5217</v>
      </c>
      <c r="K13" s="3986"/>
      <c r="L13" s="3993"/>
      <c r="M13" s="4004"/>
      <c r="N13" s="3966"/>
      <c r="O13" s="3966"/>
    </row>
    <row r="14" spans="1:30" ht="18" thickBot="1" x14ac:dyDescent="0.3">
      <c r="A14" s="4001"/>
      <c r="B14" s="3984"/>
      <c r="C14" s="3996"/>
      <c r="D14" s="3997"/>
      <c r="E14" s="3999"/>
      <c r="F14" s="3989"/>
      <c r="G14" s="3989"/>
      <c r="H14" s="3989"/>
      <c r="I14" s="3991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4001"/>
      <c r="B15" s="250" t="s">
        <v>6576</v>
      </c>
      <c r="C15" s="2077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0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4001"/>
      <c r="B16" s="250" t="s">
        <v>6577</v>
      </c>
      <c r="C16" s="2076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0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4001"/>
      <c r="B17" s="250" t="s">
        <v>6578</v>
      </c>
      <c r="C17" s="2077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0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4001"/>
      <c r="B18" s="250" t="s">
        <v>6579</v>
      </c>
      <c r="C18" s="2076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0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4001"/>
      <c r="B19" s="250" t="s">
        <v>6580</v>
      </c>
      <c r="C19" s="2077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0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4001"/>
      <c r="B20" s="250" t="s">
        <v>6581</v>
      </c>
      <c r="C20" s="2076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0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4001"/>
      <c r="B21" s="250" t="s">
        <v>6582</v>
      </c>
      <c r="C21" s="2077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0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4001"/>
      <c r="B22" s="250" t="s">
        <v>6583</v>
      </c>
      <c r="C22" s="2076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0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4001"/>
      <c r="B23" s="250" t="s">
        <v>6572</v>
      </c>
      <c r="C23" s="2077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0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4001"/>
      <c r="B24" s="250" t="s">
        <v>6573</v>
      </c>
      <c r="C24" s="2076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0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4001"/>
      <c r="B25" s="250" t="s">
        <v>6574</v>
      </c>
      <c r="C25" s="2077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0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4001"/>
      <c r="B26" s="250" t="s">
        <v>6575</v>
      </c>
      <c r="C26" s="2076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0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4001"/>
      <c r="B27" s="250" t="s">
        <v>6570</v>
      </c>
      <c r="C27" s="2077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89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4001"/>
      <c r="B28" s="250" t="s">
        <v>6571</v>
      </c>
      <c r="C28" s="2076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0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4002"/>
      <c r="B29" s="2432"/>
      <c r="C29" s="2091" t="s">
        <v>5904</v>
      </c>
      <c r="D29" s="2092" t="s">
        <v>5904</v>
      </c>
      <c r="E29" s="2093">
        <f>SUM(E15:E28)</f>
        <v>3400</v>
      </c>
      <c r="F29" s="2094">
        <f>SUM(F15:F28)</f>
        <v>2237.8096433789897</v>
      </c>
      <c r="G29" s="2095">
        <v>700</v>
      </c>
      <c r="H29" s="2096" t="e">
        <f>SUM(H15:H28)</f>
        <v>#REF!</v>
      </c>
      <c r="I29" s="2097" t="e">
        <f t="shared" si="2"/>
        <v>#REF!</v>
      </c>
      <c r="J29" s="221"/>
      <c r="K29" s="222"/>
      <c r="L29" s="223"/>
    </row>
    <row r="30" spans="1:33" ht="14.7" customHeight="1" thickTop="1" x14ac:dyDescent="0.25">
      <c r="A30" s="4000" t="s">
        <v>5938</v>
      </c>
      <c r="B30" s="3983" t="s">
        <v>6595</v>
      </c>
      <c r="C30" s="3995" t="s">
        <v>5892</v>
      </c>
      <c r="D30" s="3987" t="s">
        <v>5893</v>
      </c>
      <c r="E30" s="3998" t="s">
        <v>5894</v>
      </c>
      <c r="F30" s="3988" t="s">
        <v>5895</v>
      </c>
      <c r="G30" s="3988" t="s">
        <v>5896</v>
      </c>
      <c r="H30" s="3988" t="s">
        <v>5897</v>
      </c>
      <c r="I30" s="3990" t="s">
        <v>5898</v>
      </c>
      <c r="J30" s="3992" t="s">
        <v>5217</v>
      </c>
      <c r="K30" s="3986"/>
      <c r="L30" s="3993"/>
      <c r="M30" s="3992" t="s">
        <v>5900</v>
      </c>
      <c r="N30" s="3986"/>
      <c r="O30" s="3993"/>
      <c r="P30" s="3985" t="s">
        <v>5939</v>
      </c>
      <c r="Q30" s="3986"/>
      <c r="R30" s="4003"/>
      <c r="S30" s="3994" t="s">
        <v>5363</v>
      </c>
      <c r="T30" s="3986"/>
      <c r="U30" s="3993"/>
      <c r="V30" s="3985" t="s">
        <v>5374</v>
      </c>
      <c r="W30" s="3986"/>
      <c r="X30" s="4003"/>
      <c r="Y30" s="3994" t="s">
        <v>5471</v>
      </c>
      <c r="Z30" s="3986"/>
      <c r="AA30" s="3987"/>
      <c r="AB30" s="3966"/>
      <c r="AC30" s="3966"/>
      <c r="AD30" s="3966"/>
      <c r="AE30" s="3966"/>
      <c r="AF30" s="3966"/>
      <c r="AG30" s="3966"/>
    </row>
    <row r="31" spans="1:33" ht="18" thickBot="1" x14ac:dyDescent="0.3">
      <c r="A31" s="4001"/>
      <c r="B31" s="3984"/>
      <c r="C31" s="3996"/>
      <c r="D31" s="3997"/>
      <c r="E31" s="3999"/>
      <c r="F31" s="3989"/>
      <c r="G31" s="3989"/>
      <c r="H31" s="3989"/>
      <c r="I31" s="3991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 x14ac:dyDescent="0.25">
      <c r="A32" s="4001"/>
      <c r="B32" s="250" t="s">
        <v>6518</v>
      </c>
      <c r="C32" s="2075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89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4001"/>
      <c r="B33" s="250" t="s">
        <v>6519</v>
      </c>
      <c r="C33" s="1131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0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4001"/>
      <c r="B34" s="250" t="s">
        <v>6520</v>
      </c>
      <c r="C34" s="2075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0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4001"/>
      <c r="B35" s="250" t="s">
        <v>6521</v>
      </c>
      <c r="C35" s="1131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0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4001"/>
      <c r="B36" s="250" t="s">
        <v>6522</v>
      </c>
      <c r="C36" s="2075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0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4001"/>
      <c r="B37" s="250" t="s">
        <v>6523</v>
      </c>
      <c r="C37" s="1131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0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4001"/>
      <c r="B38" s="250" t="s">
        <v>6524</v>
      </c>
      <c r="C38" s="2075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0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4001"/>
      <c r="B39" s="250" t="s">
        <v>6526</v>
      </c>
      <c r="C39" s="1131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0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4001"/>
      <c r="B40" s="250" t="s">
        <v>6525</v>
      </c>
      <c r="C40" s="2075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0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4001"/>
      <c r="B41" s="250" t="s">
        <v>6527</v>
      </c>
      <c r="C41" s="1131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0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4001"/>
      <c r="B42" s="250" t="s">
        <v>6528</v>
      </c>
      <c r="C42" s="2075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0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4001"/>
      <c r="B43" s="250" t="s">
        <v>6531</v>
      </c>
      <c r="C43" s="1131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0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4001"/>
      <c r="B44" s="250" t="s">
        <v>6529</v>
      </c>
      <c r="C44" s="2075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0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4001"/>
      <c r="B45" s="250" t="s">
        <v>6532</v>
      </c>
      <c r="C45" s="1131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0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4001"/>
      <c r="B46" s="250" t="s">
        <v>6530</v>
      </c>
      <c r="C46" s="2075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0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4001"/>
      <c r="B47" s="250" t="s">
        <v>6533</v>
      </c>
      <c r="C47" s="1131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098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4001"/>
      <c r="B48" s="250" t="s">
        <v>6534</v>
      </c>
      <c r="C48" s="2075" t="s">
        <v>5970</v>
      </c>
      <c r="D48" s="2079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0" t="e">
        <f>220*SUM(#REF!)/1000</f>
        <v>#REF!</v>
      </c>
      <c r="I48" s="2099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4001"/>
      <c r="B49" s="250" t="s">
        <v>6535</v>
      </c>
      <c r="C49" s="1131" t="s">
        <v>5972</v>
      </c>
      <c r="D49" s="2086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0" t="e">
        <f>220*SUM(#REF!)/1000</f>
        <v>#REF!</v>
      </c>
      <c r="I49" s="2099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4001"/>
      <c r="B50" s="250" t="s">
        <v>6536</v>
      </c>
      <c r="C50" s="2075" t="s">
        <v>5974</v>
      </c>
      <c r="D50" s="2079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0" t="e">
        <f>220*SUM(#REF!)/1000</f>
        <v>#REF!</v>
      </c>
      <c r="I50" s="2099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4001"/>
      <c r="B51" s="250" t="s">
        <v>6537</v>
      </c>
      <c r="C51" s="1131" t="s">
        <v>5976</v>
      </c>
      <c r="D51" s="2086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0" t="e">
        <f>220*SUM(#REF!)/1000</f>
        <v>#REF!</v>
      </c>
      <c r="I51" s="2099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4001"/>
      <c r="B52" s="250" t="s">
        <v>6538</v>
      </c>
      <c r="C52" s="2075" t="s">
        <v>5978</v>
      </c>
      <c r="D52" s="2079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0" t="e">
        <f>220*SUM(#REF!)/1000</f>
        <v>#REF!</v>
      </c>
      <c r="I52" s="2099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4001"/>
      <c r="B53" s="250" t="s">
        <v>6539</v>
      </c>
      <c r="C53" s="1131" t="s">
        <v>5980</v>
      </c>
      <c r="D53" s="2086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0" t="e">
        <f>220*SUM(#REF!)/1000</f>
        <v>#REF!</v>
      </c>
      <c r="I53" s="2099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4001"/>
      <c r="B54" s="2431"/>
      <c r="C54" s="2075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0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4001"/>
      <c r="B55" s="2431"/>
      <c r="C55" s="2075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0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4002"/>
      <c r="B56" s="2432"/>
      <c r="C56" s="2091" t="s">
        <v>5904</v>
      </c>
      <c r="D56" s="2092" t="s">
        <v>5904</v>
      </c>
      <c r="E56" s="2093">
        <f>SUM(E32:E55)</f>
        <v>5850</v>
      </c>
      <c r="F56" s="2094">
        <f>SUM(F32:F55)</f>
        <v>3850.3489452256126</v>
      </c>
      <c r="G56" s="2095">
        <v>700</v>
      </c>
      <c r="H56" s="2096" t="e">
        <f>SUM(H32:H55)</f>
        <v>#REF!</v>
      </c>
      <c r="I56" s="2097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7" customHeight="1" thickTop="1" x14ac:dyDescent="0.25">
      <c r="A57" s="4000" t="s">
        <v>5879</v>
      </c>
      <c r="B57" s="3983" t="s">
        <v>6595</v>
      </c>
      <c r="C57" s="3995" t="s">
        <v>5892</v>
      </c>
      <c r="D57" s="3987" t="s">
        <v>5893</v>
      </c>
      <c r="E57" s="3998" t="s">
        <v>5894</v>
      </c>
      <c r="F57" s="3988" t="s">
        <v>5895</v>
      </c>
      <c r="G57" s="3988" t="s">
        <v>5984</v>
      </c>
      <c r="H57" s="3988" t="s">
        <v>5897</v>
      </c>
      <c r="I57" s="3990" t="s">
        <v>5898</v>
      </c>
      <c r="J57" s="3992" t="s">
        <v>5778</v>
      </c>
      <c r="K57" s="3986"/>
      <c r="L57" s="3993"/>
      <c r="M57" s="3994" t="s">
        <v>5985</v>
      </c>
      <c r="N57" s="3986"/>
      <c r="O57" s="3993"/>
      <c r="P57" s="3985" t="s">
        <v>5825</v>
      </c>
      <c r="Q57" s="3986"/>
      <c r="R57" s="3987"/>
    </row>
    <row r="58" spans="1:30" ht="18" thickBot="1" x14ac:dyDescent="0.3">
      <c r="A58" s="4001"/>
      <c r="B58" s="3984"/>
      <c r="C58" s="3996"/>
      <c r="D58" s="3997"/>
      <c r="E58" s="3999"/>
      <c r="F58" s="3989"/>
      <c r="G58" s="3989"/>
      <c r="H58" s="3989"/>
      <c r="I58" s="3991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4001"/>
      <c r="B59" s="250" t="s">
        <v>6511</v>
      </c>
      <c r="C59" s="2075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0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4001"/>
      <c r="B60" s="250" t="s">
        <v>6506</v>
      </c>
      <c r="C60" s="1131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89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4001"/>
      <c r="B61" s="250" t="s">
        <v>6512</v>
      </c>
      <c r="C61" s="2075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0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4001"/>
      <c r="B62" s="250" t="s">
        <v>6507</v>
      </c>
      <c r="C62" s="1131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0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4001"/>
      <c r="B63" s="250" t="s">
        <v>6513</v>
      </c>
      <c r="C63" s="2075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0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4001"/>
      <c r="B64" s="250" t="s">
        <v>6508</v>
      </c>
      <c r="C64" s="1131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0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4001"/>
      <c r="B65" s="250" t="s">
        <v>6514</v>
      </c>
      <c r="C65" s="2075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0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4001"/>
      <c r="B66" s="250" t="s">
        <v>6509</v>
      </c>
      <c r="C66" s="1131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0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4001"/>
      <c r="B67" s="250" t="s">
        <v>6515</v>
      </c>
      <c r="C67" s="2075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0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4001"/>
      <c r="B68" s="250" t="s">
        <v>6510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0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4002"/>
      <c r="B69" s="2432"/>
      <c r="C69" s="2091" t="s">
        <v>5904</v>
      </c>
      <c r="D69" s="2092" t="s">
        <v>5904</v>
      </c>
      <c r="E69" s="2093">
        <f>SUM(E59:E68)</f>
        <v>3000</v>
      </c>
      <c r="F69" s="2094">
        <f>SUM(F59:F68)</f>
        <v>1974.5379206285202</v>
      </c>
      <c r="G69" s="2095">
        <v>700</v>
      </c>
      <c r="H69" s="2096" t="e">
        <f>SUM(H59:H68)</f>
        <v>#REF!</v>
      </c>
      <c r="I69" s="2097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 x14ac:dyDescent="0.25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4"/>
    </row>
    <row r="78" spans="1:18" ht="15" thickBot="1" x14ac:dyDescent="0.3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 x14ac:dyDescent="0.25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03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04" t="s">
        <v>4558</v>
      </c>
      <c r="G84" s="2204" t="e">
        <f>#REF!</f>
        <v>#REF!</v>
      </c>
      <c r="H84" s="2205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4" type="noConversion"/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4005" t="s">
        <v>5890</v>
      </c>
      <c r="K1" s="4006"/>
      <c r="L1" s="4006"/>
      <c r="M1" s="4006"/>
      <c r="N1" s="4006"/>
      <c r="O1" s="4007"/>
    </row>
    <row r="2" spans="1:30" ht="14.7" customHeight="1" thickTop="1" x14ac:dyDescent="0.25">
      <c r="A2" s="4000" t="s">
        <v>5891</v>
      </c>
      <c r="B2" s="3983" t="s">
        <v>6595</v>
      </c>
      <c r="C2" s="3995" t="s">
        <v>5892</v>
      </c>
      <c r="D2" s="3987" t="s">
        <v>5893</v>
      </c>
      <c r="E2" s="3998" t="s">
        <v>5894</v>
      </c>
      <c r="F2" s="3988" t="s">
        <v>5895</v>
      </c>
      <c r="G2" s="3988" t="s">
        <v>5896</v>
      </c>
      <c r="H2" s="3988" t="s">
        <v>5897</v>
      </c>
      <c r="I2" s="3990" t="s">
        <v>5898</v>
      </c>
      <c r="J2" s="3992" t="s">
        <v>5899</v>
      </c>
      <c r="K2" s="3986"/>
      <c r="L2" s="3993"/>
      <c r="M2" s="3985" t="s">
        <v>5217</v>
      </c>
      <c r="N2" s="3986"/>
      <c r="O2" s="3986"/>
      <c r="P2" s="3986" t="s">
        <v>5900</v>
      </c>
      <c r="Q2" s="3986"/>
      <c r="R2" s="3986"/>
      <c r="S2" s="3986" t="s">
        <v>5901</v>
      </c>
      <c r="T2" s="3986"/>
      <c r="U2" s="3986"/>
      <c r="V2" s="3986" t="s">
        <v>5902</v>
      </c>
      <c r="W2" s="3986"/>
      <c r="X2" s="3986"/>
      <c r="Y2" s="3986" t="s">
        <v>5903</v>
      </c>
      <c r="Z2" s="3986"/>
      <c r="AA2" s="3986"/>
      <c r="AB2" s="3986" t="s">
        <v>4568</v>
      </c>
      <c r="AC2" s="3986"/>
      <c r="AD2" s="3987"/>
    </row>
    <row r="3" spans="1:30" ht="18" thickBot="1" x14ac:dyDescent="0.3">
      <c r="A3" s="4001"/>
      <c r="B3" s="3984"/>
      <c r="C3" s="4010"/>
      <c r="D3" s="3997"/>
      <c r="E3" s="3999"/>
      <c r="F3" s="3989"/>
      <c r="G3" s="3989"/>
      <c r="H3" s="3989"/>
      <c r="I3" s="3991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 x14ac:dyDescent="0.25">
      <c r="A4" s="4001"/>
      <c r="B4" s="250" t="s">
        <v>6591</v>
      </c>
      <c r="C4" s="2075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48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4001"/>
      <c r="B5" s="250" t="s">
        <v>6593</v>
      </c>
      <c r="C5" s="2077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49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4001"/>
      <c r="B6" s="250" t="s">
        <v>6590</v>
      </c>
      <c r="C6" s="2075" t="s">
        <v>4550</v>
      </c>
      <c r="D6" s="2079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49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4001"/>
      <c r="B7" s="250" t="s">
        <v>6589</v>
      </c>
      <c r="C7" s="2075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49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4001"/>
      <c r="B8" s="250" t="s">
        <v>6587</v>
      </c>
      <c r="C8" s="1131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49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4001"/>
      <c r="B9" s="250" t="s">
        <v>6592</v>
      </c>
      <c r="C9" s="2076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49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4001"/>
      <c r="B10" s="250" t="s">
        <v>6588</v>
      </c>
      <c r="C10" s="1131" t="s">
        <v>4552</v>
      </c>
      <c r="D10" s="2079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49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4001"/>
      <c r="B11" s="250" t="s">
        <v>6586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49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4002"/>
      <c r="B12" s="2432"/>
      <c r="C12" s="2433" t="s">
        <v>5904</v>
      </c>
      <c r="D12" s="2092" t="s">
        <v>5904</v>
      </c>
      <c r="E12" s="2093">
        <f>E9+E5+E7+E11</f>
        <v>1400</v>
      </c>
      <c r="F12" s="2094">
        <f>F9+F5+F7+F11</f>
        <v>921.45102962664259</v>
      </c>
      <c r="G12" s="2100">
        <v>700</v>
      </c>
      <c r="H12" s="2096" t="e">
        <f>H9+H5+H7+H11</f>
        <v>#REF!</v>
      </c>
      <c r="I12" s="2097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7" customHeight="1" thickTop="1" x14ac:dyDescent="0.25">
      <c r="A13" s="4000" t="s">
        <v>5909</v>
      </c>
      <c r="B13" s="3983" t="s">
        <v>6595</v>
      </c>
      <c r="C13" s="3995" t="s">
        <v>5892</v>
      </c>
      <c r="D13" s="3987" t="s">
        <v>5893</v>
      </c>
      <c r="E13" s="3998" t="s">
        <v>5894</v>
      </c>
      <c r="F13" s="3988" t="s">
        <v>5895</v>
      </c>
      <c r="G13" s="3988" t="s">
        <v>5896</v>
      </c>
      <c r="H13" s="4008" t="s">
        <v>5897</v>
      </c>
      <c r="I13" s="3990" t="s">
        <v>5898</v>
      </c>
      <c r="J13" s="3992" t="s">
        <v>5217</v>
      </c>
      <c r="K13" s="3986"/>
      <c r="L13" s="3993"/>
      <c r="M13" s="4004"/>
      <c r="N13" s="3966"/>
      <c r="O13" s="3966"/>
    </row>
    <row r="14" spans="1:30" ht="18" thickBot="1" x14ac:dyDescent="0.3">
      <c r="A14" s="4001"/>
      <c r="B14" s="3984"/>
      <c r="C14" s="3996"/>
      <c r="D14" s="3997"/>
      <c r="E14" s="3999"/>
      <c r="F14" s="3989"/>
      <c r="G14" s="3989"/>
      <c r="H14" s="4009"/>
      <c r="I14" s="3991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4001"/>
      <c r="B15" s="250" t="s">
        <v>6576</v>
      </c>
      <c r="C15" s="2077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49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4001"/>
      <c r="B16" s="250" t="s">
        <v>6578</v>
      </c>
      <c r="C16" s="2077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49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4001"/>
      <c r="B17" s="250" t="s">
        <v>6580</v>
      </c>
      <c r="C17" s="2077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49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4001"/>
      <c r="B18" s="250" t="s">
        <v>6582</v>
      </c>
      <c r="C18" s="2077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49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4001"/>
      <c r="B19" s="250" t="s">
        <v>6572</v>
      </c>
      <c r="C19" s="2077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49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4001"/>
      <c r="B20" s="250" t="s">
        <v>6574</v>
      </c>
      <c r="C20" s="2077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49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4001"/>
      <c r="B21" s="250" t="s">
        <v>6570</v>
      </c>
      <c r="C21" s="2077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48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4001"/>
      <c r="B22" s="250" t="s">
        <v>6577</v>
      </c>
      <c r="C22" s="2076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49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4001"/>
      <c r="B23" s="250" t="s">
        <v>6579</v>
      </c>
      <c r="C23" s="2076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49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4001"/>
      <c r="B24" s="250" t="s">
        <v>6581</v>
      </c>
      <c r="C24" s="2076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49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4001"/>
      <c r="B25" s="250" t="s">
        <v>6583</v>
      </c>
      <c r="C25" s="2076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49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4001"/>
      <c r="B26" s="250" t="s">
        <v>6573</v>
      </c>
      <c r="C26" s="2076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49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4001"/>
      <c r="B27" s="250" t="s">
        <v>6575</v>
      </c>
      <c r="C27" s="2076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49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4001"/>
      <c r="B28" s="250" t="s">
        <v>6571</v>
      </c>
      <c r="C28" s="2076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49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4002"/>
      <c r="B29" s="2432"/>
      <c r="C29" s="2091" t="s">
        <v>5904</v>
      </c>
      <c r="D29" s="2092" t="s">
        <v>5904</v>
      </c>
      <c r="E29" s="2093">
        <f>SUM(E15:E28)</f>
        <v>3400</v>
      </c>
      <c r="F29" s="2094">
        <f>SUM(F15:F28)</f>
        <v>2237.8096433789897</v>
      </c>
      <c r="G29" s="2100">
        <v>700</v>
      </c>
      <c r="H29" s="2096" t="e">
        <f>SUM(H15:H28)</f>
        <v>#REF!</v>
      </c>
      <c r="I29" s="2097" t="e">
        <f t="shared" si="2"/>
        <v>#REF!</v>
      </c>
      <c r="J29" s="221"/>
      <c r="K29" s="222"/>
      <c r="L29" s="223"/>
    </row>
    <row r="30" spans="1:30" ht="14.7" customHeight="1" thickTop="1" x14ac:dyDescent="0.25">
      <c r="A30" s="4000" t="s">
        <v>5938</v>
      </c>
      <c r="B30" s="3983" t="s">
        <v>6595</v>
      </c>
      <c r="C30" s="3995" t="s">
        <v>5892</v>
      </c>
      <c r="D30" s="3987" t="s">
        <v>5893</v>
      </c>
      <c r="E30" s="3998" t="s">
        <v>5894</v>
      </c>
      <c r="F30" s="3988" t="s">
        <v>5895</v>
      </c>
      <c r="G30" s="3988" t="s">
        <v>5896</v>
      </c>
      <c r="H30" s="4008" t="s">
        <v>5897</v>
      </c>
      <c r="I30" s="3990" t="s">
        <v>5898</v>
      </c>
      <c r="J30" s="3992" t="s">
        <v>5217</v>
      </c>
      <c r="K30" s="3986"/>
      <c r="L30" s="3993"/>
      <c r="M30" s="3992" t="s">
        <v>5900</v>
      </c>
      <c r="N30" s="3986"/>
      <c r="O30" s="3993"/>
      <c r="P30" s="3985" t="s">
        <v>5939</v>
      </c>
      <c r="Q30" s="3986"/>
      <c r="R30" s="4003"/>
      <c r="S30" s="3994" t="s">
        <v>5363</v>
      </c>
      <c r="T30" s="3986"/>
      <c r="U30" s="3993"/>
      <c r="V30" s="3985" t="s">
        <v>5374</v>
      </c>
      <c r="W30" s="3986"/>
      <c r="X30" s="4003"/>
      <c r="Y30" s="3994" t="s">
        <v>5471</v>
      </c>
      <c r="Z30" s="3986"/>
      <c r="AA30" s="3987"/>
      <c r="AB30" s="3966"/>
      <c r="AC30" s="3966"/>
      <c r="AD30" s="3966"/>
    </row>
    <row r="31" spans="1:30" ht="18" thickBot="1" x14ac:dyDescent="0.3">
      <c r="A31" s="4001"/>
      <c r="B31" s="3984"/>
      <c r="C31" s="3996"/>
      <c r="D31" s="3997"/>
      <c r="E31" s="3999"/>
      <c r="F31" s="3989"/>
      <c r="G31" s="3989"/>
      <c r="H31" s="4009"/>
      <c r="I31" s="3991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 x14ac:dyDescent="0.25">
      <c r="A32" s="4001"/>
      <c r="B32" s="250" t="s">
        <v>6518</v>
      </c>
      <c r="C32" s="2075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48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78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4001"/>
      <c r="B33" s="250" t="s">
        <v>6520</v>
      </c>
      <c r="C33" s="2075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49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4001"/>
      <c r="B34" s="250" t="s">
        <v>6596</v>
      </c>
      <c r="C34" s="2075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49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4001"/>
      <c r="B35" s="250" t="s">
        <v>6597</v>
      </c>
      <c r="C35" s="2075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49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4001"/>
      <c r="B36" s="250" t="s">
        <v>6598</v>
      </c>
      <c r="C36" s="2075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49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4001"/>
      <c r="B37" s="250" t="s">
        <v>6599</v>
      </c>
      <c r="C37" s="2075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49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4001"/>
      <c r="B38" s="250" t="s">
        <v>6600</v>
      </c>
      <c r="C38" s="2075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49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4001"/>
      <c r="B39" s="250" t="s">
        <v>6601</v>
      </c>
      <c r="C39" s="2075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49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4001"/>
      <c r="B40" s="250" t="s">
        <v>6602</v>
      </c>
      <c r="C40" s="2075" t="s">
        <v>5970</v>
      </c>
      <c r="D40" s="2079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49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0"/>
      <c r="Q40" s="2081"/>
      <c r="R40" s="2082"/>
      <c r="S40" s="2083"/>
      <c r="T40" s="2081"/>
      <c r="U40" s="2084"/>
      <c r="V40" s="2080"/>
      <c r="W40" s="2081"/>
      <c r="X40" s="2082"/>
      <c r="Y40" s="2083"/>
      <c r="Z40" s="2081"/>
      <c r="AA40" s="2085"/>
    </row>
    <row r="41" spans="1:27" x14ac:dyDescent="0.25">
      <c r="A41" s="4001"/>
      <c r="B41" s="250" t="s">
        <v>6603</v>
      </c>
      <c r="C41" s="2075" t="s">
        <v>5974</v>
      </c>
      <c r="D41" s="2079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49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0"/>
      <c r="Q41" s="2081"/>
      <c r="R41" s="2082"/>
      <c r="S41" s="2083"/>
      <c r="T41" s="2081"/>
      <c r="U41" s="2084"/>
      <c r="V41" s="2080"/>
      <c r="W41" s="2081"/>
      <c r="X41" s="2082"/>
      <c r="Y41" s="2083"/>
      <c r="Z41" s="2081"/>
      <c r="AA41" s="2085"/>
    </row>
    <row r="42" spans="1:27" x14ac:dyDescent="0.25">
      <c r="A42" s="4001"/>
      <c r="B42" s="250" t="s">
        <v>6604</v>
      </c>
      <c r="C42" s="2075" t="s">
        <v>5978</v>
      </c>
      <c r="D42" s="2079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49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0"/>
      <c r="Q42" s="2081"/>
      <c r="R42" s="2082"/>
      <c r="S42" s="2083"/>
      <c r="T42" s="2081"/>
      <c r="U42" s="2084"/>
      <c r="V42" s="2080"/>
      <c r="W42" s="2081"/>
      <c r="X42" s="2082"/>
      <c r="Y42" s="2083"/>
      <c r="Z42" s="2081"/>
      <c r="AA42" s="2085"/>
    </row>
    <row r="43" spans="1:27" x14ac:dyDescent="0.25">
      <c r="A43" s="4001"/>
      <c r="B43" s="250" t="s">
        <v>6519</v>
      </c>
      <c r="C43" s="1131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49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4001"/>
      <c r="B44" s="250" t="s">
        <v>6605</v>
      </c>
      <c r="C44" s="1131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49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4001"/>
      <c r="B45" s="250" t="s">
        <v>6606</v>
      </c>
      <c r="C45" s="1131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49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4001"/>
      <c r="B46" s="250" t="s">
        <v>6607</v>
      </c>
      <c r="C46" s="1131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49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4001"/>
      <c r="B47" s="250" t="s">
        <v>6608</v>
      </c>
      <c r="C47" s="1131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49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4001"/>
      <c r="B48" s="250" t="s">
        <v>6609</v>
      </c>
      <c r="C48" s="1131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49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4001"/>
      <c r="B49" s="250" t="s">
        <v>6610</v>
      </c>
      <c r="C49" s="1131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49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4001"/>
      <c r="B50" s="250" t="s">
        <v>6611</v>
      </c>
      <c r="C50" s="1131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49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4001"/>
      <c r="B51" s="250" t="s">
        <v>6612</v>
      </c>
      <c r="C51" s="1131" t="s">
        <v>5972</v>
      </c>
      <c r="D51" s="2086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49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0"/>
      <c r="Q51" s="2081"/>
      <c r="R51" s="2082"/>
      <c r="S51" s="2083"/>
      <c r="T51" s="2081"/>
      <c r="U51" s="2084"/>
      <c r="V51" s="2080"/>
      <c r="W51" s="2081"/>
      <c r="X51" s="2082"/>
      <c r="Y51" s="2083"/>
      <c r="Z51" s="2081"/>
      <c r="AA51" s="2085"/>
    </row>
    <row r="52" spans="1:30" x14ac:dyDescent="0.25">
      <c r="A52" s="4001"/>
      <c r="B52" s="250" t="s">
        <v>6613</v>
      </c>
      <c r="C52" s="1131" t="s">
        <v>5976</v>
      </c>
      <c r="D52" s="2086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49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0"/>
      <c r="Q52" s="2081"/>
      <c r="R52" s="2082"/>
      <c r="S52" s="2083"/>
      <c r="T52" s="2081"/>
      <c r="U52" s="2084"/>
      <c r="V52" s="2080"/>
      <c r="W52" s="2081"/>
      <c r="X52" s="2082"/>
      <c r="Y52" s="2083"/>
      <c r="Z52" s="2081"/>
      <c r="AA52" s="2085"/>
    </row>
    <row r="53" spans="1:30" x14ac:dyDescent="0.25">
      <c r="A53" s="4001"/>
      <c r="B53" s="250" t="s">
        <v>6540</v>
      </c>
      <c r="C53" s="1131" t="s">
        <v>5980</v>
      </c>
      <c r="D53" s="2086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49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0"/>
      <c r="Q53" s="2081"/>
      <c r="R53" s="2082"/>
      <c r="S53" s="2083"/>
      <c r="T53" s="2081"/>
      <c r="U53" s="2084"/>
      <c r="V53" s="2080"/>
      <c r="W53" s="2081"/>
      <c r="X53" s="2082"/>
      <c r="Y53" s="2083"/>
      <c r="Z53" s="2081"/>
      <c r="AA53" s="2085"/>
    </row>
    <row r="54" spans="1:30" x14ac:dyDescent="0.25">
      <c r="A54" s="4001"/>
      <c r="B54" s="2431"/>
      <c r="C54" s="2075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0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4001"/>
      <c r="B55" s="2431"/>
      <c r="C55" s="2075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0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4002"/>
      <c r="B56" s="2432"/>
      <c r="C56" s="2091" t="s">
        <v>5904</v>
      </c>
      <c r="D56" s="2092" t="s">
        <v>5904</v>
      </c>
      <c r="E56" s="2093">
        <f>SUM(E32:E55)</f>
        <v>5850</v>
      </c>
      <c r="F56" s="2094">
        <f>SUM(F32:F55)</f>
        <v>3850.3489452256126</v>
      </c>
      <c r="G56" s="2100">
        <v>700</v>
      </c>
      <c r="H56" s="2096" t="e">
        <f>SUM(H32:H55)</f>
        <v>#REF!</v>
      </c>
      <c r="I56" s="2097" t="e">
        <f t="shared" si="2"/>
        <v>#REF!</v>
      </c>
      <c r="J56" s="221"/>
      <c r="K56" s="222"/>
      <c r="L56" s="223"/>
      <c r="M56" s="2087"/>
      <c r="N56" s="2087"/>
      <c r="O56" s="208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7" customHeight="1" thickTop="1" x14ac:dyDescent="0.25">
      <c r="A57" s="4000" t="s">
        <v>5879</v>
      </c>
      <c r="B57" s="3983" t="s">
        <v>6595</v>
      </c>
      <c r="C57" s="3995" t="s">
        <v>5892</v>
      </c>
      <c r="D57" s="3987" t="s">
        <v>5893</v>
      </c>
      <c r="E57" s="3998" t="s">
        <v>5894</v>
      </c>
      <c r="F57" s="3988" t="s">
        <v>5895</v>
      </c>
      <c r="G57" s="3988" t="s">
        <v>5896</v>
      </c>
      <c r="H57" s="4008" t="s">
        <v>5897</v>
      </c>
      <c r="I57" s="3990" t="s">
        <v>5898</v>
      </c>
      <c r="J57" s="3992" t="s">
        <v>5778</v>
      </c>
      <c r="K57" s="3986"/>
      <c r="L57" s="3993"/>
      <c r="M57" s="3994" t="s">
        <v>5985</v>
      </c>
      <c r="N57" s="3986"/>
      <c r="O57" s="3993"/>
      <c r="P57" s="3985" t="s">
        <v>5825</v>
      </c>
      <c r="Q57" s="3986"/>
      <c r="R57" s="3987"/>
    </row>
    <row r="58" spans="1:30" ht="18" thickBot="1" x14ac:dyDescent="0.3">
      <c r="A58" s="4001"/>
      <c r="B58" s="3984"/>
      <c r="C58" s="3996"/>
      <c r="D58" s="3997"/>
      <c r="E58" s="3999"/>
      <c r="F58" s="3989"/>
      <c r="G58" s="3989"/>
      <c r="H58" s="4009"/>
      <c r="I58" s="3991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4001"/>
      <c r="B59" s="250" t="s">
        <v>6511</v>
      </c>
      <c r="C59" s="2075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49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4001"/>
      <c r="B60" s="250" t="s">
        <v>6614</v>
      </c>
      <c r="C60" s="2075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49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4001"/>
      <c r="B61" s="250" t="s">
        <v>6615</v>
      </c>
      <c r="C61" s="2075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49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4001"/>
      <c r="B62" s="250" t="s">
        <v>6616</v>
      </c>
      <c r="C62" s="2075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49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4001"/>
      <c r="B63" s="250" t="s">
        <v>6617</v>
      </c>
      <c r="C63" s="2075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49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4001"/>
      <c r="B64" s="250" t="s">
        <v>6506</v>
      </c>
      <c r="C64" s="1131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48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4001"/>
      <c r="B65" s="250" t="s">
        <v>6618</v>
      </c>
      <c r="C65" s="1131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49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4001"/>
      <c r="B66" s="250" t="s">
        <v>6619</v>
      </c>
      <c r="C66" s="1131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49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4001"/>
      <c r="B67" s="250" t="s">
        <v>6620</v>
      </c>
      <c r="C67" s="1131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49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4001"/>
      <c r="B68" s="250" t="s">
        <v>6621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49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4002"/>
      <c r="B69" s="2432"/>
      <c r="C69" s="2091" t="s">
        <v>5904</v>
      </c>
      <c r="D69" s="2092" t="s">
        <v>5904</v>
      </c>
      <c r="E69" s="2093">
        <f>SUM(E59:E68)</f>
        <v>3000</v>
      </c>
      <c r="F69" s="2094">
        <f>SUM(F59:F68)</f>
        <v>1974.5379206285202</v>
      </c>
      <c r="G69" s="2100">
        <v>700</v>
      </c>
      <c r="H69" s="2096" t="e">
        <f>SUM(H59:H68)</f>
        <v>#REF!</v>
      </c>
      <c r="I69" s="2097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4"/>
      <c r="I70" s="975"/>
      <c r="J70" s="976"/>
    </row>
    <row r="71" spans="1:32" x14ac:dyDescent="0.25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 x14ac:dyDescent="0.25">
      <c r="D72" s="334" t="s">
        <v>5879</v>
      </c>
      <c r="E72" s="977" t="s">
        <v>4222</v>
      </c>
      <c r="F72" s="978" t="s">
        <v>6002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5938</v>
      </c>
      <c r="E77" s="979" t="s">
        <v>6004</v>
      </c>
      <c r="F77" s="980" t="s">
        <v>6005</v>
      </c>
      <c r="G77" s="247" t="e">
        <f>#REF!</f>
        <v>#REF!</v>
      </c>
      <c r="H77" s="984"/>
    </row>
    <row r="78" spans="1:32" ht="15" thickBot="1" x14ac:dyDescent="0.3">
      <c r="D78" s="333" t="s">
        <v>5909</v>
      </c>
      <c r="E78" s="979" t="s">
        <v>6004</v>
      </c>
      <c r="F78" s="980" t="s">
        <v>6005</v>
      </c>
      <c r="G78" s="236" t="e">
        <f>#REF!</f>
        <v>#REF!</v>
      </c>
      <c r="H78" s="981"/>
    </row>
    <row r="79" spans="1:32" x14ac:dyDescent="0.25">
      <c r="D79" s="333" t="s">
        <v>5891</v>
      </c>
      <c r="E79" s="979" t="s">
        <v>4222</v>
      </c>
      <c r="F79" s="980" t="s">
        <v>6005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03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4013" t="s">
        <v>6480</v>
      </c>
      <c r="O80" s="4013"/>
      <c r="P80" s="4013"/>
      <c r="Q80" s="4013"/>
      <c r="R80" s="4013" t="s">
        <v>6489</v>
      </c>
      <c r="S80" s="4013"/>
      <c r="T80" s="4013"/>
      <c r="U80" s="4013" t="s">
        <v>6490</v>
      </c>
      <c r="V80" s="4013"/>
      <c r="W80" s="4013"/>
      <c r="X80" s="4014" t="s">
        <v>6481</v>
      </c>
      <c r="Y80" s="4015"/>
      <c r="Z80" s="4015"/>
      <c r="AA80" s="4015"/>
      <c r="AB80" s="4016"/>
      <c r="AC80" s="4019" t="s">
        <v>6482</v>
      </c>
      <c r="AD80" s="4019"/>
      <c r="AE80" s="4013" t="s">
        <v>6483</v>
      </c>
      <c r="AF80" s="4013"/>
    </row>
    <row r="81" spans="4:32" x14ac:dyDescent="0.25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456" t="s">
        <v>6484</v>
      </c>
      <c r="O81" s="3456"/>
      <c r="P81" s="3456"/>
      <c r="Q81" s="3456"/>
      <c r="R81" s="4017">
        <f>85.07*20</f>
        <v>1701.3999999999999</v>
      </c>
      <c r="S81" s="4017"/>
      <c r="T81" s="4017"/>
      <c r="U81" s="4017">
        <f>159.7*20</f>
        <v>3194</v>
      </c>
      <c r="V81" s="4017"/>
      <c r="W81" s="4017"/>
      <c r="X81" s="4017">
        <f>U81-R81</f>
        <v>1492.6000000000001</v>
      </c>
      <c r="Y81" s="4017"/>
      <c r="Z81" s="4017"/>
      <c r="AA81" s="4018"/>
      <c r="AB81" s="4018"/>
      <c r="AC81" s="4017">
        <f>X81*1000/(220*24*31)</f>
        <v>9.119012707722387</v>
      </c>
      <c r="AD81" s="4017"/>
      <c r="AE81" s="4020"/>
      <c r="AF81" s="4020"/>
    </row>
    <row r="82" spans="4:32" x14ac:dyDescent="0.25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456" t="s">
        <v>6485</v>
      </c>
      <c r="O82" s="3456"/>
      <c r="P82" s="3456"/>
      <c r="Q82" s="3456"/>
      <c r="R82" s="4017"/>
      <c r="S82" s="4017"/>
      <c r="T82" s="4017"/>
      <c r="U82" s="4017"/>
      <c r="V82" s="4017"/>
      <c r="W82" s="4017"/>
      <c r="X82" s="4017">
        <f>X81-AA83</f>
        <v>1163.9000000000001</v>
      </c>
      <c r="Y82" s="4017"/>
      <c r="Z82" s="4017"/>
      <c r="AA82" s="4018"/>
      <c r="AB82" s="4018"/>
      <c r="AC82" s="4017">
        <f>X82*1000/(220*24*31)</f>
        <v>7.1108260019550338</v>
      </c>
      <c r="AD82" s="4017"/>
      <c r="AE82" s="4020">
        <f>AC82/AC81</f>
        <v>0.77978024922953215</v>
      </c>
      <c r="AF82" s="4020"/>
    </row>
    <row r="83" spans="4:32" x14ac:dyDescent="0.25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456" t="s">
        <v>6486</v>
      </c>
      <c r="O83" s="3456"/>
      <c r="P83" s="3456"/>
      <c r="Q83" s="3456"/>
      <c r="R83" s="4017">
        <v>0.1</v>
      </c>
      <c r="S83" s="4017"/>
      <c r="T83" s="4017"/>
      <c r="U83" s="4017">
        <v>0.1</v>
      </c>
      <c r="V83" s="4017"/>
      <c r="W83" s="4017"/>
      <c r="X83" s="4017">
        <f t="shared" ref="X83:X85" si="19">U83-R83</f>
        <v>0</v>
      </c>
      <c r="Y83" s="4017"/>
      <c r="Z83" s="4017"/>
      <c r="AA83" s="4021">
        <f>SUM(X83:Z85)</f>
        <v>328.7</v>
      </c>
      <c r="AB83" s="4021"/>
      <c r="AC83" s="4017">
        <f>AA83*1000/(220*24*31)</f>
        <v>2.008186705767351</v>
      </c>
      <c r="AD83" s="4017"/>
      <c r="AE83" s="4020">
        <f>AC83/AC81</f>
        <v>0.2202197507704676</v>
      </c>
      <c r="AF83" s="4020"/>
    </row>
    <row r="84" spans="4:32" x14ac:dyDescent="0.25">
      <c r="D84" s="242"/>
      <c r="E84" s="4011" t="s">
        <v>4560</v>
      </c>
      <c r="F84" s="2345" t="s">
        <v>24</v>
      </c>
      <c r="G84" s="2346" t="e">
        <f>#REF!*세분화!AE83</f>
        <v>#REF!</v>
      </c>
      <c r="H84" s="2347" t="e">
        <f>G84/G86</f>
        <v>#REF!</v>
      </c>
      <c r="N84" s="3456" t="s">
        <v>6487</v>
      </c>
      <c r="O84" s="3456"/>
      <c r="P84" s="3456"/>
      <c r="Q84" s="3456"/>
      <c r="R84" s="4017">
        <v>193.2</v>
      </c>
      <c r="S84" s="4017"/>
      <c r="T84" s="4017"/>
      <c r="U84" s="4017">
        <v>320.39999999999998</v>
      </c>
      <c r="V84" s="4017"/>
      <c r="W84" s="4017"/>
      <c r="X84" s="4017">
        <f t="shared" si="19"/>
        <v>127.19999999999999</v>
      </c>
      <c r="Y84" s="4017"/>
      <c r="Z84" s="4017"/>
      <c r="AA84" s="4021"/>
      <c r="AB84" s="4021"/>
      <c r="AC84" s="4017"/>
      <c r="AD84" s="4017"/>
      <c r="AE84" s="4020"/>
      <c r="AF84" s="4020"/>
    </row>
    <row r="85" spans="4:32" x14ac:dyDescent="0.25">
      <c r="D85" s="242"/>
      <c r="E85" s="4012"/>
      <c r="F85" s="2345" t="s">
        <v>6002</v>
      </c>
      <c r="G85" s="2346" t="e">
        <f>#REF!*AE82</f>
        <v>#REF!</v>
      </c>
      <c r="H85" s="2347" t="e">
        <f>G85/G86</f>
        <v>#REF!</v>
      </c>
      <c r="N85" s="3456" t="s">
        <v>6488</v>
      </c>
      <c r="O85" s="3456"/>
      <c r="P85" s="3456"/>
      <c r="Q85" s="3456"/>
      <c r="R85" s="4017">
        <v>364.1</v>
      </c>
      <c r="S85" s="4017"/>
      <c r="T85" s="4017"/>
      <c r="U85" s="4017">
        <v>565.6</v>
      </c>
      <c r="V85" s="4017"/>
      <c r="W85" s="4017"/>
      <c r="X85" s="4017">
        <f t="shared" si="19"/>
        <v>201.5</v>
      </c>
      <c r="Y85" s="4017"/>
      <c r="Z85" s="4017"/>
      <c r="AA85" s="4021"/>
      <c r="AB85" s="4021"/>
      <c r="AC85" s="4017"/>
      <c r="AD85" s="4017"/>
      <c r="AE85" s="4020"/>
      <c r="AF85" s="4020"/>
    </row>
    <row r="86" spans="4:32" ht="15" thickBot="1" x14ac:dyDescent="0.3">
      <c r="D86" s="248"/>
      <c r="E86" s="227"/>
      <c r="F86" s="201" t="s">
        <v>4558</v>
      </c>
      <c r="G86" s="2206" t="e">
        <f>#REF!</f>
        <v>#REF!</v>
      </c>
      <c r="H86" s="2207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4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4022" t="s">
        <v>6008</v>
      </c>
      <c r="C1" s="4022"/>
      <c r="D1" s="4022"/>
      <c r="E1" s="4022"/>
      <c r="F1" s="4022"/>
      <c r="G1" s="4022"/>
      <c r="H1" s="4022"/>
      <c r="I1" s="4022"/>
      <c r="J1" s="4022"/>
      <c r="K1" s="4022"/>
      <c r="L1" s="4022"/>
      <c r="M1" s="4022"/>
      <c r="N1" s="4022"/>
    </row>
    <row r="2" spans="2:15" ht="19.2" customHeight="1" x14ac:dyDescent="0.25">
      <c r="F2" s="709"/>
      <c r="K2" s="488"/>
      <c r="L2" s="488"/>
    </row>
    <row r="3" spans="2:15" ht="19.2" customHeight="1" x14ac:dyDescent="0.25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9.2" customHeight="1" thickBot="1" x14ac:dyDescent="0.3">
      <c r="C4" s="710" t="s">
        <v>6012</v>
      </c>
    </row>
    <row r="5" spans="2:15" ht="25.5" customHeight="1" x14ac:dyDescent="0.25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 x14ac:dyDescent="0.25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 x14ac:dyDescent="0.25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 x14ac:dyDescent="0.25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 x14ac:dyDescent="0.25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 x14ac:dyDescent="0.25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 x14ac:dyDescent="0.25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 x14ac:dyDescent="0.25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 x14ac:dyDescent="0.25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 x14ac:dyDescent="0.25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 x14ac:dyDescent="0.25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 x14ac:dyDescent="0.25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0">
        <v>23</v>
      </c>
      <c r="C28" s="961" t="s">
        <v>6054</v>
      </c>
      <c r="D28" s="961" t="s">
        <v>4208</v>
      </c>
      <c r="E28" s="961" t="s">
        <v>4208</v>
      </c>
      <c r="F28" s="961" t="s">
        <v>6055</v>
      </c>
      <c r="G28" s="962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3">
        <v>24</v>
      </c>
      <c r="C29" s="961" t="s">
        <v>6056</v>
      </c>
      <c r="D29" s="961" t="s">
        <v>4208</v>
      </c>
      <c r="E29" s="961" t="s">
        <v>4208</v>
      </c>
      <c r="F29" s="964" t="s">
        <v>6055</v>
      </c>
      <c r="G29" s="965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6057</v>
      </c>
      <c r="J46" s="728">
        <f>SUM(G6:G45,I6:I45)</f>
        <v>0</v>
      </c>
    </row>
    <row r="47" spans="2:14" ht="19.2" customHeight="1" x14ac:dyDescent="0.25"/>
    <row r="48" spans="2:14" ht="19.2" customHeight="1" x14ac:dyDescent="0.25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9.2" customHeight="1" thickBot="1" x14ac:dyDescent="0.3">
      <c r="C49" s="710" t="s">
        <v>6059</v>
      </c>
    </row>
    <row r="50" spans="1:15" ht="22.5" customHeight="1" x14ac:dyDescent="0.25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 x14ac:dyDescent="0.25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 x14ac:dyDescent="0.25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3">
        <v>23</v>
      </c>
      <c r="C73" s="961" t="s">
        <v>6094</v>
      </c>
      <c r="D73" s="964" t="s">
        <v>4208</v>
      </c>
      <c r="E73" s="964" t="s">
        <v>4208</v>
      </c>
      <c r="F73" s="964" t="s">
        <v>6055</v>
      </c>
      <c r="G73" s="965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3">
        <v>24</v>
      </c>
      <c r="C74" s="961" t="s">
        <v>6095</v>
      </c>
      <c r="D74" s="961" t="s">
        <v>4208</v>
      </c>
      <c r="E74" s="961" t="s">
        <v>4208</v>
      </c>
      <c r="F74" s="964" t="s">
        <v>6055</v>
      </c>
      <c r="G74" s="965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6057</v>
      </c>
      <c r="J91" s="728">
        <f>SUM(G51:G90,I51:I90)</f>
        <v>0</v>
      </c>
    </row>
    <row r="92" spans="1:14" ht="19.2" customHeight="1" x14ac:dyDescent="0.25"/>
    <row r="93" spans="1:14" ht="19.2" customHeight="1" x14ac:dyDescent="0.25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9.2" customHeight="1" thickBot="1" x14ac:dyDescent="0.3">
      <c r="C94" s="710" t="s">
        <v>6097</v>
      </c>
    </row>
    <row r="95" spans="1:14" ht="25.5" customHeight="1" x14ac:dyDescent="0.25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 x14ac:dyDescent="0.25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 x14ac:dyDescent="0.25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 x14ac:dyDescent="0.25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 x14ac:dyDescent="0.25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 x14ac:dyDescent="0.25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 x14ac:dyDescent="0.25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 x14ac:dyDescent="0.25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 x14ac:dyDescent="0.25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 x14ac:dyDescent="0.25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6057</v>
      </c>
      <c r="J136" s="728">
        <f>SUM(G96:G135,I96:I135)</f>
        <v>0</v>
      </c>
    </row>
    <row r="137" spans="1:15" ht="19.2" customHeight="1" x14ac:dyDescent="0.25"/>
    <row r="138" spans="1:15" ht="19.2" customHeight="1" x14ac:dyDescent="0.25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9.2" customHeight="1" thickBot="1" x14ac:dyDescent="0.3">
      <c r="C139" s="710" t="s">
        <v>6135</v>
      </c>
    </row>
    <row r="140" spans="1:15" ht="26.25" customHeight="1" x14ac:dyDescent="0.25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 x14ac:dyDescent="0.25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 x14ac:dyDescent="0.25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 x14ac:dyDescent="0.25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 x14ac:dyDescent="0.25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 x14ac:dyDescent="0.25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 x14ac:dyDescent="0.25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 x14ac:dyDescent="0.25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 x14ac:dyDescent="0.25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 x14ac:dyDescent="0.25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6057</v>
      </c>
      <c r="J181" s="728">
        <f>SUM(G141:G180,I141:I180)</f>
        <v>0</v>
      </c>
    </row>
    <row r="182" spans="1:14" ht="19.2" customHeight="1" x14ac:dyDescent="0.25"/>
    <row r="183" spans="1:14" ht="19.2" customHeight="1" x14ac:dyDescent="0.25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9.2" customHeight="1" thickBot="1" x14ac:dyDescent="0.3">
      <c r="C184" s="710" t="s">
        <v>6164</v>
      </c>
    </row>
    <row r="185" spans="1:14" ht="20.25" customHeight="1" x14ac:dyDescent="0.25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 x14ac:dyDescent="0.25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2"/>
      <c r="K201" s="741" t="s">
        <v>535</v>
      </c>
      <c r="L201" s="741" t="s">
        <v>535</v>
      </c>
      <c r="M201" s="819"/>
      <c r="N201" s="1193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 x14ac:dyDescent="0.3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 x14ac:dyDescent="0.25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2"/>
      <c r="K246" s="741" t="s">
        <v>535</v>
      </c>
      <c r="L246" s="741" t="s">
        <v>535</v>
      </c>
      <c r="M246" s="819"/>
      <c r="N246" s="1193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 x14ac:dyDescent="0.3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7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 x14ac:dyDescent="0.3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 x14ac:dyDescent="0.3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 x14ac:dyDescent="0.25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 x14ac:dyDescent="0.25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 x14ac:dyDescent="0.25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 x14ac:dyDescent="0.25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 x14ac:dyDescent="0.25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 x14ac:dyDescent="0.25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 x14ac:dyDescent="0.25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 x14ac:dyDescent="0.25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 x14ac:dyDescent="0.25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 x14ac:dyDescent="0.25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 x14ac:dyDescent="0.25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 x14ac:dyDescent="0.25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 x14ac:dyDescent="0.25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 x14ac:dyDescent="0.25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 x14ac:dyDescent="0.25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 x14ac:dyDescent="0.25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 x14ac:dyDescent="0.25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 x14ac:dyDescent="0.25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 x14ac:dyDescent="0.25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 x14ac:dyDescent="0.25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 x14ac:dyDescent="0.25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 x14ac:dyDescent="0.25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 x14ac:dyDescent="0.25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 x14ac:dyDescent="0.25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 x14ac:dyDescent="0.25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 x14ac:dyDescent="0.25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 x14ac:dyDescent="0.25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 x14ac:dyDescent="0.25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 x14ac:dyDescent="0.25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 x14ac:dyDescent="0.25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 x14ac:dyDescent="0.25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 x14ac:dyDescent="0.25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 x14ac:dyDescent="0.25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 x14ac:dyDescent="0.25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 x14ac:dyDescent="0.25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 x14ac:dyDescent="0.25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 x14ac:dyDescent="0.25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 x14ac:dyDescent="0.25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 x14ac:dyDescent="0.25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 x14ac:dyDescent="0.25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 x14ac:dyDescent="0.25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 x14ac:dyDescent="0.25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 x14ac:dyDescent="0.25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 x14ac:dyDescent="0.25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 x14ac:dyDescent="0.25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 x14ac:dyDescent="0.25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 x14ac:dyDescent="0.25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 x14ac:dyDescent="0.25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 x14ac:dyDescent="0.25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 x14ac:dyDescent="0.25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 x14ac:dyDescent="0.25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 x14ac:dyDescent="0.25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 x14ac:dyDescent="0.25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 x14ac:dyDescent="0.25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 x14ac:dyDescent="0.25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 x14ac:dyDescent="0.25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 x14ac:dyDescent="0.25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 x14ac:dyDescent="0.25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 x14ac:dyDescent="0.25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 x14ac:dyDescent="0.3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 x14ac:dyDescent="0.3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 x14ac:dyDescent="0.25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 x14ac:dyDescent="0.25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 x14ac:dyDescent="0.25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 x14ac:dyDescent="0.25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 x14ac:dyDescent="0.25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 x14ac:dyDescent="0.25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 x14ac:dyDescent="0.25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 x14ac:dyDescent="0.25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 x14ac:dyDescent="0.25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 x14ac:dyDescent="0.25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 x14ac:dyDescent="0.25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 x14ac:dyDescent="0.25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 x14ac:dyDescent="0.25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 x14ac:dyDescent="0.25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 x14ac:dyDescent="0.25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 x14ac:dyDescent="0.25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 x14ac:dyDescent="0.25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 x14ac:dyDescent="0.25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 x14ac:dyDescent="0.25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 x14ac:dyDescent="0.25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 x14ac:dyDescent="0.25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 x14ac:dyDescent="0.25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 x14ac:dyDescent="0.25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 x14ac:dyDescent="0.25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 x14ac:dyDescent="0.25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 x14ac:dyDescent="0.25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 x14ac:dyDescent="0.25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 x14ac:dyDescent="0.25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 x14ac:dyDescent="0.25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 x14ac:dyDescent="0.25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 x14ac:dyDescent="0.25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 x14ac:dyDescent="0.25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 x14ac:dyDescent="0.25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 x14ac:dyDescent="0.25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 x14ac:dyDescent="0.25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 x14ac:dyDescent="0.25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 x14ac:dyDescent="0.3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2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4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343fddb9-674e-49bd-af31-aa458e88908d">
      <Terms xmlns="http://schemas.microsoft.com/office/infopath/2007/PartnerControls"/>
    </lcf76f155ced4ddcb4097134ff3c332f>
    <_Flow_SignoffStatus xmlns="343fddb9-674e-49bd-af31-aa458e88908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07519F28E684BBF229B7F0C0B278B" ma:contentTypeVersion="18" ma:contentTypeDescription="Create a new document." ma:contentTypeScope="" ma:versionID="68f50e8919c31ecfe5b30f66ea3f49b8">
  <xsd:schema xmlns:xsd="http://www.w3.org/2001/XMLSchema" xmlns:xs="http://www.w3.org/2001/XMLSchema" xmlns:p="http://schemas.microsoft.com/office/2006/metadata/properties" xmlns:ns2="343fddb9-674e-49bd-af31-aa458e88908d" xmlns:ns3="13d30ebd-e8be-4129-bd5c-4cb9f7266143" targetNamespace="http://schemas.microsoft.com/office/2006/metadata/properties" ma:root="true" ma:fieldsID="9e24e8f8f750131812943b91fba855a8" ns2:_="" ns3:_="">
    <xsd:import namespace="343fddb9-674e-49bd-af31-aa458e88908d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3fddb9-674e-49bd-af31-aa458e889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014e59c-743f-4cb4-8403-544890de36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purl.org/dc/elements/1.1/"/>
    <ds:schemaRef ds:uri="http://purl.org/dc/dcmitype/"/>
    <ds:schemaRef ds:uri="http://schemas.microsoft.com/office/2006/metadata/properties"/>
    <ds:schemaRef ds:uri="http://purl.org/dc/terms/"/>
    <ds:schemaRef ds:uri="343fddb9-674e-49bd-af31-aa458e88908d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13d30ebd-e8be-4129-bd5c-4cb9f7266143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94CDAA9-DFF1-454A-840E-52789DE7D8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3fddb9-674e-49bd-af31-aa458e88908d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33</vt:i4>
      </vt:variant>
      <vt:variant>
        <vt:lpstr>이름 지정된 범위</vt:lpstr>
      </vt:variant>
      <vt:variant>
        <vt:i4>13</vt:i4>
      </vt:variant>
    </vt:vector>
  </HeadingPairs>
  <TitlesOfParts>
    <vt:vector size="46" baseType="lpstr">
      <vt:lpstr>7층_랙별_계통_및_부하량</vt:lpstr>
      <vt:lpstr>6층_랙별_계통 및_부하량</vt:lpstr>
      <vt:lpstr>7층~4층_매핑테이블</vt:lpstr>
      <vt:lpstr>5층_랙별_계통 및_부하량</vt:lpstr>
      <vt:lpstr>4층_랙별_계통 및_부하량</vt:lpstr>
      <vt:lpstr>7층~4층_고객 총사용량(삭제X)</vt:lpstr>
      <vt:lpstr>Power_Summary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2024-02-08T05:59:00Z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0x010100FD407519F28E684BBF229B7F0C0B278B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