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projects/BioTools/excel_process_validator/tests/samples/"/>
    </mc:Choice>
  </mc:AlternateContent>
  <xr:revisionPtr revIDLastSave="0" documentId="13_ncr:1_{319424E7-81C6-0E4F-9B80-73C82A189035}" xr6:coauthVersionLast="36" xr6:coauthVersionMax="36" xr10:uidLastSave="{00000000-0000-0000-0000-000000000000}"/>
  <bookViews>
    <workbookView xWindow="160" yWindow="1540" windowWidth="30560" windowHeight="17640" tabRatio="646" xr2:uid="{00000000-000D-0000-FFFF-FFFF00000000}"/>
  </bookViews>
  <sheets>
    <sheet name="Particle standard curve" sheetId="6" r:id="rId1"/>
    <sheet name="Fluorescein standard curve" sheetId="2" r:id="rId2"/>
    <sheet name="Raw Plate Reader Measurements" sheetId="5" r:id="rId3"/>
    <sheet name="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0" i="6" l="1"/>
  <c r="T28" i="6"/>
  <c r="T25" i="6"/>
  <c r="T27" i="6" s="1"/>
  <c r="T29" i="6" s="1"/>
  <c r="T31" i="6" s="1"/>
  <c r="B2" i="6" s="1"/>
  <c r="T26" i="2" l="1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L52" i="7"/>
  <c r="K52" i="7"/>
  <c r="J52" i="7"/>
  <c r="L51" i="7"/>
  <c r="K51" i="7"/>
  <c r="J51" i="7"/>
  <c r="L50" i="7"/>
  <c r="K50" i="7"/>
  <c r="J50" i="7"/>
  <c r="L49" i="7"/>
  <c r="K49" i="7"/>
  <c r="J49" i="7"/>
  <c r="K48" i="7"/>
  <c r="J48" i="7"/>
  <c r="K47" i="7"/>
  <c r="J47" i="7"/>
  <c r="K46" i="7"/>
  <c r="J46" i="7"/>
  <c r="L45" i="7"/>
  <c r="K45" i="7"/>
  <c r="J45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K36" i="7"/>
  <c r="J36" i="7"/>
  <c r="K35" i="7"/>
  <c r="J35" i="7"/>
  <c r="K34" i="7"/>
  <c r="J34" i="7"/>
  <c r="H5" i="5"/>
  <c r="H6" i="5"/>
  <c r="L9" i="6" l="1"/>
  <c r="E8" i="2"/>
  <c r="D9" i="6"/>
  <c r="E9" i="6"/>
  <c r="B8" i="2"/>
  <c r="D7" i="7"/>
  <c r="F8" i="2"/>
  <c r="G8" i="2"/>
  <c r="H8" i="2"/>
  <c r="I8" i="2"/>
  <c r="J8" i="2"/>
  <c r="D8" i="2"/>
  <c r="K8" i="2"/>
  <c r="C8" i="2"/>
  <c r="L8" i="2"/>
  <c r="G9" i="6"/>
  <c r="H9" i="6"/>
  <c r="I9" i="6"/>
  <c r="F9" i="6"/>
  <c r="J9" i="6"/>
  <c r="B9" i="6"/>
  <c r="K9" i="6"/>
  <c r="C9" i="6"/>
  <c r="H7" i="5"/>
  <c r="H8" i="5"/>
  <c r="D5" i="7" l="1"/>
  <c r="D4" i="7"/>
  <c r="T22" i="2"/>
  <c r="C40" i="7" l="1"/>
  <c r="C38" i="7"/>
  <c r="I36" i="7"/>
  <c r="B36" i="7"/>
  <c r="E35" i="7"/>
  <c r="E34" i="7"/>
  <c r="G35" i="7"/>
  <c r="E40" i="7"/>
  <c r="D40" i="7"/>
  <c r="F35" i="7"/>
  <c r="F41" i="7"/>
  <c r="I40" i="7"/>
  <c r="B40" i="7"/>
  <c r="F39" i="7"/>
  <c r="I38" i="7"/>
  <c r="B38" i="7"/>
  <c r="F37" i="7"/>
  <c r="H36" i="7"/>
  <c r="D35" i="7"/>
  <c r="F34" i="7"/>
  <c r="B37" i="7"/>
  <c r="H41" i="7"/>
  <c r="D36" i="7"/>
  <c r="G41" i="7"/>
  <c r="G34" i="7"/>
  <c r="E41" i="7"/>
  <c r="H40" i="7"/>
  <c r="E39" i="7"/>
  <c r="H38" i="7"/>
  <c r="E37" i="7"/>
  <c r="G36" i="7"/>
  <c r="C35" i="7"/>
  <c r="E36" i="7"/>
  <c r="E38" i="7"/>
  <c r="B35" i="7"/>
  <c r="G39" i="7"/>
  <c r="D41" i="7"/>
  <c r="G40" i="7"/>
  <c r="D39" i="7"/>
  <c r="G38" i="7"/>
  <c r="D37" i="7"/>
  <c r="I35" i="7"/>
  <c r="D34" i="7"/>
  <c r="B39" i="7"/>
  <c r="H37" i="7"/>
  <c r="D38" i="7"/>
  <c r="C41" i="7"/>
  <c r="C39" i="7"/>
  <c r="C37" i="7"/>
  <c r="F36" i="7"/>
  <c r="H35" i="7"/>
  <c r="C34" i="7"/>
  <c r="F38" i="7"/>
  <c r="B34" i="7"/>
  <c r="H39" i="7"/>
  <c r="H34" i="7"/>
  <c r="C36" i="7"/>
  <c r="I41" i="7"/>
  <c r="B41" i="7"/>
  <c r="F40" i="7"/>
  <c r="I39" i="7"/>
  <c r="I37" i="7"/>
  <c r="I34" i="7"/>
  <c r="G37" i="7"/>
  <c r="L46" i="7"/>
  <c r="I52" i="7"/>
  <c r="B52" i="7"/>
  <c r="F51" i="7"/>
  <c r="I50" i="7"/>
  <c r="B50" i="7"/>
  <c r="F49" i="7"/>
  <c r="H48" i="7"/>
  <c r="D47" i="7"/>
  <c r="C45" i="7"/>
  <c r="E51" i="7"/>
  <c r="H50" i="7"/>
  <c r="E49" i="7"/>
  <c r="C47" i="7"/>
  <c r="F46" i="7"/>
  <c r="B45" i="7"/>
  <c r="D50" i="7"/>
  <c r="H46" i="7"/>
  <c r="G46" i="7"/>
  <c r="H52" i="7"/>
  <c r="G48" i="7"/>
  <c r="I45" i="7"/>
  <c r="I48" i="7"/>
  <c r="G52" i="7"/>
  <c r="D51" i="7"/>
  <c r="G50" i="7"/>
  <c r="D49" i="7"/>
  <c r="I47" i="7"/>
  <c r="B47" i="7"/>
  <c r="E46" i="7"/>
  <c r="H45" i="7"/>
  <c r="H51" i="7"/>
  <c r="D48" i="7"/>
  <c r="B46" i="7"/>
  <c r="G49" i="7"/>
  <c r="C52" i="7"/>
  <c r="E47" i="7"/>
  <c r="C51" i="7"/>
  <c r="C49" i="7"/>
  <c r="F48" i="7"/>
  <c r="H47" i="7"/>
  <c r="D46" i="7"/>
  <c r="G45" i="7"/>
  <c r="E52" i="7"/>
  <c r="I46" i="7"/>
  <c r="C48" i="7"/>
  <c r="E45" i="7"/>
  <c r="C50" i="7"/>
  <c r="D45" i="7"/>
  <c r="F52" i="7"/>
  <c r="I51" i="7"/>
  <c r="B51" i="7"/>
  <c r="F50" i="7"/>
  <c r="I49" i="7"/>
  <c r="B49" i="7"/>
  <c r="E48" i="7"/>
  <c r="G47" i="7"/>
  <c r="C46" i="7"/>
  <c r="H49" i="7"/>
  <c r="F45" i="7"/>
  <c r="G51" i="7"/>
  <c r="E50" i="7"/>
  <c r="D52" i="7"/>
  <c r="F47" i="7"/>
  <c r="B48" i="7"/>
  <c r="L36" i="7"/>
  <c r="L48" i="7"/>
  <c r="L47" i="7"/>
  <c r="L35" i="7"/>
  <c r="L34" i="7"/>
  <c r="T24" i="2"/>
  <c r="T25" i="2" s="1"/>
  <c r="B28" i="2" l="1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B30" i="6" l="1"/>
  <c r="C2" i="6"/>
  <c r="D2" i="6" s="1"/>
  <c r="D30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30" i="6" l="1"/>
  <c r="C30" i="2"/>
  <c r="C31" i="2" s="1"/>
  <c r="D3" i="7" s="1"/>
  <c r="E2" i="6"/>
  <c r="E30" i="6" s="1"/>
  <c r="D29" i="6"/>
  <c r="B29" i="6"/>
  <c r="C29" i="6"/>
  <c r="F2" i="6" l="1"/>
  <c r="F30" i="6" s="1"/>
  <c r="E29" i="6"/>
  <c r="G2" i="6" l="1"/>
  <c r="G30" i="6" s="1"/>
  <c r="C31" i="6" s="1"/>
  <c r="D2" i="7" s="1"/>
  <c r="D6" i="7" s="1"/>
  <c r="F29" i="6"/>
  <c r="K25" i="7" l="1"/>
  <c r="J30" i="7"/>
  <c r="E25" i="7"/>
  <c r="I28" i="7"/>
  <c r="C29" i="7"/>
  <c r="H28" i="7"/>
  <c r="C26" i="7"/>
  <c r="D24" i="7"/>
  <c r="D26" i="7"/>
  <c r="I26" i="7"/>
  <c r="H24" i="7"/>
  <c r="L15" i="7"/>
  <c r="I19" i="7"/>
  <c r="D12" i="7"/>
  <c r="D19" i="7"/>
  <c r="K13" i="7"/>
  <c r="I17" i="7"/>
  <c r="L16" i="7"/>
  <c r="C17" i="7"/>
  <c r="G15" i="7"/>
  <c r="L13" i="7"/>
  <c r="J18" i="7"/>
  <c r="J25" i="7"/>
  <c r="D25" i="7"/>
  <c r="I30" i="7"/>
  <c r="B28" i="7"/>
  <c r="I24" i="7"/>
  <c r="F14" i="7"/>
  <c r="J17" i="7"/>
  <c r="F17" i="7"/>
  <c r="J16" i="7"/>
  <c r="L29" i="7"/>
  <c r="F24" i="7"/>
  <c r="E30" i="7"/>
  <c r="H18" i="7"/>
  <c r="G16" i="7"/>
  <c r="L12" i="7"/>
  <c r="C14" i="7"/>
  <c r="J27" i="7"/>
  <c r="F27" i="7"/>
  <c r="G23" i="7"/>
  <c r="E23" i="7"/>
  <c r="K15" i="7"/>
  <c r="K18" i="7"/>
  <c r="F19" i="7"/>
  <c r="F30" i="7"/>
  <c r="D30" i="7"/>
  <c r="E27" i="7"/>
  <c r="K16" i="7"/>
  <c r="G17" i="7"/>
  <c r="J26" i="7"/>
  <c r="G30" i="7"/>
  <c r="F28" i="7"/>
  <c r="G27" i="7"/>
  <c r="C13" i="7"/>
  <c r="B19" i="7"/>
  <c r="K14" i="7"/>
  <c r="K30" i="7"/>
  <c r="K27" i="7"/>
  <c r="J29" i="7"/>
  <c r="C28" i="7"/>
  <c r="D27" i="7"/>
  <c r="G25" i="7"/>
  <c r="L23" i="7"/>
  <c r="F26" i="7"/>
  <c r="L25" i="7"/>
  <c r="B25" i="7"/>
  <c r="F23" i="7"/>
  <c r="B12" i="7"/>
  <c r="E15" i="7"/>
  <c r="B17" i="7"/>
  <c r="C18" i="7"/>
  <c r="G18" i="7"/>
  <c r="D13" i="7"/>
  <c r="I15" i="7"/>
  <c r="E16" i="7"/>
  <c r="J14" i="7"/>
  <c r="J15" i="7"/>
  <c r="C16" i="7"/>
  <c r="K12" i="7"/>
  <c r="J13" i="7"/>
  <c r="C23" i="7"/>
  <c r="E19" i="7"/>
  <c r="B13" i="7"/>
  <c r="I18" i="7"/>
  <c r="J23" i="7"/>
  <c r="C24" i="7"/>
  <c r="H12" i="7"/>
  <c r="F16" i="7"/>
  <c r="H26" i="7"/>
  <c r="F25" i="7"/>
  <c r="H27" i="7"/>
  <c r="G19" i="7"/>
  <c r="H19" i="7"/>
  <c r="L18" i="7"/>
  <c r="D23" i="7"/>
  <c r="E17" i="7"/>
  <c r="E18" i="7"/>
  <c r="H13" i="7"/>
  <c r="H25" i="7"/>
  <c r="H23" i="7"/>
  <c r="H16" i="7"/>
  <c r="G14" i="7"/>
  <c r="C19" i="7"/>
  <c r="L28" i="7"/>
  <c r="K26" i="7"/>
  <c r="K24" i="7"/>
  <c r="E29" i="7"/>
  <c r="G29" i="7"/>
  <c r="I23" i="7"/>
  <c r="D28" i="7"/>
  <c r="B24" i="7"/>
  <c r="I27" i="7"/>
  <c r="L19" i="7"/>
  <c r="H14" i="7"/>
  <c r="B15" i="7"/>
  <c r="K17" i="7"/>
  <c r="G12" i="7"/>
  <c r="I13" i="7"/>
  <c r="H15" i="7"/>
  <c r="C12" i="7"/>
  <c r="J12" i="7"/>
  <c r="K23" i="7"/>
  <c r="E24" i="7"/>
  <c r="B30" i="7"/>
  <c r="G28" i="7"/>
  <c r="E13" i="7"/>
  <c r="L14" i="7"/>
  <c r="F18" i="7"/>
  <c r="L27" i="7"/>
  <c r="G26" i="7"/>
  <c r="B23" i="7"/>
  <c r="I29" i="7"/>
  <c r="D29" i="7"/>
  <c r="E14" i="7"/>
  <c r="F12" i="7"/>
  <c r="F15" i="7"/>
  <c r="K29" i="7"/>
  <c r="H29" i="7"/>
  <c r="F29" i="7"/>
  <c r="L17" i="7"/>
  <c r="E12" i="7"/>
  <c r="L26" i="7"/>
  <c r="C25" i="7"/>
  <c r="C27" i="7"/>
  <c r="H30" i="7"/>
  <c r="C15" i="7"/>
  <c r="D15" i="7"/>
  <c r="J19" i="7"/>
  <c r="J24" i="7"/>
  <c r="E26" i="7"/>
  <c r="E28" i="7"/>
  <c r="G24" i="7"/>
  <c r="D14" i="7"/>
  <c r="H17" i="7"/>
  <c r="D18" i="7"/>
  <c r="K28" i="7"/>
  <c r="D17" i="7"/>
  <c r="I25" i="7"/>
  <c r="L24" i="7"/>
  <c r="B18" i="7"/>
  <c r="I14" i="7"/>
  <c r="J28" i="7"/>
  <c r="C30" i="7"/>
  <c r="B16" i="7"/>
  <c r="I12" i="7"/>
  <c r="L30" i="7"/>
  <c r="B27" i="7"/>
  <c r="F13" i="7"/>
  <c r="D16" i="7"/>
  <c r="I16" i="7"/>
  <c r="B29" i="7"/>
  <c r="B26" i="7"/>
  <c r="K19" i="7"/>
  <c r="G13" i="7"/>
  <c r="B14" i="7"/>
  <c r="H2" i="6"/>
  <c r="H30" i="6" s="1"/>
  <c r="G29" i="6"/>
  <c r="I2" i="6" l="1"/>
  <c r="I30" i="6" s="1"/>
  <c r="H29" i="6"/>
  <c r="J2" i="6" l="1"/>
  <c r="J30" i="6" s="1"/>
  <c r="I29" i="6"/>
  <c r="K2" i="6" l="1"/>
  <c r="K30" i="6" s="1"/>
  <c r="J29" i="6"/>
  <c r="L2" i="6" l="1"/>
  <c r="K29" i="6"/>
  <c r="L29" i="6" l="1"/>
  <c r="L30" i="6"/>
</calcChain>
</file>

<file path=xl/sharedStrings.xml><?xml version="1.0" encoding="utf-8"?>
<sst xmlns="http://schemas.openxmlformats.org/spreadsheetml/2006/main" count="160" uniqueCount="97">
  <si>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</si>
  <si>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</si>
  <si>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</si>
  <si>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</si>
  <si>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</si>
  <si>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</si>
  <si>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</si>
  <si>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</si>
  <si>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</si>
  <si>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</si>
  <si>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</si>
  <si>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</si>
  <si>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</si>
  <si>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</si>
  <si>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</si>
  <si>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</si>
  <si>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</si>
  <si>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</si>
  <si>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</si>
  <si>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</si>
  <si>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</si>
  <si>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</si>
  <si>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</si>
  <si>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</si>
  <si>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</si>
  <si>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</si>
  <si>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</si>
  <si>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</si>
  <si>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</si>
  <si>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</si>
  <si>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</si>
  <si>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</si>
  <si>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</si>
  <si>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</si>
  <si>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</si>
  <si>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</si>
  <si>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</si>
  <si>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</si>
  <si>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</si>
  <si>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</si>
  <si>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</si>
  <si>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</si>
  <si>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</si>
  <si>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</si>
  <si>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</si>
  <si>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</si>
  <si>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</si>
  <si>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</si>
  <si>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</si>
  <si>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</si>
  <si>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</si>
  <si>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</si>
  <si>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</si>
  <si>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</si>
  <si>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</si>
  <si>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</si>
  <si>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</si>
  <si>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</si>
  <si>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</si>
  <si>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</si>
  <si>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</si>
  <si>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</si>
  <si>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</si>
  <si>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</si>
  <si>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</si>
  <si>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</si>
  <si>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</si>
  <si>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</si>
  <si>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</si>
  <si>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</si>
  <si>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</si>
  <si>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</si>
  <si>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</si>
  <si>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</si>
  <si>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</si>
  <si>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</si>
  <si>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</si>
  <si>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</si>
  <si>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</si>
  <si>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</si>
  <si>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</si>
  <si>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</si>
  <si>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</si>
  <si>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</si>
  <si>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</si>
  <si>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</si>
  <si>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</si>
  <si>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</si>
  <si>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</si>
  <si>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</si>
  <si>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</si>
  <si>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</si>
  <si>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</si>
  <si>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</si>
  <si>
    <t>noets</t>
  </si>
  <si>
    <t>notes</t>
  </si>
  <si>
    <t>I've added a row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</si>
</sst>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curve'!$B$8:$M$8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plus>
            <c:minus>
              <c:numRef>
                <c:f>'Particle standard curve'!$B$8:$M$8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curve'!$B$2:$M$2</c:f>
              <c:numCache>
                <c:formatCode>0.00E+00</c:formatCode>
                <c:ptCount val="12"/>
                <c:pt idx="0">
                  <c:v>450000000</c:v>
                </c:pt>
                <c:pt idx="1">
                  <c:v>225000000</c:v>
                </c:pt>
                <c:pt idx="2">
                  <c:v>112500000</c:v>
                </c:pt>
                <c:pt idx="3">
                  <c:v>56250000</c:v>
                </c:pt>
                <c:pt idx="4">
                  <c:v>28125000</c:v>
                </c:pt>
                <c:pt idx="5">
                  <c:v>14062500</c:v>
                </c:pt>
                <c:pt idx="6">
                  <c:v>7031250</c:v>
                </c:pt>
                <c:pt idx="7">
                  <c:v>3515625</c:v>
                </c:pt>
                <c:pt idx="8">
                  <c:v>1757812.5</c:v>
                </c:pt>
                <c:pt idx="9">
                  <c:v>878906.25</c:v>
                </c:pt>
                <c:pt idx="10">
                  <c:v>439453.125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curve'!$B$7:$M$7</c:f>
              <c:numCache>
                <c:formatCode>0.000E+00</c:formatCode>
                <c:ptCount val="12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  <c:pt idx="11">
                  <c:v>3.925E-2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curve'!$B$2:$L$2</c:f>
              <c:numCache>
                <c:formatCode>0.00E+00</c:formatCode>
                <c:ptCount val="11"/>
                <c:pt idx="0">
                  <c:v>450000000</c:v>
                </c:pt>
                <c:pt idx="1">
                  <c:v>225000000</c:v>
                </c:pt>
                <c:pt idx="2">
                  <c:v>112500000</c:v>
                </c:pt>
                <c:pt idx="3">
                  <c:v>56250000</c:v>
                </c:pt>
                <c:pt idx="4">
                  <c:v>28125000</c:v>
                </c:pt>
                <c:pt idx="5">
                  <c:v>14062500</c:v>
                </c:pt>
                <c:pt idx="6">
                  <c:v>7031250</c:v>
                </c:pt>
                <c:pt idx="7">
                  <c:v>3515625</c:v>
                </c:pt>
                <c:pt idx="8">
                  <c:v>1757812.5</c:v>
                </c:pt>
                <c:pt idx="9">
                  <c:v>878906.25</c:v>
                </c:pt>
                <c:pt idx="10">
                  <c:v>439453.125</c:v>
                </c:pt>
              </c:numCache>
            </c:numRef>
          </c:xVal>
          <c:yVal>
            <c:numRef>
              <c:f>'Particle standard curve'!$B$7:$L$7</c:f>
              <c:numCache>
                <c:formatCode>0.000E+00</c:formatCode>
                <c:ptCount val="11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152400</xdr:rowOff>
    </xdr:from>
    <xdr:to>
      <xdr:col>6</xdr:col>
      <xdr:colOff>584200</xdr:colOff>
      <xdr:row>25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11</xdr:row>
      <xdr:rowOff>0</xdr:rowOff>
    </xdr:from>
    <xdr:to>
      <xdr:col>14</xdr:col>
      <xdr:colOff>571500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tabSelected="1" workbookViewId="0"/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96</v>
      </c>
    </row>
    <row r="2" spans="1:17" x14ac:dyDescent="0.2">
      <c r="A2" t="s">
        <v>23</v>
      </c>
      <c r="B2" s="16">
        <f>T31</f>
        <v>450000000</v>
      </c>
      <c r="C2" s="16">
        <f>B2/2</f>
        <v>225000000</v>
      </c>
      <c r="D2" s="16">
        <f>C2/2</f>
        <v>112500000</v>
      </c>
      <c r="E2" s="16">
        <f>D2/2</f>
        <v>56250000</v>
      </c>
      <c r="F2" s="16">
        <f t="shared" ref="F2:L2" si="0">E2/2</f>
        <v>28125000</v>
      </c>
      <c r="G2" s="16">
        <f t="shared" si="0"/>
        <v>14062500</v>
      </c>
      <c r="H2" s="16">
        <f t="shared" si="0"/>
        <v>7031250</v>
      </c>
      <c r="I2" s="16">
        <f t="shared" si="0"/>
        <v>3515625</v>
      </c>
      <c r="J2" s="16">
        <f t="shared" si="0"/>
        <v>1757812.5</v>
      </c>
      <c r="K2" s="16">
        <f t="shared" si="0"/>
        <v>878906.25</v>
      </c>
      <c r="L2" s="16">
        <f t="shared" si="0"/>
        <v>439453.125</v>
      </c>
      <c r="M2" s="2">
        <v>0</v>
      </c>
    </row>
    <row r="3" spans="1:17" x14ac:dyDescent="0.2">
      <c r="A3" t="s">
        <v>0</v>
      </c>
      <c r="B3" s="17">
        <v>1.1639999999999999</v>
      </c>
      <c r="C3" s="17">
        <v>0.53</v>
      </c>
      <c r="D3" s="17">
        <v>0.308</v>
      </c>
      <c r="E3" s="17">
        <v>0.14899999999999999</v>
      </c>
      <c r="F3" s="17">
        <v>8.1000000000000003E-2</v>
      </c>
      <c r="G3" s="17">
        <v>9.1999999999999998E-2</v>
      </c>
      <c r="H3" s="17">
        <v>5.1999999999999998E-2</v>
      </c>
      <c r="I3" s="17">
        <v>4.2000000000000003E-2</v>
      </c>
      <c r="J3" s="17">
        <v>4.5999999999999999E-2</v>
      </c>
      <c r="K3" s="17">
        <v>4.2000000000000003E-2</v>
      </c>
      <c r="L3" s="17">
        <v>3.7999999999999999E-2</v>
      </c>
      <c r="M3" s="17">
        <v>0.04</v>
      </c>
      <c r="O3" s="8" t="s">
        <v>24</v>
      </c>
    </row>
    <row r="4" spans="1:17" x14ac:dyDescent="0.2">
      <c r="A4" t="s">
        <v>1</v>
      </c>
      <c r="B4" s="17">
        <v>0.95199999999999996</v>
      </c>
      <c r="C4" s="17">
        <v>0.55300000000000005</v>
      </c>
      <c r="D4" s="17">
        <v>0.27500000000000002</v>
      </c>
      <c r="E4" s="17">
        <v>0.151</v>
      </c>
      <c r="F4" s="17">
        <v>8.1000000000000003E-2</v>
      </c>
      <c r="G4" s="17">
        <v>5.8000000000000003E-2</v>
      </c>
      <c r="H4" s="17">
        <v>0.05</v>
      </c>
      <c r="I4" s="17">
        <v>5.3999999999999999E-2</v>
      </c>
      <c r="J4" s="17">
        <v>0.04</v>
      </c>
      <c r="K4" s="17">
        <v>5.2999999999999999E-2</v>
      </c>
      <c r="L4" s="17">
        <v>3.6999999999999998E-2</v>
      </c>
      <c r="M4" s="17">
        <v>3.6999999999999998E-2</v>
      </c>
      <c r="O4" s="8" t="s">
        <v>5</v>
      </c>
    </row>
    <row r="5" spans="1:17" x14ac:dyDescent="0.2">
      <c r="A5" t="s">
        <v>2</v>
      </c>
      <c r="B5" s="17">
        <v>0.95599999999999996</v>
      </c>
      <c r="C5" s="17">
        <v>0.39100000000000001</v>
      </c>
      <c r="D5" s="17">
        <v>0.32600000000000001</v>
      </c>
      <c r="E5" s="17">
        <v>0.16700000000000001</v>
      </c>
      <c r="F5" s="17">
        <v>0.08</v>
      </c>
      <c r="G5" s="17">
        <v>5.8000000000000003E-2</v>
      </c>
      <c r="H5" s="17">
        <v>4.5999999999999999E-2</v>
      </c>
      <c r="I5" s="17">
        <v>4.2000000000000003E-2</v>
      </c>
      <c r="J5" s="17">
        <v>5.3999999999999999E-2</v>
      </c>
      <c r="K5" s="17">
        <v>3.9E-2</v>
      </c>
      <c r="L5" s="17">
        <v>4.1000000000000002E-2</v>
      </c>
      <c r="M5" s="17">
        <v>0.04</v>
      </c>
    </row>
    <row r="6" spans="1:17" x14ac:dyDescent="0.2">
      <c r="A6" t="s">
        <v>3</v>
      </c>
      <c r="B6" s="17">
        <v>1.052</v>
      </c>
      <c r="C6" s="17">
        <v>0.43</v>
      </c>
      <c r="D6" s="17">
        <v>0.23100000000000001</v>
      </c>
      <c r="E6" s="17">
        <v>0.129</v>
      </c>
      <c r="F6" s="17">
        <v>0.157</v>
      </c>
      <c r="G6" s="17">
        <v>6.3E-2</v>
      </c>
      <c r="H6" s="17">
        <v>0.05</v>
      </c>
      <c r="I6" s="17">
        <v>4.2000000000000003E-2</v>
      </c>
      <c r="J6" s="17">
        <v>4.4999999999999998E-2</v>
      </c>
      <c r="K6" s="17">
        <v>0.04</v>
      </c>
      <c r="L6" s="17">
        <v>3.9E-2</v>
      </c>
      <c r="M6" s="17">
        <v>0.04</v>
      </c>
      <c r="O6" s="4"/>
    </row>
    <row r="7" spans="1:17" x14ac:dyDescent="0.2">
      <c r="A7" t="s">
        <v>4</v>
      </c>
      <c r="B7" s="24">
        <f t="shared" ref="B7:M7" si="1">IF(COUNTA(B3:B6)&gt;0,AVERAGE(B3:B6),"---")</f>
        <v>1.0309999999999999</v>
      </c>
      <c r="C7" s="24">
        <f t="shared" si="1"/>
        <v>0.47600000000000003</v>
      </c>
      <c r="D7" s="24">
        <f t="shared" si="1"/>
        <v>0.28500000000000003</v>
      </c>
      <c r="E7" s="24">
        <f t="shared" si="1"/>
        <v>0.14899999999999999</v>
      </c>
      <c r="F7" s="24">
        <f t="shared" si="1"/>
        <v>9.9750000000000005E-2</v>
      </c>
      <c r="G7" s="24">
        <f t="shared" si="1"/>
        <v>6.7750000000000005E-2</v>
      </c>
      <c r="H7" s="24">
        <f t="shared" si="1"/>
        <v>4.9500000000000002E-2</v>
      </c>
      <c r="I7" s="24">
        <f t="shared" si="1"/>
        <v>4.5000000000000005E-2</v>
      </c>
      <c r="J7" s="24">
        <f t="shared" si="1"/>
        <v>4.6249999999999999E-2</v>
      </c>
      <c r="K7" s="24">
        <f t="shared" si="1"/>
        <v>4.3500000000000004E-2</v>
      </c>
      <c r="L7" s="24">
        <f t="shared" si="1"/>
        <v>3.875E-2</v>
      </c>
      <c r="M7" s="24">
        <f t="shared" si="1"/>
        <v>3.925E-2</v>
      </c>
    </row>
    <row r="8" spans="1:17" x14ac:dyDescent="0.2">
      <c r="A8" t="s">
        <v>7</v>
      </c>
      <c r="B8" s="24">
        <f t="shared" ref="B8:M8" si="2">IF(COUNTA(B3:B6)&gt;0,STDEV(B3:B6),"---")</f>
        <v>9.9993333111096289E-2</v>
      </c>
      <c r="C8" s="24">
        <f t="shared" si="2"/>
        <v>7.7858846639286994E-2</v>
      </c>
      <c r="D8" s="24">
        <f t="shared" si="2"/>
        <v>4.1737273509418221E-2</v>
      </c>
      <c r="E8" s="24">
        <f t="shared" si="2"/>
        <v>1.5577761927397233E-2</v>
      </c>
      <c r="F8" s="24">
        <f t="shared" si="2"/>
        <v>3.8169577763798576E-2</v>
      </c>
      <c r="G8" s="24">
        <f t="shared" si="2"/>
        <v>1.6337584480781313E-2</v>
      </c>
      <c r="H8" s="24">
        <f t="shared" si="2"/>
        <v>2.5166114784235831E-3</v>
      </c>
      <c r="I8" s="24">
        <f t="shared" si="2"/>
        <v>5.9999999999999984E-3</v>
      </c>
      <c r="J8" s="24">
        <f t="shared" si="2"/>
        <v>5.795112883571236E-3</v>
      </c>
      <c r="K8" s="24">
        <f t="shared" si="2"/>
        <v>6.4549722436790273E-3</v>
      </c>
      <c r="L8" s="24">
        <f t="shared" si="2"/>
        <v>1.7078251276599345E-3</v>
      </c>
      <c r="M8" s="24">
        <f t="shared" si="2"/>
        <v>1.5000000000000013E-3</v>
      </c>
    </row>
    <row r="9" spans="1:17" x14ac:dyDescent="0.2">
      <c r="A9" t="s">
        <v>38</v>
      </c>
      <c r="B9" s="24">
        <f t="shared" ref="B9:L9" si="3">IF(AND(ISNUMBER(B7),ISNUMBER($M7)),B7-$M7,"---")</f>
        <v>0.99174999999999991</v>
      </c>
      <c r="C9" s="24">
        <f t="shared" si="3"/>
        <v>0.43675000000000003</v>
      </c>
      <c r="D9" s="24">
        <f t="shared" si="3"/>
        <v>0.24575000000000002</v>
      </c>
      <c r="E9" s="24">
        <f t="shared" si="3"/>
        <v>0.10974999999999999</v>
      </c>
      <c r="F9" s="24">
        <f t="shared" si="3"/>
        <v>6.0500000000000005E-2</v>
      </c>
      <c r="G9" s="24">
        <f t="shared" si="3"/>
        <v>2.8500000000000004E-2</v>
      </c>
      <c r="H9" s="24">
        <f t="shared" si="3"/>
        <v>1.0250000000000002E-2</v>
      </c>
      <c r="I9" s="24">
        <f t="shared" si="3"/>
        <v>5.7500000000000051E-3</v>
      </c>
      <c r="J9" s="24">
        <f t="shared" si="3"/>
        <v>6.9999999999999993E-3</v>
      </c>
      <c r="K9" s="24">
        <f t="shared" si="3"/>
        <v>4.2500000000000038E-3</v>
      </c>
      <c r="L9" s="24">
        <f t="shared" si="3"/>
        <v>-5.0000000000000044E-4</v>
      </c>
      <c r="M9" s="19"/>
    </row>
    <row r="13" spans="1:17" x14ac:dyDescent="0.2">
      <c r="Q13" s="8" t="s">
        <v>9</v>
      </c>
    </row>
    <row r="14" spans="1:17" x14ac:dyDescent="0.2">
      <c r="Q14" s="8" t="s">
        <v>10</v>
      </c>
    </row>
    <row r="15" spans="1:17" x14ac:dyDescent="0.2">
      <c r="Q15" s="8" t="s">
        <v>11</v>
      </c>
    </row>
    <row r="16" spans="1:17" x14ac:dyDescent="0.2">
      <c r="Q16" s="8" t="s">
        <v>12</v>
      </c>
    </row>
    <row r="17" spans="1:21" x14ac:dyDescent="0.2">
      <c r="Q17" s="8" t="s">
        <v>13</v>
      </c>
    </row>
    <row r="21" spans="1:21" x14ac:dyDescent="0.2">
      <c r="R21" s="13" t="s">
        <v>35</v>
      </c>
    </row>
    <row r="22" spans="1:21" x14ac:dyDescent="0.2">
      <c r="R22" s="28" t="s">
        <v>58</v>
      </c>
    </row>
    <row r="23" spans="1:21" x14ac:dyDescent="0.2">
      <c r="R23" t="s">
        <v>34</v>
      </c>
      <c r="T23" s="3">
        <v>1200000000000</v>
      </c>
      <c r="U23" s="30" t="s">
        <v>59</v>
      </c>
    </row>
    <row r="24" spans="1:21" x14ac:dyDescent="0.2">
      <c r="R24" t="s">
        <v>36</v>
      </c>
      <c r="T24" s="29">
        <v>3</v>
      </c>
      <c r="U24" s="30" t="s">
        <v>59</v>
      </c>
    </row>
    <row r="25" spans="1:21" x14ac:dyDescent="0.2">
      <c r="R25" t="s">
        <v>60</v>
      </c>
      <c r="T25" s="3">
        <f>0.5*T24*T23</f>
        <v>1800000000000</v>
      </c>
      <c r="U25" s="30" t="s">
        <v>61</v>
      </c>
    </row>
    <row r="26" spans="1:21" x14ac:dyDescent="0.2">
      <c r="R26" t="s">
        <v>37</v>
      </c>
      <c r="T26">
        <v>40</v>
      </c>
      <c r="U26" s="30" t="s">
        <v>62</v>
      </c>
    </row>
    <row r="27" spans="1:21" x14ac:dyDescent="0.2">
      <c r="R27" t="s">
        <v>64</v>
      </c>
      <c r="T27" s="3">
        <f>T25/T26</f>
        <v>45000000000</v>
      </c>
      <c r="U27" s="30" t="s">
        <v>67</v>
      </c>
    </row>
    <row r="28" spans="1:21" x14ac:dyDescent="0.2">
      <c r="A28" t="s">
        <v>26</v>
      </c>
      <c r="R28" t="s">
        <v>63</v>
      </c>
      <c r="T28" s="20">
        <f>1/0.1</f>
        <v>10</v>
      </c>
      <c r="U28" s="30" t="s">
        <v>93</v>
      </c>
    </row>
    <row r="29" spans="1:21" x14ac:dyDescent="0.2">
      <c r="A29" s="5" t="s">
        <v>23</v>
      </c>
      <c r="B29" s="16">
        <f>B2</f>
        <v>450000000</v>
      </c>
      <c r="C29" s="16">
        <f t="shared" ref="C29:L29" si="4">C2</f>
        <v>225000000</v>
      </c>
      <c r="D29" s="16">
        <f t="shared" si="4"/>
        <v>112500000</v>
      </c>
      <c r="E29" s="16">
        <f t="shared" si="4"/>
        <v>56250000</v>
      </c>
      <c r="F29" s="16">
        <f t="shared" si="4"/>
        <v>28125000</v>
      </c>
      <c r="G29" s="16">
        <f t="shared" si="4"/>
        <v>14062500</v>
      </c>
      <c r="H29" s="16">
        <f t="shared" si="4"/>
        <v>7031250</v>
      </c>
      <c r="I29" s="16">
        <f t="shared" si="4"/>
        <v>3515625</v>
      </c>
      <c r="J29" s="16">
        <f t="shared" si="4"/>
        <v>1757812.5</v>
      </c>
      <c r="K29" s="16">
        <f t="shared" si="4"/>
        <v>878906.25</v>
      </c>
      <c r="L29" s="16">
        <f t="shared" si="4"/>
        <v>439453.125</v>
      </c>
      <c r="R29" t="s">
        <v>65</v>
      </c>
      <c r="T29" s="3">
        <f>T27/T28</f>
        <v>4500000000</v>
      </c>
      <c r="U29" s="30" t="s">
        <v>68</v>
      </c>
    </row>
    <row r="30" spans="1:21" x14ac:dyDescent="0.2">
      <c r="A30" t="s">
        <v>25</v>
      </c>
      <c r="B30" s="12">
        <f>IF(ISNUMBER(B9),B2/B9,"---")</f>
        <v>453743382.90899926</v>
      </c>
      <c r="C30" s="12">
        <f t="shared" ref="C30:L30" si="5">IF(ISNUMBER(C9),C2/C9,"---")</f>
        <v>515168860.9044075</v>
      </c>
      <c r="D30" s="12">
        <f t="shared" si="5"/>
        <v>457782299.08443534</v>
      </c>
      <c r="E30" s="12">
        <f t="shared" si="5"/>
        <v>512528473.80410028</v>
      </c>
      <c r="F30" s="12">
        <f t="shared" si="5"/>
        <v>464876033.0578512</v>
      </c>
      <c r="G30" s="12">
        <f t="shared" si="5"/>
        <v>493421052.63157886</v>
      </c>
      <c r="H30" s="12">
        <f t="shared" si="5"/>
        <v>685975609.75609744</v>
      </c>
      <c r="I30" s="12">
        <f t="shared" si="5"/>
        <v>611413043.47826028</v>
      </c>
      <c r="J30" s="12">
        <f t="shared" si="5"/>
        <v>251116071.42857146</v>
      </c>
      <c r="K30" s="12">
        <f t="shared" si="5"/>
        <v>206801470.58823511</v>
      </c>
      <c r="L30" s="12">
        <f t="shared" si="5"/>
        <v>-878906249.99999917</v>
      </c>
      <c r="R30" t="s">
        <v>45</v>
      </c>
      <c r="T30">
        <f>0.1</f>
        <v>0.1</v>
      </c>
      <c r="U30" s="30" t="s">
        <v>66</v>
      </c>
    </row>
    <row r="31" spans="1:21" x14ac:dyDescent="0.2">
      <c r="A31" t="s">
        <v>14</v>
      </c>
      <c r="B31" s="3"/>
      <c r="C31" s="12">
        <f>IF(COUNT(C30:G30)&gt;0,AVERAGE(C30:G30),"---")</f>
        <v>488755343.89647466</v>
      </c>
      <c r="D31" s="3"/>
      <c r="E31" s="3"/>
      <c r="F31" s="3"/>
      <c r="G31" s="3"/>
      <c r="H31" s="3"/>
      <c r="I31" s="3"/>
      <c r="J31" s="3"/>
      <c r="K31" s="3"/>
      <c r="L31" s="3"/>
      <c r="R31" t="s">
        <v>90</v>
      </c>
      <c r="T31" s="3">
        <f>T29*T30</f>
        <v>450000000</v>
      </c>
      <c r="U31" s="30" t="s">
        <v>69</v>
      </c>
    </row>
    <row r="32" spans="1:21" x14ac:dyDescent="0.2">
      <c r="B32" s="3"/>
      <c r="C32" s="11" t="s">
        <v>57</v>
      </c>
      <c r="D32" s="3"/>
      <c r="E32" s="3"/>
      <c r="F32" s="3"/>
      <c r="G32" s="3"/>
      <c r="H32" s="3"/>
      <c r="U32" s="30"/>
    </row>
    <row r="33" spans="2:21" x14ac:dyDescent="0.2">
      <c r="B33" s="3"/>
      <c r="C33" s="11" t="s">
        <v>18</v>
      </c>
      <c r="D33" s="3"/>
      <c r="E33" s="3"/>
      <c r="F33" s="3"/>
      <c r="G33" s="3"/>
      <c r="H33" s="3"/>
      <c r="T33" s="3"/>
      <c r="U33" s="30"/>
    </row>
    <row r="34" spans="2:21" x14ac:dyDescent="0.2">
      <c r="B34" s="3"/>
      <c r="C34" s="3"/>
      <c r="D34" s="3"/>
      <c r="E34" s="3"/>
      <c r="F34" s="3"/>
      <c r="G34" s="3"/>
      <c r="H34" s="3"/>
    </row>
    <row r="35" spans="2:21" x14ac:dyDescent="0.2">
      <c r="B35" s="3"/>
      <c r="D35" s="3"/>
      <c r="E35" s="3"/>
      <c r="F35" s="3"/>
      <c r="G35" s="3"/>
      <c r="H35" s="3"/>
    </row>
  </sheetData>
  <hyperlinks>
    <hyperlink ref="R22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>
        <v>122928</v>
      </c>
      <c r="C2" s="23">
        <v>65295</v>
      </c>
      <c r="D2" s="23">
        <v>31123</v>
      </c>
      <c r="E2" s="23">
        <v>16068</v>
      </c>
      <c r="F2" s="23">
        <v>8241</v>
      </c>
      <c r="G2" s="23">
        <v>4326</v>
      </c>
      <c r="H2" s="23">
        <v>2191</v>
      </c>
      <c r="I2" s="23">
        <v>985</v>
      </c>
      <c r="J2" s="23">
        <v>600</v>
      </c>
      <c r="K2" s="23">
        <v>335</v>
      </c>
      <c r="L2" s="23">
        <v>201</v>
      </c>
      <c r="M2" s="23">
        <v>43</v>
      </c>
      <c r="N2" t="s">
        <v>94</v>
      </c>
      <c r="O2" s="8" t="s">
        <v>6</v>
      </c>
    </row>
    <row r="3" spans="1:17" x14ac:dyDescent="0.2">
      <c r="A3" t="s">
        <v>1</v>
      </c>
      <c r="B3" s="23">
        <v>131616</v>
      </c>
      <c r="C3" s="23">
        <v>61824</v>
      </c>
      <c r="D3" s="23">
        <v>32245</v>
      </c>
      <c r="E3" s="23">
        <v>15485</v>
      </c>
      <c r="F3" s="23">
        <v>8760</v>
      </c>
      <c r="G3" s="23">
        <v>4411</v>
      </c>
      <c r="H3" s="23">
        <v>2271</v>
      </c>
      <c r="I3" s="23">
        <v>1170</v>
      </c>
      <c r="J3" s="23">
        <v>612</v>
      </c>
      <c r="K3" s="23">
        <v>327</v>
      </c>
      <c r="L3" s="23">
        <v>184</v>
      </c>
      <c r="M3" s="23">
        <v>34</v>
      </c>
      <c r="N3" t="s">
        <v>95</v>
      </c>
      <c r="O3" s="8" t="s">
        <v>5</v>
      </c>
    </row>
    <row r="4" spans="1:17" x14ac:dyDescent="0.2">
      <c r="A4" t="s">
        <v>2</v>
      </c>
      <c r="B4" s="23">
        <v>126914</v>
      </c>
      <c r="C4" s="23">
        <v>58760</v>
      </c>
      <c r="D4" s="23">
        <v>30422</v>
      </c>
      <c r="E4" s="23">
        <v>17613</v>
      </c>
      <c r="F4" s="23">
        <v>7925</v>
      </c>
      <c r="G4" s="23">
        <v>4124</v>
      </c>
      <c r="H4" s="23">
        <v>2093</v>
      </c>
      <c r="I4" s="23">
        <v>1012</v>
      </c>
      <c r="J4" s="23">
        <v>587</v>
      </c>
      <c r="K4" s="23">
        <v>303</v>
      </c>
      <c r="L4" s="23">
        <v>162</v>
      </c>
      <c r="M4" s="23">
        <v>37</v>
      </c>
    </row>
    <row r="5" spans="1:17" x14ac:dyDescent="0.2">
      <c r="A5" t="s">
        <v>3</v>
      </c>
      <c r="B5" s="23">
        <v>118013</v>
      </c>
      <c r="C5" s="23">
        <v>57072</v>
      </c>
      <c r="D5" s="23">
        <v>28322</v>
      </c>
      <c r="E5" s="23">
        <v>15901</v>
      </c>
      <c r="F5" s="23">
        <v>8252</v>
      </c>
      <c r="G5" s="23">
        <v>4307</v>
      </c>
      <c r="H5" s="23">
        <v>2169</v>
      </c>
      <c r="I5" s="23">
        <v>1006</v>
      </c>
      <c r="J5" s="23">
        <v>549</v>
      </c>
      <c r="K5" s="23">
        <v>296</v>
      </c>
      <c r="L5" s="23">
        <v>168</v>
      </c>
      <c r="M5" s="23">
        <v>30</v>
      </c>
      <c r="O5" s="4" t="s">
        <v>8</v>
      </c>
    </row>
    <row r="6" spans="1:17" x14ac:dyDescent="0.2">
      <c r="A6" t="s">
        <v>4</v>
      </c>
      <c r="B6" s="24">
        <f>IF(COUNTA(B2:B5)&gt;0,AVERAGE(B2:B5),"---")</f>
        <v>124867.75</v>
      </c>
      <c r="C6" s="24">
        <f>IF(COUNTA(C2:C5)&gt;0,AVERAGE(C2:C5),"---")</f>
        <v>60737.75</v>
      </c>
      <c r="D6" s="24">
        <f>IF(COUNTA(D2:D5)&gt;0,AVERAGE(D2:D5),"---")</f>
        <v>30528</v>
      </c>
      <c r="E6" s="24">
        <f t="shared" ref="E6:M6" si="1">IF(COUNTA(E2:E5)&gt;0,AVERAGE(E2:E5),"---")</f>
        <v>16266.75</v>
      </c>
      <c r="F6" s="24">
        <f t="shared" si="1"/>
        <v>8294.5</v>
      </c>
      <c r="G6" s="24">
        <f t="shared" si="1"/>
        <v>4292</v>
      </c>
      <c r="H6" s="24">
        <f t="shared" si="1"/>
        <v>2181</v>
      </c>
      <c r="I6" s="24">
        <f t="shared" si="1"/>
        <v>1043.25</v>
      </c>
      <c r="J6" s="24">
        <f t="shared" si="1"/>
        <v>587</v>
      </c>
      <c r="K6" s="24">
        <f t="shared" si="1"/>
        <v>315.25</v>
      </c>
      <c r="L6" s="24">
        <f t="shared" si="1"/>
        <v>178.75</v>
      </c>
      <c r="M6" s="24">
        <f t="shared" si="1"/>
        <v>36</v>
      </c>
    </row>
    <row r="7" spans="1:17" x14ac:dyDescent="0.2">
      <c r="A7" t="s">
        <v>7</v>
      </c>
      <c r="B7" s="24">
        <f>IF(COUNTA(B2:B5)&gt;0,STDEV(B2:B5),"---")</f>
        <v>5787.2343639542823</v>
      </c>
      <c r="C7" s="24">
        <f t="shared" ref="C7:M7" si="2">IF(COUNTA(C2:C5)&gt;0,STDEV(C2:C5),"---")</f>
        <v>3619.2855993966546</v>
      </c>
      <c r="D7" s="24">
        <f t="shared" si="2"/>
        <v>1651.240543752888</v>
      </c>
      <c r="E7" s="24">
        <f t="shared" si="2"/>
        <v>930.375685767135</v>
      </c>
      <c r="F7" s="24">
        <f t="shared" si="2"/>
        <v>345.39301286119456</v>
      </c>
      <c r="G7" s="24">
        <f t="shared" si="2"/>
        <v>120.78355296424537</v>
      </c>
      <c r="H7" s="24">
        <f t="shared" si="2"/>
        <v>73.230230551778732</v>
      </c>
      <c r="I7" s="24">
        <f t="shared" si="2"/>
        <v>85.289213854976992</v>
      </c>
      <c r="J7" s="24">
        <f t="shared" si="2"/>
        <v>27.313000567495326</v>
      </c>
      <c r="K7" s="24">
        <f t="shared" si="2"/>
        <v>18.697147732564272</v>
      </c>
      <c r="L7" s="24">
        <f t="shared" si="2"/>
        <v>17.5</v>
      </c>
      <c r="M7" s="24">
        <f t="shared" si="2"/>
        <v>5.4772255750516612</v>
      </c>
    </row>
    <row r="8" spans="1:17" x14ac:dyDescent="0.2">
      <c r="A8" t="s">
        <v>38</v>
      </c>
      <c r="B8" s="24">
        <f>IF(AND(ISNUMBER(B6),ISNUMBER($M6)),B6-$M6,"---")</f>
        <v>124831.75</v>
      </c>
      <c r="C8" s="24">
        <f>IF(AND(ISNUMBER(C6),ISNUMBER($M6)),C6-$M6,"---")</f>
        <v>60701.75</v>
      </c>
      <c r="D8" s="24">
        <f>IF(AND(ISNUMBER(D6),ISNUMBER($M6)),D6-$M6,"---")</f>
        <v>30492</v>
      </c>
      <c r="E8" s="24">
        <f t="shared" ref="E8:L8" si="3">IF(AND(ISNUMBER(E6),ISNUMBER($M6)),E6-$M6,"---")</f>
        <v>16230.75</v>
      </c>
      <c r="F8" s="24">
        <f t="shared" si="3"/>
        <v>8258.5</v>
      </c>
      <c r="G8" s="24">
        <f t="shared" si="3"/>
        <v>4256</v>
      </c>
      <c r="H8" s="24">
        <f t="shared" si="3"/>
        <v>2145</v>
      </c>
      <c r="I8" s="24">
        <f t="shared" si="3"/>
        <v>1007.25</v>
      </c>
      <c r="J8" s="24">
        <f t="shared" si="3"/>
        <v>551</v>
      </c>
      <c r="K8" s="24">
        <f t="shared" si="3"/>
        <v>279.25</v>
      </c>
      <c r="L8" s="24">
        <f t="shared" si="3"/>
        <v>142.75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2">
        <f>IF(ISNUMBER(B8),B1/B8,"---")</f>
        <v>8.0107825132628521E-5</v>
      </c>
      <c r="C29" s="12">
        <f t="shared" ref="C29:L29" si="5">IF(ISNUMBER(C8),C1/C8,"---")</f>
        <v>8.2369948148117646E-5</v>
      </c>
      <c r="D29" s="12">
        <f t="shared" si="5"/>
        <v>8.1988718352354721E-5</v>
      </c>
      <c r="E29" s="12">
        <f t="shared" si="5"/>
        <v>7.7014309258660257E-5</v>
      </c>
      <c r="F29" s="12">
        <f t="shared" si="5"/>
        <v>7.5679602833444328E-5</v>
      </c>
      <c r="G29" s="12">
        <f t="shared" si="5"/>
        <v>7.3425751879699244E-5</v>
      </c>
      <c r="H29" s="12">
        <f t="shared" si="5"/>
        <v>7.2843822843822844E-5</v>
      </c>
      <c r="I29" s="12">
        <f t="shared" si="5"/>
        <v>7.7562670637875406E-5</v>
      </c>
      <c r="J29" s="12">
        <f t="shared" si="5"/>
        <v>7.0893829401088933E-5</v>
      </c>
      <c r="K29" s="12">
        <f t="shared" si="5"/>
        <v>6.9941808415398385E-5</v>
      </c>
      <c r="L29" s="12">
        <f t="shared" si="5"/>
        <v>6.8410683012259195E-5</v>
      </c>
    </row>
    <row r="30" spans="1:21" x14ac:dyDescent="0.2">
      <c r="A30" t="s">
        <v>28</v>
      </c>
      <c r="B30" s="3"/>
      <c r="C30" s="12">
        <f>IF(COUNT(C29:G29)&gt;0,AVERAGE(C29:G29),"---")</f>
        <v>7.8095666094455245E-5</v>
      </c>
      <c r="D30" s="3" t="s">
        <v>95</v>
      </c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20"/>
      <c r="C31" s="12">
        <f>IF(COUNT(C30)&gt;0,C30 * T26,"---")</f>
        <v>4703031049.0016222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J14" sqref="J14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78</v>
      </c>
    </row>
    <row r="2" spans="1:13" x14ac:dyDescent="0.2">
      <c r="E2" s="8" t="s">
        <v>56</v>
      </c>
    </row>
    <row r="4" spans="1:13" ht="16" x14ac:dyDescent="0.2">
      <c r="A4" s="14" t="s">
        <v>76</v>
      </c>
      <c r="D4" s="8" t="s">
        <v>77</v>
      </c>
    </row>
    <row r="5" spans="1:13" x14ac:dyDescent="0.2">
      <c r="A5" t="s">
        <v>70</v>
      </c>
      <c r="D5" s="27" t="s">
        <v>48</v>
      </c>
      <c r="F5" t="s">
        <v>74</v>
      </c>
      <c r="H5" s="35" t="str">
        <f ca="1">CONCATENATE(ADDRESS(COLUMN(INDIRECT((D5)&amp;1))+11,D6+1,4),":",ADDRESS(COLUMN(INDIRECT((D7)&amp;1))+11,D8+1,4))</f>
        <v>J12:J19</v>
      </c>
    </row>
    <row r="6" spans="1:13" x14ac:dyDescent="0.2">
      <c r="A6" t="s">
        <v>71</v>
      </c>
      <c r="D6" s="27">
        <v>9</v>
      </c>
      <c r="F6" t="s">
        <v>75</v>
      </c>
      <c r="H6" s="36" t="str">
        <f ca="1">CONCATENATE(ADDRESS(COLUMN(INDIRECT((D5)&amp;1))+23,D6+1,4),":",ADDRESS(COLUMN(INDIRECT((D7)&amp;1))+23,D8+1,4))</f>
        <v>J24:J31</v>
      </c>
    </row>
    <row r="7" spans="1:13" x14ac:dyDescent="0.2">
      <c r="A7" t="s">
        <v>72</v>
      </c>
      <c r="D7" s="27" t="s">
        <v>55</v>
      </c>
      <c r="F7" t="s">
        <v>79</v>
      </c>
      <c r="H7" s="12">
        <f ca="1">IF(COUNTA(INDIRECT(H5))&gt;0,AVERAGE(INDIRECT(H5)),"---")</f>
        <v>3.7874999999999999E-2</v>
      </c>
      <c r="L7" s="32"/>
    </row>
    <row r="8" spans="1:13" x14ac:dyDescent="0.2">
      <c r="A8" t="s">
        <v>73</v>
      </c>
      <c r="D8" s="27">
        <v>9</v>
      </c>
      <c r="F8" t="s">
        <v>80</v>
      </c>
      <c r="H8" s="12">
        <f ca="1">IF(COUNTA(INDIRECT(H6))&gt;0,AVERAGE(INDIRECT(H6)),"---")</f>
        <v>318.25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48</v>
      </c>
      <c r="B12" s="27">
        <v>0.71</v>
      </c>
      <c r="C12" s="27">
        <v>0.69699999999999995</v>
      </c>
      <c r="D12" s="27">
        <v>0.32500000000000001</v>
      </c>
      <c r="E12" s="27">
        <v>0.63</v>
      </c>
      <c r="F12" s="27">
        <v>0.63900000000000001</v>
      </c>
      <c r="G12" s="27">
        <v>0.66900000000000004</v>
      </c>
      <c r="H12" s="27">
        <v>0.215</v>
      </c>
      <c r="I12" s="27">
        <v>0.59399999999999997</v>
      </c>
      <c r="J12" s="27">
        <v>3.7999999999999999E-2</v>
      </c>
      <c r="K12" s="27"/>
      <c r="L12" s="27"/>
      <c r="M12" s="27"/>
    </row>
    <row r="13" spans="1:13" x14ac:dyDescent="0.2">
      <c r="A13" s="26" t="s">
        <v>49</v>
      </c>
      <c r="B13" s="27">
        <v>0.74399999999999999</v>
      </c>
      <c r="C13" s="27">
        <v>0.70199999999999996</v>
      </c>
      <c r="D13" s="27">
        <v>0.39200000000000002</v>
      </c>
      <c r="E13" s="27">
        <v>0.69399999999999995</v>
      </c>
      <c r="F13" s="27">
        <v>0.66800000000000004</v>
      </c>
      <c r="G13" s="27">
        <v>0.59399999999999997</v>
      </c>
      <c r="H13" s="27">
        <v>0.188</v>
      </c>
      <c r="I13" s="27">
        <v>0.59</v>
      </c>
      <c r="J13" s="27">
        <v>3.9E-2</v>
      </c>
      <c r="K13" s="27"/>
      <c r="L13" s="27"/>
      <c r="M13" s="27"/>
    </row>
    <row r="14" spans="1:13" x14ac:dyDescent="0.2">
      <c r="A14" s="26" t="s">
        <v>50</v>
      </c>
      <c r="B14" s="27">
        <v>0.72799999999999998</v>
      </c>
      <c r="C14" s="27">
        <v>0.72299999999999998</v>
      </c>
      <c r="D14" s="27">
        <v>0.34799999999999998</v>
      </c>
      <c r="E14" s="27">
        <v>0.64200000000000002</v>
      </c>
      <c r="F14" s="27">
        <v>0.57099999999999995</v>
      </c>
      <c r="G14" s="27">
        <v>0.59099999999999997</v>
      </c>
      <c r="H14" s="27">
        <v>0.17899999999999999</v>
      </c>
      <c r="I14" s="27">
        <v>0.54400000000000004</v>
      </c>
      <c r="J14" s="27">
        <v>3.5999999999999997E-2</v>
      </c>
      <c r="K14" s="27"/>
      <c r="L14" s="27"/>
      <c r="M14" s="27"/>
    </row>
    <row r="15" spans="1:13" x14ac:dyDescent="0.2">
      <c r="A15" s="26" t="s">
        <v>51</v>
      </c>
      <c r="B15" s="27">
        <v>0.70899999999999996</v>
      </c>
      <c r="C15" s="27">
        <v>0.70599999999999996</v>
      </c>
      <c r="D15" s="27">
        <v>0.34399999999999997</v>
      </c>
      <c r="E15" s="27">
        <v>0.60099999999999998</v>
      </c>
      <c r="F15" s="27">
        <v>0.59199999999999997</v>
      </c>
      <c r="G15" s="27">
        <v>0.54</v>
      </c>
      <c r="H15" s="27">
        <v>0.17599999999999999</v>
      </c>
      <c r="I15" s="27">
        <v>0.53300000000000003</v>
      </c>
      <c r="J15" s="27">
        <v>3.6999999999999998E-2</v>
      </c>
      <c r="K15" s="27"/>
      <c r="L15" s="27"/>
      <c r="M15" s="27"/>
    </row>
    <row r="16" spans="1:13" x14ac:dyDescent="0.2">
      <c r="A16" s="26" t="s">
        <v>52</v>
      </c>
      <c r="B16" s="27">
        <v>0.68799999999999994</v>
      </c>
      <c r="C16" s="27">
        <v>0.66700000000000004</v>
      </c>
      <c r="D16" s="27">
        <v>0.61799999999999999</v>
      </c>
      <c r="E16" s="27">
        <v>0.64400000000000002</v>
      </c>
      <c r="F16" s="27">
        <v>0.65600000000000003</v>
      </c>
      <c r="G16" s="27">
        <v>0.59099999999999997</v>
      </c>
      <c r="H16" s="27">
        <v>0.188</v>
      </c>
      <c r="I16" s="27">
        <v>0.66800000000000004</v>
      </c>
      <c r="J16" s="27">
        <v>3.7999999999999999E-2</v>
      </c>
      <c r="K16" s="27"/>
      <c r="L16" s="27"/>
      <c r="M16" s="27"/>
    </row>
    <row r="17" spans="1:13" x14ac:dyDescent="0.2">
      <c r="A17" s="26" t="s">
        <v>53</v>
      </c>
      <c r="B17" s="27">
        <v>0.68500000000000005</v>
      </c>
      <c r="C17" s="27">
        <v>0.63500000000000001</v>
      </c>
      <c r="D17" s="27">
        <v>0.65100000000000002</v>
      </c>
      <c r="E17" s="27">
        <v>0.65200000000000002</v>
      </c>
      <c r="F17" s="27">
        <v>0.59599999999999997</v>
      </c>
      <c r="G17" s="27">
        <v>0.56000000000000005</v>
      </c>
      <c r="H17" s="27">
        <v>0.18099999999999999</v>
      </c>
      <c r="I17" s="27">
        <v>0.56200000000000006</v>
      </c>
      <c r="J17" s="27">
        <v>3.5999999999999997E-2</v>
      </c>
      <c r="K17" s="27"/>
      <c r="L17" s="27"/>
      <c r="M17" s="27"/>
    </row>
    <row r="18" spans="1:13" x14ac:dyDescent="0.2">
      <c r="A18" s="26" t="s">
        <v>54</v>
      </c>
      <c r="B18" s="27">
        <v>0.66900000000000004</v>
      </c>
      <c r="C18" s="27">
        <v>0.63300000000000001</v>
      </c>
      <c r="D18" s="27">
        <v>0.60899999999999999</v>
      </c>
      <c r="E18" s="27">
        <v>0.67900000000000005</v>
      </c>
      <c r="F18" s="27">
        <v>0.56799999999999995</v>
      </c>
      <c r="G18" s="27">
        <v>0.54400000000000004</v>
      </c>
      <c r="H18" s="27">
        <v>0.184</v>
      </c>
      <c r="I18" s="27">
        <v>0.59499999999999997</v>
      </c>
      <c r="J18" s="27">
        <v>3.6999999999999998E-2</v>
      </c>
      <c r="K18" s="27"/>
      <c r="L18" s="27"/>
      <c r="M18" s="27"/>
    </row>
    <row r="19" spans="1:13" x14ac:dyDescent="0.2">
      <c r="A19" s="26" t="s">
        <v>55</v>
      </c>
      <c r="B19" s="27">
        <v>0.67900000000000005</v>
      </c>
      <c r="C19" s="27">
        <v>0.65900000000000003</v>
      </c>
      <c r="D19" s="27">
        <v>0.621</v>
      </c>
      <c r="E19" s="27">
        <v>0.65</v>
      </c>
      <c r="F19" s="27">
        <v>0.58199999999999996</v>
      </c>
      <c r="G19" s="27">
        <v>0.51600000000000001</v>
      </c>
      <c r="H19" s="27">
        <v>0.18099999999999999</v>
      </c>
      <c r="I19" s="27">
        <v>0.56299999999999994</v>
      </c>
      <c r="J19" s="27">
        <v>4.2000000000000003E-2</v>
      </c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48</v>
      </c>
      <c r="B24" s="27">
        <v>355</v>
      </c>
      <c r="C24" s="27">
        <v>1917</v>
      </c>
      <c r="D24" s="27">
        <v>6344</v>
      </c>
      <c r="E24" s="27">
        <v>2670</v>
      </c>
      <c r="F24" s="27">
        <v>458</v>
      </c>
      <c r="G24" s="27">
        <v>13337</v>
      </c>
      <c r="H24" s="27">
        <v>2531</v>
      </c>
      <c r="I24" s="27">
        <v>1654</v>
      </c>
      <c r="J24" s="27">
        <v>294</v>
      </c>
      <c r="K24" s="27"/>
      <c r="L24" s="27"/>
      <c r="M24" s="27"/>
    </row>
    <row r="25" spans="1:13" x14ac:dyDescent="0.2">
      <c r="A25" s="26" t="s">
        <v>49</v>
      </c>
      <c r="B25" s="27">
        <v>340</v>
      </c>
      <c r="C25" s="27">
        <v>1965</v>
      </c>
      <c r="D25" s="27">
        <v>5394</v>
      </c>
      <c r="E25" s="27">
        <v>2322</v>
      </c>
      <c r="F25" s="27">
        <v>345</v>
      </c>
      <c r="G25" s="27">
        <v>10233</v>
      </c>
      <c r="H25" s="27">
        <v>2162</v>
      </c>
      <c r="I25" s="27">
        <v>1545</v>
      </c>
      <c r="J25" s="27">
        <v>300</v>
      </c>
      <c r="K25" s="27"/>
      <c r="L25" s="27"/>
      <c r="M25" s="27"/>
    </row>
    <row r="26" spans="1:13" x14ac:dyDescent="0.2">
      <c r="A26" s="26" t="s">
        <v>50</v>
      </c>
      <c r="B26" s="27">
        <v>338</v>
      </c>
      <c r="C26" s="27">
        <v>1964</v>
      </c>
      <c r="D26" s="27">
        <v>5180</v>
      </c>
      <c r="E26" s="27">
        <v>2490</v>
      </c>
      <c r="F26" s="27">
        <v>355</v>
      </c>
      <c r="G26" s="27">
        <v>9304</v>
      </c>
      <c r="H26" s="27">
        <v>2172</v>
      </c>
      <c r="I26" s="27">
        <v>1489</v>
      </c>
      <c r="J26" s="27">
        <v>367</v>
      </c>
      <c r="K26" s="27"/>
      <c r="L26" s="27"/>
      <c r="M26" s="27"/>
    </row>
    <row r="27" spans="1:13" x14ac:dyDescent="0.2">
      <c r="A27" s="26" t="s">
        <v>51</v>
      </c>
      <c r="B27" s="27">
        <v>352</v>
      </c>
      <c r="C27" s="27">
        <v>1943</v>
      </c>
      <c r="D27" s="27">
        <v>5297</v>
      </c>
      <c r="E27" s="27">
        <v>2506</v>
      </c>
      <c r="F27" s="27">
        <v>338</v>
      </c>
      <c r="G27" s="27">
        <v>8879</v>
      </c>
      <c r="H27" s="27">
        <v>2053</v>
      </c>
      <c r="I27" s="27">
        <v>1554</v>
      </c>
      <c r="J27" s="27">
        <v>310</v>
      </c>
      <c r="K27" s="27"/>
      <c r="L27" s="27"/>
      <c r="M27" s="27"/>
    </row>
    <row r="28" spans="1:13" x14ac:dyDescent="0.2">
      <c r="A28" s="26" t="s">
        <v>52</v>
      </c>
      <c r="B28" s="27">
        <v>355</v>
      </c>
      <c r="C28" s="27">
        <v>3200</v>
      </c>
      <c r="D28" s="27">
        <v>1594</v>
      </c>
      <c r="E28" s="27">
        <v>2749</v>
      </c>
      <c r="F28" s="27">
        <v>404</v>
      </c>
      <c r="G28" s="27">
        <v>11606</v>
      </c>
      <c r="H28" s="27">
        <v>2291</v>
      </c>
      <c r="I28" s="27">
        <v>2037</v>
      </c>
      <c r="J28" s="27">
        <v>314</v>
      </c>
      <c r="K28" s="27"/>
      <c r="L28" s="27"/>
      <c r="M28" s="27"/>
    </row>
    <row r="29" spans="1:13" x14ac:dyDescent="0.2">
      <c r="A29" s="26" t="s">
        <v>53</v>
      </c>
      <c r="B29" s="27">
        <v>353</v>
      </c>
      <c r="C29" s="27">
        <v>1973</v>
      </c>
      <c r="D29" s="27">
        <v>1383</v>
      </c>
      <c r="E29" s="27">
        <v>2662</v>
      </c>
      <c r="F29" s="27">
        <v>373</v>
      </c>
      <c r="G29" s="27">
        <v>8297</v>
      </c>
      <c r="H29" s="27">
        <v>1909</v>
      </c>
      <c r="I29" s="27">
        <v>1292</v>
      </c>
      <c r="J29" s="27">
        <v>313</v>
      </c>
      <c r="K29" s="27"/>
      <c r="L29" s="27"/>
      <c r="M29" s="27"/>
    </row>
    <row r="30" spans="1:13" x14ac:dyDescent="0.2">
      <c r="A30" s="26" t="s">
        <v>54</v>
      </c>
      <c r="B30" s="27">
        <v>348</v>
      </c>
      <c r="C30" s="27">
        <v>1933</v>
      </c>
      <c r="D30" s="27">
        <v>1360</v>
      </c>
      <c r="E30" s="27">
        <v>2609</v>
      </c>
      <c r="F30" s="27">
        <v>362</v>
      </c>
      <c r="G30" s="27">
        <v>8072</v>
      </c>
      <c r="H30" s="27">
        <v>1875</v>
      </c>
      <c r="I30" s="27">
        <v>1283</v>
      </c>
      <c r="J30" s="27">
        <v>324</v>
      </c>
      <c r="K30" s="27"/>
      <c r="L30" s="27"/>
      <c r="M30" s="27"/>
    </row>
    <row r="31" spans="1:13" x14ac:dyDescent="0.2">
      <c r="A31" s="26" t="s">
        <v>55</v>
      </c>
      <c r="B31" s="27">
        <v>340</v>
      </c>
      <c r="C31" s="27">
        <v>1963</v>
      </c>
      <c r="D31" s="27">
        <v>1388</v>
      </c>
      <c r="E31" s="27">
        <v>2691</v>
      </c>
      <c r="F31" s="27">
        <v>358</v>
      </c>
      <c r="G31" s="27">
        <v>8943</v>
      </c>
      <c r="H31" s="27">
        <v>1907</v>
      </c>
      <c r="I31" s="27">
        <v>1289</v>
      </c>
      <c r="J31" s="27">
        <v>324</v>
      </c>
      <c r="K31" s="27"/>
      <c r="L31" s="27"/>
      <c r="M31" s="27"/>
    </row>
  </sheetData>
  <conditionalFormatting sqref="B12:M19">
    <cfRule type="expression" dxfId="2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1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workbookViewId="0">
      <selection activeCell="G2" sqref="G2"/>
    </sheetView>
  </sheetViews>
  <sheetFormatPr baseColWidth="10" defaultRowHeight="15" x14ac:dyDescent="0.2"/>
  <cols>
    <col min="1" max="1" width="5.1640625" customWidth="1"/>
    <col min="2" max="12" width="9.83203125" customWidth="1"/>
    <col min="13" max="22" width="9.6640625" customWidth="1"/>
    <col min="24" max="29" width="10.83203125" customWidth="1"/>
  </cols>
  <sheetData>
    <row r="1" spans="1:13" ht="19" x14ac:dyDescent="0.25">
      <c r="A1" s="9" t="s">
        <v>15</v>
      </c>
      <c r="B1" s="33"/>
      <c r="C1" s="33"/>
      <c r="D1" s="4" t="s">
        <v>81</v>
      </c>
      <c r="G1" s="8" t="s">
        <v>22</v>
      </c>
      <c r="L1" s="8"/>
    </row>
    <row r="2" spans="1:13" x14ac:dyDescent="0.2">
      <c r="A2" t="s">
        <v>26</v>
      </c>
      <c r="D2" s="12">
        <f>'Particle standard curve'!C31</f>
        <v>488755343.89647466</v>
      </c>
      <c r="G2" s="8" t="s">
        <v>47</v>
      </c>
      <c r="L2" s="8"/>
    </row>
    <row r="3" spans="1:13" x14ac:dyDescent="0.2">
      <c r="A3" s="7" t="s">
        <v>32</v>
      </c>
      <c r="B3" s="7"/>
      <c r="C3" s="7"/>
      <c r="D3" s="12">
        <f>'Fluorescein standard curve'!C31</f>
        <v>4703031049.0016222</v>
      </c>
      <c r="L3" s="8"/>
    </row>
    <row r="4" spans="1:13" x14ac:dyDescent="0.2">
      <c r="A4" t="s">
        <v>79</v>
      </c>
      <c r="D4" s="12">
        <f ca="1">'Raw Plate Reader Measurements'!H7</f>
        <v>3.7874999999999999E-2</v>
      </c>
      <c r="L4" s="8"/>
    </row>
    <row r="5" spans="1:13" x14ac:dyDescent="0.2">
      <c r="A5" t="s">
        <v>80</v>
      </c>
      <c r="D5" s="12">
        <f ca="1">'Raw Plate Reader Measurements'!H8</f>
        <v>318.25</v>
      </c>
    </row>
    <row r="6" spans="1:13" x14ac:dyDescent="0.2">
      <c r="A6" t="s">
        <v>82</v>
      </c>
      <c r="D6" s="31" t="b">
        <f ca="1">AND(ISNUMBER(D2),ISNUMBER(D3),ISNUMBER(D4),ISNUMBER(D5))</f>
        <v>1</v>
      </c>
    </row>
    <row r="7" spans="1:13" x14ac:dyDescent="0.2">
      <c r="A7" t="s">
        <v>84</v>
      </c>
      <c r="D7" s="35" t="str">
        <f ca="1">'Raw Plate Reader Measurements'!H5</f>
        <v>J12:J19</v>
      </c>
      <c r="E7" s="4" t="s">
        <v>85</v>
      </c>
    </row>
    <row r="9" spans="1:13" ht="19" x14ac:dyDescent="0.25">
      <c r="A9" s="10" t="s">
        <v>16</v>
      </c>
      <c r="B9" s="10"/>
      <c r="C9" s="10"/>
    </row>
    <row r="10" spans="1:13" ht="16" x14ac:dyDescent="0.2">
      <c r="A10" s="15" t="s">
        <v>31</v>
      </c>
      <c r="B10" s="15"/>
      <c r="C10" s="15"/>
    </row>
    <row r="11" spans="1:13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7</v>
      </c>
      <c r="H11" s="34">
        <v>8</v>
      </c>
      <c r="I11" s="34">
        <v>9</v>
      </c>
      <c r="J11" s="34">
        <v>10</v>
      </c>
      <c r="K11" s="34">
        <v>11</v>
      </c>
      <c r="L11" s="34">
        <v>12</v>
      </c>
      <c r="M11"/>
    </row>
    <row r="12" spans="1:13" x14ac:dyDescent="0.2">
      <c r="A12" s="26" t="s">
        <v>48</v>
      </c>
      <c r="B12" s="31">
        <f ca="1">IF(AND($D$6,ISNUMBER(B45),ISNUMBER(B34)),(B45*$D$3)/(B34*$D$2),"---")</f>
        <v>526.13067231934986</v>
      </c>
      <c r="C12" s="31">
        <f t="shared" ref="C12:L12" ca="1" si="0">IF(AND($D$6,ISNUMBER(C45),ISNUMBER(C34)),(C45*$D$3)/(C34*$D$2),"---")</f>
        <v>23339.905870447728</v>
      </c>
      <c r="D12" s="31">
        <f t="shared" ca="1" si="0"/>
        <v>201941.89545621097</v>
      </c>
      <c r="E12" s="31">
        <f t="shared" ca="1" si="0"/>
        <v>38217.659082645354</v>
      </c>
      <c r="F12" s="31">
        <f t="shared" ca="1" si="0"/>
        <v>2237.0379594512833</v>
      </c>
      <c r="G12" s="31">
        <f t="shared" ca="1" si="0"/>
        <v>120209.506221423</v>
      </c>
      <c r="H12" s="31">
        <f t="shared" ca="1" si="0"/>
        <v>23112.083142893374</v>
      </c>
      <c r="I12" s="31">
        <f t="shared" ca="1" si="0"/>
        <v>-1866758.1539519099</v>
      </c>
      <c r="J12" s="31" t="str">
        <f t="shared" ca="1" si="0"/>
        <v>---</v>
      </c>
      <c r="K12" s="31" t="str">
        <f t="shared" ca="1" si="0"/>
        <v>---</v>
      </c>
      <c r="L12" s="31" t="str">
        <f t="shared" ca="1" si="0"/>
        <v>---</v>
      </c>
    </row>
    <row r="13" spans="1:13" x14ac:dyDescent="0.2">
      <c r="A13" s="26" t="s">
        <v>49</v>
      </c>
      <c r="B13" s="31">
        <f t="shared" ref="B13:L13" ca="1" si="1">IF(AND($D$6,ISNUMBER(B46),ISNUMBER(B35)),(B46*$D$3)/(B35*$D$2),"---")</f>
        <v>296.39030974155867</v>
      </c>
      <c r="C13" s="31">
        <f t="shared" ca="1" si="1"/>
        <v>23859.655581390987</v>
      </c>
      <c r="D13" s="31">
        <f t="shared" ca="1" si="1"/>
        <v>137920.86200445288</v>
      </c>
      <c r="E13" s="31">
        <f t="shared" ca="1" si="1"/>
        <v>29386.189620653458</v>
      </c>
      <c r="F13" s="31">
        <f t="shared" ca="1" si="1"/>
        <v>408.49185641217178</v>
      </c>
      <c r="G13" s="31">
        <f t="shared" ca="1" si="1"/>
        <v>118177.64736770344</v>
      </c>
      <c r="H13" s="31">
        <f t="shared" ca="1" si="1"/>
        <v>21379.866125121149</v>
      </c>
      <c r="I13" s="31">
        <f t="shared" ca="1" si="1"/>
        <v>-156097.76086883096</v>
      </c>
      <c r="J13" s="31" t="str">
        <f t="shared" ca="1" si="1"/>
        <v>---</v>
      </c>
      <c r="K13" s="31" t="str">
        <f t="shared" ca="1" si="1"/>
        <v>---</v>
      </c>
      <c r="L13" s="31" t="str">
        <f t="shared" ca="1" si="1"/>
        <v>---</v>
      </c>
    </row>
    <row r="14" spans="1:13" x14ac:dyDescent="0.2">
      <c r="A14" s="26" t="s">
        <v>50</v>
      </c>
      <c r="B14" s="31">
        <f t="shared" ref="B14:L14" ca="1" si="2">IF(AND($D$6,ISNUMBER(B47),ISNUMBER(B36)),(B47*$D$3)/(B36*$D$2),"---")</f>
        <v>275.37573344549679</v>
      </c>
      <c r="C14" s="31">
        <f t="shared" ca="1" si="2"/>
        <v>23114.280311301151</v>
      </c>
      <c r="D14" s="31">
        <f t="shared" ca="1" si="2"/>
        <v>150848.90869537485</v>
      </c>
      <c r="E14" s="31">
        <f t="shared" ca="1" si="2"/>
        <v>34591.496356407639</v>
      </c>
      <c r="F14" s="31">
        <f t="shared" ca="1" si="2"/>
        <v>663.30706332031514</v>
      </c>
      <c r="G14" s="31">
        <f t="shared" ca="1" si="2"/>
        <v>126396.0599340117</v>
      </c>
      <c r="H14" s="31">
        <f t="shared" ca="1" si="2"/>
        <v>22258.336498911023</v>
      </c>
      <c r="I14" s="31">
        <f t="shared" ca="1" si="2"/>
        <v>-250184.08248840025</v>
      </c>
      <c r="J14" s="31" t="str">
        <f t="shared" ca="1" si="2"/>
        <v>---</v>
      </c>
      <c r="K14" s="31" t="str">
        <f t="shared" ca="1" si="2"/>
        <v>---</v>
      </c>
      <c r="L14" s="31" t="str">
        <f t="shared" ca="1" si="2"/>
        <v>---</v>
      </c>
    </row>
    <row r="15" spans="1:13" x14ac:dyDescent="0.2">
      <c r="A15" s="26" t="s">
        <v>51</v>
      </c>
      <c r="B15" s="31">
        <f t="shared" ref="B15:L15" ca="1" si="3">IF(AND($D$6,ISNUMBER(B48),ISNUMBER(B37)),(B48*$D$3)/(B37*$D$2),"---")</f>
        <v>483.90118681224226</v>
      </c>
      <c r="C15" s="31">
        <f t="shared" ca="1" si="3"/>
        <v>23399.961892381307</v>
      </c>
      <c r="D15" s="31">
        <f t="shared" ca="1" si="3"/>
        <v>156497.66004197937</v>
      </c>
      <c r="E15" s="31">
        <f t="shared" ca="1" si="3"/>
        <v>37383.435599009528</v>
      </c>
      <c r="F15" s="31">
        <f t="shared" ca="1" si="3"/>
        <v>342.96174697780009</v>
      </c>
      <c r="G15" s="31">
        <f t="shared" ca="1" si="3"/>
        <v>120851.19028103106</v>
      </c>
      <c r="H15" s="31">
        <f t="shared" ca="1" si="3"/>
        <v>24016.078296859061</v>
      </c>
      <c r="I15" s="31">
        <f t="shared" ca="1" si="3"/>
        <v>90726.095847441858</v>
      </c>
      <c r="J15" s="31" t="str">
        <f t="shared" ca="1" si="3"/>
        <v>---</v>
      </c>
      <c r="K15" s="31" t="str">
        <f t="shared" ca="1" si="3"/>
        <v>---</v>
      </c>
      <c r="L15" s="31" t="str">
        <f t="shared" ca="1" si="3"/>
        <v>---</v>
      </c>
    </row>
    <row r="16" spans="1:13" x14ac:dyDescent="0.2">
      <c r="A16" s="26" t="s">
        <v>52</v>
      </c>
      <c r="B16" s="31">
        <f t="shared" ref="B16:L16" ca="1" si="4">IF(AND($D$6,ISNUMBER(B49),ISNUMBER(B38)),(B49*$D$3)/(B38*$D$2),"---")</f>
        <v>543.93474813711669</v>
      </c>
      <c r="C16" s="31">
        <f t="shared" ca="1" si="4"/>
        <v>44076.356338073216</v>
      </c>
      <c r="D16" s="31">
        <f t="shared" ca="1" si="4"/>
        <v>21160.714251542402</v>
      </c>
      <c r="E16" s="31">
        <f t="shared" ca="1" si="4"/>
        <v>38589.079969457911</v>
      </c>
      <c r="F16" s="31">
        <f t="shared" ca="1" si="4"/>
        <v>1334.8859032981468</v>
      </c>
      <c r="G16" s="31">
        <f t="shared" ca="1" si="4"/>
        <v>126446.07666149799</v>
      </c>
      <c r="H16" s="31">
        <f t="shared" ca="1" si="4"/>
        <v>26246.556194707297</v>
      </c>
      <c r="I16" s="31">
        <f t="shared" ca="1" si="4"/>
        <v>-327163.80017713882</v>
      </c>
      <c r="J16" s="31" t="str">
        <f t="shared" ca="1" si="4"/>
        <v>---</v>
      </c>
      <c r="K16" s="31" t="str">
        <f t="shared" ca="1" si="4"/>
        <v>---</v>
      </c>
      <c r="L16" s="31" t="str">
        <f t="shared" ca="1" si="4"/>
        <v>---</v>
      </c>
    </row>
    <row r="17" spans="1:12" x14ac:dyDescent="0.2">
      <c r="A17" s="26" t="s">
        <v>53</v>
      </c>
      <c r="B17" s="31">
        <f t="shared" ref="B17:L17" ca="1" si="5">IF(AND($D$6,ISNUMBER(B50),ISNUMBER(B39)),(B50*$D$3)/(B39*$D$2),"---")</f>
        <v>516.7172473794991</v>
      </c>
      <c r="C17" s="31">
        <f t="shared" ca="1" si="5"/>
        <v>26665.729086338757</v>
      </c>
      <c r="D17" s="31">
        <f t="shared" ca="1" si="5"/>
        <v>16710.327096653302</v>
      </c>
      <c r="E17" s="31">
        <f t="shared" ca="1" si="5"/>
        <v>36723.226813144945</v>
      </c>
      <c r="F17" s="31">
        <f t="shared" ca="1" si="5"/>
        <v>943.92822921801553</v>
      </c>
      <c r="G17" s="31">
        <f t="shared" ca="1" si="5"/>
        <v>106948.02263175628</v>
      </c>
      <c r="H17" s="31">
        <f t="shared" ca="1" si="5"/>
        <v>17877.176269832871</v>
      </c>
      <c r="I17" s="31">
        <f t="shared" ca="1" si="5"/>
        <v>26942.901191058492</v>
      </c>
      <c r="J17" s="31" t="str">
        <f t="shared" ca="1" si="5"/>
        <v>---</v>
      </c>
      <c r="K17" s="31" t="str">
        <f t="shared" ca="1" si="5"/>
        <v>---</v>
      </c>
      <c r="L17" s="31" t="str">
        <f t="shared" ca="1" si="5"/>
        <v>---</v>
      </c>
    </row>
    <row r="18" spans="1:12" x14ac:dyDescent="0.2">
      <c r="A18" s="26" t="s">
        <v>54</v>
      </c>
      <c r="B18" s="31">
        <f t="shared" ref="B18:L18" ca="1" si="6">IF(AND($D$6,ISNUMBER(B51),ISNUMBER(B40)),(B51*$D$3)/(B40*$D$2),"---")</f>
        <v>453.5841951356652</v>
      </c>
      <c r="C18" s="31">
        <f t="shared" ca="1" si="6"/>
        <v>26108.590451142762</v>
      </c>
      <c r="D18" s="31">
        <f t="shared" ca="1" si="6"/>
        <v>17551.678901782325</v>
      </c>
      <c r="E18" s="31">
        <f t="shared" ca="1" si="6"/>
        <v>34381.222128188339</v>
      </c>
      <c r="F18" s="31">
        <f t="shared" ca="1" si="6"/>
        <v>794.11993607222712</v>
      </c>
      <c r="G18" s="31">
        <f t="shared" ca="1" si="6"/>
        <v>102513.40933442587</v>
      </c>
      <c r="H18" s="31">
        <f t="shared" ca="1" si="6"/>
        <v>16662.81863141364</v>
      </c>
      <c r="I18" s="31">
        <f t="shared" ca="1" si="6"/>
        <v>-63233.339530035235</v>
      </c>
      <c r="J18" s="31" t="str">
        <f t="shared" ca="1" si="6"/>
        <v>---</v>
      </c>
      <c r="K18" s="31" t="str">
        <f t="shared" ca="1" si="6"/>
        <v>---</v>
      </c>
      <c r="L18" s="31" t="str">
        <f t="shared" ca="1" si="6"/>
        <v>---</v>
      </c>
    </row>
    <row r="19" spans="1:12" x14ac:dyDescent="0.2">
      <c r="A19" s="26" t="s">
        <v>55</v>
      </c>
      <c r="B19" s="31">
        <f t="shared" ref="B19:L19" ca="1" si="7">IF(AND($D$6,ISNUMBER(B52),ISNUMBER(B41)),(B52*$D$3)/(B41*$D$2),"---")</f>
        <v>326.43962950478937</v>
      </c>
      <c r="C19" s="31">
        <f t="shared" ca="1" si="7"/>
        <v>25480.456966905378</v>
      </c>
      <c r="D19" s="31">
        <f t="shared" ca="1" si="7"/>
        <v>17652.530117369377</v>
      </c>
      <c r="E19" s="31">
        <f t="shared" ca="1" si="7"/>
        <v>37299.086205014202</v>
      </c>
      <c r="F19" s="31">
        <f t="shared" ca="1" si="7"/>
        <v>702.95055780550433</v>
      </c>
      <c r="G19" s="31">
        <f t="shared" ca="1" si="7"/>
        <v>106813.56024278032</v>
      </c>
      <c r="H19" s="31">
        <f t="shared" ca="1" si="7"/>
        <v>17788.160187179965</v>
      </c>
      <c r="I19" s="31">
        <f t="shared" ca="1" si="7"/>
        <v>13413.132627583233</v>
      </c>
      <c r="J19" s="31" t="str">
        <f t="shared" ca="1" si="7"/>
        <v>---</v>
      </c>
      <c r="K19" s="31" t="str">
        <f t="shared" ca="1" si="7"/>
        <v>---</v>
      </c>
      <c r="L19" s="31" t="str">
        <f t="shared" ca="1" si="7"/>
        <v>---</v>
      </c>
    </row>
    <row r="20" spans="1:12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6" x14ac:dyDescent="0.2">
      <c r="A21" s="14" t="s">
        <v>92</v>
      </c>
      <c r="B21" s="14"/>
      <c r="C21" s="14"/>
    </row>
    <row r="22" spans="1:12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7</v>
      </c>
      <c r="H22" s="34">
        <v>8</v>
      </c>
      <c r="I22" s="34">
        <v>9</v>
      </c>
      <c r="J22" s="34">
        <v>10</v>
      </c>
      <c r="K22" s="34">
        <v>11</v>
      </c>
      <c r="L22" s="34">
        <v>12</v>
      </c>
    </row>
    <row r="23" spans="1:12" x14ac:dyDescent="0.2">
      <c r="A23" s="26" t="s">
        <v>48</v>
      </c>
      <c r="B23" s="31">
        <f ca="1">IF(AND($D$6,ISNUMBER(B34)),B34*$D$2,"---")</f>
        <v>328504685.51641804</v>
      </c>
      <c r="C23" s="31">
        <f t="shared" ref="C23:L23" ca="1" si="8">IF(AND($D$6,ISNUMBER(C34)),C34*$D$2,"---")</f>
        <v>322150866.04576385</v>
      </c>
      <c r="D23" s="31">
        <f t="shared" ca="1" si="8"/>
        <v>140333878.11627531</v>
      </c>
      <c r="E23" s="31">
        <f t="shared" ca="1" si="8"/>
        <v>289404258.00470006</v>
      </c>
      <c r="F23" s="31">
        <f t="shared" ca="1" si="8"/>
        <v>293803056.09976834</v>
      </c>
      <c r="G23" s="31">
        <f t="shared" ca="1" si="8"/>
        <v>86570790.287663072</v>
      </c>
      <c r="H23" s="31">
        <f t="shared" ca="1" si="8"/>
        <v>271809065.62442696</v>
      </c>
      <c r="I23" s="31">
        <f t="shared" ca="1" si="8"/>
        <v>61094.417987059387</v>
      </c>
      <c r="J23" s="31" t="str">
        <f t="shared" ca="1" si="8"/>
        <v>---</v>
      </c>
      <c r="K23" s="31" t="str">
        <f t="shared" ca="1" si="8"/>
        <v>---</v>
      </c>
      <c r="L23" s="31" t="str">
        <f t="shared" ca="1" si="8"/>
        <v>---</v>
      </c>
    </row>
    <row r="24" spans="1:12" x14ac:dyDescent="0.2">
      <c r="A24" s="26" t="s">
        <v>49</v>
      </c>
      <c r="B24" s="31">
        <f t="shared" ref="B24:L30" ca="1" si="9">IF(AND($D$6,ISNUMBER(B35)),B35*$D$2,"---")</f>
        <v>345122367.20889819</v>
      </c>
      <c r="C24" s="31">
        <f t="shared" ca="1" si="9"/>
        <v>324594642.76524621</v>
      </c>
      <c r="D24" s="31">
        <f t="shared" ca="1" si="9"/>
        <v>173080486.1573391</v>
      </c>
      <c r="E24" s="31">
        <f t="shared" ca="1" si="9"/>
        <v>320684600.01407444</v>
      </c>
      <c r="F24" s="31">
        <f t="shared" ca="1" si="9"/>
        <v>307976961.07276613</v>
      </c>
      <c r="G24" s="31">
        <f t="shared" ca="1" si="9"/>
        <v>73374396.002458259</v>
      </c>
      <c r="H24" s="31">
        <f t="shared" ca="1" si="9"/>
        <v>269854044.24884105</v>
      </c>
      <c r="I24" s="31">
        <f t="shared" ca="1" si="9"/>
        <v>549849.76188353449</v>
      </c>
      <c r="J24" s="31" t="str">
        <f t="shared" ca="1" si="9"/>
        <v>---</v>
      </c>
      <c r="K24" s="31" t="str">
        <f t="shared" ca="1" si="9"/>
        <v>---</v>
      </c>
      <c r="L24" s="31" t="str">
        <f t="shared" ca="1" si="9"/>
        <v>---</v>
      </c>
    </row>
    <row r="25" spans="1:12" x14ac:dyDescent="0.2">
      <c r="A25" s="26" t="s">
        <v>50</v>
      </c>
      <c r="B25" s="31">
        <f t="shared" ca="1" si="9"/>
        <v>337302281.70655459</v>
      </c>
      <c r="C25" s="31">
        <f t="shared" ca="1" si="9"/>
        <v>334858504.98707217</v>
      </c>
      <c r="D25" s="31">
        <f t="shared" ca="1" si="9"/>
        <v>151575251.02589419</v>
      </c>
      <c r="E25" s="31">
        <f t="shared" ca="1" si="9"/>
        <v>295269322.13145775</v>
      </c>
      <c r="F25" s="31">
        <f t="shared" ca="1" si="9"/>
        <v>260567692.71480805</v>
      </c>
      <c r="G25" s="31">
        <f t="shared" ca="1" si="9"/>
        <v>68975597.907389984</v>
      </c>
      <c r="H25" s="31">
        <f t="shared" ca="1" si="9"/>
        <v>247371298.42960325</v>
      </c>
      <c r="I25" s="31">
        <f t="shared" ca="1" si="9"/>
        <v>-916416.26980589086</v>
      </c>
      <c r="J25" s="31" t="str">
        <f t="shared" ca="1" si="9"/>
        <v>---</v>
      </c>
      <c r="K25" s="31" t="str">
        <f t="shared" ca="1" si="9"/>
        <v>---</v>
      </c>
      <c r="L25" s="31" t="str">
        <f t="shared" ca="1" si="9"/>
        <v>---</v>
      </c>
    </row>
    <row r="26" spans="1:12" x14ac:dyDescent="0.2">
      <c r="A26" s="26" t="s">
        <v>51</v>
      </c>
      <c r="B26" s="31">
        <f t="shared" ca="1" si="9"/>
        <v>328015930.17252153</v>
      </c>
      <c r="C26" s="31">
        <f t="shared" ca="1" si="9"/>
        <v>326549664.14083213</v>
      </c>
      <c r="D26" s="31">
        <f t="shared" ca="1" si="9"/>
        <v>149620229.65030828</v>
      </c>
      <c r="E26" s="31">
        <f t="shared" ca="1" si="9"/>
        <v>275230353.03170228</v>
      </c>
      <c r="F26" s="31">
        <f t="shared" ca="1" si="9"/>
        <v>270831554.936634</v>
      </c>
      <c r="G26" s="31">
        <f t="shared" ca="1" si="9"/>
        <v>67509331.875700563</v>
      </c>
      <c r="H26" s="31">
        <f t="shared" ca="1" si="9"/>
        <v>241994989.64674205</v>
      </c>
      <c r="I26" s="31">
        <f t="shared" ca="1" si="9"/>
        <v>-427660.9259094157</v>
      </c>
      <c r="J26" s="31" t="str">
        <f t="shared" ca="1" si="9"/>
        <v>---</v>
      </c>
      <c r="K26" s="31" t="str">
        <f t="shared" ca="1" si="9"/>
        <v>---</v>
      </c>
      <c r="L26" s="31" t="str">
        <f t="shared" ca="1" si="9"/>
        <v>---</v>
      </c>
    </row>
    <row r="27" spans="1:12" x14ac:dyDescent="0.2">
      <c r="A27" s="26" t="s">
        <v>52</v>
      </c>
      <c r="B27" s="31">
        <f t="shared" ca="1" si="9"/>
        <v>317752067.95069557</v>
      </c>
      <c r="C27" s="31">
        <f t="shared" ca="1" si="9"/>
        <v>307488205.72886962</v>
      </c>
      <c r="D27" s="31">
        <f t="shared" ca="1" si="9"/>
        <v>283539193.87794238</v>
      </c>
      <c r="E27" s="31">
        <f t="shared" ca="1" si="9"/>
        <v>296246832.8192507</v>
      </c>
      <c r="F27" s="31">
        <f t="shared" ca="1" si="9"/>
        <v>302111896.94600844</v>
      </c>
      <c r="G27" s="31">
        <f t="shared" ca="1" si="9"/>
        <v>73374396.002458259</v>
      </c>
      <c r="H27" s="31">
        <f t="shared" ca="1" si="9"/>
        <v>307976961.07276613</v>
      </c>
      <c r="I27" s="31">
        <f t="shared" ca="1" si="9"/>
        <v>61094.417987059387</v>
      </c>
      <c r="J27" s="31" t="str">
        <f t="shared" ca="1" si="9"/>
        <v>---</v>
      </c>
      <c r="K27" s="31" t="str">
        <f t="shared" ca="1" si="9"/>
        <v>---</v>
      </c>
      <c r="L27" s="31" t="str">
        <f t="shared" ca="1" si="9"/>
        <v>---</v>
      </c>
    </row>
    <row r="28" spans="1:12" x14ac:dyDescent="0.2">
      <c r="A28" s="26" t="s">
        <v>53</v>
      </c>
      <c r="B28" s="31">
        <f t="shared" ca="1" si="9"/>
        <v>316285801.91900617</v>
      </c>
      <c r="C28" s="31">
        <f t="shared" ca="1" si="9"/>
        <v>291848034.72418243</v>
      </c>
      <c r="D28" s="31">
        <f t="shared" ca="1" si="9"/>
        <v>299668120.22652602</v>
      </c>
      <c r="E28" s="31">
        <f t="shared" ca="1" si="9"/>
        <v>300156875.57042253</v>
      </c>
      <c r="F28" s="31">
        <f t="shared" ca="1" si="9"/>
        <v>272786576.31221992</v>
      </c>
      <c r="G28" s="31">
        <f t="shared" ca="1" si="9"/>
        <v>69953108.59518294</v>
      </c>
      <c r="H28" s="31">
        <f t="shared" ca="1" si="9"/>
        <v>256168894.6197398</v>
      </c>
      <c r="I28" s="31">
        <f t="shared" ca="1" si="9"/>
        <v>-916416.26980589086</v>
      </c>
      <c r="J28" s="31" t="str">
        <f t="shared" ca="1" si="9"/>
        <v>---</v>
      </c>
      <c r="K28" s="31" t="str">
        <f t="shared" ca="1" si="9"/>
        <v>---</v>
      </c>
      <c r="L28" s="31" t="str">
        <f t="shared" ca="1" si="9"/>
        <v>---</v>
      </c>
    </row>
    <row r="29" spans="1:12" x14ac:dyDescent="0.2">
      <c r="A29" s="26" t="s">
        <v>54</v>
      </c>
      <c r="B29" s="31">
        <f t="shared" ca="1" si="9"/>
        <v>308465716.41666257</v>
      </c>
      <c r="C29" s="31">
        <f t="shared" ca="1" si="9"/>
        <v>290870524.03638947</v>
      </c>
      <c r="D29" s="31">
        <f t="shared" ca="1" si="9"/>
        <v>279140395.78287411</v>
      </c>
      <c r="E29" s="31">
        <f t="shared" ca="1" si="9"/>
        <v>313353269.85562736</v>
      </c>
      <c r="F29" s="31">
        <f t="shared" ca="1" si="9"/>
        <v>259101426.68311861</v>
      </c>
      <c r="G29" s="31">
        <f t="shared" ca="1" si="9"/>
        <v>71419374.626872361</v>
      </c>
      <c r="H29" s="31">
        <f t="shared" ca="1" si="9"/>
        <v>272297820.96832341</v>
      </c>
      <c r="I29" s="31">
        <f t="shared" ca="1" si="9"/>
        <v>-427660.9259094157</v>
      </c>
      <c r="J29" s="31" t="str">
        <f t="shared" ca="1" si="9"/>
        <v>---</v>
      </c>
      <c r="K29" s="31" t="str">
        <f t="shared" ca="1" si="9"/>
        <v>---</v>
      </c>
      <c r="L29" s="31" t="str">
        <f t="shared" ca="1" si="9"/>
        <v>---</v>
      </c>
    </row>
    <row r="30" spans="1:12" x14ac:dyDescent="0.2">
      <c r="A30" s="26" t="s">
        <v>55</v>
      </c>
      <c r="B30" s="31">
        <f t="shared" ca="1" si="9"/>
        <v>313353269.85562736</v>
      </c>
      <c r="C30" s="31">
        <f t="shared" ca="1" si="9"/>
        <v>303578162.97769785</v>
      </c>
      <c r="D30" s="31">
        <f t="shared" ca="1" si="9"/>
        <v>285005459.90963179</v>
      </c>
      <c r="E30" s="31">
        <f t="shared" ca="1" si="9"/>
        <v>299179364.88262957</v>
      </c>
      <c r="F30" s="31">
        <f t="shared" ca="1" si="9"/>
        <v>265944001.49766925</v>
      </c>
      <c r="G30" s="31">
        <f t="shared" ca="1" si="9"/>
        <v>69953108.59518294</v>
      </c>
      <c r="H30" s="31">
        <f t="shared" ca="1" si="9"/>
        <v>256657649.96363622</v>
      </c>
      <c r="I30" s="31">
        <f t="shared" ca="1" si="9"/>
        <v>2016115.7935729597</v>
      </c>
      <c r="J30" s="31" t="str">
        <f t="shared" ca="1" si="9"/>
        <v>---</v>
      </c>
      <c r="K30" s="31" t="str">
        <f t="shared" ca="1" si="9"/>
        <v>---</v>
      </c>
      <c r="L30" s="31" t="str">
        <f t="shared" ca="1" si="9"/>
        <v>---</v>
      </c>
    </row>
    <row r="32" spans="1:12" ht="16" x14ac:dyDescent="0.2">
      <c r="A32" s="14" t="s">
        <v>29</v>
      </c>
    </row>
    <row r="33" spans="1:12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7</v>
      </c>
      <c r="H33" s="34">
        <v>8</v>
      </c>
      <c r="I33" s="34">
        <v>9</v>
      </c>
      <c r="J33" s="34">
        <v>10</v>
      </c>
      <c r="K33" s="34">
        <v>11</v>
      </c>
      <c r="L33" s="34">
        <v>12</v>
      </c>
    </row>
    <row r="34" spans="1:12" x14ac:dyDescent="0.2">
      <c r="A34" s="26" t="s">
        <v>48</v>
      </c>
      <c r="B34" s="18">
        <f ca="1">IF(ISNUMBER('Raw Plate Reader Measurements'!B12),'Raw Plate Reader Measurements'!B12-$D$4,"---")</f>
        <v>0.67212499999999997</v>
      </c>
      <c r="C34" s="18">
        <f ca="1">IF(ISNUMBER('Raw Plate Reader Measurements'!C12),'Raw Plate Reader Measurements'!C12-$D$4,"---")</f>
        <v>0.65912499999999996</v>
      </c>
      <c r="D34" s="18">
        <f ca="1">IF(ISNUMBER('Raw Plate Reader Measurements'!D12),'Raw Plate Reader Measurements'!D12-$D$4,"---")</f>
        <v>0.28712500000000002</v>
      </c>
      <c r="E34" s="18">
        <f ca="1">IF(ISNUMBER('Raw Plate Reader Measurements'!E12),'Raw Plate Reader Measurements'!E12-$D$4,"---")</f>
        <v>0.59212500000000001</v>
      </c>
      <c r="F34" s="18">
        <f ca="1">IF(ISNUMBER('Raw Plate Reader Measurements'!F12),'Raw Plate Reader Measurements'!F12-$D$4,"---")</f>
        <v>0.60112500000000002</v>
      </c>
      <c r="G34" s="18">
        <f ca="1">IF(ISNUMBER('Raw Plate Reader Measurements'!H12),'Raw Plate Reader Measurements'!H12-$D$4,"---")</f>
        <v>0.177125</v>
      </c>
      <c r="H34" s="18">
        <f ca="1">IF(ISNUMBER('Raw Plate Reader Measurements'!I12),'Raw Plate Reader Measurements'!I12-$D$4,"---")</f>
        <v>0.55612499999999998</v>
      </c>
      <c r="I34" s="18">
        <f ca="1">IF(ISNUMBER('Raw Plate Reader Measurements'!J12),'Raw Plate Reader Measurements'!J12-$D$4,"---")</f>
        <v>1.2500000000000011E-4</v>
      </c>
      <c r="J34" s="18" t="str">
        <f>IF(ISNUMBER('Raw Plate Reader Measurements'!K12),'Raw Plate Reader Measurements'!K12-$D$4,"---")</f>
        <v>---</v>
      </c>
      <c r="K34" s="18" t="str">
        <f>IF(ISNUMBER('Raw Plate Reader Measurements'!L12),'Raw Plate Reader Measurements'!L12-$D$4,"---")</f>
        <v>---</v>
      </c>
      <c r="L34" s="18" t="str">
        <f>IF(ISNUMBER('Raw Plate Reader Measurements'!M12),'Raw Plate Reader Measurements'!M12-$D$4,"---")</f>
        <v>---</v>
      </c>
    </row>
    <row r="35" spans="1:12" x14ac:dyDescent="0.2">
      <c r="A35" s="26" t="s">
        <v>49</v>
      </c>
      <c r="B35" s="18">
        <f ca="1">IF(ISNUMBER('Raw Plate Reader Measurements'!B13),'Raw Plate Reader Measurements'!B13-$D$4,"---")</f>
        <v>0.706125</v>
      </c>
      <c r="C35" s="18">
        <f ca="1">IF(ISNUMBER('Raw Plate Reader Measurements'!C13),'Raw Plate Reader Measurements'!C13-$D$4,"---")</f>
        <v>0.66412499999999997</v>
      </c>
      <c r="D35" s="18">
        <f ca="1">IF(ISNUMBER('Raw Plate Reader Measurements'!D13),'Raw Plate Reader Measurements'!D13-$D$4,"---")</f>
        <v>0.35412500000000002</v>
      </c>
      <c r="E35" s="18">
        <f ca="1">IF(ISNUMBER('Raw Plate Reader Measurements'!E13),'Raw Plate Reader Measurements'!E13-$D$4,"---")</f>
        <v>0.65612499999999996</v>
      </c>
      <c r="F35" s="18">
        <f ca="1">IF(ISNUMBER('Raw Plate Reader Measurements'!F13),'Raw Plate Reader Measurements'!F13-$D$4,"---")</f>
        <v>0.63012500000000005</v>
      </c>
      <c r="G35" s="18">
        <f ca="1">IF(ISNUMBER('Raw Plate Reader Measurements'!H13),'Raw Plate Reader Measurements'!H13-$D$4,"---")</f>
        <v>0.15012500000000001</v>
      </c>
      <c r="H35" s="18">
        <f ca="1">IF(ISNUMBER('Raw Plate Reader Measurements'!I13),'Raw Plate Reader Measurements'!I13-$D$4,"---")</f>
        <v>0.55212499999999998</v>
      </c>
      <c r="I35" s="18">
        <f ca="1">IF(ISNUMBER('Raw Plate Reader Measurements'!J13),'Raw Plate Reader Measurements'!J13-$D$4,"---")</f>
        <v>1.125000000000001E-3</v>
      </c>
      <c r="J35" s="18" t="str">
        <f>IF(ISNUMBER('Raw Plate Reader Measurements'!K13),'Raw Plate Reader Measurements'!K13-$D$4,"---")</f>
        <v>---</v>
      </c>
      <c r="K35" s="18" t="str">
        <f>IF(ISNUMBER('Raw Plate Reader Measurements'!L13),'Raw Plate Reader Measurements'!L13-$D$4,"---")</f>
        <v>---</v>
      </c>
      <c r="L35" s="18" t="str">
        <f>IF(ISNUMBER('Raw Plate Reader Measurements'!M13),'Raw Plate Reader Measurements'!M13-$D$4,"---")</f>
        <v>---</v>
      </c>
    </row>
    <row r="36" spans="1:12" x14ac:dyDescent="0.2">
      <c r="A36" s="26" t="s">
        <v>50</v>
      </c>
      <c r="B36" s="18">
        <f ca="1">IF(ISNUMBER('Raw Plate Reader Measurements'!B14),'Raw Plate Reader Measurements'!B14-$D$4,"---")</f>
        <v>0.69012499999999999</v>
      </c>
      <c r="C36" s="18">
        <f ca="1">IF(ISNUMBER('Raw Plate Reader Measurements'!C14),'Raw Plate Reader Measurements'!C14-$D$4,"---")</f>
        <v>0.68512499999999998</v>
      </c>
      <c r="D36" s="18">
        <f ca="1">IF(ISNUMBER('Raw Plate Reader Measurements'!D14),'Raw Plate Reader Measurements'!D14-$D$4,"---")</f>
        <v>0.31012499999999998</v>
      </c>
      <c r="E36" s="18">
        <f ca="1">IF(ISNUMBER('Raw Plate Reader Measurements'!E14),'Raw Plate Reader Measurements'!E14-$D$4,"---")</f>
        <v>0.60412500000000002</v>
      </c>
      <c r="F36" s="18">
        <f ca="1">IF(ISNUMBER('Raw Plate Reader Measurements'!F14),'Raw Plate Reader Measurements'!F14-$D$4,"---")</f>
        <v>0.53312499999999996</v>
      </c>
      <c r="G36" s="18">
        <f ca="1">IF(ISNUMBER('Raw Plate Reader Measurements'!H14),'Raw Plate Reader Measurements'!H14-$D$4,"---")</f>
        <v>0.141125</v>
      </c>
      <c r="H36" s="18">
        <f ca="1">IF(ISNUMBER('Raw Plate Reader Measurements'!I14),'Raw Plate Reader Measurements'!I14-$D$4,"---")</f>
        <v>0.50612500000000005</v>
      </c>
      <c r="I36" s="18">
        <f ca="1">IF(ISNUMBER('Raw Plate Reader Measurements'!J14),'Raw Plate Reader Measurements'!J14-$D$4,"---")</f>
        <v>-1.8750000000000017E-3</v>
      </c>
      <c r="J36" s="18" t="str">
        <f>IF(ISNUMBER('Raw Plate Reader Measurements'!K14),'Raw Plate Reader Measurements'!K14-$D$4,"---")</f>
        <v>---</v>
      </c>
      <c r="K36" s="18" t="str">
        <f>IF(ISNUMBER('Raw Plate Reader Measurements'!L14),'Raw Plate Reader Measurements'!L14-$D$4,"---")</f>
        <v>---</v>
      </c>
      <c r="L36" s="18" t="str">
        <f>IF(ISNUMBER('Raw Plate Reader Measurements'!M14),'Raw Plate Reader Measurements'!M14-$D$4,"---")</f>
        <v>---</v>
      </c>
    </row>
    <row r="37" spans="1:12" x14ac:dyDescent="0.2">
      <c r="A37" s="26" t="s">
        <v>51</v>
      </c>
      <c r="B37" s="18">
        <f ca="1">IF(ISNUMBER('Raw Plate Reader Measurements'!B15),'Raw Plate Reader Measurements'!B15-$D$4,"---")</f>
        <v>0.67112499999999997</v>
      </c>
      <c r="C37" s="18">
        <f ca="1">IF(ISNUMBER('Raw Plate Reader Measurements'!C15),'Raw Plate Reader Measurements'!C15-$D$4,"---")</f>
        <v>0.66812499999999997</v>
      </c>
      <c r="D37" s="18">
        <f ca="1">IF(ISNUMBER('Raw Plate Reader Measurements'!D15),'Raw Plate Reader Measurements'!D15-$D$4,"---")</f>
        <v>0.30612499999999998</v>
      </c>
      <c r="E37" s="18">
        <f ca="1">IF(ISNUMBER('Raw Plate Reader Measurements'!E15),'Raw Plate Reader Measurements'!E15-$D$4,"---")</f>
        <v>0.56312499999999999</v>
      </c>
      <c r="F37" s="18">
        <f ca="1">IF(ISNUMBER('Raw Plate Reader Measurements'!F15),'Raw Plate Reader Measurements'!F15-$D$4,"---")</f>
        <v>0.55412499999999998</v>
      </c>
      <c r="G37" s="18">
        <f ca="1">IF(ISNUMBER('Raw Plate Reader Measurements'!H15),'Raw Plate Reader Measurements'!H15-$D$4,"---")</f>
        <v>0.138125</v>
      </c>
      <c r="H37" s="18">
        <f ca="1">IF(ISNUMBER('Raw Plate Reader Measurements'!I15),'Raw Plate Reader Measurements'!I15-$D$4,"---")</f>
        <v>0.49512500000000004</v>
      </c>
      <c r="I37" s="18">
        <f ca="1">IF(ISNUMBER('Raw Plate Reader Measurements'!J15),'Raw Plate Reader Measurements'!J15-$D$4,"---")</f>
        <v>-8.7500000000000078E-4</v>
      </c>
      <c r="J37" s="18" t="str">
        <f>IF(ISNUMBER('Raw Plate Reader Measurements'!K15),'Raw Plate Reader Measurements'!K15-$D$4,"---")</f>
        <v>---</v>
      </c>
      <c r="K37" s="18" t="str">
        <f>IF(ISNUMBER('Raw Plate Reader Measurements'!L15),'Raw Plate Reader Measurements'!L15-$D$4,"---")</f>
        <v>---</v>
      </c>
      <c r="L37" s="18" t="str">
        <f>IF(ISNUMBER('Raw Plate Reader Measurements'!M15),'Raw Plate Reader Measurements'!M15-$D$4,"---")</f>
        <v>---</v>
      </c>
    </row>
    <row r="38" spans="1:12" x14ac:dyDescent="0.2">
      <c r="A38" s="26" t="s">
        <v>52</v>
      </c>
      <c r="B38" s="18">
        <f ca="1">IF(ISNUMBER('Raw Plate Reader Measurements'!B16),'Raw Plate Reader Measurements'!B16-$D$4,"---")</f>
        <v>0.65012499999999995</v>
      </c>
      <c r="C38" s="18">
        <f ca="1">IF(ISNUMBER('Raw Plate Reader Measurements'!C16),'Raw Plate Reader Measurements'!C16-$D$4,"---")</f>
        <v>0.62912500000000005</v>
      </c>
      <c r="D38" s="18">
        <f ca="1">IF(ISNUMBER('Raw Plate Reader Measurements'!D16),'Raw Plate Reader Measurements'!D16-$D$4,"---")</f>
        <v>0.580125</v>
      </c>
      <c r="E38" s="18">
        <f ca="1">IF(ISNUMBER('Raw Plate Reader Measurements'!E16),'Raw Plate Reader Measurements'!E16-$D$4,"---")</f>
        <v>0.60612500000000002</v>
      </c>
      <c r="F38" s="18">
        <f ca="1">IF(ISNUMBER('Raw Plate Reader Measurements'!F16),'Raw Plate Reader Measurements'!F16-$D$4,"---")</f>
        <v>0.61812500000000004</v>
      </c>
      <c r="G38" s="18">
        <f ca="1">IF(ISNUMBER('Raw Plate Reader Measurements'!H16),'Raw Plate Reader Measurements'!H16-$D$4,"---")</f>
        <v>0.15012500000000001</v>
      </c>
      <c r="H38" s="18">
        <f ca="1">IF(ISNUMBER('Raw Plate Reader Measurements'!I16),'Raw Plate Reader Measurements'!I16-$D$4,"---")</f>
        <v>0.63012500000000005</v>
      </c>
      <c r="I38" s="18">
        <f ca="1">IF(ISNUMBER('Raw Plate Reader Measurements'!J16),'Raw Plate Reader Measurements'!J16-$D$4,"---")</f>
        <v>1.2500000000000011E-4</v>
      </c>
      <c r="J38" s="18" t="str">
        <f>IF(ISNUMBER('Raw Plate Reader Measurements'!K16),'Raw Plate Reader Measurements'!K16-$D$4,"---")</f>
        <v>---</v>
      </c>
      <c r="K38" s="18" t="str">
        <f>IF(ISNUMBER('Raw Plate Reader Measurements'!L16),'Raw Plate Reader Measurements'!L16-$D$4,"---")</f>
        <v>---</v>
      </c>
      <c r="L38" s="18" t="str">
        <f>IF(ISNUMBER('Raw Plate Reader Measurements'!M16),'Raw Plate Reader Measurements'!M16-$D$4,"---")</f>
        <v>---</v>
      </c>
    </row>
    <row r="39" spans="1:12" x14ac:dyDescent="0.2">
      <c r="A39" s="26" t="s">
        <v>53</v>
      </c>
      <c r="B39" s="18">
        <f ca="1">IF(ISNUMBER('Raw Plate Reader Measurements'!B17),'Raw Plate Reader Measurements'!B17-$D$4,"---")</f>
        <v>0.64712500000000006</v>
      </c>
      <c r="C39" s="18">
        <f ca="1">IF(ISNUMBER('Raw Plate Reader Measurements'!C17),'Raw Plate Reader Measurements'!C17-$D$4,"---")</f>
        <v>0.59712500000000002</v>
      </c>
      <c r="D39" s="18">
        <f ca="1">IF(ISNUMBER('Raw Plate Reader Measurements'!D17),'Raw Plate Reader Measurements'!D17-$D$4,"---")</f>
        <v>0.61312500000000003</v>
      </c>
      <c r="E39" s="18">
        <f ca="1">IF(ISNUMBER('Raw Plate Reader Measurements'!E17),'Raw Plate Reader Measurements'!E17-$D$4,"---")</f>
        <v>0.61412500000000003</v>
      </c>
      <c r="F39" s="18">
        <f ca="1">IF(ISNUMBER('Raw Plate Reader Measurements'!F17),'Raw Plate Reader Measurements'!F17-$D$4,"---")</f>
        <v>0.55812499999999998</v>
      </c>
      <c r="G39" s="18">
        <f ca="1">IF(ISNUMBER('Raw Plate Reader Measurements'!H17),'Raw Plate Reader Measurements'!H17-$D$4,"---")</f>
        <v>0.143125</v>
      </c>
      <c r="H39" s="18">
        <f ca="1">IF(ISNUMBER('Raw Plate Reader Measurements'!I17),'Raw Plate Reader Measurements'!I17-$D$4,"---")</f>
        <v>0.52412500000000006</v>
      </c>
      <c r="I39" s="18">
        <f ca="1">IF(ISNUMBER('Raw Plate Reader Measurements'!J17),'Raw Plate Reader Measurements'!J17-$D$4,"---")</f>
        <v>-1.8750000000000017E-3</v>
      </c>
      <c r="J39" s="18" t="str">
        <f>IF(ISNUMBER('Raw Plate Reader Measurements'!K17),'Raw Plate Reader Measurements'!K17-$D$4,"---")</f>
        <v>---</v>
      </c>
      <c r="K39" s="18" t="str">
        <f>IF(ISNUMBER('Raw Plate Reader Measurements'!L17),'Raw Plate Reader Measurements'!L17-$D$4,"---")</f>
        <v>---</v>
      </c>
      <c r="L39" s="18" t="str">
        <f>IF(ISNUMBER('Raw Plate Reader Measurements'!M17),'Raw Plate Reader Measurements'!M17-$D$4,"---")</f>
        <v>---</v>
      </c>
    </row>
    <row r="40" spans="1:12" x14ac:dyDescent="0.2">
      <c r="A40" s="26" t="s">
        <v>54</v>
      </c>
      <c r="B40" s="18">
        <f ca="1">IF(ISNUMBER('Raw Plate Reader Measurements'!B18),'Raw Plate Reader Measurements'!B18-$D$4,"---")</f>
        <v>0.63112500000000005</v>
      </c>
      <c r="C40" s="18">
        <f ca="1">IF(ISNUMBER('Raw Plate Reader Measurements'!C18),'Raw Plate Reader Measurements'!C18-$D$4,"---")</f>
        <v>0.59512500000000002</v>
      </c>
      <c r="D40" s="18">
        <f ca="1">IF(ISNUMBER('Raw Plate Reader Measurements'!D18),'Raw Plate Reader Measurements'!D18-$D$4,"---")</f>
        <v>0.57112499999999999</v>
      </c>
      <c r="E40" s="18">
        <f ca="1">IF(ISNUMBER('Raw Plate Reader Measurements'!E18),'Raw Plate Reader Measurements'!E18-$D$4,"---")</f>
        <v>0.64112500000000006</v>
      </c>
      <c r="F40" s="18">
        <f ca="1">IF(ISNUMBER('Raw Plate Reader Measurements'!F18),'Raw Plate Reader Measurements'!F18-$D$4,"---")</f>
        <v>0.53012499999999996</v>
      </c>
      <c r="G40" s="18">
        <f ca="1">IF(ISNUMBER('Raw Plate Reader Measurements'!H18),'Raw Plate Reader Measurements'!H18-$D$4,"---")</f>
        <v>0.146125</v>
      </c>
      <c r="H40" s="18">
        <f ca="1">IF(ISNUMBER('Raw Plate Reader Measurements'!I18),'Raw Plate Reader Measurements'!I18-$D$4,"---")</f>
        <v>0.55712499999999998</v>
      </c>
      <c r="I40" s="18">
        <f ca="1">IF(ISNUMBER('Raw Plate Reader Measurements'!J18),'Raw Plate Reader Measurements'!J18-$D$4,"---")</f>
        <v>-8.7500000000000078E-4</v>
      </c>
      <c r="J40" s="18" t="str">
        <f>IF(ISNUMBER('Raw Plate Reader Measurements'!K18),'Raw Plate Reader Measurements'!K18-$D$4,"---")</f>
        <v>---</v>
      </c>
      <c r="K40" s="18" t="str">
        <f>IF(ISNUMBER('Raw Plate Reader Measurements'!L18),'Raw Plate Reader Measurements'!L18-$D$4,"---")</f>
        <v>---</v>
      </c>
      <c r="L40" s="18" t="str">
        <f>IF(ISNUMBER('Raw Plate Reader Measurements'!M18),'Raw Plate Reader Measurements'!M18-$D$4,"---")</f>
        <v>---</v>
      </c>
    </row>
    <row r="41" spans="1:12" x14ac:dyDescent="0.2">
      <c r="A41" s="26" t="s">
        <v>55</v>
      </c>
      <c r="B41" s="18">
        <f ca="1">IF(ISNUMBER('Raw Plate Reader Measurements'!B19),'Raw Plate Reader Measurements'!B19-$D$4,"---")</f>
        <v>0.64112500000000006</v>
      </c>
      <c r="C41" s="18">
        <f ca="1">IF(ISNUMBER('Raw Plate Reader Measurements'!C19),'Raw Plate Reader Measurements'!C19-$D$4,"---")</f>
        <v>0.62112500000000004</v>
      </c>
      <c r="D41" s="18">
        <f ca="1">IF(ISNUMBER('Raw Plate Reader Measurements'!D19),'Raw Plate Reader Measurements'!D19-$D$4,"---")</f>
        <v>0.583125</v>
      </c>
      <c r="E41" s="18">
        <f ca="1">IF(ISNUMBER('Raw Plate Reader Measurements'!E19),'Raw Plate Reader Measurements'!E19-$D$4,"---")</f>
        <v>0.61212500000000003</v>
      </c>
      <c r="F41" s="18">
        <f ca="1">IF(ISNUMBER('Raw Plate Reader Measurements'!F19),'Raw Plate Reader Measurements'!F19-$D$4,"---")</f>
        <v>0.54412499999999997</v>
      </c>
      <c r="G41" s="18">
        <f ca="1">IF(ISNUMBER('Raw Plate Reader Measurements'!H19),'Raw Plate Reader Measurements'!H19-$D$4,"---")</f>
        <v>0.143125</v>
      </c>
      <c r="H41" s="18">
        <f ca="1">IF(ISNUMBER('Raw Plate Reader Measurements'!I19),'Raw Plate Reader Measurements'!I19-$D$4,"---")</f>
        <v>0.52512499999999995</v>
      </c>
      <c r="I41" s="18">
        <f ca="1">IF(ISNUMBER('Raw Plate Reader Measurements'!J19),'Raw Plate Reader Measurements'!J19-$D$4,"---")</f>
        <v>4.1250000000000037E-3</v>
      </c>
      <c r="J41" s="18" t="str">
        <f>IF(ISNUMBER('Raw Plate Reader Measurements'!K19),'Raw Plate Reader Measurements'!K19-$D$4,"---")</f>
        <v>---</v>
      </c>
      <c r="K41" s="18" t="str">
        <f>IF(ISNUMBER('Raw Plate Reader Measurements'!L19),'Raw Plate Reader Measurements'!L19-$D$4,"---")</f>
        <v>---</v>
      </c>
      <c r="L41" s="18" t="str">
        <f>IF(ISNUMBER('Raw Plate Reader Measurements'!M19),'Raw Plate Reader Measurements'!M19-$D$4,"---")</f>
        <v>---</v>
      </c>
    </row>
    <row r="43" spans="1:12" ht="16" x14ac:dyDescent="0.2">
      <c r="A43" s="15" t="s">
        <v>30</v>
      </c>
    </row>
    <row r="44" spans="1:12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7</v>
      </c>
      <c r="H44" s="34">
        <v>8</v>
      </c>
      <c r="I44" s="34">
        <v>9</v>
      </c>
      <c r="J44" s="34">
        <v>10</v>
      </c>
      <c r="K44" s="34">
        <v>11</v>
      </c>
      <c r="L44" s="34">
        <v>12</v>
      </c>
    </row>
    <row r="45" spans="1:12" x14ac:dyDescent="0.2">
      <c r="A45" s="26" t="s">
        <v>48</v>
      </c>
      <c r="B45" s="31">
        <f ca="1">IF(ISNUMBER('Raw Plate Reader Measurements'!B24),'Raw Plate Reader Measurements'!B24-$D$5,"---")</f>
        <v>36.75</v>
      </c>
      <c r="C45" s="31">
        <f ca="1">IF(ISNUMBER('Raw Plate Reader Measurements'!C24),'Raw Plate Reader Measurements'!C24-$D$5,"---")</f>
        <v>1598.75</v>
      </c>
      <c r="D45" s="31">
        <f ca="1">IF(ISNUMBER('Raw Plate Reader Measurements'!D24),'Raw Plate Reader Measurements'!D24-$D$5,"---")</f>
        <v>6025.75</v>
      </c>
      <c r="E45" s="31">
        <f ca="1">IF(ISNUMBER('Raw Plate Reader Measurements'!E24),'Raw Plate Reader Measurements'!E24-$D$5,"---")</f>
        <v>2351.75</v>
      </c>
      <c r="F45" s="31">
        <f ca="1">IF(ISNUMBER('Raw Plate Reader Measurements'!F24),'Raw Plate Reader Measurements'!F24-$D$5,"---")</f>
        <v>139.75</v>
      </c>
      <c r="G45" s="31">
        <f ca="1">IF(ISNUMBER('Raw Plate Reader Measurements'!H24),'Raw Plate Reader Measurements'!H24-$D$5,"---")</f>
        <v>2212.75</v>
      </c>
      <c r="H45" s="31">
        <f ca="1">IF(ISNUMBER('Raw Plate Reader Measurements'!I24),'Raw Plate Reader Measurements'!I24-$D$5,"---")</f>
        <v>1335.75</v>
      </c>
      <c r="I45" s="31">
        <f ca="1">IF(ISNUMBER('Raw Plate Reader Measurements'!J24),'Raw Plate Reader Measurements'!J24-$D$5,"---")</f>
        <v>-24.25</v>
      </c>
      <c r="J45" s="31" t="str">
        <f>IF(ISNUMBER('Raw Plate Reader Measurements'!K24),'Raw Plate Reader Measurements'!K24-$D$5,"---")</f>
        <v>---</v>
      </c>
      <c r="K45" s="31" t="str">
        <f>IF(ISNUMBER('Raw Plate Reader Measurements'!L24),'Raw Plate Reader Measurements'!L24-$D$5,"---")</f>
        <v>---</v>
      </c>
      <c r="L45" s="31" t="str">
        <f>IF(ISNUMBER('Raw Plate Reader Measurements'!M24),'Raw Plate Reader Measurements'!M24-$D$5,"---")</f>
        <v>---</v>
      </c>
    </row>
    <row r="46" spans="1:12" x14ac:dyDescent="0.2">
      <c r="A46" s="26" t="s">
        <v>49</v>
      </c>
      <c r="B46" s="31">
        <f ca="1">IF(ISNUMBER('Raw Plate Reader Measurements'!B25),'Raw Plate Reader Measurements'!B25-$D$5,"---")</f>
        <v>21.75</v>
      </c>
      <c r="C46" s="31">
        <f ca="1">IF(ISNUMBER('Raw Plate Reader Measurements'!C25),'Raw Plate Reader Measurements'!C25-$D$5,"---")</f>
        <v>1646.75</v>
      </c>
      <c r="D46" s="31">
        <f ca="1">IF(ISNUMBER('Raw Plate Reader Measurements'!D25),'Raw Plate Reader Measurements'!D25-$D$5,"---")</f>
        <v>5075.75</v>
      </c>
      <c r="E46" s="31">
        <f ca="1">IF(ISNUMBER('Raw Plate Reader Measurements'!E25),'Raw Plate Reader Measurements'!E25-$D$5,"---")</f>
        <v>2003.75</v>
      </c>
      <c r="F46" s="31">
        <f ca="1">IF(ISNUMBER('Raw Plate Reader Measurements'!F25),'Raw Plate Reader Measurements'!F25-$D$5,"---")</f>
        <v>26.75</v>
      </c>
      <c r="G46" s="31">
        <f ca="1">IF(ISNUMBER('Raw Plate Reader Measurements'!H25),'Raw Plate Reader Measurements'!H25-$D$5,"---")</f>
        <v>1843.75</v>
      </c>
      <c r="H46" s="31">
        <f ca="1">IF(ISNUMBER('Raw Plate Reader Measurements'!I25),'Raw Plate Reader Measurements'!I25-$D$5,"---")</f>
        <v>1226.75</v>
      </c>
      <c r="I46" s="31">
        <f ca="1">IF(ISNUMBER('Raw Plate Reader Measurements'!J25),'Raw Plate Reader Measurements'!J25-$D$5,"---")</f>
        <v>-18.25</v>
      </c>
      <c r="J46" s="31" t="str">
        <f>IF(ISNUMBER('Raw Plate Reader Measurements'!K25),'Raw Plate Reader Measurements'!K25-$D$5,"---")</f>
        <v>---</v>
      </c>
      <c r="K46" s="31" t="str">
        <f>IF(ISNUMBER('Raw Plate Reader Measurements'!L25),'Raw Plate Reader Measurements'!L25-$D$5,"---")</f>
        <v>---</v>
      </c>
      <c r="L46" s="31" t="str">
        <f>IF(ISNUMBER('Raw Plate Reader Measurements'!M25),'Raw Plate Reader Measurements'!M25-$D$5,"---")</f>
        <v>---</v>
      </c>
    </row>
    <row r="47" spans="1:12" x14ac:dyDescent="0.2">
      <c r="A47" s="26" t="s">
        <v>50</v>
      </c>
      <c r="B47" s="31">
        <f ca="1">IF(ISNUMBER('Raw Plate Reader Measurements'!B26),'Raw Plate Reader Measurements'!B26-$D$5,"---")</f>
        <v>19.75</v>
      </c>
      <c r="C47" s="31">
        <f ca="1">IF(ISNUMBER('Raw Plate Reader Measurements'!C26),'Raw Plate Reader Measurements'!C26-$D$5,"---")</f>
        <v>1645.75</v>
      </c>
      <c r="D47" s="31">
        <f ca="1">IF(ISNUMBER('Raw Plate Reader Measurements'!D26),'Raw Plate Reader Measurements'!D26-$D$5,"---")</f>
        <v>4861.75</v>
      </c>
      <c r="E47" s="31">
        <f ca="1">IF(ISNUMBER('Raw Plate Reader Measurements'!E26),'Raw Plate Reader Measurements'!E26-$D$5,"---")</f>
        <v>2171.75</v>
      </c>
      <c r="F47" s="31">
        <f ca="1">IF(ISNUMBER('Raw Plate Reader Measurements'!F26),'Raw Plate Reader Measurements'!F26-$D$5,"---")</f>
        <v>36.75</v>
      </c>
      <c r="G47" s="31">
        <f ca="1">IF(ISNUMBER('Raw Plate Reader Measurements'!H26),'Raw Plate Reader Measurements'!H26-$D$5,"---")</f>
        <v>1853.75</v>
      </c>
      <c r="H47" s="31">
        <f ca="1">IF(ISNUMBER('Raw Plate Reader Measurements'!I26),'Raw Plate Reader Measurements'!I26-$D$5,"---")</f>
        <v>1170.75</v>
      </c>
      <c r="I47" s="31">
        <f ca="1">IF(ISNUMBER('Raw Plate Reader Measurements'!J26),'Raw Plate Reader Measurements'!J26-$D$5,"---")</f>
        <v>48.75</v>
      </c>
      <c r="J47" s="31" t="str">
        <f>IF(ISNUMBER('Raw Plate Reader Measurements'!K26),'Raw Plate Reader Measurements'!K26-$D$5,"---")</f>
        <v>---</v>
      </c>
      <c r="K47" s="31" t="str">
        <f>IF(ISNUMBER('Raw Plate Reader Measurements'!L26),'Raw Plate Reader Measurements'!L26-$D$5,"---")</f>
        <v>---</v>
      </c>
      <c r="L47" s="31" t="str">
        <f>IF(ISNUMBER('Raw Plate Reader Measurements'!M26),'Raw Plate Reader Measurements'!M26-$D$5,"---")</f>
        <v>---</v>
      </c>
    </row>
    <row r="48" spans="1:12" x14ac:dyDescent="0.2">
      <c r="A48" s="26" t="s">
        <v>51</v>
      </c>
      <c r="B48" s="31">
        <f ca="1">IF(ISNUMBER('Raw Plate Reader Measurements'!B27),'Raw Plate Reader Measurements'!B27-$D$5,"---")</f>
        <v>33.75</v>
      </c>
      <c r="C48" s="31">
        <f ca="1">IF(ISNUMBER('Raw Plate Reader Measurements'!C27),'Raw Plate Reader Measurements'!C27-$D$5,"---")</f>
        <v>1624.75</v>
      </c>
      <c r="D48" s="31">
        <f ca="1">IF(ISNUMBER('Raw Plate Reader Measurements'!D27),'Raw Plate Reader Measurements'!D27-$D$5,"---")</f>
        <v>4978.75</v>
      </c>
      <c r="E48" s="31">
        <f ca="1">IF(ISNUMBER('Raw Plate Reader Measurements'!E27),'Raw Plate Reader Measurements'!E27-$D$5,"---")</f>
        <v>2187.75</v>
      </c>
      <c r="F48" s="31">
        <f ca="1">IF(ISNUMBER('Raw Plate Reader Measurements'!F27),'Raw Plate Reader Measurements'!F27-$D$5,"---")</f>
        <v>19.75</v>
      </c>
      <c r="G48" s="31">
        <f ca="1">IF(ISNUMBER('Raw Plate Reader Measurements'!H27),'Raw Plate Reader Measurements'!H27-$D$5,"---")</f>
        <v>1734.75</v>
      </c>
      <c r="H48" s="31">
        <f ca="1">IF(ISNUMBER('Raw Plate Reader Measurements'!I27),'Raw Plate Reader Measurements'!I27-$D$5,"---")</f>
        <v>1235.75</v>
      </c>
      <c r="I48" s="31">
        <f ca="1">IF(ISNUMBER('Raw Plate Reader Measurements'!J27),'Raw Plate Reader Measurements'!J27-$D$5,"---")</f>
        <v>-8.25</v>
      </c>
      <c r="J48" s="31" t="str">
        <f>IF(ISNUMBER('Raw Plate Reader Measurements'!K27),'Raw Plate Reader Measurements'!K27-$D$5,"---")</f>
        <v>---</v>
      </c>
      <c r="K48" s="31" t="str">
        <f>IF(ISNUMBER('Raw Plate Reader Measurements'!L27),'Raw Plate Reader Measurements'!L27-$D$5,"---")</f>
        <v>---</v>
      </c>
      <c r="L48" s="31" t="str">
        <f>IF(ISNUMBER('Raw Plate Reader Measurements'!M27),'Raw Plate Reader Measurements'!M27-$D$5,"---")</f>
        <v>---</v>
      </c>
    </row>
    <row r="49" spans="1:12" x14ac:dyDescent="0.2">
      <c r="A49" s="26" t="s">
        <v>52</v>
      </c>
      <c r="B49" s="31">
        <f ca="1">IF(ISNUMBER('Raw Plate Reader Measurements'!B28),'Raw Plate Reader Measurements'!B28-$D$5,"---")</f>
        <v>36.75</v>
      </c>
      <c r="C49" s="31">
        <f ca="1">IF(ISNUMBER('Raw Plate Reader Measurements'!C28),'Raw Plate Reader Measurements'!C28-$D$5,"---")</f>
        <v>2881.75</v>
      </c>
      <c r="D49" s="31">
        <f ca="1">IF(ISNUMBER('Raw Plate Reader Measurements'!D28),'Raw Plate Reader Measurements'!D28-$D$5,"---")</f>
        <v>1275.75</v>
      </c>
      <c r="E49" s="31">
        <f ca="1">IF(ISNUMBER('Raw Plate Reader Measurements'!E28),'Raw Plate Reader Measurements'!E28-$D$5,"---")</f>
        <v>2430.75</v>
      </c>
      <c r="F49" s="31">
        <f ca="1">IF(ISNUMBER('Raw Plate Reader Measurements'!F28),'Raw Plate Reader Measurements'!F28-$D$5,"---")</f>
        <v>85.75</v>
      </c>
      <c r="G49" s="31">
        <f ca="1">IF(ISNUMBER('Raw Plate Reader Measurements'!H28),'Raw Plate Reader Measurements'!H28-$D$5,"---")</f>
        <v>1972.75</v>
      </c>
      <c r="H49" s="31">
        <f ca="1">IF(ISNUMBER('Raw Plate Reader Measurements'!I28),'Raw Plate Reader Measurements'!I28-$D$5,"---")</f>
        <v>1718.75</v>
      </c>
      <c r="I49" s="31">
        <f ca="1">IF(ISNUMBER('Raw Plate Reader Measurements'!J28),'Raw Plate Reader Measurements'!J28-$D$5,"---")</f>
        <v>-4.25</v>
      </c>
      <c r="J49" s="31" t="str">
        <f>IF(ISNUMBER('Raw Plate Reader Measurements'!K28),'Raw Plate Reader Measurements'!K28-$D$5,"---")</f>
        <v>---</v>
      </c>
      <c r="K49" s="31" t="str">
        <f>IF(ISNUMBER('Raw Plate Reader Measurements'!L28),'Raw Plate Reader Measurements'!L28-$D$5,"---")</f>
        <v>---</v>
      </c>
      <c r="L49" s="31" t="str">
        <f>IF(ISNUMBER('Raw Plate Reader Measurements'!M28),'Raw Plate Reader Measurements'!M28-$D$5,"---")</f>
        <v>---</v>
      </c>
    </row>
    <row r="50" spans="1:12" x14ac:dyDescent="0.2">
      <c r="A50" s="26" t="s">
        <v>53</v>
      </c>
      <c r="B50" s="31">
        <f ca="1">IF(ISNUMBER('Raw Plate Reader Measurements'!B29),'Raw Plate Reader Measurements'!B29-$D$5,"---")</f>
        <v>34.75</v>
      </c>
      <c r="C50" s="31">
        <f ca="1">IF(ISNUMBER('Raw Plate Reader Measurements'!C29),'Raw Plate Reader Measurements'!C29-$D$5,"---")</f>
        <v>1654.75</v>
      </c>
      <c r="D50" s="31">
        <f ca="1">IF(ISNUMBER('Raw Plate Reader Measurements'!D29),'Raw Plate Reader Measurements'!D29-$D$5,"---")</f>
        <v>1064.75</v>
      </c>
      <c r="E50" s="31">
        <f ca="1">IF(ISNUMBER('Raw Plate Reader Measurements'!E29),'Raw Plate Reader Measurements'!E29-$D$5,"---")</f>
        <v>2343.75</v>
      </c>
      <c r="F50" s="31">
        <f ca="1">IF(ISNUMBER('Raw Plate Reader Measurements'!F29),'Raw Plate Reader Measurements'!F29-$D$5,"---")</f>
        <v>54.75</v>
      </c>
      <c r="G50" s="31">
        <f ca="1">IF(ISNUMBER('Raw Plate Reader Measurements'!H29),'Raw Plate Reader Measurements'!H29-$D$5,"---")</f>
        <v>1590.75</v>
      </c>
      <c r="H50" s="31">
        <f ca="1">IF(ISNUMBER('Raw Plate Reader Measurements'!I29),'Raw Plate Reader Measurements'!I29-$D$5,"---")</f>
        <v>973.75</v>
      </c>
      <c r="I50" s="31">
        <f ca="1">IF(ISNUMBER('Raw Plate Reader Measurements'!J29),'Raw Plate Reader Measurements'!J29-$D$5,"---")</f>
        <v>-5.25</v>
      </c>
      <c r="J50" s="31" t="str">
        <f>IF(ISNUMBER('Raw Plate Reader Measurements'!K29),'Raw Plate Reader Measurements'!K29-$D$5,"---")</f>
        <v>---</v>
      </c>
      <c r="K50" s="31" t="str">
        <f>IF(ISNUMBER('Raw Plate Reader Measurements'!L29),'Raw Plate Reader Measurements'!L29-$D$5,"---")</f>
        <v>---</v>
      </c>
      <c r="L50" s="31" t="str">
        <f>IF(ISNUMBER('Raw Plate Reader Measurements'!M29),'Raw Plate Reader Measurements'!M29-$D$5,"---")</f>
        <v>---</v>
      </c>
    </row>
    <row r="51" spans="1:12" x14ac:dyDescent="0.2">
      <c r="A51" s="26" t="s">
        <v>54</v>
      </c>
      <c r="B51" s="31">
        <f ca="1">IF(ISNUMBER('Raw Plate Reader Measurements'!B30),'Raw Plate Reader Measurements'!B30-$D$5,"---")</f>
        <v>29.75</v>
      </c>
      <c r="C51" s="31">
        <f ca="1">IF(ISNUMBER('Raw Plate Reader Measurements'!C30),'Raw Plate Reader Measurements'!C30-$D$5,"---")</f>
        <v>1614.75</v>
      </c>
      <c r="D51" s="31">
        <f ca="1">IF(ISNUMBER('Raw Plate Reader Measurements'!D30),'Raw Plate Reader Measurements'!D30-$D$5,"---")</f>
        <v>1041.75</v>
      </c>
      <c r="E51" s="31">
        <f ca="1">IF(ISNUMBER('Raw Plate Reader Measurements'!E30),'Raw Plate Reader Measurements'!E30-$D$5,"---")</f>
        <v>2290.75</v>
      </c>
      <c r="F51" s="31">
        <f ca="1">IF(ISNUMBER('Raw Plate Reader Measurements'!F30),'Raw Plate Reader Measurements'!F30-$D$5,"---")</f>
        <v>43.75</v>
      </c>
      <c r="G51" s="31">
        <f ca="1">IF(ISNUMBER('Raw Plate Reader Measurements'!H30),'Raw Plate Reader Measurements'!H30-$D$5,"---")</f>
        <v>1556.75</v>
      </c>
      <c r="H51" s="31">
        <f ca="1">IF(ISNUMBER('Raw Plate Reader Measurements'!I30),'Raw Plate Reader Measurements'!I30-$D$5,"---")</f>
        <v>964.75</v>
      </c>
      <c r="I51" s="31">
        <f ca="1">IF(ISNUMBER('Raw Plate Reader Measurements'!J30),'Raw Plate Reader Measurements'!J30-$D$5,"---")</f>
        <v>5.75</v>
      </c>
      <c r="J51" s="31" t="str">
        <f>IF(ISNUMBER('Raw Plate Reader Measurements'!K30),'Raw Plate Reader Measurements'!K30-$D$5,"---")</f>
        <v>---</v>
      </c>
      <c r="K51" s="31" t="str">
        <f>IF(ISNUMBER('Raw Plate Reader Measurements'!L30),'Raw Plate Reader Measurements'!L30-$D$5,"---")</f>
        <v>---</v>
      </c>
      <c r="L51" s="31" t="str">
        <f>IF(ISNUMBER('Raw Plate Reader Measurements'!M30),'Raw Plate Reader Measurements'!M30-$D$5,"---")</f>
        <v>---</v>
      </c>
    </row>
    <row r="52" spans="1:12" x14ac:dyDescent="0.2">
      <c r="A52" s="26" t="s">
        <v>55</v>
      </c>
      <c r="B52" s="31">
        <f ca="1">IF(ISNUMBER('Raw Plate Reader Measurements'!B31),'Raw Plate Reader Measurements'!B31-$D$5,"---")</f>
        <v>21.75</v>
      </c>
      <c r="C52" s="31">
        <f ca="1">IF(ISNUMBER('Raw Plate Reader Measurements'!C31),'Raw Plate Reader Measurements'!C31-$D$5,"---")</f>
        <v>1644.75</v>
      </c>
      <c r="D52" s="31">
        <f ca="1">IF(ISNUMBER('Raw Plate Reader Measurements'!D31),'Raw Plate Reader Measurements'!D31-$D$5,"---")</f>
        <v>1069.75</v>
      </c>
      <c r="E52" s="31">
        <f ca="1">IF(ISNUMBER('Raw Plate Reader Measurements'!E31),'Raw Plate Reader Measurements'!E31-$D$5,"---")</f>
        <v>2372.75</v>
      </c>
      <c r="F52" s="31">
        <f ca="1">IF(ISNUMBER('Raw Plate Reader Measurements'!F31),'Raw Plate Reader Measurements'!F31-$D$5,"---")</f>
        <v>39.75</v>
      </c>
      <c r="G52" s="31">
        <f ca="1">IF(ISNUMBER('Raw Plate Reader Measurements'!H31),'Raw Plate Reader Measurements'!H31-$D$5,"---")</f>
        <v>1588.75</v>
      </c>
      <c r="H52" s="31">
        <f ca="1">IF(ISNUMBER('Raw Plate Reader Measurements'!I31),'Raw Plate Reader Measurements'!I31-$D$5,"---")</f>
        <v>970.75</v>
      </c>
      <c r="I52" s="31">
        <f ca="1">IF(ISNUMBER('Raw Plate Reader Measurements'!J31),'Raw Plate Reader Measurements'!J31-$D$5,"---")</f>
        <v>5.75</v>
      </c>
      <c r="J52" s="31" t="str">
        <f>IF(ISNUMBER('Raw Plate Reader Measurements'!K31),'Raw Plate Reader Measurements'!K31-$D$5,"---")</f>
        <v>---</v>
      </c>
      <c r="K52" s="31" t="str">
        <f>IF(ISNUMBER('Raw Plate Reader Measurements'!L31),'Raw Plate Reader Measurements'!L31-$D$5,"---")</f>
        <v>---</v>
      </c>
      <c r="L52" s="31" t="str">
        <f>IF(ISNUMBER('Raw Plate Reader Measurements'!M31),'Raw Plate Reader Measurements'!M31-$D$5,"---")</f>
        <v>---</v>
      </c>
    </row>
  </sheetData>
  <conditionalFormatting sqref="B12:L30">
    <cfRule type="expression" dxfId="0" priority="2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2019-06-24T17:07:30Z</dcterms:modified>
</cp:coreProperties>
</file>