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excel_process_validator/tests/samples/"/>
    </mc:Choice>
  </mc:AlternateContent>
  <xr:revisionPtr revIDLastSave="0" documentId="13_ncr:1_{788ED8A0-6D9A-9949-93D1-5C57BA1BEFA9}" xr6:coauthVersionLast="36" xr6:coauthVersionMax="36" xr10:uidLastSave="{00000000-0000-0000-0000-000000000000}"/>
  <bookViews>
    <workbookView xWindow="400" yWindow="460" windowWidth="30560" windowHeight="17640" tabRatio="646" activeTab="1" xr2:uid="{00000000-000D-0000-FFFF-FFFF00000000}"/>
  </bookViews>
  <sheets>
    <sheet name="Particle standard curve" sheetId="6" r:id="rId1"/>
    <sheet name="Fluorescein standard curve" sheetId="2" r:id="rId2"/>
    <sheet name="Raw Plate Reader Measurements" sheetId="5" r:id="rId3"/>
    <sheet name="Fluorescence per Particle" sheetId="7" r:id="rId4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6" l="1"/>
  <c r="T29" i="6"/>
  <c r="T27" i="6"/>
  <c r="T23" i="6"/>
  <c r="T24" i="6" s="1"/>
  <c r="T26" i="6" s="1"/>
  <c r="T28" i="6" s="1"/>
  <c r="T30" i="6" s="1"/>
  <c r="T26" i="2" l="1"/>
  <c r="M7" i="6"/>
  <c r="L7" i="6"/>
  <c r="K7" i="6"/>
  <c r="J7" i="6"/>
  <c r="I7" i="6"/>
  <c r="H7" i="6"/>
  <c r="G7" i="6"/>
  <c r="F7" i="6"/>
  <c r="E7" i="6"/>
  <c r="D7" i="6"/>
  <c r="C7" i="6"/>
  <c r="B7" i="6"/>
  <c r="M6" i="6"/>
  <c r="L6" i="6"/>
  <c r="K6" i="6"/>
  <c r="J6" i="6"/>
  <c r="I6" i="6"/>
  <c r="H6" i="6"/>
  <c r="G6" i="6"/>
  <c r="F6" i="6"/>
  <c r="E6" i="6"/>
  <c r="D6" i="6"/>
  <c r="C6" i="6"/>
  <c r="B6" i="6"/>
  <c r="M7" i="2"/>
  <c r="L7" i="2"/>
  <c r="K7" i="2"/>
  <c r="J7" i="2"/>
  <c r="I7" i="2"/>
  <c r="H7" i="2"/>
  <c r="G7" i="2"/>
  <c r="F7" i="2"/>
  <c r="E7" i="2"/>
  <c r="D7" i="2"/>
  <c r="C7" i="2"/>
  <c r="B7" i="2"/>
  <c r="M6" i="2"/>
  <c r="L6" i="2"/>
  <c r="K6" i="2"/>
  <c r="J6" i="2"/>
  <c r="I6" i="2"/>
  <c r="H6" i="2"/>
  <c r="G6" i="2"/>
  <c r="F6" i="2"/>
  <c r="E6" i="2"/>
  <c r="D6" i="2"/>
  <c r="C6" i="2"/>
  <c r="B6" i="2"/>
  <c r="M52" i="7"/>
  <c r="L52" i="7"/>
  <c r="K52" i="7"/>
  <c r="M51" i="7"/>
  <c r="L51" i="7"/>
  <c r="K51" i="7"/>
  <c r="M50" i="7"/>
  <c r="L50" i="7"/>
  <c r="K50" i="7"/>
  <c r="M49" i="7"/>
  <c r="L49" i="7"/>
  <c r="K49" i="7"/>
  <c r="L48" i="7"/>
  <c r="K48" i="7"/>
  <c r="L47" i="7"/>
  <c r="K47" i="7"/>
  <c r="L46" i="7"/>
  <c r="K46" i="7"/>
  <c r="M45" i="7"/>
  <c r="L45" i="7"/>
  <c r="K45" i="7"/>
  <c r="M41" i="7"/>
  <c r="L41" i="7"/>
  <c r="K41" i="7"/>
  <c r="M40" i="7"/>
  <c r="L40" i="7"/>
  <c r="K40" i="7"/>
  <c r="M39" i="7"/>
  <c r="L39" i="7"/>
  <c r="K39" i="7"/>
  <c r="M38" i="7"/>
  <c r="L38" i="7"/>
  <c r="K38" i="7"/>
  <c r="M37" i="7"/>
  <c r="L37" i="7"/>
  <c r="K37" i="7"/>
  <c r="L36" i="7"/>
  <c r="K36" i="7"/>
  <c r="L35" i="7"/>
  <c r="K35" i="7"/>
  <c r="L34" i="7"/>
  <c r="K34" i="7"/>
  <c r="H5" i="5"/>
  <c r="H6" i="5"/>
  <c r="L8" i="6" l="1"/>
  <c r="E8" i="2"/>
  <c r="D8" i="6"/>
  <c r="E8" i="6"/>
  <c r="B8" i="2"/>
  <c r="D7" i="7"/>
  <c r="F8" i="2"/>
  <c r="G8" i="2"/>
  <c r="H8" i="2"/>
  <c r="I8" i="2"/>
  <c r="J8" i="2"/>
  <c r="D8" i="2"/>
  <c r="K8" i="2"/>
  <c r="C8" i="2"/>
  <c r="L8" i="2"/>
  <c r="G8" i="6"/>
  <c r="H8" i="6"/>
  <c r="I8" i="6"/>
  <c r="F8" i="6"/>
  <c r="J8" i="6"/>
  <c r="B8" i="6"/>
  <c r="K8" i="6"/>
  <c r="C8" i="6"/>
  <c r="H8" i="5"/>
  <c r="H7" i="5"/>
  <c r="D5" i="7" l="1"/>
  <c r="D4" i="7"/>
  <c r="T22" i="2"/>
  <c r="G41" i="7" l="1"/>
  <c r="C40" i="7"/>
  <c r="G39" i="7"/>
  <c r="C38" i="7"/>
  <c r="G37" i="7"/>
  <c r="J36" i="7"/>
  <c r="B36" i="7"/>
  <c r="E35" i="7"/>
  <c r="G34" i="7"/>
  <c r="E34" i="7"/>
  <c r="H35" i="7"/>
  <c r="E40" i="7"/>
  <c r="D40" i="7"/>
  <c r="F35" i="7"/>
  <c r="F41" i="7"/>
  <c r="J40" i="7"/>
  <c r="B40" i="7"/>
  <c r="F39" i="7"/>
  <c r="J38" i="7"/>
  <c r="B38" i="7"/>
  <c r="F37" i="7"/>
  <c r="I36" i="7"/>
  <c r="D35" i="7"/>
  <c r="F34" i="7"/>
  <c r="B37" i="7"/>
  <c r="I41" i="7"/>
  <c r="D36" i="7"/>
  <c r="H41" i="7"/>
  <c r="H34" i="7"/>
  <c r="E41" i="7"/>
  <c r="I40" i="7"/>
  <c r="E39" i="7"/>
  <c r="I38" i="7"/>
  <c r="E37" i="7"/>
  <c r="H36" i="7"/>
  <c r="C35" i="7"/>
  <c r="E36" i="7"/>
  <c r="E38" i="7"/>
  <c r="B35" i="7"/>
  <c r="H39" i="7"/>
  <c r="D41" i="7"/>
  <c r="H40" i="7"/>
  <c r="D39" i="7"/>
  <c r="H38" i="7"/>
  <c r="D37" i="7"/>
  <c r="G36" i="7"/>
  <c r="J35" i="7"/>
  <c r="D34" i="7"/>
  <c r="B39" i="7"/>
  <c r="I37" i="7"/>
  <c r="D38" i="7"/>
  <c r="C41" i="7"/>
  <c r="G40" i="7"/>
  <c r="C39" i="7"/>
  <c r="G38" i="7"/>
  <c r="C37" i="7"/>
  <c r="F36" i="7"/>
  <c r="I35" i="7"/>
  <c r="C34" i="7"/>
  <c r="F38" i="7"/>
  <c r="B34" i="7"/>
  <c r="I39" i="7"/>
  <c r="I34" i="7"/>
  <c r="C36" i="7"/>
  <c r="J41" i="7"/>
  <c r="B41" i="7"/>
  <c r="F40" i="7"/>
  <c r="J39" i="7"/>
  <c r="J37" i="7"/>
  <c r="J34" i="7"/>
  <c r="G35" i="7"/>
  <c r="H37" i="7"/>
  <c r="M46" i="7"/>
  <c r="J52" i="7"/>
  <c r="B52" i="7"/>
  <c r="F51" i="7"/>
  <c r="J50" i="7"/>
  <c r="B50" i="7"/>
  <c r="F49" i="7"/>
  <c r="I48" i="7"/>
  <c r="D47" i="7"/>
  <c r="G46" i="7"/>
  <c r="C45" i="7"/>
  <c r="E51" i="7"/>
  <c r="I50" i="7"/>
  <c r="E49" i="7"/>
  <c r="C47" i="7"/>
  <c r="F46" i="7"/>
  <c r="B45" i="7"/>
  <c r="D50" i="7"/>
  <c r="I46" i="7"/>
  <c r="G51" i="7"/>
  <c r="H46" i="7"/>
  <c r="I52" i="7"/>
  <c r="H48" i="7"/>
  <c r="J45" i="7"/>
  <c r="J48" i="7"/>
  <c r="H52" i="7"/>
  <c r="D51" i="7"/>
  <c r="H50" i="7"/>
  <c r="D49" i="7"/>
  <c r="G48" i="7"/>
  <c r="J47" i="7"/>
  <c r="B47" i="7"/>
  <c r="E46" i="7"/>
  <c r="I45" i="7"/>
  <c r="I51" i="7"/>
  <c r="D48" i="7"/>
  <c r="B46" i="7"/>
  <c r="H49" i="7"/>
  <c r="C52" i="7"/>
  <c r="E47" i="7"/>
  <c r="G52" i="7"/>
  <c r="C51" i="7"/>
  <c r="G50" i="7"/>
  <c r="C49" i="7"/>
  <c r="F48" i="7"/>
  <c r="I47" i="7"/>
  <c r="D46" i="7"/>
  <c r="H45" i="7"/>
  <c r="E52" i="7"/>
  <c r="G47" i="7"/>
  <c r="J46" i="7"/>
  <c r="C48" i="7"/>
  <c r="E45" i="7"/>
  <c r="C50" i="7"/>
  <c r="D45" i="7"/>
  <c r="F52" i="7"/>
  <c r="J51" i="7"/>
  <c r="B51" i="7"/>
  <c r="F50" i="7"/>
  <c r="J49" i="7"/>
  <c r="B49" i="7"/>
  <c r="E48" i="7"/>
  <c r="H47" i="7"/>
  <c r="C46" i="7"/>
  <c r="G45" i="7"/>
  <c r="I49" i="7"/>
  <c r="F45" i="7"/>
  <c r="H51" i="7"/>
  <c r="G49" i="7"/>
  <c r="E50" i="7"/>
  <c r="D52" i="7"/>
  <c r="F47" i="7"/>
  <c r="B48" i="7"/>
  <c r="M36" i="7"/>
  <c r="M48" i="7"/>
  <c r="M47" i="7"/>
  <c r="M35" i="7"/>
  <c r="M34" i="7"/>
  <c r="T24" i="2"/>
  <c r="T25" i="2" s="1"/>
  <c r="B28" i="2" l="1"/>
  <c r="C1" i="2"/>
  <c r="D1" i="2" s="1"/>
  <c r="E1" i="2" s="1"/>
  <c r="F1" i="2" s="1"/>
  <c r="G1" i="2" s="1"/>
  <c r="H1" i="2" s="1"/>
  <c r="I1" i="2" s="1"/>
  <c r="J1" i="2" s="1"/>
  <c r="K1" i="2" s="1"/>
  <c r="L1" i="2" s="1"/>
  <c r="L28" i="2" s="1"/>
  <c r="B29" i="6" l="1"/>
  <c r="C1" i="6"/>
  <c r="D1" i="6" s="1"/>
  <c r="D29" i="6" s="1"/>
  <c r="F28" i="2"/>
  <c r="G28" i="2"/>
  <c r="L29" i="2"/>
  <c r="K28" i="2"/>
  <c r="J28" i="2"/>
  <c r="B29" i="2"/>
  <c r="C29" i="2"/>
  <c r="H29" i="2"/>
  <c r="G29" i="2"/>
  <c r="C28" i="2"/>
  <c r="J29" i="2"/>
  <c r="K29" i="2"/>
  <c r="D28" i="2"/>
  <c r="F29" i="2"/>
  <c r="E28" i="2"/>
  <c r="H28" i="2"/>
  <c r="D29" i="2"/>
  <c r="I29" i="2"/>
  <c r="E29" i="2"/>
  <c r="I28" i="2"/>
  <c r="C29" i="6" l="1"/>
  <c r="C30" i="2"/>
  <c r="C31" i="2" s="1"/>
  <c r="D3" i="7" s="1"/>
  <c r="E1" i="6"/>
  <c r="E29" i="6" s="1"/>
  <c r="D28" i="6"/>
  <c r="B28" i="6"/>
  <c r="C28" i="6"/>
  <c r="F1" i="6" l="1"/>
  <c r="F29" i="6" s="1"/>
  <c r="E28" i="6"/>
  <c r="G1" i="6" l="1"/>
  <c r="G29" i="6" s="1"/>
  <c r="C30" i="6" s="1"/>
  <c r="D2" i="7" s="1"/>
  <c r="D6" i="7" s="1"/>
  <c r="F28" i="6"/>
  <c r="L25" i="7" l="1"/>
  <c r="K30" i="7"/>
  <c r="E25" i="7"/>
  <c r="J28" i="7"/>
  <c r="G30" i="7"/>
  <c r="C29" i="7"/>
  <c r="I28" i="7"/>
  <c r="C26" i="7"/>
  <c r="D24" i="7"/>
  <c r="D26" i="7"/>
  <c r="J26" i="7"/>
  <c r="I24" i="7"/>
  <c r="M15" i="7"/>
  <c r="J19" i="7"/>
  <c r="D12" i="7"/>
  <c r="D19" i="7"/>
  <c r="L13" i="7"/>
  <c r="J17" i="7"/>
  <c r="M16" i="7"/>
  <c r="G17" i="7"/>
  <c r="C17" i="7"/>
  <c r="G19" i="7"/>
  <c r="H15" i="7"/>
  <c r="M13" i="7"/>
  <c r="K18" i="7"/>
  <c r="K25" i="7"/>
  <c r="D25" i="7"/>
  <c r="J30" i="7"/>
  <c r="B28" i="7"/>
  <c r="J24" i="7"/>
  <c r="F14" i="7"/>
  <c r="K17" i="7"/>
  <c r="F17" i="7"/>
  <c r="K16" i="7"/>
  <c r="M29" i="7"/>
  <c r="F24" i="7"/>
  <c r="E30" i="7"/>
  <c r="I18" i="7"/>
  <c r="H16" i="7"/>
  <c r="M12" i="7"/>
  <c r="C14" i="7"/>
  <c r="K27" i="7"/>
  <c r="F27" i="7"/>
  <c r="H23" i="7"/>
  <c r="E23" i="7"/>
  <c r="G18" i="7"/>
  <c r="L15" i="7"/>
  <c r="L18" i="7"/>
  <c r="F19" i="7"/>
  <c r="F30" i="7"/>
  <c r="D30" i="7"/>
  <c r="E27" i="7"/>
  <c r="L16" i="7"/>
  <c r="G12" i="7"/>
  <c r="H17" i="7"/>
  <c r="K26" i="7"/>
  <c r="H30" i="7"/>
  <c r="F28" i="7"/>
  <c r="H27" i="7"/>
  <c r="C13" i="7"/>
  <c r="B19" i="7"/>
  <c r="L14" i="7"/>
  <c r="L30" i="7"/>
  <c r="L27" i="7"/>
  <c r="K29" i="7"/>
  <c r="C28" i="7"/>
  <c r="D27" i="7"/>
  <c r="H25" i="7"/>
  <c r="M23" i="7"/>
  <c r="F26" i="7"/>
  <c r="M25" i="7"/>
  <c r="B25" i="7"/>
  <c r="F23" i="7"/>
  <c r="G25" i="7"/>
  <c r="B12" i="7"/>
  <c r="E15" i="7"/>
  <c r="B17" i="7"/>
  <c r="C18" i="7"/>
  <c r="H18" i="7"/>
  <c r="D13" i="7"/>
  <c r="J15" i="7"/>
  <c r="E16" i="7"/>
  <c r="K14" i="7"/>
  <c r="K15" i="7"/>
  <c r="C16" i="7"/>
  <c r="L12" i="7"/>
  <c r="K13" i="7"/>
  <c r="C23" i="7"/>
  <c r="E19" i="7"/>
  <c r="B13" i="7"/>
  <c r="J18" i="7"/>
  <c r="K23" i="7"/>
  <c r="C24" i="7"/>
  <c r="I12" i="7"/>
  <c r="G16" i="7"/>
  <c r="F16" i="7"/>
  <c r="I26" i="7"/>
  <c r="F25" i="7"/>
  <c r="I27" i="7"/>
  <c r="H19" i="7"/>
  <c r="I19" i="7"/>
  <c r="M18" i="7"/>
  <c r="D23" i="7"/>
  <c r="G27" i="7"/>
  <c r="E17" i="7"/>
  <c r="E18" i="7"/>
  <c r="I13" i="7"/>
  <c r="I25" i="7"/>
  <c r="I23" i="7"/>
  <c r="I16" i="7"/>
  <c r="H14" i="7"/>
  <c r="C19" i="7"/>
  <c r="M28" i="7"/>
  <c r="L26" i="7"/>
  <c r="L24" i="7"/>
  <c r="E29" i="7"/>
  <c r="H29" i="7"/>
  <c r="J23" i="7"/>
  <c r="G28" i="7"/>
  <c r="D28" i="7"/>
  <c r="G29" i="7"/>
  <c r="G24" i="7"/>
  <c r="B24" i="7"/>
  <c r="J27" i="7"/>
  <c r="M19" i="7"/>
  <c r="I14" i="7"/>
  <c r="B15" i="7"/>
  <c r="G15" i="7"/>
  <c r="L17" i="7"/>
  <c r="H12" i="7"/>
  <c r="J13" i="7"/>
  <c r="I15" i="7"/>
  <c r="C12" i="7"/>
  <c r="K12" i="7"/>
  <c r="L23" i="7"/>
  <c r="G23" i="7"/>
  <c r="E24" i="7"/>
  <c r="B30" i="7"/>
  <c r="H28" i="7"/>
  <c r="E13" i="7"/>
  <c r="G13" i="7"/>
  <c r="M14" i="7"/>
  <c r="F18" i="7"/>
  <c r="M27" i="7"/>
  <c r="H26" i="7"/>
  <c r="B23" i="7"/>
  <c r="J29" i="7"/>
  <c r="D29" i="7"/>
  <c r="E14" i="7"/>
  <c r="F12" i="7"/>
  <c r="F15" i="7"/>
  <c r="L29" i="7"/>
  <c r="I29" i="7"/>
  <c r="F29" i="7"/>
  <c r="M17" i="7"/>
  <c r="G14" i="7"/>
  <c r="E12" i="7"/>
  <c r="M26" i="7"/>
  <c r="C25" i="7"/>
  <c r="C27" i="7"/>
  <c r="I30" i="7"/>
  <c r="C15" i="7"/>
  <c r="D15" i="7"/>
  <c r="K19" i="7"/>
  <c r="K24" i="7"/>
  <c r="E26" i="7"/>
  <c r="E28" i="7"/>
  <c r="H24" i="7"/>
  <c r="D14" i="7"/>
  <c r="I17" i="7"/>
  <c r="D18" i="7"/>
  <c r="L28" i="7"/>
  <c r="D17" i="7"/>
  <c r="J25" i="7"/>
  <c r="M24" i="7"/>
  <c r="B18" i="7"/>
  <c r="J14" i="7"/>
  <c r="K28" i="7"/>
  <c r="C30" i="7"/>
  <c r="B16" i="7"/>
  <c r="J12" i="7"/>
  <c r="M30" i="7"/>
  <c r="G26" i="7"/>
  <c r="B27" i="7"/>
  <c r="F13" i="7"/>
  <c r="D16" i="7"/>
  <c r="J16" i="7"/>
  <c r="B29" i="7"/>
  <c r="B26" i="7"/>
  <c r="L19" i="7"/>
  <c r="H13" i="7"/>
  <c r="B14" i="7"/>
  <c r="H1" i="6"/>
  <c r="H29" i="6" s="1"/>
  <c r="G28" i="6"/>
  <c r="I1" i="6" l="1"/>
  <c r="I29" i="6" s="1"/>
  <c r="H28" i="6"/>
  <c r="J1" i="6" l="1"/>
  <c r="J29" i="6" s="1"/>
  <c r="I28" i="6"/>
  <c r="K1" i="6" l="1"/>
  <c r="K29" i="6" s="1"/>
  <c r="J28" i="6"/>
  <c r="L1" i="6" l="1"/>
  <c r="K28" i="6"/>
  <c r="L28" i="6" l="1"/>
  <c r="L29" i="6"/>
</calcChain>
</file>

<file path=xl/sharedStrings.xml><?xml version="1.0" encoding="utf-8"?>
<sst xmlns="http://schemas.openxmlformats.org/spreadsheetml/2006/main" count="156" uniqueCount="94">
  <si>
    <t>Replicate 1</t>
  </si>
  <si>
    <t>Replicate 2</t>
  </si>
  <si>
    <t>Replicate 3</t>
  </si>
  <si>
    <t>Replicate 4</t>
  </si>
  <si>
    <t>Arith. Mean</t>
  </si>
  <si>
    <t>Gold cells are calculated</t>
  </si>
  <si>
    <t>Enter fluorescence measurements into blue cells</t>
  </si>
  <si>
    <t>Arith. Std.Dev.</t>
  </si>
  <si>
    <t>Values measured are fluorescence from 100uL of X uM fluorescein solution</t>
  </si>
  <si>
    <t>Values should form a straight line on both linear and log scale</t>
  </si>
  <si>
    <t>Slope should be 1:1</t>
  </si>
  <si>
    <t>Common problems:</t>
  </si>
  <si>
    <t>* Consistent pipetting error --&gt; log graph is a straight line but not 1:1 slope</t>
  </si>
  <si>
    <t>* Oversaturated detector --&gt; low concentrations linear, but high concentrations saturate or fall</t>
  </si>
  <si>
    <t>Mean of med-high levels:</t>
  </si>
  <si>
    <t>Unit Scaling Factors:</t>
  </si>
  <si>
    <t>Experimental Values:</t>
  </si>
  <si>
    <t>Final scaling level determined from medium-high points likely to be less impacted by saturation or pipetting error</t>
  </si>
  <si>
    <t>If needed, you can shift which points are used, but it is likely better to correct instrument settings and protocol.</t>
  </si>
  <si>
    <t>Raw Plate Readings</t>
  </si>
  <si>
    <t>Fluorescence Raw Readings:</t>
  </si>
  <si>
    <t>Abs600 Raw Readings:</t>
  </si>
  <si>
    <t>Enter fluorescence and Abs600 measurements into blue cells on "Raw Plate Reader Measurements"</t>
  </si>
  <si>
    <t>Number of Particles</t>
  </si>
  <si>
    <t>Enter Abs600 measurements into blue cells</t>
  </si>
  <si>
    <t>Mean particles / Abs600</t>
  </si>
  <si>
    <t>Particles / Abs600</t>
  </si>
  <si>
    <t>Fluorescein/a.u.</t>
  </si>
  <si>
    <t>Mean uM fluorescein / a.u.:</t>
  </si>
  <si>
    <t>Net Abs 600</t>
  </si>
  <si>
    <t>Net Fluorescein a.u.</t>
  </si>
  <si>
    <t>MEFL / particle</t>
  </si>
  <si>
    <t>MEFL / a.u.</t>
  </si>
  <si>
    <t>MEFL / a.u.:</t>
  </si>
  <si>
    <t>Spheres/gram</t>
  </si>
  <si>
    <t>Cospheric Monodisperse Silica Microspheres 0.961um diameter</t>
  </si>
  <si>
    <t>grams/mL</t>
  </si>
  <si>
    <t>Resuspend volume mL:</t>
  </si>
  <si>
    <t>Arith. Net Mean</t>
  </si>
  <si>
    <t>Fluorescein uM</t>
  </si>
  <si>
    <t>Initial Molarity</t>
  </si>
  <si>
    <t>Molecules / Mole</t>
  </si>
  <si>
    <t>Well volume (L):</t>
  </si>
  <si>
    <t>Fluorescein uM --&gt; MEFL calculation:</t>
  </si>
  <si>
    <t>MEFL / uM</t>
  </si>
  <si>
    <t>Well volume (mL)</t>
  </si>
  <si>
    <t>uM Fluorescein/a.u.</t>
  </si>
  <si>
    <t>Gold cells are calculated from values on other sheets</t>
  </si>
  <si>
    <t>A</t>
  </si>
  <si>
    <t>B</t>
  </si>
  <si>
    <t>C</t>
  </si>
  <si>
    <t>D</t>
  </si>
  <si>
    <t>E</t>
  </si>
  <si>
    <t>F</t>
  </si>
  <si>
    <t>G</t>
  </si>
  <si>
    <t>H</t>
  </si>
  <si>
    <t>They will automatically propagate into the correct locations in the Fluorescence per Particle Sheet</t>
  </si>
  <si>
    <t>Scaling is computed from medium-high points likely to be less impacted by saturation or pipetting error</t>
  </si>
  <si>
    <t>https://www.cospheric.com/SiO2MS_monodisperse_silica_spheres_beads_nm_microns.htm</t>
  </si>
  <si>
    <t>Number supplied by manufacturer</t>
  </si>
  <si>
    <t>Spheres/0.50 mL</t>
  </si>
  <si>
    <t>Shipped volume from manufacturer</t>
  </si>
  <si>
    <t>Preparation by iGEM HQ</t>
  </si>
  <si>
    <t>Dilution for stock solution:</t>
  </si>
  <si>
    <t>Tube Particles / mL:</t>
  </si>
  <si>
    <t>Stock Particles / mL:</t>
  </si>
  <si>
    <t>Amount of stock left in initial well after protocol</t>
  </si>
  <si>
    <t>Particle density in measurement kit tube</t>
  </si>
  <si>
    <t>Particle density in prepared stock solution</t>
  </si>
  <si>
    <t>Amount of particles left in first well</t>
  </si>
  <si>
    <t>First well row (A-H):</t>
  </si>
  <si>
    <t>First well column (1-12):</t>
  </si>
  <si>
    <t>Last well row (A-H):</t>
  </si>
  <si>
    <t>Last well column (1-12):</t>
  </si>
  <si>
    <t>Abs600 blanks:</t>
  </si>
  <si>
    <t>Fluorescence blanks:</t>
  </si>
  <si>
    <t>Media Blank Control Wells:</t>
  </si>
  <si>
    <t>Identify the plate wells containing your media blank controls in the blue cells; the ranges will be calculated in gold and highlighted in green eblow</t>
  </si>
  <si>
    <t>Copy Abs600 and fluorescence measurements from your plate reader into the blue and green cells of the plate rectangles</t>
  </si>
  <si>
    <t>Abs600 blank mean:</t>
  </si>
  <si>
    <t>Fluorescence blank mean:</t>
  </si>
  <si>
    <t>Calculated values imported from prior sheets</t>
  </si>
  <si>
    <t>Calibration ready?</t>
  </si>
  <si>
    <t>Avogadro's Number</t>
  </si>
  <si>
    <t>Control blanks:</t>
  </si>
  <si>
    <t>The MEFL/particle values for these cells will generally be invalid, and are highlighed in red.</t>
  </si>
  <si>
    <t>10 micro-molar, per protocol</t>
  </si>
  <si>
    <t>100 micro-liters</t>
  </si>
  <si>
    <t>molecules/mole * moles/liter * liters</t>
  </si>
  <si>
    <t>Initial Molecules / well:</t>
  </si>
  <si>
    <t>Initial particles / well:</t>
  </si>
  <si>
    <t>initial well molecules / 10 micromoles</t>
  </si>
  <si>
    <t>Equivalent particle count:</t>
  </si>
  <si>
    <t>100 uL from tube + 900 ddH20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</si>
</sst>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E+00"/>
    <numFmt numFmtId="167" formatCode="0.0"/>
  </numFmts>
  <fonts count="10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i/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 tint="0.49998474074526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5" fillId="0" borderId="0" xfId="0" applyFont="1"/>
    <xf numFmtId="0" fontId="6" fillId="0" borderId="2" xfId="0" applyFont="1" applyBorder="1"/>
    <xf numFmtId="0" fontId="6" fillId="0" borderId="0" xfId="0" applyFont="1"/>
    <xf numFmtId="11" fontId="4" fillId="0" borderId="0" xfId="0" applyNumberFormat="1" applyFont="1"/>
    <xf numFmtId="11" fontId="0" fillId="3" borderId="3" xfId="0" applyNumberFormat="1" applyFill="1" applyBorder="1"/>
    <xf numFmtId="0" fontId="1" fillId="0" borderId="0" xfId="0" applyFont="1"/>
    <xf numFmtId="0" fontId="7" fillId="0" borderId="0" xfId="0" applyFont="1"/>
    <xf numFmtId="0" fontId="8" fillId="0" borderId="0" xfId="0" applyFont="1"/>
    <xf numFmtId="11" fontId="1" fillId="0" borderId="0" xfId="0" applyNumberFormat="1" applyFont="1" applyAlignment="1">
      <alignment horizontal="center"/>
    </xf>
    <xf numFmtId="165" fontId="0" fillId="2" borderId="1" xfId="0" applyNumberFormat="1" applyFill="1" applyBorder="1"/>
    <xf numFmtId="165" fontId="0" fillId="3" borderId="1" xfId="0" applyNumberFormat="1" applyFill="1" applyBorder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6" fontId="0" fillId="2" borderId="1" xfId="0" applyNumberFormat="1" applyFill="1" applyBorder="1"/>
    <xf numFmtId="166" fontId="0" fillId="3" borderId="3" xfId="0" applyNumberFormat="1" applyFill="1" applyBorder="1"/>
    <xf numFmtId="166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241"/>
    <xf numFmtId="167" fontId="0" fillId="0" borderId="0" xfId="0" applyNumberFormat="1"/>
    <xf numFmtId="0" fontId="9" fillId="0" borderId="0" xfId="0" applyFont="1"/>
    <xf numFmtId="11" fontId="0" fillId="3" borderId="1" xfId="0" applyNumberFormat="1" applyFill="1" applyBorder="1"/>
    <xf numFmtId="0" fontId="0" fillId="0" borderId="0" xfId="0" applyNumberFormat="1"/>
    <xf numFmtId="0" fontId="6" fillId="0" borderId="0" xfId="0" applyFont="1" applyBorder="1"/>
    <xf numFmtId="0" fontId="0" fillId="0" borderId="0" xfId="0" applyFont="1" applyAlignment="1">
      <alignment horizontal="center"/>
    </xf>
    <xf numFmtId="11" fontId="0" fillId="3" borderId="1" xfId="0" applyNumberFormat="1" applyFill="1" applyBorder="1" applyAlignment="1">
      <alignment horizontal="center"/>
    </xf>
    <xf numFmtId="11" fontId="0" fillId="3" borderId="3" xfId="0" applyNumberFormat="1" applyFill="1" applyBorder="1" applyAlignment="1">
      <alignment horizontal="center"/>
    </xf>
    <xf numFmtId="11" fontId="0" fillId="0" borderId="0" xfId="0" applyNumberFormat="1" applyFill="1" applyBorder="1"/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Particle Standard Curve</a:t>
            </a:r>
          </a:p>
        </c:rich>
      </c:tx>
      <c:layout>
        <c:manualLayout>
          <c:xMode val="edge"/>
          <c:yMode val="edge"/>
          <c:x val="0.30520322934316801"/>
          <c:y val="3.7347323211392801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plus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'Particle standard curve'!$B$7:$M$7</c:f>
                <c:numCache>
                  <c:formatCode>General</c:formatCode>
                  <c:ptCount val="12"/>
                  <c:pt idx="0">
                    <c:v>9.9993333111096289E-2</c:v>
                  </c:pt>
                  <c:pt idx="1">
                    <c:v>7.7858846639286994E-2</c:v>
                  </c:pt>
                  <c:pt idx="2">
                    <c:v>4.1737273509418221E-2</c:v>
                  </c:pt>
                  <c:pt idx="3">
                    <c:v>1.5577761927397233E-2</c:v>
                  </c:pt>
                  <c:pt idx="4">
                    <c:v>7.5314341263799114E-2</c:v>
                  </c:pt>
                  <c:pt idx="5">
                    <c:v>0.16337584480781334</c:v>
                  </c:pt>
                  <c:pt idx="6">
                    <c:v>2.5166114784235829E-2</c:v>
                  </c:pt>
                  <c:pt idx="7">
                    <c:v>6.0000000000000393E-2</c:v>
                  </c:pt>
                  <c:pt idx="8">
                    <c:v>5.7951128835712212E-2</c:v>
                  </c:pt>
                  <c:pt idx="9">
                    <c:v>6.4549722436791024E-2</c:v>
                  </c:pt>
                  <c:pt idx="10">
                    <c:v>1.7078251276599322E-2</c:v>
                  </c:pt>
                  <c:pt idx="11">
                    <c:v>1.5000000000000015E-2</c:v>
                  </c:pt>
                </c:numCache>
              </c:numRef>
            </c:plus>
            <c:minus>
              <c:numRef>
                <c:f>'Particle standard curve'!$B$7:$M$7</c:f>
                <c:numCache>
                  <c:formatCode>General</c:formatCode>
                  <c:ptCount val="12"/>
                  <c:pt idx="0">
                    <c:v>9.9993333111096289E-2</c:v>
                  </c:pt>
                  <c:pt idx="1">
                    <c:v>7.7858846639286994E-2</c:v>
                  </c:pt>
                  <c:pt idx="2">
                    <c:v>4.1737273509418221E-2</c:v>
                  </c:pt>
                  <c:pt idx="3">
                    <c:v>1.5577761927397233E-2</c:v>
                  </c:pt>
                  <c:pt idx="4">
                    <c:v>7.5314341263799114E-2</c:v>
                  </c:pt>
                  <c:pt idx="5">
                    <c:v>0.16337584480781334</c:v>
                  </c:pt>
                  <c:pt idx="6">
                    <c:v>2.5166114784235829E-2</c:v>
                  </c:pt>
                  <c:pt idx="7">
                    <c:v>6.0000000000000393E-2</c:v>
                  </c:pt>
                  <c:pt idx="8">
                    <c:v>5.7951128835712212E-2</c:v>
                  </c:pt>
                  <c:pt idx="9">
                    <c:v>6.4549722436791024E-2</c:v>
                  </c:pt>
                  <c:pt idx="10">
                    <c:v>1.7078251276599322E-2</c:v>
                  </c:pt>
                  <c:pt idx="11">
                    <c:v>1.5000000000000015E-2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'Particle standard curve'!$B$1:$M$1</c:f>
              <c:numCache>
                <c:formatCode>0.00E+00</c:formatCode>
                <c:ptCount val="12"/>
                <c:pt idx="0">
                  <c:v>300000000</c:v>
                </c:pt>
                <c:pt idx="1">
                  <c:v>150000000</c:v>
                </c:pt>
                <c:pt idx="2">
                  <c:v>75000000</c:v>
                </c:pt>
                <c:pt idx="3">
                  <c:v>37500000</c:v>
                </c:pt>
                <c:pt idx="4">
                  <c:v>18750000</c:v>
                </c:pt>
                <c:pt idx="5">
                  <c:v>9375000</c:v>
                </c:pt>
                <c:pt idx="6">
                  <c:v>4687500</c:v>
                </c:pt>
                <c:pt idx="7">
                  <c:v>2343750</c:v>
                </c:pt>
                <c:pt idx="8">
                  <c:v>1171875</c:v>
                </c:pt>
                <c:pt idx="9">
                  <c:v>585937.5</c:v>
                </c:pt>
                <c:pt idx="10">
                  <c:v>292968.75</c:v>
                </c:pt>
                <c:pt idx="11" formatCode="General">
                  <c:v>0</c:v>
                </c:pt>
              </c:numCache>
            </c:numRef>
          </c:xVal>
          <c:yVal>
            <c:numRef>
              <c:f>'Particle standard curve'!$B$6:$M$6</c:f>
              <c:numCache>
                <c:formatCode>0.000E+00</c:formatCode>
                <c:ptCount val="12"/>
                <c:pt idx="0">
                  <c:v>1.0309999999999999</c:v>
                </c:pt>
                <c:pt idx="1">
                  <c:v>0.47600000000000003</c:v>
                </c:pt>
                <c:pt idx="2">
                  <c:v>0.28500000000000003</c:v>
                </c:pt>
                <c:pt idx="3">
                  <c:v>0.14899999999999999</c:v>
                </c:pt>
                <c:pt idx="4">
                  <c:v>0.84424999999999994</c:v>
                </c:pt>
                <c:pt idx="5">
                  <c:v>0.67749999999999999</c:v>
                </c:pt>
                <c:pt idx="6">
                  <c:v>0.495</c:v>
                </c:pt>
                <c:pt idx="7">
                  <c:v>0.44999999999999996</c:v>
                </c:pt>
                <c:pt idx="8">
                  <c:v>0.46250000000000002</c:v>
                </c:pt>
                <c:pt idx="9">
                  <c:v>0.43499999999999994</c:v>
                </c:pt>
                <c:pt idx="10">
                  <c:v>0.38749999999999996</c:v>
                </c:pt>
                <c:pt idx="11">
                  <c:v>0.39249999999999996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A4-E34D-AE91-4BB50CAC9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177448"/>
        <c:axId val="2083649208"/>
      </c:scatterChart>
      <c:valAx>
        <c:axId val="2083177448"/>
        <c:scaling>
          <c:orientation val="minMax"/>
          <c:max val="3000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Particle Count / 100 uL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3649208"/>
        <c:crosses val="autoZero"/>
        <c:crossBetween val="midCat"/>
      </c:valAx>
      <c:valAx>
        <c:axId val="208364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 600</a:t>
                </a:r>
              </a:p>
            </c:rich>
          </c:tx>
          <c:layout>
            <c:manualLayout>
              <c:xMode val="edge"/>
              <c:yMode val="edge"/>
              <c:x val="2.2222266520482401E-2"/>
              <c:y val="0.331554835549861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31774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Particle Standard Curve (log scale)</a:t>
            </a:r>
          </a:p>
        </c:rich>
      </c:tx>
      <c:layout>
        <c:manualLayout>
          <c:xMode val="edge"/>
          <c:yMode val="edge"/>
          <c:x val="0.24950702681152201"/>
          <c:y val="4.2132012206608102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'Particle standard curve'!$B$1:$L$1</c:f>
              <c:numCache>
                <c:formatCode>0.00E+00</c:formatCode>
                <c:ptCount val="11"/>
                <c:pt idx="0">
                  <c:v>300000000</c:v>
                </c:pt>
                <c:pt idx="1">
                  <c:v>150000000</c:v>
                </c:pt>
                <c:pt idx="2">
                  <c:v>75000000</c:v>
                </c:pt>
                <c:pt idx="3">
                  <c:v>37500000</c:v>
                </c:pt>
                <c:pt idx="4">
                  <c:v>18750000</c:v>
                </c:pt>
                <c:pt idx="5">
                  <c:v>9375000</c:v>
                </c:pt>
                <c:pt idx="6">
                  <c:v>4687500</c:v>
                </c:pt>
                <c:pt idx="7">
                  <c:v>2343750</c:v>
                </c:pt>
                <c:pt idx="8">
                  <c:v>1171875</c:v>
                </c:pt>
                <c:pt idx="9">
                  <c:v>585937.5</c:v>
                </c:pt>
                <c:pt idx="10">
                  <c:v>292968.75</c:v>
                </c:pt>
              </c:numCache>
            </c:numRef>
          </c:xVal>
          <c:yVal>
            <c:numRef>
              <c:f>'Particle standard curve'!$B$6:$L$6</c:f>
              <c:numCache>
                <c:formatCode>0.000E+00</c:formatCode>
                <c:ptCount val="11"/>
                <c:pt idx="0">
                  <c:v>1.0309999999999999</c:v>
                </c:pt>
                <c:pt idx="1">
                  <c:v>0.47600000000000003</c:v>
                </c:pt>
                <c:pt idx="2">
                  <c:v>0.28500000000000003</c:v>
                </c:pt>
                <c:pt idx="3">
                  <c:v>0.14899999999999999</c:v>
                </c:pt>
                <c:pt idx="4">
                  <c:v>0.84424999999999994</c:v>
                </c:pt>
                <c:pt idx="5">
                  <c:v>0.67749999999999999</c:v>
                </c:pt>
                <c:pt idx="6">
                  <c:v>0.495</c:v>
                </c:pt>
                <c:pt idx="7">
                  <c:v>0.44999999999999996</c:v>
                </c:pt>
                <c:pt idx="8">
                  <c:v>0.46250000000000002</c:v>
                </c:pt>
                <c:pt idx="9">
                  <c:v>0.43499999999999994</c:v>
                </c:pt>
                <c:pt idx="10">
                  <c:v>0.38749999999999996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3B-A945-B696-14209793C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599288"/>
        <c:axId val="2083590712"/>
      </c:scatterChart>
      <c:valAx>
        <c:axId val="2083599288"/>
        <c:scaling>
          <c:logBase val="10"/>
          <c:orientation val="minMax"/>
          <c:max val="3000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Particle Count / 100 uL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3590712"/>
        <c:crosses val="autoZero"/>
        <c:crossBetween val="midCat"/>
      </c:valAx>
      <c:valAx>
        <c:axId val="2083590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 600</a:t>
                </a:r>
              </a:p>
            </c:rich>
          </c:tx>
          <c:layout>
            <c:manualLayout>
              <c:xMode val="edge"/>
              <c:yMode val="edge"/>
              <c:x val="2.2222266520482401E-2"/>
              <c:y val="0.331554835549861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3599288"/>
        <c:crossesAt val="0.2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Fluorescein Standard Curve</a:t>
            </a:r>
          </a:p>
        </c:rich>
      </c:tx>
      <c:layout>
        <c:manualLayout>
          <c:xMode val="edge"/>
          <c:yMode val="edge"/>
          <c:x val="0.30520322934316801"/>
          <c:y val="3.7347323211392801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plus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'Fluorescein standard curve'!$B$7:$M$7</c:f>
                <c:numCache>
                  <c:formatCode>General</c:formatCode>
                  <c:ptCount val="12"/>
                  <c:pt idx="0">
                    <c:v>5787.2343639542823</c:v>
                  </c:pt>
                  <c:pt idx="1">
                    <c:v>3619.2855993966546</c:v>
                  </c:pt>
                  <c:pt idx="2">
                    <c:v>1651.240543752888</c:v>
                  </c:pt>
                  <c:pt idx="3">
                    <c:v>930.375685767135</c:v>
                  </c:pt>
                  <c:pt idx="4">
                    <c:v>345.39301286119456</c:v>
                  </c:pt>
                  <c:pt idx="5">
                    <c:v>120.78355296424537</c:v>
                  </c:pt>
                  <c:pt idx="6">
                    <c:v>73.230230551778732</c:v>
                  </c:pt>
                  <c:pt idx="7">
                    <c:v>85.289213854976992</c:v>
                  </c:pt>
                  <c:pt idx="8">
                    <c:v>27.313000567495326</c:v>
                  </c:pt>
                  <c:pt idx="9">
                    <c:v>18.697147732564272</c:v>
                  </c:pt>
                  <c:pt idx="10">
                    <c:v>17.5</c:v>
                  </c:pt>
                  <c:pt idx="11">
                    <c:v>5.4772255750516612</c:v>
                  </c:pt>
                </c:numCache>
              </c:numRef>
            </c:plus>
            <c:minus>
              <c:numRef>
                <c:f>'Fluorescein standard curve'!$B$7:$M$7</c:f>
                <c:numCache>
                  <c:formatCode>General</c:formatCode>
                  <c:ptCount val="12"/>
                  <c:pt idx="0">
                    <c:v>5787.2343639542823</c:v>
                  </c:pt>
                  <c:pt idx="1">
                    <c:v>3619.2855993966546</c:v>
                  </c:pt>
                  <c:pt idx="2">
                    <c:v>1651.240543752888</c:v>
                  </c:pt>
                  <c:pt idx="3">
                    <c:v>930.375685767135</c:v>
                  </c:pt>
                  <c:pt idx="4">
                    <c:v>345.39301286119456</c:v>
                  </c:pt>
                  <c:pt idx="5">
                    <c:v>120.78355296424537</c:v>
                  </c:pt>
                  <c:pt idx="6">
                    <c:v>73.230230551778732</c:v>
                  </c:pt>
                  <c:pt idx="7">
                    <c:v>85.289213854976992</c:v>
                  </c:pt>
                  <c:pt idx="8">
                    <c:v>27.313000567495326</c:v>
                  </c:pt>
                  <c:pt idx="9">
                    <c:v>18.697147732564272</c:v>
                  </c:pt>
                  <c:pt idx="10">
                    <c:v>17.5</c:v>
                  </c:pt>
                  <c:pt idx="11">
                    <c:v>5.4772255750516612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'Fluorescein standard curve'!$B$1:$M$1</c:f>
              <c:numCache>
                <c:formatCode>General</c:formatCode>
                <c:ptCount val="12"/>
                <c:pt idx="0" formatCode="0.0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1.25</c:v>
                </c:pt>
                <c:pt idx="4">
                  <c:v>0.625</c:v>
                </c:pt>
                <c:pt idx="5" formatCode="0.000">
                  <c:v>0.3125</c:v>
                </c:pt>
                <c:pt idx="6" formatCode="0.000">
                  <c:v>0.15625</c:v>
                </c:pt>
                <c:pt idx="7" formatCode="0.000">
                  <c:v>7.8125E-2</c:v>
                </c:pt>
                <c:pt idx="8" formatCode="0.000">
                  <c:v>3.90625E-2</c:v>
                </c:pt>
                <c:pt idx="9" formatCode="0.0000">
                  <c:v>1.953125E-2</c:v>
                </c:pt>
                <c:pt idx="10" formatCode="0.0000">
                  <c:v>9.765625E-3</c:v>
                </c:pt>
                <c:pt idx="11">
                  <c:v>0</c:v>
                </c:pt>
              </c:numCache>
            </c:numRef>
          </c:xVal>
          <c:yVal>
            <c:numRef>
              <c:f>'Fluorescein standard curve'!$B$6:$M$6</c:f>
              <c:numCache>
                <c:formatCode>0.000E+00</c:formatCode>
                <c:ptCount val="12"/>
                <c:pt idx="0">
                  <c:v>124867.75</c:v>
                </c:pt>
                <c:pt idx="1">
                  <c:v>60737.75</c:v>
                </c:pt>
                <c:pt idx="2">
                  <c:v>30528</c:v>
                </c:pt>
                <c:pt idx="3">
                  <c:v>16266.75</c:v>
                </c:pt>
                <c:pt idx="4">
                  <c:v>8294.5</c:v>
                </c:pt>
                <c:pt idx="5">
                  <c:v>4292</c:v>
                </c:pt>
                <c:pt idx="6">
                  <c:v>2181</c:v>
                </c:pt>
                <c:pt idx="7">
                  <c:v>1043.25</c:v>
                </c:pt>
                <c:pt idx="8">
                  <c:v>587</c:v>
                </c:pt>
                <c:pt idx="9">
                  <c:v>315.25</c:v>
                </c:pt>
                <c:pt idx="10">
                  <c:v>178.75</c:v>
                </c:pt>
                <c:pt idx="11">
                  <c:v>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E8-9D49-8993-B273940AB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177448"/>
        <c:axId val="2083649208"/>
      </c:scatterChart>
      <c:valAx>
        <c:axId val="2083177448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Fluorescein Concentration (uM)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3649208"/>
        <c:crosses val="autoZero"/>
        <c:crossBetween val="midCat"/>
      </c:valAx>
      <c:valAx>
        <c:axId val="208364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Fluorescence</a:t>
                </a:r>
              </a:p>
            </c:rich>
          </c:tx>
          <c:layout>
            <c:manualLayout>
              <c:xMode val="edge"/>
              <c:yMode val="edge"/>
              <c:x val="2.2222266520482401E-2"/>
              <c:y val="0.331554835549861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317744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Fluorescein Standard Curve (log scale)</a:t>
            </a:r>
          </a:p>
        </c:rich>
      </c:tx>
      <c:layout>
        <c:manualLayout>
          <c:xMode val="edge"/>
          <c:yMode val="edge"/>
          <c:x val="0.24950702681152201"/>
          <c:y val="4.2132012206608102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pPr>
              <a:solidFill>
                <a:schemeClr val="tx2"/>
              </a:solidFill>
              <a:ln>
                <a:noFill/>
              </a:ln>
            </c:spPr>
          </c:marker>
          <c:xVal>
            <c:numRef>
              <c:f>'Fluorescein standard curve'!$B$1:$L$1</c:f>
              <c:numCache>
                <c:formatCode>General</c:formatCode>
                <c:ptCount val="11"/>
                <c:pt idx="0" formatCode="0.0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1.25</c:v>
                </c:pt>
                <c:pt idx="4">
                  <c:v>0.625</c:v>
                </c:pt>
                <c:pt idx="5" formatCode="0.000">
                  <c:v>0.3125</c:v>
                </c:pt>
                <c:pt idx="6" formatCode="0.000">
                  <c:v>0.15625</c:v>
                </c:pt>
                <c:pt idx="7" formatCode="0.000">
                  <c:v>7.8125E-2</c:v>
                </c:pt>
                <c:pt idx="8" formatCode="0.000">
                  <c:v>3.90625E-2</c:v>
                </c:pt>
                <c:pt idx="9" formatCode="0.0000">
                  <c:v>1.953125E-2</c:v>
                </c:pt>
                <c:pt idx="10" formatCode="0.0000">
                  <c:v>9.765625E-3</c:v>
                </c:pt>
              </c:numCache>
            </c:numRef>
          </c:xVal>
          <c:yVal>
            <c:numRef>
              <c:f>'Fluorescein standard curve'!$B$6:$L$6</c:f>
              <c:numCache>
                <c:formatCode>0.000E+00</c:formatCode>
                <c:ptCount val="11"/>
                <c:pt idx="0">
                  <c:v>124867.75</c:v>
                </c:pt>
                <c:pt idx="1">
                  <c:v>60737.75</c:v>
                </c:pt>
                <c:pt idx="2">
                  <c:v>30528</c:v>
                </c:pt>
                <c:pt idx="3">
                  <c:v>16266.75</c:v>
                </c:pt>
                <c:pt idx="4">
                  <c:v>8294.5</c:v>
                </c:pt>
                <c:pt idx="5">
                  <c:v>4292</c:v>
                </c:pt>
                <c:pt idx="6">
                  <c:v>2181</c:v>
                </c:pt>
                <c:pt idx="7">
                  <c:v>1043.25</c:v>
                </c:pt>
                <c:pt idx="8">
                  <c:v>587</c:v>
                </c:pt>
                <c:pt idx="9">
                  <c:v>315.25</c:v>
                </c:pt>
                <c:pt idx="10">
                  <c:v>178.75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E8-A340-A627-6DE5ED446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599288"/>
        <c:axId val="2083590712"/>
      </c:scatterChart>
      <c:valAx>
        <c:axId val="2083599288"/>
        <c:scaling>
          <c:logBase val="10"/>
          <c:orientation val="minMax"/>
          <c:max val="10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Fluorescein Concentration (uM)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3590712"/>
        <c:crosses val="autoZero"/>
        <c:crossBetween val="midCat"/>
      </c:valAx>
      <c:valAx>
        <c:axId val="2083590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Fluorescence</a:t>
                </a:r>
              </a:p>
            </c:rich>
          </c:tx>
          <c:layout>
            <c:manualLayout>
              <c:xMode val="edge"/>
              <c:yMode val="edge"/>
              <c:x val="2.2222266520482401E-2"/>
              <c:y val="0.331554835549861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3599288"/>
        <c:crossesAt val="0.2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9</xdr:row>
      <xdr:rowOff>152400</xdr:rowOff>
    </xdr:from>
    <xdr:to>
      <xdr:col>6</xdr:col>
      <xdr:colOff>584200</xdr:colOff>
      <xdr:row>24</xdr:row>
      <xdr:rowOff>139700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658D92B3-274A-9D46-9C7C-FA4F4019B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10</xdr:row>
      <xdr:rowOff>0</xdr:rowOff>
    </xdr:from>
    <xdr:to>
      <xdr:col>14</xdr:col>
      <xdr:colOff>571500</xdr:colOff>
      <xdr:row>24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C5FAF1-EB12-464E-B446-35FAC7BBB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9</xdr:row>
      <xdr:rowOff>152400</xdr:rowOff>
    </xdr:from>
    <xdr:to>
      <xdr:col>6</xdr:col>
      <xdr:colOff>584200</xdr:colOff>
      <xdr:row>24</xdr:row>
      <xdr:rowOff>139700</xdr:rowOff>
    </xdr:to>
    <xdr:graphicFrame macro="">
      <xdr:nvGraphicFramePr>
        <xdr:cNvPr id="2055" name="Chart 2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10</xdr:row>
      <xdr:rowOff>0</xdr:rowOff>
    </xdr:from>
    <xdr:to>
      <xdr:col>14</xdr:col>
      <xdr:colOff>571500</xdr:colOff>
      <xdr:row>24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cospheric.com/SiO2MS_monodisperse_silica_spheres_beads_nm_microns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4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7.5" customWidth="1"/>
    <col min="2" max="13" width="10.83203125" customWidth="1"/>
  </cols>
  <sheetData>
    <row r="1" spans="1:17" x14ac:dyDescent="0.2">
      <c r="A1" t="s">
        <v>23</v>
      </c>
      <c r="B1" s="16">
        <f>T30</f>
        <v>300000000</v>
      </c>
      <c r="C1" s="16">
        <f>B1/2</f>
        <v>150000000</v>
      </c>
      <c r="D1" s="16">
        <f>C1/2</f>
        <v>75000000</v>
      </c>
      <c r="E1" s="16">
        <f>D1/2</f>
        <v>37500000</v>
      </c>
      <c r="F1" s="16">
        <f t="shared" ref="F1:L1" si="0">E1/2</f>
        <v>18750000</v>
      </c>
      <c r="G1" s="16">
        <f t="shared" si="0"/>
        <v>9375000</v>
      </c>
      <c r="H1" s="16">
        <f t="shared" si="0"/>
        <v>4687500</v>
      </c>
      <c r="I1" s="16">
        <f t="shared" si="0"/>
        <v>2343750</v>
      </c>
      <c r="J1" s="16">
        <f t="shared" si="0"/>
        <v>1171875</v>
      </c>
      <c r="K1" s="16">
        <f t="shared" si="0"/>
        <v>585937.5</v>
      </c>
      <c r="L1" s="16">
        <f t="shared" si="0"/>
        <v>292968.75</v>
      </c>
      <c r="M1" s="2">
        <v>0</v>
      </c>
    </row>
    <row r="2" spans="1:17" x14ac:dyDescent="0.2">
      <c r="A2" t="s">
        <v>0</v>
      </c>
      <c r="B2" s="17">
        <v>1.1639999999999999</v>
      </c>
      <c r="C2" s="17">
        <v>0.53</v>
      </c>
      <c r="D2" s="17">
        <v>0.308</v>
      </c>
      <c r="E2" s="17">
        <v>0.14899999999999999</v>
      </c>
      <c r="F2" s="17">
        <v>0.81</v>
      </c>
      <c r="G2" s="17">
        <v>0.92</v>
      </c>
      <c r="H2" s="17">
        <v>0.52</v>
      </c>
      <c r="I2" s="17">
        <v>0.42</v>
      </c>
      <c r="J2" s="17">
        <v>0.46</v>
      </c>
      <c r="K2" s="17">
        <v>0.42</v>
      </c>
      <c r="L2" s="17">
        <v>0.38</v>
      </c>
      <c r="M2" s="17">
        <v>0.4</v>
      </c>
      <c r="O2" s="8" t="s">
        <v>24</v>
      </c>
    </row>
    <row r="3" spans="1:17" x14ac:dyDescent="0.2">
      <c r="A3" t="s">
        <v>1</v>
      </c>
      <c r="B3" s="17">
        <v>0.95199999999999996</v>
      </c>
      <c r="C3" s="17">
        <v>0.55300000000000005</v>
      </c>
      <c r="D3" s="17">
        <v>0.27500000000000002</v>
      </c>
      <c r="E3" s="17">
        <v>0.151</v>
      </c>
      <c r="F3" s="17">
        <v>0.81</v>
      </c>
      <c r="G3" s="17">
        <v>0.57999999999999996</v>
      </c>
      <c r="H3" s="17">
        <v>0.5</v>
      </c>
      <c r="I3" s="17">
        <v>0.54</v>
      </c>
      <c r="J3" s="17">
        <v>0.4</v>
      </c>
      <c r="K3" s="17">
        <v>0.53</v>
      </c>
      <c r="L3" s="17">
        <v>0.37</v>
      </c>
      <c r="M3" s="17">
        <v>0.37</v>
      </c>
      <c r="O3" s="8" t="s">
        <v>5</v>
      </c>
    </row>
    <row r="4" spans="1:17" x14ac:dyDescent="0.2">
      <c r="A4" t="s">
        <v>2</v>
      </c>
      <c r="B4" s="17">
        <v>0.95599999999999996</v>
      </c>
      <c r="C4" s="17">
        <v>0.39100000000000001</v>
      </c>
      <c r="D4" s="17">
        <v>0.32600000000000001</v>
      </c>
      <c r="E4" s="17">
        <v>0.16700000000000001</v>
      </c>
      <c r="F4" s="17">
        <v>0.8</v>
      </c>
      <c r="G4" s="17">
        <v>0.57999999999999996</v>
      </c>
      <c r="H4" s="17">
        <v>0.46</v>
      </c>
      <c r="I4" s="17">
        <v>0.42</v>
      </c>
      <c r="J4" s="17">
        <v>0.54</v>
      </c>
      <c r="K4" s="17">
        <v>0.39</v>
      </c>
      <c r="L4" s="17">
        <v>0.41</v>
      </c>
      <c r="M4" s="17">
        <v>0.4</v>
      </c>
    </row>
    <row r="5" spans="1:17" x14ac:dyDescent="0.2">
      <c r="A5" t="s">
        <v>3</v>
      </c>
      <c r="B5" s="17">
        <v>1.052</v>
      </c>
      <c r="C5" s="17">
        <v>0.43</v>
      </c>
      <c r="D5" s="17">
        <v>0.23100000000000001</v>
      </c>
      <c r="E5" s="17">
        <v>0.129</v>
      </c>
      <c r="F5" s="17">
        <v>0.95699999999999996</v>
      </c>
      <c r="G5" s="17">
        <v>0.63</v>
      </c>
      <c r="H5" s="17">
        <v>0.5</v>
      </c>
      <c r="I5" s="17">
        <v>0.42</v>
      </c>
      <c r="J5" s="17">
        <v>0.45</v>
      </c>
      <c r="K5" s="17">
        <v>0.4</v>
      </c>
      <c r="L5" s="17">
        <v>0.39</v>
      </c>
      <c r="M5" s="17">
        <v>0.4</v>
      </c>
      <c r="O5" s="4"/>
    </row>
    <row r="6" spans="1:17" x14ac:dyDescent="0.2">
      <c r="A6" t="s">
        <v>4</v>
      </c>
      <c r="B6" s="24">
        <f t="shared" ref="B6:M6" si="1">IF(COUNTA(B2:B5)&gt;0,AVERAGE(B2:B5),"---")</f>
        <v>1.0309999999999999</v>
      </c>
      <c r="C6" s="24">
        <f t="shared" si="1"/>
        <v>0.47600000000000003</v>
      </c>
      <c r="D6" s="24">
        <f t="shared" si="1"/>
        <v>0.28500000000000003</v>
      </c>
      <c r="E6" s="24">
        <f t="shared" si="1"/>
        <v>0.14899999999999999</v>
      </c>
      <c r="F6" s="24">
        <f t="shared" si="1"/>
        <v>0.84424999999999994</v>
      </c>
      <c r="G6" s="24">
        <f t="shared" si="1"/>
        <v>0.67749999999999999</v>
      </c>
      <c r="H6" s="24">
        <f t="shared" si="1"/>
        <v>0.495</v>
      </c>
      <c r="I6" s="24">
        <f t="shared" si="1"/>
        <v>0.44999999999999996</v>
      </c>
      <c r="J6" s="24">
        <f t="shared" si="1"/>
        <v>0.46250000000000002</v>
      </c>
      <c r="K6" s="24">
        <f t="shared" si="1"/>
        <v>0.43499999999999994</v>
      </c>
      <c r="L6" s="24">
        <f t="shared" si="1"/>
        <v>0.38749999999999996</v>
      </c>
      <c r="M6" s="24">
        <f t="shared" si="1"/>
        <v>0.39249999999999996</v>
      </c>
    </row>
    <row r="7" spans="1:17" x14ac:dyDescent="0.2">
      <c r="A7" t="s">
        <v>7</v>
      </c>
      <c r="B7" s="24">
        <f t="shared" ref="B7:M7" si="2">IF(COUNTA(B2:B5)&gt;0,STDEV(B2:B5),"---")</f>
        <v>9.9993333111096289E-2</v>
      </c>
      <c r="C7" s="24">
        <f t="shared" si="2"/>
        <v>7.7858846639286994E-2</v>
      </c>
      <c r="D7" s="24">
        <f t="shared" si="2"/>
        <v>4.1737273509418221E-2</v>
      </c>
      <c r="E7" s="24">
        <f t="shared" si="2"/>
        <v>1.5577761927397233E-2</v>
      </c>
      <c r="F7" s="24">
        <f t="shared" si="2"/>
        <v>7.5314341263799114E-2</v>
      </c>
      <c r="G7" s="24">
        <f t="shared" si="2"/>
        <v>0.16337584480781334</v>
      </c>
      <c r="H7" s="24">
        <f t="shared" si="2"/>
        <v>2.5166114784235829E-2</v>
      </c>
      <c r="I7" s="24">
        <f t="shared" si="2"/>
        <v>6.0000000000000393E-2</v>
      </c>
      <c r="J7" s="24">
        <f t="shared" si="2"/>
        <v>5.7951128835712212E-2</v>
      </c>
      <c r="K7" s="24">
        <f t="shared" si="2"/>
        <v>6.4549722436791024E-2</v>
      </c>
      <c r="L7" s="24">
        <f t="shared" si="2"/>
        <v>1.7078251276599322E-2</v>
      </c>
      <c r="M7" s="24">
        <f t="shared" si="2"/>
        <v>1.5000000000000015E-2</v>
      </c>
    </row>
    <row r="8" spans="1:17" x14ac:dyDescent="0.2">
      <c r="A8" t="s">
        <v>38</v>
      </c>
      <c r="B8" s="24">
        <f t="shared" ref="B8:L8" si="3">IF(AND(ISNUMBER(B6),ISNUMBER($M6)),B6-$M6,"---")</f>
        <v>0.63849999999999996</v>
      </c>
      <c r="C8" s="24">
        <f t="shared" si="3"/>
        <v>8.3500000000000074E-2</v>
      </c>
      <c r="D8" s="24">
        <f t="shared" si="3"/>
        <v>-0.10749999999999993</v>
      </c>
      <c r="E8" s="24">
        <f t="shared" si="3"/>
        <v>-0.24349999999999997</v>
      </c>
      <c r="F8" s="24">
        <f t="shared" si="3"/>
        <v>0.45174999999999998</v>
      </c>
      <c r="G8" s="24">
        <f t="shared" si="3"/>
        <v>0.28500000000000003</v>
      </c>
      <c r="H8" s="24">
        <f t="shared" si="3"/>
        <v>0.10250000000000004</v>
      </c>
      <c r="I8" s="24">
        <f t="shared" si="3"/>
        <v>5.7499999999999996E-2</v>
      </c>
      <c r="J8" s="24">
        <f t="shared" si="3"/>
        <v>7.0000000000000062E-2</v>
      </c>
      <c r="K8" s="24">
        <f t="shared" si="3"/>
        <v>4.2499999999999982E-2</v>
      </c>
      <c r="L8" s="24">
        <f t="shared" si="3"/>
        <v>-5.0000000000000044E-3</v>
      </c>
      <c r="M8" s="19"/>
    </row>
    <row r="12" spans="1:17" x14ac:dyDescent="0.2">
      <c r="Q12" s="8" t="s">
        <v>9</v>
      </c>
    </row>
    <row r="13" spans="1:17" x14ac:dyDescent="0.2">
      <c r="Q13" s="8" t="s">
        <v>10</v>
      </c>
    </row>
    <row r="14" spans="1:17" x14ac:dyDescent="0.2">
      <c r="Q14" s="8" t="s">
        <v>11</v>
      </c>
    </row>
    <row r="15" spans="1:17" x14ac:dyDescent="0.2">
      <c r="Q15" s="8" t="s">
        <v>12</v>
      </c>
    </row>
    <row r="16" spans="1:17" x14ac:dyDescent="0.2">
      <c r="Q16" s="8" t="s">
        <v>13</v>
      </c>
    </row>
    <row r="20" spans="1:21" x14ac:dyDescent="0.2">
      <c r="R20" s="13" t="s">
        <v>35</v>
      </c>
    </row>
    <row r="21" spans="1:21" x14ac:dyDescent="0.2">
      <c r="R21" s="28" t="s">
        <v>58</v>
      </c>
    </row>
    <row r="22" spans="1:21" x14ac:dyDescent="0.2">
      <c r="R22" t="s">
        <v>34</v>
      </c>
      <c r="T22" s="3">
        <v>1200000000000</v>
      </c>
      <c r="U22" s="30" t="s">
        <v>59</v>
      </c>
    </row>
    <row r="23" spans="1:21" x14ac:dyDescent="0.2">
      <c r="R23" t="s">
        <v>36</v>
      </c>
      <c r="T23" s="29">
        <f>2</f>
        <v>2</v>
      </c>
      <c r="U23" s="30" t="s">
        <v>59</v>
      </c>
    </row>
    <row r="24" spans="1:21" x14ac:dyDescent="0.2">
      <c r="R24" t="s">
        <v>60</v>
      </c>
      <c r="T24" s="3">
        <f>0.5*T23*T22</f>
        <v>1200000000000</v>
      </c>
      <c r="U24" s="30" t="s">
        <v>61</v>
      </c>
    </row>
    <row r="25" spans="1:21" x14ac:dyDescent="0.2">
      <c r="R25" t="s">
        <v>37</v>
      </c>
      <c r="T25">
        <v>40</v>
      </c>
      <c r="U25" s="30" t="s">
        <v>62</v>
      </c>
    </row>
    <row r="26" spans="1:21" x14ac:dyDescent="0.2">
      <c r="R26" t="s">
        <v>64</v>
      </c>
      <c r="T26" s="3">
        <f>T24/T25</f>
        <v>30000000000</v>
      </c>
      <c r="U26" s="30" t="s">
        <v>67</v>
      </c>
    </row>
    <row r="27" spans="1:21" x14ac:dyDescent="0.2">
      <c r="A27" t="s">
        <v>26</v>
      </c>
      <c r="R27" t="s">
        <v>63</v>
      </c>
      <c r="T27" s="20">
        <f>1/0.1</f>
        <v>10</v>
      </c>
      <c r="U27" s="30" t="s">
        <v>93</v>
      </c>
    </row>
    <row r="28" spans="1:21" x14ac:dyDescent="0.2">
      <c r="A28" s="5" t="s">
        <v>23</v>
      </c>
      <c r="B28" s="16">
        <f>B1</f>
        <v>300000000</v>
      </c>
      <c r="C28" s="16">
        <f t="shared" ref="C28:L28" si="4">C1</f>
        <v>150000000</v>
      </c>
      <c r="D28" s="16">
        <f t="shared" si="4"/>
        <v>75000000</v>
      </c>
      <c r="E28" s="16">
        <f t="shared" si="4"/>
        <v>37500000</v>
      </c>
      <c r="F28" s="16">
        <f t="shared" si="4"/>
        <v>18750000</v>
      </c>
      <c r="G28" s="16">
        <f t="shared" si="4"/>
        <v>9375000</v>
      </c>
      <c r="H28" s="16">
        <f t="shared" si="4"/>
        <v>4687500</v>
      </c>
      <c r="I28" s="16">
        <f t="shared" si="4"/>
        <v>2343750</v>
      </c>
      <c r="J28" s="16">
        <f t="shared" si="4"/>
        <v>1171875</v>
      </c>
      <c r="K28" s="16">
        <f t="shared" si="4"/>
        <v>585937.5</v>
      </c>
      <c r="L28" s="16">
        <f t="shared" si="4"/>
        <v>292968.75</v>
      </c>
      <c r="R28" t="s">
        <v>65</v>
      </c>
      <c r="T28" s="3">
        <f>T26/T27</f>
        <v>3000000000</v>
      </c>
      <c r="U28" s="30" t="s">
        <v>68</v>
      </c>
    </row>
    <row r="29" spans="1:21" x14ac:dyDescent="0.2">
      <c r="A29" t="s">
        <v>25</v>
      </c>
      <c r="B29" s="12">
        <f>IF(ISNUMBER(B8),B1/B8,"---")</f>
        <v>469851213.78230232</v>
      </c>
      <c r="C29" s="12">
        <f t="shared" ref="C29:L29" si="5">IF(ISNUMBER(C8),C1/C8,"---")</f>
        <v>1796407185.628741</v>
      </c>
      <c r="D29" s="12">
        <f t="shared" si="5"/>
        <v>-697674418.60465157</v>
      </c>
      <c r="E29" s="12">
        <f t="shared" si="5"/>
        <v>-154004106.77618071</v>
      </c>
      <c r="F29" s="12">
        <f t="shared" si="5"/>
        <v>41505257.33259546</v>
      </c>
      <c r="G29" s="12">
        <f t="shared" si="5"/>
        <v>32894736.842105258</v>
      </c>
      <c r="H29" s="12">
        <f t="shared" si="5"/>
        <v>45731707.317073151</v>
      </c>
      <c r="I29" s="12">
        <f t="shared" si="5"/>
        <v>40760869.565217398</v>
      </c>
      <c r="J29" s="12">
        <f t="shared" si="5"/>
        <v>16741071.428571414</v>
      </c>
      <c r="K29" s="12">
        <f t="shared" si="5"/>
        <v>13786764.705882359</v>
      </c>
      <c r="L29" s="12">
        <f t="shared" si="5"/>
        <v>-58593749.999999948</v>
      </c>
      <c r="R29" t="s">
        <v>45</v>
      </c>
      <c r="T29">
        <f>0.1</f>
        <v>0.1</v>
      </c>
      <c r="U29" s="30" t="s">
        <v>66</v>
      </c>
    </row>
    <row r="30" spans="1:21" x14ac:dyDescent="0.2">
      <c r="A30" t="s">
        <v>14</v>
      </c>
      <c r="B30" s="3"/>
      <c r="C30" s="12">
        <f>IF(COUNT(C29:G29)&gt;0,AVERAGE(C29:G29),"---")</f>
        <v>203825730.88452187</v>
      </c>
      <c r="D30" s="3"/>
      <c r="E30" s="3"/>
      <c r="F30" s="3"/>
      <c r="G30" s="3"/>
      <c r="H30" s="3"/>
      <c r="I30" s="3"/>
      <c r="J30" s="3"/>
      <c r="K30" s="3"/>
      <c r="L30" s="3"/>
      <c r="R30" t="s">
        <v>90</v>
      </c>
      <c r="T30" s="3">
        <f>T28*T29</f>
        <v>300000000</v>
      </c>
      <c r="U30" s="30" t="s">
        <v>69</v>
      </c>
    </row>
    <row r="31" spans="1:21" x14ac:dyDescent="0.2">
      <c r="B31" s="3"/>
      <c r="C31" s="11" t="s">
        <v>57</v>
      </c>
      <c r="D31" s="3"/>
      <c r="E31" s="3"/>
      <c r="F31" s="3"/>
      <c r="G31" s="3"/>
      <c r="H31" s="3"/>
      <c r="U31" s="30"/>
    </row>
    <row r="32" spans="1:21" x14ac:dyDescent="0.2">
      <c r="B32" s="3"/>
      <c r="C32" s="11" t="s">
        <v>18</v>
      </c>
      <c r="D32" s="3"/>
      <c r="E32" s="3"/>
      <c r="F32" s="3"/>
      <c r="G32" s="3"/>
      <c r="H32" s="3"/>
      <c r="T32" s="3"/>
      <c r="U32" s="30"/>
    </row>
    <row r="33" spans="2:8" x14ac:dyDescent="0.2">
      <c r="B33" s="3"/>
      <c r="C33" s="3"/>
      <c r="D33" s="3"/>
      <c r="E33" s="3"/>
      <c r="F33" s="3"/>
      <c r="G33" s="3"/>
      <c r="H33" s="3"/>
    </row>
    <row r="34" spans="2:8" x14ac:dyDescent="0.2">
      <c r="B34" s="3"/>
      <c r="D34" s="3"/>
      <c r="E34" s="3"/>
      <c r="F34" s="3"/>
      <c r="G34" s="3"/>
      <c r="H34" s="3"/>
    </row>
  </sheetData>
  <hyperlinks>
    <hyperlink ref="R21" r:id="rId1" xr:uid="{18F58391-9A08-8347-A086-12D8859DE942}"/>
  </hyperlinks>
  <pageMargins left="0.7" right="0.7" top="0.75" bottom="0.75" header="0.3" footer="0.3"/>
  <pageSetup orientation="portrait" horizontalDpi="4294967292" verticalDpi="429496729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"/>
  <sheetViews>
    <sheetView tabSelected="1" workbookViewId="0">
      <selection activeCell="B2" sqref="B2:M5"/>
    </sheetView>
  </sheetViews>
  <sheetFormatPr baseColWidth="10" defaultColWidth="8.83203125" defaultRowHeight="15" x14ac:dyDescent="0.2"/>
  <cols>
    <col min="1" max="1" width="17.5" customWidth="1"/>
    <col min="2" max="13" width="10.83203125" customWidth="1"/>
  </cols>
  <sheetData>
    <row r="1" spans="1:17" x14ac:dyDescent="0.2">
      <c r="A1" t="s">
        <v>39</v>
      </c>
      <c r="B1" s="1">
        <v>10</v>
      </c>
      <c r="C1" s="2">
        <f>B1/2</f>
        <v>5</v>
      </c>
      <c r="D1" s="2">
        <f>C1/2</f>
        <v>2.5</v>
      </c>
      <c r="E1" s="2">
        <f>D1/2</f>
        <v>1.25</v>
      </c>
      <c r="F1" s="2">
        <f t="shared" ref="F1:L1" si="0">E1/2</f>
        <v>0.625</v>
      </c>
      <c r="G1" s="21">
        <f t="shared" si="0"/>
        <v>0.3125</v>
      </c>
      <c r="H1" s="21">
        <f t="shared" si="0"/>
        <v>0.15625</v>
      </c>
      <c r="I1" s="21">
        <f t="shared" si="0"/>
        <v>7.8125E-2</v>
      </c>
      <c r="J1" s="21">
        <f t="shared" si="0"/>
        <v>3.90625E-2</v>
      </c>
      <c r="K1" s="22">
        <f t="shared" si="0"/>
        <v>1.953125E-2</v>
      </c>
      <c r="L1" s="22">
        <f t="shared" si="0"/>
        <v>9.765625E-3</v>
      </c>
      <c r="M1" s="2">
        <v>0</v>
      </c>
    </row>
    <row r="2" spans="1:17" x14ac:dyDescent="0.2">
      <c r="A2" t="s">
        <v>0</v>
      </c>
      <c r="B2" s="23">
        <v>122928</v>
      </c>
      <c r="C2" s="23">
        <v>65295</v>
      </c>
      <c r="D2" s="23">
        <v>31123</v>
      </c>
      <c r="E2" s="23">
        <v>16068</v>
      </c>
      <c r="F2" s="23">
        <v>8241</v>
      </c>
      <c r="G2" s="23">
        <v>4326</v>
      </c>
      <c r="H2" s="23">
        <v>2191</v>
      </c>
      <c r="I2" s="23">
        <v>985</v>
      </c>
      <c r="J2" s="23">
        <v>600</v>
      </c>
      <c r="K2" s="23">
        <v>335</v>
      </c>
      <c r="L2" s="23">
        <v>201</v>
      </c>
      <c r="M2" s="23">
        <v>43</v>
      </c>
      <c r="O2" s="8" t="s">
        <v>6</v>
      </c>
    </row>
    <row r="3" spans="1:17" x14ac:dyDescent="0.2">
      <c r="A3" t="s">
        <v>1</v>
      </c>
      <c r="B3" s="23">
        <v>131616</v>
      </c>
      <c r="C3" s="23">
        <v>61824</v>
      </c>
      <c r="D3" s="23">
        <v>32245</v>
      </c>
      <c r="E3" s="23">
        <v>15485</v>
      </c>
      <c r="F3" s="23">
        <v>8760</v>
      </c>
      <c r="G3" s="23">
        <v>4411</v>
      </c>
      <c r="H3" s="23">
        <v>2271</v>
      </c>
      <c r="I3" s="23">
        <v>1170</v>
      </c>
      <c r="J3" s="23">
        <v>612</v>
      </c>
      <c r="K3" s="23">
        <v>327</v>
      </c>
      <c r="L3" s="23">
        <v>184</v>
      </c>
      <c r="M3" s="23">
        <v>34</v>
      </c>
      <c r="O3" s="8" t="s">
        <v>5</v>
      </c>
    </row>
    <row r="4" spans="1:17" x14ac:dyDescent="0.2">
      <c r="A4" t="s">
        <v>2</v>
      </c>
      <c r="B4" s="23">
        <v>126914</v>
      </c>
      <c r="C4" s="23">
        <v>58760</v>
      </c>
      <c r="D4" s="23">
        <v>30422</v>
      </c>
      <c r="E4" s="23">
        <v>17613</v>
      </c>
      <c r="F4" s="23">
        <v>7925</v>
      </c>
      <c r="G4" s="23">
        <v>4124</v>
      </c>
      <c r="H4" s="23">
        <v>2093</v>
      </c>
      <c r="I4" s="23">
        <v>1012</v>
      </c>
      <c r="J4" s="23">
        <v>587</v>
      </c>
      <c r="K4" s="23">
        <v>303</v>
      </c>
      <c r="L4" s="23">
        <v>162</v>
      </c>
      <c r="M4" s="23">
        <v>37</v>
      </c>
    </row>
    <row r="5" spans="1:17" x14ac:dyDescent="0.2">
      <c r="A5" t="s">
        <v>3</v>
      </c>
      <c r="B5" s="23">
        <v>118013</v>
      </c>
      <c r="C5" s="23">
        <v>57072</v>
      </c>
      <c r="D5" s="23">
        <v>28322</v>
      </c>
      <c r="E5" s="23">
        <v>15901</v>
      </c>
      <c r="F5" s="23">
        <v>8252</v>
      </c>
      <c r="G5" s="23">
        <v>4307</v>
      </c>
      <c r="H5" s="23">
        <v>2169</v>
      </c>
      <c r="I5" s="23">
        <v>1006</v>
      </c>
      <c r="J5" s="23">
        <v>549</v>
      </c>
      <c r="K5" s="23">
        <v>296</v>
      </c>
      <c r="L5" s="23">
        <v>168</v>
      </c>
      <c r="M5" s="23">
        <v>30</v>
      </c>
      <c r="O5" s="4" t="s">
        <v>8</v>
      </c>
    </row>
    <row r="6" spans="1:17" x14ac:dyDescent="0.2">
      <c r="A6" t="s">
        <v>4</v>
      </c>
      <c r="B6" s="24">
        <f>IF(COUNTA(B2:B5)&gt;0,AVERAGE(B2:B5),"---")</f>
        <v>124867.75</v>
      </c>
      <c r="C6" s="24">
        <f>IF(COUNTA(C2:C5)&gt;0,AVERAGE(C2:C5),"---")</f>
        <v>60737.75</v>
      </c>
      <c r="D6" s="24">
        <f>IF(COUNTA(D2:D5)&gt;0,AVERAGE(D2:D5),"---")</f>
        <v>30528</v>
      </c>
      <c r="E6" s="24">
        <f t="shared" ref="E6:M6" si="1">IF(COUNTA(E2:E5)&gt;0,AVERAGE(E2:E5),"---")</f>
        <v>16266.75</v>
      </c>
      <c r="F6" s="24">
        <f t="shared" si="1"/>
        <v>8294.5</v>
      </c>
      <c r="G6" s="24">
        <f t="shared" si="1"/>
        <v>4292</v>
      </c>
      <c r="H6" s="24">
        <f t="shared" si="1"/>
        <v>2181</v>
      </c>
      <c r="I6" s="24">
        <f t="shared" si="1"/>
        <v>1043.25</v>
      </c>
      <c r="J6" s="24">
        <f t="shared" si="1"/>
        <v>587</v>
      </c>
      <c r="K6" s="24">
        <f t="shared" si="1"/>
        <v>315.25</v>
      </c>
      <c r="L6" s="24">
        <f t="shared" si="1"/>
        <v>178.75</v>
      </c>
      <c r="M6" s="24">
        <f t="shared" si="1"/>
        <v>36</v>
      </c>
    </row>
    <row r="7" spans="1:17" x14ac:dyDescent="0.2">
      <c r="A7" t="s">
        <v>7</v>
      </c>
      <c r="B7" s="24">
        <f>IF(COUNTA(B2:B5)&gt;0,STDEV(B2:B5),"---")</f>
        <v>5787.2343639542823</v>
      </c>
      <c r="C7" s="24">
        <f t="shared" ref="C7:M7" si="2">IF(COUNTA(C2:C5)&gt;0,STDEV(C2:C5),"---")</f>
        <v>3619.2855993966546</v>
      </c>
      <c r="D7" s="24">
        <f t="shared" si="2"/>
        <v>1651.240543752888</v>
      </c>
      <c r="E7" s="24">
        <f t="shared" si="2"/>
        <v>930.375685767135</v>
      </c>
      <c r="F7" s="24">
        <f t="shared" si="2"/>
        <v>345.39301286119456</v>
      </c>
      <c r="G7" s="24">
        <f t="shared" si="2"/>
        <v>120.78355296424537</v>
      </c>
      <c r="H7" s="24">
        <f t="shared" si="2"/>
        <v>73.230230551778732</v>
      </c>
      <c r="I7" s="24">
        <f t="shared" si="2"/>
        <v>85.289213854976992</v>
      </c>
      <c r="J7" s="24">
        <f t="shared" si="2"/>
        <v>27.313000567495326</v>
      </c>
      <c r="K7" s="24">
        <f t="shared" si="2"/>
        <v>18.697147732564272</v>
      </c>
      <c r="L7" s="24">
        <f t="shared" si="2"/>
        <v>17.5</v>
      </c>
      <c r="M7" s="24">
        <f t="shared" si="2"/>
        <v>5.4772255750516612</v>
      </c>
    </row>
    <row r="8" spans="1:17" x14ac:dyDescent="0.2">
      <c r="A8" t="s">
        <v>38</v>
      </c>
      <c r="B8" s="24">
        <f>IF(AND(ISNUMBER(B6),ISNUMBER($M6)),B6-$M6,"---")</f>
        <v>124831.75</v>
      </c>
      <c r="C8" s="24">
        <f>IF(AND(ISNUMBER(C6),ISNUMBER($M6)),C6-$M6,"---")</f>
        <v>60701.75</v>
      </c>
      <c r="D8" s="24">
        <f>IF(AND(ISNUMBER(D6),ISNUMBER($M6)),D6-$M6,"---")</f>
        <v>30492</v>
      </c>
      <c r="E8" s="24">
        <f t="shared" ref="E8:L8" si="3">IF(AND(ISNUMBER(E6),ISNUMBER($M6)),E6-$M6,"---")</f>
        <v>16230.75</v>
      </c>
      <c r="F8" s="24">
        <f t="shared" si="3"/>
        <v>8258.5</v>
      </c>
      <c r="G8" s="24">
        <f t="shared" si="3"/>
        <v>4256</v>
      </c>
      <c r="H8" s="24">
        <f t="shared" si="3"/>
        <v>2145</v>
      </c>
      <c r="I8" s="24">
        <f t="shared" si="3"/>
        <v>1007.25</v>
      </c>
      <c r="J8" s="24">
        <f t="shared" si="3"/>
        <v>551</v>
      </c>
      <c r="K8" s="24">
        <f t="shared" si="3"/>
        <v>279.25</v>
      </c>
      <c r="L8" s="24">
        <f t="shared" si="3"/>
        <v>142.75</v>
      </c>
      <c r="M8" s="25"/>
    </row>
    <row r="12" spans="1:17" x14ac:dyDescent="0.2">
      <c r="Q12" s="4" t="s">
        <v>9</v>
      </c>
    </row>
    <row r="13" spans="1:17" x14ac:dyDescent="0.2">
      <c r="Q13" s="4" t="s">
        <v>10</v>
      </c>
    </row>
    <row r="14" spans="1:17" x14ac:dyDescent="0.2">
      <c r="Q14" s="4" t="s">
        <v>11</v>
      </c>
    </row>
    <row r="15" spans="1:17" x14ac:dyDescent="0.2">
      <c r="Q15" s="4" t="s">
        <v>12</v>
      </c>
    </row>
    <row r="16" spans="1:17" x14ac:dyDescent="0.2">
      <c r="Q16" s="4" t="s">
        <v>13</v>
      </c>
    </row>
    <row r="21" spans="1:21" x14ac:dyDescent="0.2">
      <c r="R21" s="13" t="s">
        <v>43</v>
      </c>
    </row>
    <row r="22" spans="1:21" x14ac:dyDescent="0.2">
      <c r="R22" t="s">
        <v>40</v>
      </c>
      <c r="T22" s="3">
        <f>B1*0.000001</f>
        <v>9.9999999999999991E-6</v>
      </c>
      <c r="U22" s="4" t="s">
        <v>86</v>
      </c>
    </row>
    <row r="23" spans="1:21" x14ac:dyDescent="0.2">
      <c r="R23" t="s">
        <v>41</v>
      </c>
      <c r="T23" s="3">
        <v>6.0221409000000001E+23</v>
      </c>
      <c r="U23" s="4" t="s">
        <v>83</v>
      </c>
    </row>
    <row r="24" spans="1:21" x14ac:dyDescent="0.2">
      <c r="R24" t="s">
        <v>42</v>
      </c>
      <c r="T24" s="3">
        <f>0.0001</f>
        <v>1E-4</v>
      </c>
      <c r="U24" s="4" t="s">
        <v>87</v>
      </c>
    </row>
    <row r="25" spans="1:21" x14ac:dyDescent="0.2">
      <c r="R25" t="s">
        <v>89</v>
      </c>
      <c r="T25" s="3">
        <f>T22*T23*T24</f>
        <v>602214090000000</v>
      </c>
      <c r="U25" s="4" t="s">
        <v>88</v>
      </c>
    </row>
    <row r="26" spans="1:21" x14ac:dyDescent="0.2">
      <c r="R26" t="s">
        <v>44</v>
      </c>
      <c r="T26" s="3">
        <f>T25/(T22*1000000)</f>
        <v>60221409000000</v>
      </c>
      <c r="U26" s="4" t="s">
        <v>91</v>
      </c>
    </row>
    <row r="27" spans="1:21" x14ac:dyDescent="0.2">
      <c r="A27" s="5" t="s">
        <v>27</v>
      </c>
      <c r="T27" s="3"/>
    </row>
    <row r="28" spans="1:21" x14ac:dyDescent="0.2">
      <c r="A28" t="s">
        <v>39</v>
      </c>
      <c r="B28" s="1">
        <f>B1</f>
        <v>10</v>
      </c>
      <c r="C28" s="1">
        <f t="shared" ref="C28:L28" si="4">C1</f>
        <v>5</v>
      </c>
      <c r="D28" s="1">
        <f t="shared" si="4"/>
        <v>2.5</v>
      </c>
      <c r="E28" s="1">
        <f t="shared" si="4"/>
        <v>1.25</v>
      </c>
      <c r="F28" s="1">
        <f t="shared" si="4"/>
        <v>0.625</v>
      </c>
      <c r="G28" s="1">
        <f t="shared" si="4"/>
        <v>0.3125</v>
      </c>
      <c r="H28" s="1">
        <f t="shared" si="4"/>
        <v>0.15625</v>
      </c>
      <c r="I28" s="1">
        <f t="shared" si="4"/>
        <v>7.8125E-2</v>
      </c>
      <c r="J28" s="1">
        <f t="shared" si="4"/>
        <v>3.90625E-2</v>
      </c>
      <c r="K28" s="1">
        <f t="shared" si="4"/>
        <v>1.953125E-2</v>
      </c>
      <c r="L28" s="1">
        <f t="shared" si="4"/>
        <v>9.765625E-3</v>
      </c>
    </row>
    <row r="29" spans="1:21" x14ac:dyDescent="0.2">
      <c r="A29" t="s">
        <v>46</v>
      </c>
      <c r="B29" s="12">
        <f>IF(ISNUMBER(B8),B1/B8,"---")</f>
        <v>8.0107825132628521E-5</v>
      </c>
      <c r="C29" s="12">
        <f t="shared" ref="C29:L29" si="5">IF(ISNUMBER(C8),C1/C8,"---")</f>
        <v>8.2369948148117646E-5</v>
      </c>
      <c r="D29" s="12">
        <f t="shared" si="5"/>
        <v>8.1988718352354721E-5</v>
      </c>
      <c r="E29" s="12">
        <f t="shared" si="5"/>
        <v>7.7014309258660257E-5</v>
      </c>
      <c r="F29" s="12">
        <f t="shared" si="5"/>
        <v>7.5679602833444328E-5</v>
      </c>
      <c r="G29" s="12">
        <f t="shared" si="5"/>
        <v>7.3425751879699244E-5</v>
      </c>
      <c r="H29" s="12">
        <f t="shared" si="5"/>
        <v>7.2843822843822844E-5</v>
      </c>
      <c r="I29" s="12">
        <f t="shared" si="5"/>
        <v>7.7562670637875406E-5</v>
      </c>
      <c r="J29" s="12">
        <f t="shared" si="5"/>
        <v>7.0893829401088933E-5</v>
      </c>
      <c r="K29" s="12">
        <f t="shared" si="5"/>
        <v>6.9941808415398385E-5</v>
      </c>
      <c r="L29" s="12">
        <f t="shared" si="5"/>
        <v>6.8410683012259195E-5</v>
      </c>
    </row>
    <row r="30" spans="1:21" x14ac:dyDescent="0.2">
      <c r="A30" t="s">
        <v>28</v>
      </c>
      <c r="B30" s="3"/>
      <c r="C30" s="12">
        <f>IF(COUNT(C29:G29)&gt;0,AVERAGE(C29:G29),"---")</f>
        <v>7.8095666094455245E-5</v>
      </c>
      <c r="D30" s="3"/>
      <c r="E30" s="3"/>
      <c r="F30" s="3"/>
      <c r="G30" s="3"/>
      <c r="H30" s="3"/>
      <c r="I30" s="3"/>
      <c r="J30" s="3"/>
      <c r="K30" s="3"/>
      <c r="L30" s="3"/>
    </row>
    <row r="31" spans="1:21" x14ac:dyDescent="0.2">
      <c r="A31" t="s">
        <v>33</v>
      </c>
      <c r="B31" s="20"/>
      <c r="C31" s="12">
        <f>IF(COUNT(C30)&gt;0,C30 * T26,"---")</f>
        <v>4703031049.0016222</v>
      </c>
      <c r="D31" s="20"/>
      <c r="E31" s="20"/>
      <c r="F31" s="20"/>
      <c r="G31" s="20"/>
      <c r="H31" s="20"/>
      <c r="I31" s="20"/>
      <c r="J31" s="20"/>
      <c r="K31" s="20"/>
      <c r="L31" s="20"/>
    </row>
    <row r="32" spans="1:21" x14ac:dyDescent="0.2">
      <c r="B32" s="3"/>
      <c r="C32" s="11" t="s">
        <v>17</v>
      </c>
      <c r="D32" s="3"/>
      <c r="E32" s="3"/>
      <c r="F32" s="3"/>
      <c r="G32" s="3"/>
      <c r="H32" s="3"/>
    </row>
    <row r="33" spans="2:8" x14ac:dyDescent="0.2">
      <c r="B33" s="3"/>
      <c r="C33" s="11" t="s">
        <v>18</v>
      </c>
      <c r="D33" s="3"/>
      <c r="E33" s="3"/>
      <c r="F33" s="3"/>
      <c r="G33" s="3"/>
      <c r="H33" s="3"/>
    </row>
    <row r="34" spans="2:8" x14ac:dyDescent="0.2">
      <c r="B34" s="3"/>
      <c r="C34" s="3"/>
      <c r="D34" s="3"/>
      <c r="E34" s="3"/>
      <c r="F34" s="3"/>
      <c r="G34" s="3"/>
      <c r="H34" s="3"/>
    </row>
    <row r="35" spans="2:8" x14ac:dyDescent="0.2">
      <c r="B35" s="3"/>
      <c r="D35" s="3"/>
      <c r="E35" s="3"/>
      <c r="F35" s="3"/>
      <c r="G35" s="3"/>
      <c r="H35" s="3"/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workbookViewId="0">
      <selection activeCell="J14" sqref="J14"/>
    </sheetView>
  </sheetViews>
  <sheetFormatPr baseColWidth="10" defaultRowHeight="15" x14ac:dyDescent="0.2"/>
  <cols>
    <col min="1" max="1" width="5.1640625" customWidth="1"/>
    <col min="2" max="13" width="9.83203125" customWidth="1"/>
    <col min="14" max="14" width="6.1640625" customWidth="1"/>
    <col min="15" max="15" width="17.1640625" customWidth="1"/>
    <col min="16" max="24" width="9.83203125" customWidth="1"/>
  </cols>
  <sheetData>
    <row r="1" spans="1:13" ht="19" x14ac:dyDescent="0.25">
      <c r="A1" s="10" t="s">
        <v>19</v>
      </c>
      <c r="E1" s="8" t="s">
        <v>78</v>
      </c>
    </row>
    <row r="2" spans="1:13" x14ac:dyDescent="0.2">
      <c r="E2" s="8" t="s">
        <v>56</v>
      </c>
    </row>
    <row r="4" spans="1:13" ht="16" x14ac:dyDescent="0.2">
      <c r="A4" s="14" t="s">
        <v>76</v>
      </c>
      <c r="D4" s="8" t="s">
        <v>77</v>
      </c>
    </row>
    <row r="5" spans="1:13" x14ac:dyDescent="0.2">
      <c r="A5" t="s">
        <v>70</v>
      </c>
      <c r="D5" s="27" t="s">
        <v>48</v>
      </c>
      <c r="F5" t="s">
        <v>74</v>
      </c>
      <c r="H5" s="35" t="str">
        <f ca="1">CONCATENATE(ADDRESS(COLUMN(INDIRECT((D5)&amp;1))+11,D6+1,4),":",ADDRESS(COLUMN(INDIRECT((D7)&amp;1))+11,D8+1,4))</f>
        <v>J12:J19</v>
      </c>
    </row>
    <row r="6" spans="1:13" x14ac:dyDescent="0.2">
      <c r="A6" t="s">
        <v>71</v>
      </c>
      <c r="D6" s="27">
        <v>9</v>
      </c>
      <c r="F6" t="s">
        <v>75</v>
      </c>
      <c r="H6" s="36" t="str">
        <f ca="1">CONCATENATE(ADDRESS(COLUMN(INDIRECT((D5)&amp;1))+23,D6+1,4),":",ADDRESS(COLUMN(INDIRECT((D7)&amp;1))+23,D8+1,4))</f>
        <v>J24:J31</v>
      </c>
    </row>
    <row r="7" spans="1:13" x14ac:dyDescent="0.2">
      <c r="A7" t="s">
        <v>72</v>
      </c>
      <c r="D7" s="27" t="s">
        <v>55</v>
      </c>
      <c r="F7" t="s">
        <v>79</v>
      </c>
      <c r="H7" s="12">
        <f ca="1">IF(COUNTA(INDIRECT(H5))&gt;0,AVERAGE(INDIRECT(H5)),"---")</f>
        <v>0.37874999999999998</v>
      </c>
      <c r="L7" s="32"/>
    </row>
    <row r="8" spans="1:13" x14ac:dyDescent="0.2">
      <c r="A8" t="s">
        <v>73</v>
      </c>
      <c r="D8" s="27">
        <v>9</v>
      </c>
      <c r="F8" t="s">
        <v>80</v>
      </c>
      <c r="H8" s="12">
        <f ca="1">IF(COUNTA(INDIRECT(H6))&gt;0,AVERAGE(INDIRECT(H6)),"---")</f>
        <v>318.25</v>
      </c>
    </row>
    <row r="10" spans="1:13" ht="16" x14ac:dyDescent="0.2">
      <c r="A10" s="14" t="s">
        <v>21</v>
      </c>
    </row>
    <row r="11" spans="1:13" x14ac:dyDescent="0.2">
      <c r="A11" s="13"/>
      <c r="B11" s="26">
        <v>1</v>
      </c>
      <c r="C11" s="26">
        <v>2</v>
      </c>
      <c r="D11" s="26">
        <v>3</v>
      </c>
      <c r="E11" s="26">
        <v>4</v>
      </c>
      <c r="F11" s="26">
        <v>5</v>
      </c>
      <c r="G11" s="26">
        <v>6</v>
      </c>
      <c r="H11" s="26">
        <v>7</v>
      </c>
      <c r="I11" s="26">
        <v>8</v>
      </c>
      <c r="J11" s="26">
        <v>9</v>
      </c>
      <c r="K11" s="26">
        <v>10</v>
      </c>
      <c r="L11" s="26">
        <v>11</v>
      </c>
      <c r="M11" s="26">
        <v>12</v>
      </c>
    </row>
    <row r="12" spans="1:13" x14ac:dyDescent="0.2">
      <c r="A12" s="26" t="s">
        <v>48</v>
      </c>
      <c r="B12" s="27">
        <v>0.71</v>
      </c>
      <c r="C12" s="27">
        <v>0.69699999999999995</v>
      </c>
      <c r="D12" s="27">
        <v>0.32500000000000001</v>
      </c>
      <c r="E12" s="27">
        <v>0.63</v>
      </c>
      <c r="F12" s="27">
        <v>0.63900000000000001</v>
      </c>
      <c r="G12" s="27">
        <v>0.66900000000000004</v>
      </c>
      <c r="H12" s="27">
        <v>0.215</v>
      </c>
      <c r="I12" s="27">
        <v>0.59399999999999997</v>
      </c>
      <c r="J12" s="27">
        <v>0.38</v>
      </c>
      <c r="K12" s="27"/>
      <c r="L12" s="27"/>
      <c r="M12" s="27"/>
    </row>
    <row r="13" spans="1:13" x14ac:dyDescent="0.2">
      <c r="A13" s="26" t="s">
        <v>49</v>
      </c>
      <c r="B13" s="27">
        <v>0.74399999999999999</v>
      </c>
      <c r="C13" s="27">
        <v>0.70199999999999996</v>
      </c>
      <c r="D13" s="27">
        <v>0.39200000000000002</v>
      </c>
      <c r="E13" s="27">
        <v>0.69399999999999995</v>
      </c>
      <c r="F13" s="27">
        <v>0.66800000000000004</v>
      </c>
      <c r="G13" s="27">
        <v>0.59399999999999997</v>
      </c>
      <c r="H13" s="27">
        <v>0.188</v>
      </c>
      <c r="I13" s="27">
        <v>0.59</v>
      </c>
      <c r="J13" s="27">
        <v>0.39</v>
      </c>
      <c r="K13" s="27"/>
      <c r="L13" s="27"/>
      <c r="M13" s="27"/>
    </row>
    <row r="14" spans="1:13" x14ac:dyDescent="0.2">
      <c r="A14" s="26" t="s">
        <v>50</v>
      </c>
      <c r="B14" s="27">
        <v>0.72799999999999998</v>
      </c>
      <c r="C14" s="27">
        <v>0.72299999999999998</v>
      </c>
      <c r="D14" s="27">
        <v>0.34799999999999998</v>
      </c>
      <c r="E14" s="27">
        <v>0.64200000000000002</v>
      </c>
      <c r="F14" s="27">
        <v>0.57099999999999995</v>
      </c>
      <c r="G14" s="27">
        <v>0.59099999999999997</v>
      </c>
      <c r="H14" s="27">
        <v>0.17899999999999999</v>
      </c>
      <c r="I14" s="27">
        <v>0.54400000000000004</v>
      </c>
      <c r="J14" s="27">
        <v>0.36</v>
      </c>
      <c r="K14" s="27"/>
      <c r="L14" s="27"/>
      <c r="M14" s="27"/>
    </row>
    <row r="15" spans="1:13" x14ac:dyDescent="0.2">
      <c r="A15" s="26" t="s">
        <v>51</v>
      </c>
      <c r="B15" s="27">
        <v>0.70899999999999996</v>
      </c>
      <c r="C15" s="27">
        <v>0.70599999999999996</v>
      </c>
      <c r="D15" s="27">
        <v>0.34399999999999997</v>
      </c>
      <c r="E15" s="27">
        <v>0.60099999999999998</v>
      </c>
      <c r="F15" s="27">
        <v>0.59199999999999997</v>
      </c>
      <c r="G15" s="27">
        <v>0.54</v>
      </c>
      <c r="H15" s="27">
        <v>0.17599999999999999</v>
      </c>
      <c r="I15" s="27">
        <v>0.53300000000000003</v>
      </c>
      <c r="J15" s="27">
        <v>0.37</v>
      </c>
      <c r="K15" s="27"/>
      <c r="L15" s="27"/>
      <c r="M15" s="27"/>
    </row>
    <row r="16" spans="1:13" x14ac:dyDescent="0.2">
      <c r="A16" s="26" t="s">
        <v>52</v>
      </c>
      <c r="B16" s="27">
        <v>0.68799999999999994</v>
      </c>
      <c r="C16" s="27">
        <v>0.66700000000000004</v>
      </c>
      <c r="D16" s="27">
        <v>0.61799999999999999</v>
      </c>
      <c r="E16" s="27">
        <v>0.64400000000000002</v>
      </c>
      <c r="F16" s="27">
        <v>0.65600000000000003</v>
      </c>
      <c r="G16" s="27">
        <v>0.59099999999999997</v>
      </c>
      <c r="H16" s="27">
        <v>0.188</v>
      </c>
      <c r="I16" s="27">
        <v>0.66800000000000004</v>
      </c>
      <c r="J16" s="27">
        <v>0.38</v>
      </c>
      <c r="K16" s="27"/>
      <c r="L16" s="27"/>
      <c r="M16" s="27"/>
    </row>
    <row r="17" spans="1:13" x14ac:dyDescent="0.2">
      <c r="A17" s="26" t="s">
        <v>53</v>
      </c>
      <c r="B17" s="27">
        <v>0.68500000000000005</v>
      </c>
      <c r="C17" s="27">
        <v>0.63500000000000001</v>
      </c>
      <c r="D17" s="27">
        <v>0.65100000000000002</v>
      </c>
      <c r="E17" s="27">
        <v>0.65200000000000002</v>
      </c>
      <c r="F17" s="27">
        <v>0.59599999999999997</v>
      </c>
      <c r="G17" s="27">
        <v>0.56000000000000005</v>
      </c>
      <c r="H17" s="27">
        <v>0.18099999999999999</v>
      </c>
      <c r="I17" s="27">
        <v>0.56200000000000006</v>
      </c>
      <c r="J17" s="27">
        <v>0.36</v>
      </c>
      <c r="K17" s="27"/>
      <c r="L17" s="27"/>
      <c r="M17" s="27"/>
    </row>
    <row r="18" spans="1:13" x14ac:dyDescent="0.2">
      <c r="A18" s="26" t="s">
        <v>54</v>
      </c>
      <c r="B18" s="27">
        <v>0.66900000000000004</v>
      </c>
      <c r="C18" s="27">
        <v>0.63300000000000001</v>
      </c>
      <c r="D18" s="27">
        <v>0.60899999999999999</v>
      </c>
      <c r="E18" s="27">
        <v>0.67900000000000005</v>
      </c>
      <c r="F18" s="27">
        <v>0.56799999999999995</v>
      </c>
      <c r="G18" s="27">
        <v>0.54400000000000004</v>
      </c>
      <c r="H18" s="27">
        <v>0.184</v>
      </c>
      <c r="I18" s="27">
        <v>0.59499999999999997</v>
      </c>
      <c r="J18" s="27">
        <v>0.37</v>
      </c>
      <c r="K18" s="27"/>
      <c r="L18" s="27"/>
      <c r="M18" s="27"/>
    </row>
    <row r="19" spans="1:13" x14ac:dyDescent="0.2">
      <c r="A19" s="26" t="s">
        <v>55</v>
      </c>
      <c r="B19" s="27">
        <v>0.67900000000000005</v>
      </c>
      <c r="C19" s="27">
        <v>0.65900000000000003</v>
      </c>
      <c r="D19" s="27">
        <v>0.621</v>
      </c>
      <c r="E19" s="27">
        <v>0.65</v>
      </c>
      <c r="F19" s="27">
        <v>0.58199999999999996</v>
      </c>
      <c r="G19" s="27">
        <v>0.51600000000000001</v>
      </c>
      <c r="H19" s="27">
        <v>0.18099999999999999</v>
      </c>
      <c r="I19" s="27">
        <v>0.56299999999999994</v>
      </c>
      <c r="J19" s="27">
        <v>0.42</v>
      </c>
      <c r="K19" s="27"/>
      <c r="L19" s="27"/>
      <c r="M19" s="27"/>
    </row>
    <row r="22" spans="1:13" ht="16" x14ac:dyDescent="0.2">
      <c r="A22" s="14" t="s">
        <v>20</v>
      </c>
    </row>
    <row r="23" spans="1:13" x14ac:dyDescent="0.2">
      <c r="A23" s="13"/>
      <c r="B23" s="26">
        <v>1</v>
      </c>
      <c r="C23" s="26">
        <v>2</v>
      </c>
      <c r="D23" s="26">
        <v>3</v>
      </c>
      <c r="E23" s="26">
        <v>4</v>
      </c>
      <c r="F23" s="26">
        <v>5</v>
      </c>
      <c r="G23" s="26">
        <v>6</v>
      </c>
      <c r="H23" s="26">
        <v>7</v>
      </c>
      <c r="I23" s="26">
        <v>8</v>
      </c>
      <c r="J23" s="26">
        <v>9</v>
      </c>
      <c r="K23" s="26">
        <v>10</v>
      </c>
      <c r="L23" s="26">
        <v>11</v>
      </c>
      <c r="M23" s="26">
        <v>12</v>
      </c>
    </row>
    <row r="24" spans="1:13" x14ac:dyDescent="0.2">
      <c r="A24" s="26" t="s">
        <v>48</v>
      </c>
      <c r="B24" s="27">
        <v>355</v>
      </c>
      <c r="C24" s="27">
        <v>1917</v>
      </c>
      <c r="D24" s="27">
        <v>6344</v>
      </c>
      <c r="E24" s="27">
        <v>2670</v>
      </c>
      <c r="F24" s="27">
        <v>458</v>
      </c>
      <c r="G24" s="27">
        <v>13337</v>
      </c>
      <c r="H24" s="27">
        <v>2531</v>
      </c>
      <c r="I24" s="27">
        <v>1654</v>
      </c>
      <c r="J24" s="27">
        <v>294</v>
      </c>
      <c r="K24" s="27"/>
      <c r="L24" s="27"/>
      <c r="M24" s="27"/>
    </row>
    <row r="25" spans="1:13" x14ac:dyDescent="0.2">
      <c r="A25" s="26" t="s">
        <v>49</v>
      </c>
      <c r="B25" s="27">
        <v>340</v>
      </c>
      <c r="C25" s="27">
        <v>1965</v>
      </c>
      <c r="D25" s="27">
        <v>5394</v>
      </c>
      <c r="E25" s="27">
        <v>2322</v>
      </c>
      <c r="F25" s="27">
        <v>345</v>
      </c>
      <c r="G25" s="27">
        <v>10233</v>
      </c>
      <c r="H25" s="27">
        <v>2162</v>
      </c>
      <c r="I25" s="27">
        <v>1545</v>
      </c>
      <c r="J25" s="27">
        <v>300</v>
      </c>
      <c r="K25" s="27"/>
      <c r="L25" s="27"/>
      <c r="M25" s="27"/>
    </row>
    <row r="26" spans="1:13" x14ac:dyDescent="0.2">
      <c r="A26" s="26" t="s">
        <v>50</v>
      </c>
      <c r="B26" s="27">
        <v>338</v>
      </c>
      <c r="C26" s="27">
        <v>1964</v>
      </c>
      <c r="D26" s="27">
        <v>5180</v>
      </c>
      <c r="E26" s="27">
        <v>2490</v>
      </c>
      <c r="F26" s="27">
        <v>355</v>
      </c>
      <c r="G26" s="27">
        <v>9304</v>
      </c>
      <c r="H26" s="27">
        <v>2172</v>
      </c>
      <c r="I26" s="27">
        <v>1489</v>
      </c>
      <c r="J26" s="27">
        <v>367</v>
      </c>
      <c r="K26" s="27"/>
      <c r="L26" s="27"/>
      <c r="M26" s="27"/>
    </row>
    <row r="27" spans="1:13" x14ac:dyDescent="0.2">
      <c r="A27" s="26" t="s">
        <v>51</v>
      </c>
      <c r="B27" s="27">
        <v>352</v>
      </c>
      <c r="C27" s="27">
        <v>1943</v>
      </c>
      <c r="D27" s="27">
        <v>5297</v>
      </c>
      <c r="E27" s="27">
        <v>2506</v>
      </c>
      <c r="F27" s="27">
        <v>338</v>
      </c>
      <c r="G27" s="27">
        <v>8879</v>
      </c>
      <c r="H27" s="27">
        <v>2053</v>
      </c>
      <c r="I27" s="27">
        <v>1554</v>
      </c>
      <c r="J27" s="27">
        <v>310</v>
      </c>
      <c r="K27" s="27"/>
      <c r="L27" s="27"/>
      <c r="M27" s="27"/>
    </row>
    <row r="28" spans="1:13" x14ac:dyDescent="0.2">
      <c r="A28" s="26" t="s">
        <v>52</v>
      </c>
      <c r="B28" s="27">
        <v>355</v>
      </c>
      <c r="C28" s="27">
        <v>3200</v>
      </c>
      <c r="D28" s="27">
        <v>1594</v>
      </c>
      <c r="E28" s="27">
        <v>2749</v>
      </c>
      <c r="F28" s="27">
        <v>404</v>
      </c>
      <c r="G28" s="27">
        <v>11606</v>
      </c>
      <c r="H28" s="27">
        <v>2291</v>
      </c>
      <c r="I28" s="27">
        <v>2037</v>
      </c>
      <c r="J28" s="27">
        <v>314</v>
      </c>
      <c r="K28" s="27"/>
      <c r="L28" s="27"/>
      <c r="M28" s="27"/>
    </row>
    <row r="29" spans="1:13" x14ac:dyDescent="0.2">
      <c r="A29" s="26" t="s">
        <v>53</v>
      </c>
      <c r="B29" s="27">
        <v>353</v>
      </c>
      <c r="C29" s="27">
        <v>1973</v>
      </c>
      <c r="D29" s="27">
        <v>1383</v>
      </c>
      <c r="E29" s="27">
        <v>2662</v>
      </c>
      <c r="F29" s="27">
        <v>373</v>
      </c>
      <c r="G29" s="27">
        <v>8297</v>
      </c>
      <c r="H29" s="27">
        <v>1909</v>
      </c>
      <c r="I29" s="27">
        <v>1292</v>
      </c>
      <c r="J29" s="27">
        <v>313</v>
      </c>
      <c r="K29" s="27"/>
      <c r="L29" s="27"/>
      <c r="M29" s="27"/>
    </row>
    <row r="30" spans="1:13" x14ac:dyDescent="0.2">
      <c r="A30" s="26" t="s">
        <v>54</v>
      </c>
      <c r="B30" s="27">
        <v>348</v>
      </c>
      <c r="C30" s="27">
        <v>1933</v>
      </c>
      <c r="D30" s="27">
        <v>1360</v>
      </c>
      <c r="E30" s="27">
        <v>2609</v>
      </c>
      <c r="F30" s="27">
        <v>362</v>
      </c>
      <c r="G30" s="27">
        <v>8072</v>
      </c>
      <c r="H30" s="27">
        <v>1875</v>
      </c>
      <c r="I30" s="27">
        <v>1283</v>
      </c>
      <c r="J30" s="27">
        <v>324</v>
      </c>
      <c r="K30" s="27"/>
      <c r="L30" s="27"/>
      <c r="M30" s="27"/>
    </row>
    <row r="31" spans="1:13" x14ac:dyDescent="0.2">
      <c r="A31" s="26" t="s">
        <v>55</v>
      </c>
      <c r="B31" s="27">
        <v>340</v>
      </c>
      <c r="C31" s="27">
        <v>1963</v>
      </c>
      <c r="D31" s="27">
        <v>1388</v>
      </c>
      <c r="E31" s="27">
        <v>2691</v>
      </c>
      <c r="F31" s="27">
        <v>358</v>
      </c>
      <c r="G31" s="27">
        <v>8943</v>
      </c>
      <c r="H31" s="27">
        <v>1907</v>
      </c>
      <c r="I31" s="27">
        <v>1289</v>
      </c>
      <c r="J31" s="27">
        <v>324</v>
      </c>
      <c r="K31" s="27"/>
      <c r="L31" s="27"/>
      <c r="M31" s="27"/>
    </row>
  </sheetData>
  <conditionalFormatting sqref="B12:M19">
    <cfRule type="expression" dxfId="3" priority="2">
      <formula>AND(ROW()&gt;=CELL("row",INDIRECT($H$5)),ROW()&lt;=(CELL("row",INDIRECT($H$5))+ROWS(INDIRECT($H$5))-1),COLUMN()&gt;=CELL("col",INDIRECT($H$5)),COLUMN()&lt;=(CELL("col",INDIRECT($H$5))+COLUMNS(INDIRECT($H$5))-1))</formula>
    </cfRule>
  </conditionalFormatting>
  <conditionalFormatting sqref="B24:M31">
    <cfRule type="expression" dxfId="2" priority="1">
      <formula>AND(ROW()&gt;=CELL("row",INDIRECT($H$6)),ROW()&lt;=(CELL("row",INDIRECT($H$6))+ROWS(INDIRECT($H$6))-1),COLUMN()&gt;=CELL("col",INDIRECT($H$6)),COLUMN()&lt;=(CELL("col",INDIRECT($H$6))+COLUMNS(INDIRECT($H$6))-1))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B23" sqref="B23"/>
    </sheetView>
  </sheetViews>
  <sheetFormatPr baseColWidth="10" defaultRowHeight="15" x14ac:dyDescent="0.2"/>
  <cols>
    <col min="1" max="1" width="5.1640625" customWidth="1"/>
    <col min="2" max="13" width="9.83203125" customWidth="1"/>
    <col min="14" max="23" width="9.6640625" customWidth="1"/>
    <col min="25" max="30" width="10.83203125" customWidth="1"/>
  </cols>
  <sheetData>
    <row r="1" spans="1:14" ht="19" x14ac:dyDescent="0.25">
      <c r="A1" s="9" t="s">
        <v>15</v>
      </c>
      <c r="B1" s="33"/>
      <c r="C1" s="33"/>
      <c r="D1" s="4" t="s">
        <v>81</v>
      </c>
      <c r="H1" s="8" t="s">
        <v>22</v>
      </c>
      <c r="M1" s="8"/>
    </row>
    <row r="2" spans="1:14" x14ac:dyDescent="0.2">
      <c r="A2" t="s">
        <v>26</v>
      </c>
      <c r="D2" s="12">
        <f>'Particle standard curve'!C30</f>
        <v>203825730.88452187</v>
      </c>
      <c r="H2" s="8" t="s">
        <v>47</v>
      </c>
      <c r="M2" s="8"/>
    </row>
    <row r="3" spans="1:14" x14ac:dyDescent="0.2">
      <c r="A3" s="7" t="s">
        <v>32</v>
      </c>
      <c r="B3" s="7"/>
      <c r="C3" s="7"/>
      <c r="D3" s="12">
        <f>'Fluorescein standard curve'!C31</f>
        <v>4703031049.0016222</v>
      </c>
      <c r="M3" s="8"/>
    </row>
    <row r="4" spans="1:14" x14ac:dyDescent="0.2">
      <c r="A4" t="s">
        <v>79</v>
      </c>
      <c r="D4" s="12">
        <f ca="1">'Raw Plate Reader Measurements'!H7</f>
        <v>0.37874999999999998</v>
      </c>
      <c r="M4" s="8"/>
    </row>
    <row r="5" spans="1:14" x14ac:dyDescent="0.2">
      <c r="A5" t="s">
        <v>80</v>
      </c>
      <c r="D5" s="12">
        <f ca="1">'Raw Plate Reader Measurements'!H8</f>
        <v>318.25</v>
      </c>
    </row>
    <row r="6" spans="1:14" x14ac:dyDescent="0.2">
      <c r="A6" t="s">
        <v>82</v>
      </c>
      <c r="D6" s="31" t="b">
        <f ca="1">AND(ISNUMBER(D2),ISNUMBER(D3),ISNUMBER(D4),ISNUMBER(D5))</f>
        <v>1</v>
      </c>
    </row>
    <row r="7" spans="1:14" x14ac:dyDescent="0.2">
      <c r="A7" t="s">
        <v>84</v>
      </c>
      <c r="D7" s="35" t="str">
        <f ca="1">'Raw Plate Reader Measurements'!H5</f>
        <v>J12:J19</v>
      </c>
      <c r="E7" s="4" t="s">
        <v>85</v>
      </c>
    </row>
    <row r="9" spans="1:14" ht="19" x14ac:dyDescent="0.25">
      <c r="A9" s="10" t="s">
        <v>16</v>
      </c>
      <c r="B9" s="10"/>
      <c r="C9" s="10"/>
    </row>
    <row r="10" spans="1:14" ht="16" x14ac:dyDescent="0.2">
      <c r="A10" s="15" t="s">
        <v>31</v>
      </c>
      <c r="B10" s="15"/>
      <c r="C10" s="15"/>
    </row>
    <row r="11" spans="1:14" s="6" customFormat="1" x14ac:dyDescent="0.2">
      <c r="A11" s="13"/>
      <c r="B11" s="34">
        <v>1</v>
      </c>
      <c r="C11" s="34">
        <v>2</v>
      </c>
      <c r="D11" s="34">
        <v>3</v>
      </c>
      <c r="E11" s="34">
        <v>4</v>
      </c>
      <c r="F11" s="34">
        <v>5</v>
      </c>
      <c r="G11" s="34">
        <v>6</v>
      </c>
      <c r="H11" s="34">
        <v>7</v>
      </c>
      <c r="I11" s="34">
        <v>8</v>
      </c>
      <c r="J11" s="34">
        <v>9</v>
      </c>
      <c r="K11" s="34">
        <v>10</v>
      </c>
      <c r="L11" s="34">
        <v>11</v>
      </c>
      <c r="M11" s="34">
        <v>12</v>
      </c>
      <c r="N11"/>
    </row>
    <row r="12" spans="1:14" x14ac:dyDescent="0.2">
      <c r="A12" s="26" t="s">
        <v>48</v>
      </c>
      <c r="B12" s="31">
        <f ca="1">IF(AND($D$6,ISNUMBER(B45),ISNUMBER(B34)),(B45*$D$3)/(B34*$D$2),"---")</f>
        <v>2559.8840483497652</v>
      </c>
      <c r="C12" s="31">
        <f t="shared" ref="C12:M12" ca="1" si="0">IF(AND($D$6,ISNUMBER(C45),ISNUMBER(C34)),(C45*$D$3)/(C34*$D$2),"---")</f>
        <v>115912.68949658632</v>
      </c>
      <c r="D12" s="31">
        <f t="shared" ca="1" si="0"/>
        <v>-2586732.2548021232</v>
      </c>
      <c r="E12" s="31">
        <f t="shared" ca="1" si="0"/>
        <v>215975.21742812984</v>
      </c>
      <c r="F12" s="31">
        <f t="shared" ca="1" si="0"/>
        <v>12390.245626663673</v>
      </c>
      <c r="G12" s="31">
        <f t="shared" ca="1" si="0"/>
        <v>1034941.7251642293</v>
      </c>
      <c r="H12" s="31">
        <f t="shared" ca="1" si="0"/>
        <v>-311795.52545386617</v>
      </c>
      <c r="I12" s="31">
        <f t="shared" ca="1" si="0"/>
        <v>143186.10003548284</v>
      </c>
      <c r="J12" s="31">
        <f t="shared" ca="1" si="0"/>
        <v>-447631.42491720541</v>
      </c>
      <c r="K12" s="31" t="str">
        <f t="shared" ca="1" si="0"/>
        <v>---</v>
      </c>
      <c r="L12" s="31" t="str">
        <f t="shared" ca="1" si="0"/>
        <v>---</v>
      </c>
      <c r="M12" s="31" t="str">
        <f t="shared" ca="1" si="0"/>
        <v>---</v>
      </c>
    </row>
    <row r="13" spans="1:14" x14ac:dyDescent="0.2">
      <c r="A13" s="26" t="s">
        <v>49</v>
      </c>
      <c r="B13" s="31">
        <f t="shared" ref="B13:M13" ca="1" si="1">IF(AND($D$6,ISNUMBER(B46),ISNUMBER(B35)),(B46*$D$3)/(B35*$D$2),"---")</f>
        <v>1374.0036116978824</v>
      </c>
      <c r="C13" s="31">
        <f t="shared" ca="1" si="1"/>
        <v>117546.03279872191</v>
      </c>
      <c r="D13" s="31">
        <f t="shared" ca="1" si="1"/>
        <v>8839000.9921165183</v>
      </c>
      <c r="E13" s="31">
        <f t="shared" ca="1" si="1"/>
        <v>146658.51315481431</v>
      </c>
      <c r="F13" s="31">
        <f t="shared" ca="1" si="1"/>
        <v>2133.8763807100695</v>
      </c>
      <c r="G13" s="31">
        <f t="shared" ca="1" si="1"/>
        <v>1062814.437826542</v>
      </c>
      <c r="H13" s="31">
        <f t="shared" ca="1" si="1"/>
        <v>-223026.42571810045</v>
      </c>
      <c r="I13" s="31">
        <f t="shared" ca="1" si="1"/>
        <v>133991.78930450664</v>
      </c>
      <c r="J13" s="31">
        <f t="shared" ca="1" si="1"/>
        <v>-37430.806436376442</v>
      </c>
      <c r="K13" s="31" t="str">
        <f t="shared" ca="1" si="1"/>
        <v>---</v>
      </c>
      <c r="L13" s="31" t="str">
        <f t="shared" ca="1" si="1"/>
        <v>---</v>
      </c>
      <c r="M13" s="31" t="str">
        <f t="shared" ca="1" si="1"/>
        <v>---</v>
      </c>
    </row>
    <row r="14" spans="1:14" x14ac:dyDescent="0.2">
      <c r="A14" s="26" t="s">
        <v>50</v>
      </c>
      <c r="B14" s="31">
        <f t="shared" ref="B14:M14" ca="1" si="2">IF(AND($D$6,ISNUMBER(B47),ISNUMBER(B36)),(B47*$D$3)/(B36*$D$2),"---")</f>
        <v>1304.8167490151961</v>
      </c>
      <c r="C14" s="31">
        <f t="shared" ca="1" si="2"/>
        <v>110308.44246157534</v>
      </c>
      <c r="D14" s="31">
        <f t="shared" ca="1" si="2"/>
        <v>-3648096.6894497923</v>
      </c>
      <c r="E14" s="31">
        <f t="shared" ca="1" si="2"/>
        <v>190353.24640721417</v>
      </c>
      <c r="F14" s="31">
        <f t="shared" ca="1" si="2"/>
        <v>4410.7234903295694</v>
      </c>
      <c r="G14" s="31">
        <f t="shared" ca="1" si="2"/>
        <v>976844.57796312729</v>
      </c>
      <c r="H14" s="31">
        <f t="shared" ca="1" si="2"/>
        <v>-214132.80877908951</v>
      </c>
      <c r="I14" s="31">
        <f t="shared" ca="1" si="2"/>
        <v>163471.30736679203</v>
      </c>
      <c r="J14" s="31">
        <f t="shared" ca="1" si="2"/>
        <v>-59991.840452822755</v>
      </c>
      <c r="K14" s="31" t="str">
        <f t="shared" ca="1" si="2"/>
        <v>---</v>
      </c>
      <c r="L14" s="31" t="str">
        <f t="shared" ca="1" si="2"/>
        <v>---</v>
      </c>
      <c r="M14" s="31" t="str">
        <f t="shared" ca="1" si="2"/>
        <v>---</v>
      </c>
    </row>
    <row r="15" spans="1:14" x14ac:dyDescent="0.2">
      <c r="A15" s="26" t="s">
        <v>51</v>
      </c>
      <c r="B15" s="31">
        <f t="shared" ref="B15:M15" ca="1" si="3">IF(AND($D$6,ISNUMBER(B48),ISNUMBER(B37)),(B48*$D$3)/(B37*$D$2),"---")</f>
        <v>2358.0325106653086</v>
      </c>
      <c r="C15" s="31">
        <f t="shared" ca="1" si="3"/>
        <v>114558.08047919578</v>
      </c>
      <c r="D15" s="31">
        <f t="shared" ca="1" si="3"/>
        <v>-3305859.1660707379</v>
      </c>
      <c r="E15" s="31">
        <f t="shared" ca="1" si="3"/>
        <v>227130.13576302314</v>
      </c>
      <c r="F15" s="31">
        <f t="shared" ca="1" si="3"/>
        <v>2136.9624834398937</v>
      </c>
      <c r="G15" s="31">
        <f t="shared" ca="1" si="3"/>
        <v>1224985.4458115732</v>
      </c>
      <c r="H15" s="31">
        <f t="shared" ca="1" si="3"/>
        <v>-197421.69254582989</v>
      </c>
      <c r="I15" s="31">
        <f t="shared" ca="1" si="3"/>
        <v>184852.05545337405</v>
      </c>
      <c r="J15" s="31">
        <f t="shared" ca="1" si="3"/>
        <v>21755.282801573125</v>
      </c>
      <c r="K15" s="31" t="str">
        <f t="shared" ca="1" si="3"/>
        <v>---</v>
      </c>
      <c r="L15" s="31" t="str">
        <f t="shared" ca="1" si="3"/>
        <v>---</v>
      </c>
      <c r="M15" s="31" t="str">
        <f t="shared" ca="1" si="3"/>
        <v>---</v>
      </c>
    </row>
    <row r="16" spans="1:14" x14ac:dyDescent="0.2">
      <c r="A16" s="26" t="s">
        <v>52</v>
      </c>
      <c r="B16" s="31">
        <f t="shared" ref="B16:M16" ca="1" si="4">IF(AND($D$6,ISNUMBER(B49),ISNUMBER(B38)),(B49*$D$3)/(B38*$D$2),"---")</f>
        <v>2741.9938270520925</v>
      </c>
      <c r="C16" s="31">
        <f t="shared" ca="1" si="4"/>
        <v>230677.81202871684</v>
      </c>
      <c r="D16" s="31">
        <f t="shared" ca="1" si="4"/>
        <v>123036.07500633162</v>
      </c>
      <c r="E16" s="31">
        <f t="shared" ca="1" si="4"/>
        <v>211448.07682258947</v>
      </c>
      <c r="F16" s="31">
        <f t="shared" ca="1" si="4"/>
        <v>7136.4365940619382</v>
      </c>
      <c r="G16" s="31">
        <f t="shared" ca="1" si="4"/>
        <v>1227095.9446794414</v>
      </c>
      <c r="H16" s="31">
        <f t="shared" ca="1" si="4"/>
        <v>-238630.71530054649</v>
      </c>
      <c r="I16" s="31">
        <f t="shared" ca="1" si="4"/>
        <v>137106.54315310024</v>
      </c>
      <c r="J16" s="31">
        <f t="shared" ca="1" si="4"/>
        <v>-78450.868284458673</v>
      </c>
      <c r="K16" s="31" t="str">
        <f t="shared" ca="1" si="4"/>
        <v>---</v>
      </c>
      <c r="L16" s="31" t="str">
        <f t="shared" ca="1" si="4"/>
        <v>---</v>
      </c>
      <c r="M16" s="31" t="str">
        <f t="shared" ca="1" si="4"/>
        <v>---</v>
      </c>
    </row>
    <row r="17" spans="1:13" x14ac:dyDescent="0.2">
      <c r="A17" s="26" t="s">
        <v>53</v>
      </c>
      <c r="B17" s="31">
        <f t="shared" ref="B17:M17" ca="1" si="5">IF(AND($D$6,ISNUMBER(B50),ISNUMBER(B39)),(B50*$D$3)/(B39*$D$2),"---")</f>
        <v>2618.1682332629061</v>
      </c>
      <c r="C17" s="31">
        <f t="shared" ca="1" si="5"/>
        <v>149000.37221659796</v>
      </c>
      <c r="D17" s="31">
        <f t="shared" ca="1" si="5"/>
        <v>90239.898456089562</v>
      </c>
      <c r="E17" s="31">
        <f t="shared" ca="1" si="5"/>
        <v>197911.00860201739</v>
      </c>
      <c r="F17" s="31">
        <f t="shared" ca="1" si="5"/>
        <v>5814.9123923024599</v>
      </c>
      <c r="G17" s="31">
        <f t="shared" ca="1" si="5"/>
        <v>1015723.9193908948</v>
      </c>
      <c r="H17" s="31">
        <f t="shared" ca="1" si="5"/>
        <v>-185611.24224511866</v>
      </c>
      <c r="I17" s="31">
        <f t="shared" ca="1" si="5"/>
        <v>122608.99284486538</v>
      </c>
      <c r="J17" s="31">
        <f t="shared" ca="1" si="5"/>
        <v>6460.6597410732211</v>
      </c>
      <c r="K17" s="31" t="str">
        <f t="shared" ca="1" si="5"/>
        <v>---</v>
      </c>
      <c r="L17" s="31" t="str">
        <f t="shared" ca="1" si="5"/>
        <v>---</v>
      </c>
      <c r="M17" s="31" t="str">
        <f t="shared" ca="1" si="5"/>
        <v>---</v>
      </c>
    </row>
    <row r="18" spans="1:13" x14ac:dyDescent="0.2">
      <c r="A18" s="26" t="s">
        <v>54</v>
      </c>
      <c r="B18" s="31">
        <f t="shared" ref="B18:M18" ca="1" si="6">IF(AND($D$6,ISNUMBER(B51),ISNUMBER(B40)),(B51*$D$3)/(B40*$D$2),"---")</f>
        <v>2365.0132557761553</v>
      </c>
      <c r="C18" s="31">
        <f t="shared" ca="1" si="6"/>
        <v>146542.35590529532</v>
      </c>
      <c r="D18" s="31">
        <f t="shared" ca="1" si="6"/>
        <v>104395.72336378196</v>
      </c>
      <c r="E18" s="31">
        <f t="shared" ca="1" si="6"/>
        <v>176040.87429360615</v>
      </c>
      <c r="F18" s="31">
        <f t="shared" ca="1" si="6"/>
        <v>5334.0982010181788</v>
      </c>
      <c r="G18" s="31">
        <f t="shared" ca="1" si="6"/>
        <v>1082652.7008287539</v>
      </c>
      <c r="H18" s="31">
        <f t="shared" ca="1" si="6"/>
        <v>-184442.17956933304</v>
      </c>
      <c r="I18" s="31">
        <f t="shared" ca="1" si="6"/>
        <v>102938.42254666204</v>
      </c>
      <c r="J18" s="31">
        <f t="shared" ca="1" si="6"/>
        <v>-15162.772861702482</v>
      </c>
      <c r="K18" s="31" t="str">
        <f t="shared" ca="1" si="6"/>
        <v>---</v>
      </c>
      <c r="L18" s="31" t="str">
        <f t="shared" ca="1" si="6"/>
        <v>---</v>
      </c>
      <c r="M18" s="31" t="str">
        <f t="shared" ca="1" si="6"/>
        <v>---</v>
      </c>
    </row>
    <row r="19" spans="1:13" x14ac:dyDescent="0.2">
      <c r="A19" s="26" t="s">
        <v>55</v>
      </c>
      <c r="B19" s="31">
        <f t="shared" ref="B19:M19" ca="1" si="7">IF(AND($D$6,ISNUMBER(B52),ISNUMBER(B41)),(B52*$D$3)/(B41*$D$2),"---")</f>
        <v>1671.4565168114955</v>
      </c>
      <c r="C19" s="31">
        <f t="shared" ca="1" si="7"/>
        <v>135416.97603071455</v>
      </c>
      <c r="D19" s="31">
        <f t="shared" ca="1" si="7"/>
        <v>101891.35718727809</v>
      </c>
      <c r="E19" s="31">
        <f t="shared" ca="1" si="7"/>
        <v>201837.13496552303</v>
      </c>
      <c r="F19" s="31">
        <f t="shared" ca="1" si="7"/>
        <v>4512.5852171439183</v>
      </c>
      <c r="G19" s="31">
        <f t="shared" ca="1" si="7"/>
        <v>1449949.9115748429</v>
      </c>
      <c r="H19" s="31">
        <f t="shared" ca="1" si="7"/>
        <v>-185377.87906140642</v>
      </c>
      <c r="I19" s="31">
        <f t="shared" ca="1" si="7"/>
        <v>121567.85120462932</v>
      </c>
      <c r="J19" s="31">
        <f t="shared" ca="1" si="7"/>
        <v>3216.3457585429423</v>
      </c>
      <c r="K19" s="31" t="str">
        <f t="shared" ca="1" si="7"/>
        <v>---</v>
      </c>
      <c r="L19" s="31" t="str">
        <f t="shared" ca="1" si="7"/>
        <v>---</v>
      </c>
      <c r="M19" s="31" t="str">
        <f t="shared" ca="1" si="7"/>
        <v>---</v>
      </c>
    </row>
    <row r="20" spans="1:13" x14ac:dyDescent="0.2">
      <c r="A20" s="2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</row>
    <row r="21" spans="1:13" ht="16" x14ac:dyDescent="0.2">
      <c r="A21" s="14" t="s">
        <v>92</v>
      </c>
      <c r="B21" s="14"/>
      <c r="C21" s="14"/>
    </row>
    <row r="22" spans="1:13" x14ac:dyDescent="0.2">
      <c r="A22" s="13"/>
      <c r="B22" s="34">
        <v>1</v>
      </c>
      <c r="C22" s="34">
        <v>2</v>
      </c>
      <c r="D22" s="34">
        <v>3</v>
      </c>
      <c r="E22" s="34">
        <v>4</v>
      </c>
      <c r="F22" s="34">
        <v>5</v>
      </c>
      <c r="G22" s="34">
        <v>6</v>
      </c>
      <c r="H22" s="34">
        <v>7</v>
      </c>
      <c r="I22" s="34">
        <v>8</v>
      </c>
      <c r="J22" s="34">
        <v>9</v>
      </c>
      <c r="K22" s="34">
        <v>10</v>
      </c>
      <c r="L22" s="34">
        <v>11</v>
      </c>
      <c r="M22" s="34">
        <v>12</v>
      </c>
    </row>
    <row r="23" spans="1:13" x14ac:dyDescent="0.2">
      <c r="A23" s="26" t="s">
        <v>48</v>
      </c>
      <c r="B23" s="31">
        <f ca="1">IF(AND($D$6,ISNUMBER(B34)),B34*$D$2,"---")</f>
        <v>67517273.355497867</v>
      </c>
      <c r="C23" s="31">
        <f t="shared" ref="C23:M23" ca="1" si="8">IF(AND($D$6,ISNUMBER(C34)),C34*$D$2,"---")</f>
        <v>64867538.853999078</v>
      </c>
      <c r="D23" s="31">
        <f t="shared" ca="1" si="8"/>
        <v>-10955633.035043044</v>
      </c>
      <c r="E23" s="31">
        <f t="shared" ca="1" si="8"/>
        <v>51211214.884736128</v>
      </c>
      <c r="F23" s="31">
        <f t="shared" ca="1" si="8"/>
        <v>53045646.462696828</v>
      </c>
      <c r="G23" s="31">
        <f t="shared" ca="1" si="8"/>
        <v>59160418.389232486</v>
      </c>
      <c r="H23" s="31">
        <f t="shared" ca="1" si="8"/>
        <v>-33376463.432340451</v>
      </c>
      <c r="I23" s="31">
        <f t="shared" ca="1" si="8"/>
        <v>43873488.572893329</v>
      </c>
      <c r="J23" s="31">
        <f t="shared" ca="1" si="8"/>
        <v>254782.16360565822</v>
      </c>
      <c r="K23" s="31" t="str">
        <f t="shared" ca="1" si="8"/>
        <v>---</v>
      </c>
      <c r="L23" s="31" t="str">
        <f t="shared" ca="1" si="8"/>
        <v>---</v>
      </c>
      <c r="M23" s="31" t="str">
        <f t="shared" ca="1" si="8"/>
        <v>---</v>
      </c>
    </row>
    <row r="24" spans="1:13" x14ac:dyDescent="0.2">
      <c r="A24" s="26" t="s">
        <v>49</v>
      </c>
      <c r="B24" s="31">
        <f t="shared" ref="B24:M30" ca="1" si="9">IF(AND($D$6,ISNUMBER(B35)),B35*$D$2,"---")</f>
        <v>74447348.205571622</v>
      </c>
      <c r="C24" s="31">
        <f t="shared" ca="1" si="9"/>
        <v>65886667.508421689</v>
      </c>
      <c r="D24" s="31">
        <f t="shared" ca="1" si="9"/>
        <v>2700690.9342199229</v>
      </c>
      <c r="E24" s="31">
        <f t="shared" ca="1" si="9"/>
        <v>64256061.661345512</v>
      </c>
      <c r="F24" s="31">
        <f t="shared" ca="1" si="9"/>
        <v>58956592.658347964</v>
      </c>
      <c r="G24" s="31">
        <f t="shared" ca="1" si="9"/>
        <v>43873488.572893329</v>
      </c>
      <c r="H24" s="31">
        <f t="shared" ca="1" si="9"/>
        <v>-38879758.166222543</v>
      </c>
      <c r="I24" s="31">
        <f t="shared" ca="1" si="9"/>
        <v>43058185.649355248</v>
      </c>
      <c r="J24" s="31">
        <f t="shared" ca="1" si="9"/>
        <v>2293039.4724508789</v>
      </c>
      <c r="K24" s="31" t="str">
        <f t="shared" ca="1" si="9"/>
        <v>---</v>
      </c>
      <c r="L24" s="31" t="str">
        <f t="shared" ca="1" si="9"/>
        <v>---</v>
      </c>
      <c r="M24" s="31" t="str">
        <f t="shared" ca="1" si="9"/>
        <v>---</v>
      </c>
    </row>
    <row r="25" spans="1:13" x14ac:dyDescent="0.2">
      <c r="A25" s="26" t="s">
        <v>50</v>
      </c>
      <c r="B25" s="31">
        <f t="shared" ca="1" si="9"/>
        <v>71186136.511419266</v>
      </c>
      <c r="C25" s="31">
        <f t="shared" ca="1" si="9"/>
        <v>70167007.856996655</v>
      </c>
      <c r="D25" s="31">
        <f t="shared" ca="1" si="9"/>
        <v>-6267641.2246990474</v>
      </c>
      <c r="E25" s="31">
        <f t="shared" ca="1" si="9"/>
        <v>53657123.655350387</v>
      </c>
      <c r="F25" s="31">
        <f t="shared" ca="1" si="9"/>
        <v>39185496.762549326</v>
      </c>
      <c r="G25" s="31">
        <f t="shared" ca="1" si="9"/>
        <v>43262011.38023977</v>
      </c>
      <c r="H25" s="31">
        <f t="shared" ca="1" si="9"/>
        <v>-40714189.744183242</v>
      </c>
      <c r="I25" s="31">
        <f t="shared" ca="1" si="9"/>
        <v>33682202.028667249</v>
      </c>
      <c r="J25" s="31">
        <f t="shared" ca="1" si="9"/>
        <v>-3821732.4540847829</v>
      </c>
      <c r="K25" s="31" t="str">
        <f t="shared" ca="1" si="9"/>
        <v>---</v>
      </c>
      <c r="L25" s="31" t="str">
        <f t="shared" ca="1" si="9"/>
        <v>---</v>
      </c>
      <c r="M25" s="31" t="str">
        <f t="shared" ca="1" si="9"/>
        <v>---</v>
      </c>
    </row>
    <row r="26" spans="1:13" x14ac:dyDescent="0.2">
      <c r="A26" s="26" t="s">
        <v>51</v>
      </c>
      <c r="B26" s="31">
        <f t="shared" ca="1" si="9"/>
        <v>67313447.624613345</v>
      </c>
      <c r="C26" s="31">
        <f t="shared" ca="1" si="9"/>
        <v>66701970.431959778</v>
      </c>
      <c r="D26" s="31">
        <f t="shared" ca="1" si="9"/>
        <v>-7082944.1482371353</v>
      </c>
      <c r="E26" s="31">
        <f t="shared" ca="1" si="9"/>
        <v>45300268.689084984</v>
      </c>
      <c r="F26" s="31">
        <f t="shared" ca="1" si="9"/>
        <v>43465837.111124285</v>
      </c>
      <c r="G26" s="31">
        <f t="shared" ca="1" si="9"/>
        <v>32866899.105129164</v>
      </c>
      <c r="H26" s="31">
        <f t="shared" ca="1" si="9"/>
        <v>-41325666.936836809</v>
      </c>
      <c r="I26" s="31">
        <f t="shared" ca="1" si="9"/>
        <v>31440118.988937508</v>
      </c>
      <c r="J26" s="31">
        <f t="shared" ca="1" si="9"/>
        <v>-1783475.1452395623</v>
      </c>
      <c r="K26" s="31" t="str">
        <f t="shared" ca="1" si="9"/>
        <v>---</v>
      </c>
      <c r="L26" s="31" t="str">
        <f t="shared" ca="1" si="9"/>
        <v>---</v>
      </c>
      <c r="M26" s="31" t="str">
        <f t="shared" ca="1" si="9"/>
        <v>---</v>
      </c>
    </row>
    <row r="27" spans="1:13" x14ac:dyDescent="0.2">
      <c r="A27" s="26" t="s">
        <v>52</v>
      </c>
      <c r="B27" s="31">
        <f t="shared" ca="1" si="9"/>
        <v>63033107.276038386</v>
      </c>
      <c r="C27" s="31">
        <f t="shared" ca="1" si="9"/>
        <v>58752766.927463442</v>
      </c>
      <c r="D27" s="31">
        <f t="shared" ca="1" si="9"/>
        <v>48765306.114121862</v>
      </c>
      <c r="E27" s="31">
        <f t="shared" ca="1" si="9"/>
        <v>54064775.117119431</v>
      </c>
      <c r="F27" s="31">
        <f t="shared" ca="1" si="9"/>
        <v>56510683.887733698</v>
      </c>
      <c r="G27" s="31">
        <f t="shared" ca="1" si="9"/>
        <v>43262011.38023977</v>
      </c>
      <c r="H27" s="31">
        <f t="shared" ca="1" si="9"/>
        <v>-38879758.166222543</v>
      </c>
      <c r="I27" s="31">
        <f t="shared" ca="1" si="9"/>
        <v>58956592.658347964</v>
      </c>
      <c r="J27" s="31">
        <f t="shared" ca="1" si="9"/>
        <v>254782.16360565822</v>
      </c>
      <c r="K27" s="31" t="str">
        <f t="shared" ca="1" si="9"/>
        <v>---</v>
      </c>
      <c r="L27" s="31" t="str">
        <f t="shared" ca="1" si="9"/>
        <v>---</v>
      </c>
      <c r="M27" s="31" t="str">
        <f t="shared" ca="1" si="9"/>
        <v>---</v>
      </c>
    </row>
    <row r="28" spans="1:13" x14ac:dyDescent="0.2">
      <c r="A28" s="26" t="s">
        <v>53</v>
      </c>
      <c r="B28" s="31">
        <f t="shared" ca="1" si="9"/>
        <v>62421630.083384842</v>
      </c>
      <c r="C28" s="31">
        <f t="shared" ca="1" si="9"/>
        <v>52230343.539158739</v>
      </c>
      <c r="D28" s="31">
        <f t="shared" ca="1" si="9"/>
        <v>55491555.233311087</v>
      </c>
      <c r="E28" s="31">
        <f t="shared" ca="1" si="9"/>
        <v>55695380.964195609</v>
      </c>
      <c r="F28" s="31">
        <f t="shared" ca="1" si="9"/>
        <v>44281140.034662373</v>
      </c>
      <c r="G28" s="31">
        <f t="shared" ca="1" si="9"/>
        <v>36943413.722819604</v>
      </c>
      <c r="H28" s="31">
        <f t="shared" ca="1" si="9"/>
        <v>-40306538.282414198</v>
      </c>
      <c r="I28" s="31">
        <f t="shared" ca="1" si="9"/>
        <v>37351065.184588648</v>
      </c>
      <c r="J28" s="31">
        <f t="shared" ca="1" si="9"/>
        <v>-3821732.4540847829</v>
      </c>
      <c r="K28" s="31" t="str">
        <f t="shared" ca="1" si="9"/>
        <v>---</v>
      </c>
      <c r="L28" s="31" t="str">
        <f t="shared" ca="1" si="9"/>
        <v>---</v>
      </c>
      <c r="M28" s="31" t="str">
        <f t="shared" ca="1" si="9"/>
        <v>---</v>
      </c>
    </row>
    <row r="29" spans="1:13" x14ac:dyDescent="0.2">
      <c r="A29" s="26" t="s">
        <v>54</v>
      </c>
      <c r="B29" s="31">
        <f t="shared" ca="1" si="9"/>
        <v>59160418.389232486</v>
      </c>
      <c r="C29" s="31">
        <f t="shared" ca="1" si="9"/>
        <v>51822692.077389695</v>
      </c>
      <c r="D29" s="31">
        <f t="shared" ca="1" si="9"/>
        <v>46930874.536161162</v>
      </c>
      <c r="E29" s="31">
        <f t="shared" ca="1" si="9"/>
        <v>61198675.698077708</v>
      </c>
      <c r="F29" s="31">
        <f t="shared" ca="1" si="9"/>
        <v>38574019.569895759</v>
      </c>
      <c r="G29" s="31">
        <f t="shared" ca="1" si="9"/>
        <v>33682202.028667249</v>
      </c>
      <c r="H29" s="31">
        <f t="shared" ca="1" si="9"/>
        <v>-39695061.089760631</v>
      </c>
      <c r="I29" s="31">
        <f t="shared" ca="1" si="9"/>
        <v>44077314.303777851</v>
      </c>
      <c r="J29" s="31">
        <f t="shared" ca="1" si="9"/>
        <v>-1783475.1452395623</v>
      </c>
      <c r="K29" s="31" t="str">
        <f t="shared" ca="1" si="9"/>
        <v>---</v>
      </c>
      <c r="L29" s="31" t="str">
        <f t="shared" ca="1" si="9"/>
        <v>---</v>
      </c>
      <c r="M29" s="31" t="str">
        <f t="shared" ca="1" si="9"/>
        <v>---</v>
      </c>
    </row>
    <row r="30" spans="1:13" x14ac:dyDescent="0.2">
      <c r="A30" s="26" t="s">
        <v>55</v>
      </c>
      <c r="B30" s="31">
        <f t="shared" ca="1" si="9"/>
        <v>61198675.698077708</v>
      </c>
      <c r="C30" s="31">
        <f t="shared" ca="1" si="9"/>
        <v>57122161.080387264</v>
      </c>
      <c r="D30" s="31">
        <f t="shared" ca="1" si="9"/>
        <v>49376783.306775428</v>
      </c>
      <c r="E30" s="31">
        <f t="shared" ca="1" si="9"/>
        <v>55287729.502426565</v>
      </c>
      <c r="F30" s="31">
        <f t="shared" ca="1" si="9"/>
        <v>41427579.80227907</v>
      </c>
      <c r="G30" s="31">
        <f t="shared" ca="1" si="9"/>
        <v>27975081.563900635</v>
      </c>
      <c r="H30" s="31">
        <f t="shared" ca="1" si="9"/>
        <v>-40306538.282414198</v>
      </c>
      <c r="I30" s="31">
        <f t="shared" ca="1" si="9"/>
        <v>37554890.915473148</v>
      </c>
      <c r="J30" s="31">
        <f t="shared" ca="1" si="9"/>
        <v>8407811.3989865296</v>
      </c>
      <c r="K30" s="31" t="str">
        <f t="shared" ca="1" si="9"/>
        <v>---</v>
      </c>
      <c r="L30" s="31" t="str">
        <f t="shared" ca="1" si="9"/>
        <v>---</v>
      </c>
      <c r="M30" s="31" t="str">
        <f t="shared" ca="1" si="9"/>
        <v>---</v>
      </c>
    </row>
    <row r="32" spans="1:13" ht="16" x14ac:dyDescent="0.2">
      <c r="A32" s="14" t="s">
        <v>29</v>
      </c>
    </row>
    <row r="33" spans="1:13" x14ac:dyDescent="0.2">
      <c r="A33" s="13"/>
      <c r="B33" s="34">
        <v>1</v>
      </c>
      <c r="C33" s="34">
        <v>2</v>
      </c>
      <c r="D33" s="34">
        <v>3</v>
      </c>
      <c r="E33" s="34">
        <v>4</v>
      </c>
      <c r="F33" s="34">
        <v>5</v>
      </c>
      <c r="G33" s="34">
        <v>6</v>
      </c>
      <c r="H33" s="34">
        <v>7</v>
      </c>
      <c r="I33" s="34">
        <v>8</v>
      </c>
      <c r="J33" s="34">
        <v>9</v>
      </c>
      <c r="K33" s="34">
        <v>10</v>
      </c>
      <c r="L33" s="34">
        <v>11</v>
      </c>
      <c r="M33" s="34">
        <v>12</v>
      </c>
    </row>
    <row r="34" spans="1:13" x14ac:dyDescent="0.2">
      <c r="A34" s="26" t="s">
        <v>48</v>
      </c>
      <c r="B34" s="18">
        <f ca="1">IF(ISNUMBER('Raw Plate Reader Measurements'!B12),'Raw Plate Reader Measurements'!B12-$D$4,"---")</f>
        <v>0.33124999999999999</v>
      </c>
      <c r="C34" s="18">
        <f ca="1">IF(ISNUMBER('Raw Plate Reader Measurements'!C12),'Raw Plate Reader Measurements'!C12-$D$4,"---")</f>
        <v>0.31824999999999998</v>
      </c>
      <c r="D34" s="18">
        <f ca="1">IF(ISNUMBER('Raw Plate Reader Measurements'!D12),'Raw Plate Reader Measurements'!D12-$D$4,"---")</f>
        <v>-5.3749999999999964E-2</v>
      </c>
      <c r="E34" s="18">
        <f ca="1">IF(ISNUMBER('Raw Plate Reader Measurements'!E12),'Raw Plate Reader Measurements'!E12-$D$4,"---")</f>
        <v>0.25125000000000003</v>
      </c>
      <c r="F34" s="18">
        <f ca="1">IF(ISNUMBER('Raw Plate Reader Measurements'!F12),'Raw Plate Reader Measurements'!F12-$D$4,"---")</f>
        <v>0.26025000000000004</v>
      </c>
      <c r="G34" s="18">
        <f ca="1">IF(ISNUMBER('Raw Plate Reader Measurements'!G12),'Raw Plate Reader Measurements'!G12-$D$4,"---")</f>
        <v>0.29025000000000006</v>
      </c>
      <c r="H34" s="18">
        <f ca="1">IF(ISNUMBER('Raw Plate Reader Measurements'!H12),'Raw Plate Reader Measurements'!H12-$D$4,"---")</f>
        <v>-0.16374999999999998</v>
      </c>
      <c r="I34" s="18">
        <f ca="1">IF(ISNUMBER('Raw Plate Reader Measurements'!I12),'Raw Plate Reader Measurements'!I12-$D$4,"---")</f>
        <v>0.21525</v>
      </c>
      <c r="J34" s="18">
        <f ca="1">IF(ISNUMBER('Raw Plate Reader Measurements'!J12),'Raw Plate Reader Measurements'!J12-$D$4,"---")</f>
        <v>1.2500000000000289E-3</v>
      </c>
      <c r="K34" s="18" t="str">
        <f>IF(ISNUMBER('Raw Plate Reader Measurements'!K12),'Raw Plate Reader Measurements'!K12-$D$4,"---")</f>
        <v>---</v>
      </c>
      <c r="L34" s="18" t="str">
        <f>IF(ISNUMBER('Raw Plate Reader Measurements'!L12),'Raw Plate Reader Measurements'!L12-$D$4,"---")</f>
        <v>---</v>
      </c>
      <c r="M34" s="18" t="str">
        <f>IF(ISNUMBER('Raw Plate Reader Measurements'!M12),'Raw Plate Reader Measurements'!M12-$D$4,"---")</f>
        <v>---</v>
      </c>
    </row>
    <row r="35" spans="1:13" x14ac:dyDescent="0.2">
      <c r="A35" s="26" t="s">
        <v>49</v>
      </c>
      <c r="B35" s="18">
        <f ca="1">IF(ISNUMBER('Raw Plate Reader Measurements'!B13),'Raw Plate Reader Measurements'!B13-$D$4,"---")</f>
        <v>0.36525000000000002</v>
      </c>
      <c r="C35" s="18">
        <f ca="1">IF(ISNUMBER('Raw Plate Reader Measurements'!C13),'Raw Plate Reader Measurements'!C13-$D$4,"---")</f>
        <v>0.32324999999999998</v>
      </c>
      <c r="D35" s="18">
        <f ca="1">IF(ISNUMBER('Raw Plate Reader Measurements'!D13),'Raw Plate Reader Measurements'!D13-$D$4,"---")</f>
        <v>1.325000000000004E-2</v>
      </c>
      <c r="E35" s="18">
        <f ca="1">IF(ISNUMBER('Raw Plate Reader Measurements'!E13),'Raw Plate Reader Measurements'!E13-$D$4,"---")</f>
        <v>0.31524999999999997</v>
      </c>
      <c r="F35" s="18">
        <f ca="1">IF(ISNUMBER('Raw Plate Reader Measurements'!F13),'Raw Plate Reader Measurements'!F13-$D$4,"---")</f>
        <v>0.28925000000000006</v>
      </c>
      <c r="G35" s="18">
        <f ca="1">IF(ISNUMBER('Raw Plate Reader Measurements'!G13),'Raw Plate Reader Measurements'!G13-$D$4,"---")</f>
        <v>0.21525</v>
      </c>
      <c r="H35" s="18">
        <f ca="1">IF(ISNUMBER('Raw Plate Reader Measurements'!H13),'Raw Plate Reader Measurements'!H13-$D$4,"---")</f>
        <v>-0.19074999999999998</v>
      </c>
      <c r="I35" s="18">
        <f ca="1">IF(ISNUMBER('Raw Plate Reader Measurements'!I13),'Raw Plate Reader Measurements'!I13-$D$4,"---")</f>
        <v>0.21124999999999999</v>
      </c>
      <c r="J35" s="18">
        <f ca="1">IF(ISNUMBER('Raw Plate Reader Measurements'!J13),'Raw Plate Reader Measurements'!J13-$D$4,"---")</f>
        <v>1.1250000000000038E-2</v>
      </c>
      <c r="K35" s="18" t="str">
        <f>IF(ISNUMBER('Raw Plate Reader Measurements'!K13),'Raw Plate Reader Measurements'!K13-$D$4,"---")</f>
        <v>---</v>
      </c>
      <c r="L35" s="18" t="str">
        <f>IF(ISNUMBER('Raw Plate Reader Measurements'!L13),'Raw Plate Reader Measurements'!L13-$D$4,"---")</f>
        <v>---</v>
      </c>
      <c r="M35" s="18" t="str">
        <f>IF(ISNUMBER('Raw Plate Reader Measurements'!M13),'Raw Plate Reader Measurements'!M13-$D$4,"---")</f>
        <v>---</v>
      </c>
    </row>
    <row r="36" spans="1:13" x14ac:dyDescent="0.2">
      <c r="A36" s="26" t="s">
        <v>50</v>
      </c>
      <c r="B36" s="18">
        <f ca="1">IF(ISNUMBER('Raw Plate Reader Measurements'!B14),'Raw Plate Reader Measurements'!B14-$D$4,"---")</f>
        <v>0.34925</v>
      </c>
      <c r="C36" s="18">
        <f ca="1">IF(ISNUMBER('Raw Plate Reader Measurements'!C14),'Raw Plate Reader Measurements'!C14-$D$4,"---")</f>
        <v>0.34425</v>
      </c>
      <c r="D36" s="18">
        <f ca="1">IF(ISNUMBER('Raw Plate Reader Measurements'!D14),'Raw Plate Reader Measurements'!D14-$D$4,"---")</f>
        <v>-3.075E-2</v>
      </c>
      <c r="E36" s="18">
        <f ca="1">IF(ISNUMBER('Raw Plate Reader Measurements'!E14),'Raw Plate Reader Measurements'!E14-$D$4,"---")</f>
        <v>0.26325000000000004</v>
      </c>
      <c r="F36" s="18">
        <f ca="1">IF(ISNUMBER('Raw Plate Reader Measurements'!F14),'Raw Plate Reader Measurements'!F14-$D$4,"---")</f>
        <v>0.19224999999999998</v>
      </c>
      <c r="G36" s="18">
        <f ca="1">IF(ISNUMBER('Raw Plate Reader Measurements'!G14),'Raw Plate Reader Measurements'!G14-$D$4,"---")</f>
        <v>0.21224999999999999</v>
      </c>
      <c r="H36" s="18">
        <f ca="1">IF(ISNUMBER('Raw Plate Reader Measurements'!H14),'Raw Plate Reader Measurements'!H14-$D$4,"---")</f>
        <v>-0.19974999999999998</v>
      </c>
      <c r="I36" s="18">
        <f ca="1">IF(ISNUMBER('Raw Plate Reader Measurements'!I14),'Raw Plate Reader Measurements'!I14-$D$4,"---")</f>
        <v>0.16525000000000006</v>
      </c>
      <c r="J36" s="18">
        <f ca="1">IF(ISNUMBER('Raw Plate Reader Measurements'!J14),'Raw Plate Reader Measurements'!J14-$D$4,"---")</f>
        <v>-1.8749999999999989E-2</v>
      </c>
      <c r="K36" s="18" t="str">
        <f>IF(ISNUMBER('Raw Plate Reader Measurements'!K14),'Raw Plate Reader Measurements'!K14-$D$4,"---")</f>
        <v>---</v>
      </c>
      <c r="L36" s="18" t="str">
        <f>IF(ISNUMBER('Raw Plate Reader Measurements'!L14),'Raw Plate Reader Measurements'!L14-$D$4,"---")</f>
        <v>---</v>
      </c>
      <c r="M36" s="18" t="str">
        <f>IF(ISNUMBER('Raw Plate Reader Measurements'!M14),'Raw Plate Reader Measurements'!M14-$D$4,"---")</f>
        <v>---</v>
      </c>
    </row>
    <row r="37" spans="1:13" x14ac:dyDescent="0.2">
      <c r="A37" s="26" t="s">
        <v>51</v>
      </c>
      <c r="B37" s="18">
        <f ca="1">IF(ISNUMBER('Raw Plate Reader Measurements'!B15),'Raw Plate Reader Measurements'!B15-$D$4,"---")</f>
        <v>0.33024999999999999</v>
      </c>
      <c r="C37" s="18">
        <f ca="1">IF(ISNUMBER('Raw Plate Reader Measurements'!C15),'Raw Plate Reader Measurements'!C15-$D$4,"---")</f>
        <v>0.32724999999999999</v>
      </c>
      <c r="D37" s="18">
        <f ca="1">IF(ISNUMBER('Raw Plate Reader Measurements'!D15),'Raw Plate Reader Measurements'!D15-$D$4,"---")</f>
        <v>-3.4750000000000003E-2</v>
      </c>
      <c r="E37" s="18">
        <f ca="1">IF(ISNUMBER('Raw Plate Reader Measurements'!E15),'Raw Plate Reader Measurements'!E15-$D$4,"---")</f>
        <v>0.22225</v>
      </c>
      <c r="F37" s="18">
        <f ca="1">IF(ISNUMBER('Raw Plate Reader Measurements'!F15),'Raw Plate Reader Measurements'!F15-$D$4,"---")</f>
        <v>0.21325</v>
      </c>
      <c r="G37" s="18">
        <f ca="1">IF(ISNUMBER('Raw Plate Reader Measurements'!G15),'Raw Plate Reader Measurements'!G15-$D$4,"---")</f>
        <v>0.16125000000000006</v>
      </c>
      <c r="H37" s="18">
        <f ca="1">IF(ISNUMBER('Raw Plate Reader Measurements'!H15),'Raw Plate Reader Measurements'!H15-$D$4,"---")</f>
        <v>-0.20274999999999999</v>
      </c>
      <c r="I37" s="18">
        <f ca="1">IF(ISNUMBER('Raw Plate Reader Measurements'!I15),'Raw Plate Reader Measurements'!I15-$D$4,"---")</f>
        <v>0.15425000000000005</v>
      </c>
      <c r="J37" s="18">
        <f ca="1">IF(ISNUMBER('Raw Plate Reader Measurements'!J15),'Raw Plate Reader Measurements'!J15-$D$4,"---")</f>
        <v>-8.74999999999998E-3</v>
      </c>
      <c r="K37" s="18" t="str">
        <f>IF(ISNUMBER('Raw Plate Reader Measurements'!K15),'Raw Plate Reader Measurements'!K15-$D$4,"---")</f>
        <v>---</v>
      </c>
      <c r="L37" s="18" t="str">
        <f>IF(ISNUMBER('Raw Plate Reader Measurements'!L15),'Raw Plate Reader Measurements'!L15-$D$4,"---")</f>
        <v>---</v>
      </c>
      <c r="M37" s="18" t="str">
        <f>IF(ISNUMBER('Raw Plate Reader Measurements'!M15),'Raw Plate Reader Measurements'!M15-$D$4,"---")</f>
        <v>---</v>
      </c>
    </row>
    <row r="38" spans="1:13" x14ac:dyDescent="0.2">
      <c r="A38" s="26" t="s">
        <v>52</v>
      </c>
      <c r="B38" s="18">
        <f ca="1">IF(ISNUMBER('Raw Plate Reader Measurements'!B16),'Raw Plate Reader Measurements'!B16-$D$4,"---")</f>
        <v>0.30924999999999997</v>
      </c>
      <c r="C38" s="18">
        <f ca="1">IF(ISNUMBER('Raw Plate Reader Measurements'!C16),'Raw Plate Reader Measurements'!C16-$D$4,"---")</f>
        <v>0.28825000000000006</v>
      </c>
      <c r="D38" s="18">
        <f ca="1">IF(ISNUMBER('Raw Plate Reader Measurements'!D16),'Raw Plate Reader Measurements'!D16-$D$4,"---")</f>
        <v>0.23925000000000002</v>
      </c>
      <c r="E38" s="18">
        <f ca="1">IF(ISNUMBER('Raw Plate Reader Measurements'!E16),'Raw Plate Reader Measurements'!E16-$D$4,"---")</f>
        <v>0.26525000000000004</v>
      </c>
      <c r="F38" s="18">
        <f ca="1">IF(ISNUMBER('Raw Plate Reader Measurements'!F16),'Raw Plate Reader Measurements'!F16-$D$4,"---")</f>
        <v>0.27725000000000005</v>
      </c>
      <c r="G38" s="18">
        <f ca="1">IF(ISNUMBER('Raw Plate Reader Measurements'!G16),'Raw Plate Reader Measurements'!G16-$D$4,"---")</f>
        <v>0.21224999999999999</v>
      </c>
      <c r="H38" s="18">
        <f ca="1">IF(ISNUMBER('Raw Plate Reader Measurements'!H16),'Raw Plate Reader Measurements'!H16-$D$4,"---")</f>
        <v>-0.19074999999999998</v>
      </c>
      <c r="I38" s="18">
        <f ca="1">IF(ISNUMBER('Raw Plate Reader Measurements'!I16),'Raw Plate Reader Measurements'!I16-$D$4,"---")</f>
        <v>0.28925000000000006</v>
      </c>
      <c r="J38" s="18">
        <f ca="1">IF(ISNUMBER('Raw Plate Reader Measurements'!J16),'Raw Plate Reader Measurements'!J16-$D$4,"---")</f>
        <v>1.2500000000000289E-3</v>
      </c>
      <c r="K38" s="18" t="str">
        <f>IF(ISNUMBER('Raw Plate Reader Measurements'!K16),'Raw Plate Reader Measurements'!K16-$D$4,"---")</f>
        <v>---</v>
      </c>
      <c r="L38" s="18" t="str">
        <f>IF(ISNUMBER('Raw Plate Reader Measurements'!L16),'Raw Plate Reader Measurements'!L16-$D$4,"---")</f>
        <v>---</v>
      </c>
      <c r="M38" s="18" t="str">
        <f>IF(ISNUMBER('Raw Plate Reader Measurements'!M16),'Raw Plate Reader Measurements'!M16-$D$4,"---")</f>
        <v>---</v>
      </c>
    </row>
    <row r="39" spans="1:13" x14ac:dyDescent="0.2">
      <c r="A39" s="26" t="s">
        <v>53</v>
      </c>
      <c r="B39" s="18">
        <f ca="1">IF(ISNUMBER('Raw Plate Reader Measurements'!B17),'Raw Plate Reader Measurements'!B17-$D$4,"---")</f>
        <v>0.30625000000000008</v>
      </c>
      <c r="C39" s="18">
        <f ca="1">IF(ISNUMBER('Raw Plate Reader Measurements'!C17),'Raw Plate Reader Measurements'!C17-$D$4,"---")</f>
        <v>0.25625000000000003</v>
      </c>
      <c r="D39" s="18">
        <f ca="1">IF(ISNUMBER('Raw Plate Reader Measurements'!D17),'Raw Plate Reader Measurements'!D17-$D$4,"---")</f>
        <v>0.27225000000000005</v>
      </c>
      <c r="E39" s="18">
        <f ca="1">IF(ISNUMBER('Raw Plate Reader Measurements'!E17),'Raw Plate Reader Measurements'!E17-$D$4,"---")</f>
        <v>0.27325000000000005</v>
      </c>
      <c r="F39" s="18">
        <f ca="1">IF(ISNUMBER('Raw Plate Reader Measurements'!F17),'Raw Plate Reader Measurements'!F17-$D$4,"---")</f>
        <v>0.21725</v>
      </c>
      <c r="G39" s="18">
        <f ca="1">IF(ISNUMBER('Raw Plate Reader Measurements'!G17),'Raw Plate Reader Measurements'!G17-$D$4,"---")</f>
        <v>0.18125000000000008</v>
      </c>
      <c r="H39" s="18">
        <f ca="1">IF(ISNUMBER('Raw Plate Reader Measurements'!H17),'Raw Plate Reader Measurements'!H17-$D$4,"---")</f>
        <v>-0.19774999999999998</v>
      </c>
      <c r="I39" s="18">
        <f ca="1">IF(ISNUMBER('Raw Plate Reader Measurements'!I17),'Raw Plate Reader Measurements'!I17-$D$4,"---")</f>
        <v>0.18325000000000008</v>
      </c>
      <c r="J39" s="18">
        <f ca="1">IF(ISNUMBER('Raw Plate Reader Measurements'!J17),'Raw Plate Reader Measurements'!J17-$D$4,"---")</f>
        <v>-1.8749999999999989E-2</v>
      </c>
      <c r="K39" s="18" t="str">
        <f>IF(ISNUMBER('Raw Plate Reader Measurements'!K17),'Raw Plate Reader Measurements'!K17-$D$4,"---")</f>
        <v>---</v>
      </c>
      <c r="L39" s="18" t="str">
        <f>IF(ISNUMBER('Raw Plate Reader Measurements'!L17),'Raw Plate Reader Measurements'!L17-$D$4,"---")</f>
        <v>---</v>
      </c>
      <c r="M39" s="18" t="str">
        <f>IF(ISNUMBER('Raw Plate Reader Measurements'!M17),'Raw Plate Reader Measurements'!M17-$D$4,"---")</f>
        <v>---</v>
      </c>
    </row>
    <row r="40" spans="1:13" x14ac:dyDescent="0.2">
      <c r="A40" s="26" t="s">
        <v>54</v>
      </c>
      <c r="B40" s="18">
        <f ca="1">IF(ISNUMBER('Raw Plate Reader Measurements'!B18),'Raw Plate Reader Measurements'!B18-$D$4,"---")</f>
        <v>0.29025000000000006</v>
      </c>
      <c r="C40" s="18">
        <f ca="1">IF(ISNUMBER('Raw Plate Reader Measurements'!C18),'Raw Plate Reader Measurements'!C18-$D$4,"---")</f>
        <v>0.25425000000000003</v>
      </c>
      <c r="D40" s="18">
        <f ca="1">IF(ISNUMBER('Raw Plate Reader Measurements'!D18),'Raw Plate Reader Measurements'!D18-$D$4,"---")</f>
        <v>0.23025000000000001</v>
      </c>
      <c r="E40" s="18">
        <f ca="1">IF(ISNUMBER('Raw Plate Reader Measurements'!E18),'Raw Plate Reader Measurements'!E18-$D$4,"---")</f>
        <v>0.30025000000000007</v>
      </c>
      <c r="F40" s="18">
        <f ca="1">IF(ISNUMBER('Raw Plate Reader Measurements'!F18),'Raw Plate Reader Measurements'!F18-$D$4,"---")</f>
        <v>0.18924999999999997</v>
      </c>
      <c r="G40" s="18">
        <f ca="1">IF(ISNUMBER('Raw Plate Reader Measurements'!G18),'Raw Plate Reader Measurements'!G18-$D$4,"---")</f>
        <v>0.16525000000000006</v>
      </c>
      <c r="H40" s="18">
        <f ca="1">IF(ISNUMBER('Raw Plate Reader Measurements'!H18),'Raw Plate Reader Measurements'!H18-$D$4,"---")</f>
        <v>-0.19474999999999998</v>
      </c>
      <c r="I40" s="18">
        <f ca="1">IF(ISNUMBER('Raw Plate Reader Measurements'!I18),'Raw Plate Reader Measurements'!I18-$D$4,"---")</f>
        <v>0.21625</v>
      </c>
      <c r="J40" s="18">
        <f ca="1">IF(ISNUMBER('Raw Plate Reader Measurements'!J18),'Raw Plate Reader Measurements'!J18-$D$4,"---")</f>
        <v>-8.74999999999998E-3</v>
      </c>
      <c r="K40" s="18" t="str">
        <f>IF(ISNUMBER('Raw Plate Reader Measurements'!K18),'Raw Plate Reader Measurements'!K18-$D$4,"---")</f>
        <v>---</v>
      </c>
      <c r="L40" s="18" t="str">
        <f>IF(ISNUMBER('Raw Plate Reader Measurements'!L18),'Raw Plate Reader Measurements'!L18-$D$4,"---")</f>
        <v>---</v>
      </c>
      <c r="M40" s="18" t="str">
        <f>IF(ISNUMBER('Raw Plate Reader Measurements'!M18),'Raw Plate Reader Measurements'!M18-$D$4,"---")</f>
        <v>---</v>
      </c>
    </row>
    <row r="41" spans="1:13" x14ac:dyDescent="0.2">
      <c r="A41" s="26" t="s">
        <v>55</v>
      </c>
      <c r="B41" s="18">
        <f ca="1">IF(ISNUMBER('Raw Plate Reader Measurements'!B19),'Raw Plate Reader Measurements'!B19-$D$4,"---")</f>
        <v>0.30025000000000007</v>
      </c>
      <c r="C41" s="18">
        <f ca="1">IF(ISNUMBER('Raw Plate Reader Measurements'!C19),'Raw Plate Reader Measurements'!C19-$D$4,"---")</f>
        <v>0.28025000000000005</v>
      </c>
      <c r="D41" s="18">
        <f ca="1">IF(ISNUMBER('Raw Plate Reader Measurements'!D19),'Raw Plate Reader Measurements'!D19-$D$4,"---")</f>
        <v>0.24225000000000002</v>
      </c>
      <c r="E41" s="18">
        <f ca="1">IF(ISNUMBER('Raw Plate Reader Measurements'!E19),'Raw Plate Reader Measurements'!E19-$D$4,"---")</f>
        <v>0.27125000000000005</v>
      </c>
      <c r="F41" s="18">
        <f ca="1">IF(ISNUMBER('Raw Plate Reader Measurements'!F19),'Raw Plate Reader Measurements'!F19-$D$4,"---")</f>
        <v>0.20324999999999999</v>
      </c>
      <c r="G41" s="18">
        <f ca="1">IF(ISNUMBER('Raw Plate Reader Measurements'!G19),'Raw Plate Reader Measurements'!G19-$D$4,"---")</f>
        <v>0.13725000000000004</v>
      </c>
      <c r="H41" s="18">
        <f ca="1">IF(ISNUMBER('Raw Plate Reader Measurements'!H19),'Raw Plate Reader Measurements'!H19-$D$4,"---")</f>
        <v>-0.19774999999999998</v>
      </c>
      <c r="I41" s="18">
        <f ca="1">IF(ISNUMBER('Raw Plate Reader Measurements'!I19),'Raw Plate Reader Measurements'!I19-$D$4,"---")</f>
        <v>0.18424999999999997</v>
      </c>
      <c r="J41" s="18">
        <f ca="1">IF(ISNUMBER('Raw Plate Reader Measurements'!J19),'Raw Plate Reader Measurements'!J19-$D$4,"---")</f>
        <v>4.1250000000000009E-2</v>
      </c>
      <c r="K41" s="18" t="str">
        <f>IF(ISNUMBER('Raw Plate Reader Measurements'!K19),'Raw Plate Reader Measurements'!K19-$D$4,"---")</f>
        <v>---</v>
      </c>
      <c r="L41" s="18" t="str">
        <f>IF(ISNUMBER('Raw Plate Reader Measurements'!L19),'Raw Plate Reader Measurements'!L19-$D$4,"---")</f>
        <v>---</v>
      </c>
      <c r="M41" s="18" t="str">
        <f>IF(ISNUMBER('Raw Plate Reader Measurements'!M19),'Raw Plate Reader Measurements'!M19-$D$4,"---")</f>
        <v>---</v>
      </c>
    </row>
    <row r="43" spans="1:13" ht="16" x14ac:dyDescent="0.2">
      <c r="A43" s="15" t="s">
        <v>30</v>
      </c>
    </row>
    <row r="44" spans="1:13" x14ac:dyDescent="0.2">
      <c r="A44" s="13"/>
      <c r="B44" s="34">
        <v>1</v>
      </c>
      <c r="C44" s="34">
        <v>2</v>
      </c>
      <c r="D44" s="34">
        <v>3</v>
      </c>
      <c r="E44" s="34">
        <v>4</v>
      </c>
      <c r="F44" s="34">
        <v>5</v>
      </c>
      <c r="G44" s="34">
        <v>6</v>
      </c>
      <c r="H44" s="34">
        <v>7</v>
      </c>
      <c r="I44" s="34">
        <v>8</v>
      </c>
      <c r="J44" s="34">
        <v>9</v>
      </c>
      <c r="K44" s="34">
        <v>10</v>
      </c>
      <c r="L44" s="34">
        <v>11</v>
      </c>
      <c r="M44" s="34">
        <v>12</v>
      </c>
    </row>
    <row r="45" spans="1:13" x14ac:dyDescent="0.2">
      <c r="A45" s="26" t="s">
        <v>48</v>
      </c>
      <c r="B45" s="31">
        <f ca="1">IF(ISNUMBER('Raw Plate Reader Measurements'!B24),'Raw Plate Reader Measurements'!B24-$D$5,"---")</f>
        <v>36.75</v>
      </c>
      <c r="C45" s="31">
        <f ca="1">IF(ISNUMBER('Raw Plate Reader Measurements'!C24),'Raw Plate Reader Measurements'!C24-$D$5,"---")</f>
        <v>1598.75</v>
      </c>
      <c r="D45" s="31">
        <f ca="1">IF(ISNUMBER('Raw Plate Reader Measurements'!D24),'Raw Plate Reader Measurements'!D24-$D$5,"---")</f>
        <v>6025.75</v>
      </c>
      <c r="E45" s="31">
        <f ca="1">IF(ISNUMBER('Raw Plate Reader Measurements'!E24),'Raw Plate Reader Measurements'!E24-$D$5,"---")</f>
        <v>2351.75</v>
      </c>
      <c r="F45" s="31">
        <f ca="1">IF(ISNUMBER('Raw Plate Reader Measurements'!F24),'Raw Plate Reader Measurements'!F24-$D$5,"---")</f>
        <v>139.75</v>
      </c>
      <c r="G45" s="31">
        <f ca="1">IF(ISNUMBER('Raw Plate Reader Measurements'!G24),'Raw Plate Reader Measurements'!G24-$D$5,"---")</f>
        <v>13018.75</v>
      </c>
      <c r="H45" s="31">
        <f ca="1">IF(ISNUMBER('Raw Plate Reader Measurements'!H24),'Raw Plate Reader Measurements'!H24-$D$5,"---")</f>
        <v>2212.75</v>
      </c>
      <c r="I45" s="31">
        <f ca="1">IF(ISNUMBER('Raw Plate Reader Measurements'!I24),'Raw Plate Reader Measurements'!I24-$D$5,"---")</f>
        <v>1335.75</v>
      </c>
      <c r="J45" s="31">
        <f ca="1">IF(ISNUMBER('Raw Plate Reader Measurements'!J24),'Raw Plate Reader Measurements'!J24-$D$5,"---")</f>
        <v>-24.25</v>
      </c>
      <c r="K45" s="31" t="str">
        <f>IF(ISNUMBER('Raw Plate Reader Measurements'!K24),'Raw Plate Reader Measurements'!K24-$D$5,"---")</f>
        <v>---</v>
      </c>
      <c r="L45" s="31" t="str">
        <f>IF(ISNUMBER('Raw Plate Reader Measurements'!L24),'Raw Plate Reader Measurements'!L24-$D$5,"---")</f>
        <v>---</v>
      </c>
      <c r="M45" s="31" t="str">
        <f>IF(ISNUMBER('Raw Plate Reader Measurements'!M24),'Raw Plate Reader Measurements'!M24-$D$5,"---")</f>
        <v>---</v>
      </c>
    </row>
    <row r="46" spans="1:13" x14ac:dyDescent="0.2">
      <c r="A46" s="26" t="s">
        <v>49</v>
      </c>
      <c r="B46" s="31">
        <f ca="1">IF(ISNUMBER('Raw Plate Reader Measurements'!B25),'Raw Plate Reader Measurements'!B25-$D$5,"---")</f>
        <v>21.75</v>
      </c>
      <c r="C46" s="31">
        <f ca="1">IF(ISNUMBER('Raw Plate Reader Measurements'!C25),'Raw Plate Reader Measurements'!C25-$D$5,"---")</f>
        <v>1646.75</v>
      </c>
      <c r="D46" s="31">
        <f ca="1">IF(ISNUMBER('Raw Plate Reader Measurements'!D25),'Raw Plate Reader Measurements'!D25-$D$5,"---")</f>
        <v>5075.75</v>
      </c>
      <c r="E46" s="31">
        <f ca="1">IF(ISNUMBER('Raw Plate Reader Measurements'!E25),'Raw Plate Reader Measurements'!E25-$D$5,"---")</f>
        <v>2003.75</v>
      </c>
      <c r="F46" s="31">
        <f ca="1">IF(ISNUMBER('Raw Plate Reader Measurements'!F25),'Raw Plate Reader Measurements'!F25-$D$5,"---")</f>
        <v>26.75</v>
      </c>
      <c r="G46" s="31">
        <f ca="1">IF(ISNUMBER('Raw Plate Reader Measurements'!G25),'Raw Plate Reader Measurements'!G25-$D$5,"---")</f>
        <v>9914.75</v>
      </c>
      <c r="H46" s="31">
        <f ca="1">IF(ISNUMBER('Raw Plate Reader Measurements'!H25),'Raw Plate Reader Measurements'!H25-$D$5,"---")</f>
        <v>1843.75</v>
      </c>
      <c r="I46" s="31">
        <f ca="1">IF(ISNUMBER('Raw Plate Reader Measurements'!I25),'Raw Plate Reader Measurements'!I25-$D$5,"---")</f>
        <v>1226.75</v>
      </c>
      <c r="J46" s="31">
        <f ca="1">IF(ISNUMBER('Raw Plate Reader Measurements'!J25),'Raw Plate Reader Measurements'!J25-$D$5,"---")</f>
        <v>-18.25</v>
      </c>
      <c r="K46" s="31" t="str">
        <f>IF(ISNUMBER('Raw Plate Reader Measurements'!K25),'Raw Plate Reader Measurements'!K25-$D$5,"---")</f>
        <v>---</v>
      </c>
      <c r="L46" s="31" t="str">
        <f>IF(ISNUMBER('Raw Plate Reader Measurements'!L25),'Raw Plate Reader Measurements'!L25-$D$5,"---")</f>
        <v>---</v>
      </c>
      <c r="M46" s="31" t="str">
        <f>IF(ISNUMBER('Raw Plate Reader Measurements'!M25),'Raw Plate Reader Measurements'!M25-$D$5,"---")</f>
        <v>---</v>
      </c>
    </row>
    <row r="47" spans="1:13" x14ac:dyDescent="0.2">
      <c r="A47" s="26" t="s">
        <v>50</v>
      </c>
      <c r="B47" s="31">
        <f ca="1">IF(ISNUMBER('Raw Plate Reader Measurements'!B26),'Raw Plate Reader Measurements'!B26-$D$5,"---")</f>
        <v>19.75</v>
      </c>
      <c r="C47" s="31">
        <f ca="1">IF(ISNUMBER('Raw Plate Reader Measurements'!C26),'Raw Plate Reader Measurements'!C26-$D$5,"---")</f>
        <v>1645.75</v>
      </c>
      <c r="D47" s="31">
        <f ca="1">IF(ISNUMBER('Raw Plate Reader Measurements'!D26),'Raw Plate Reader Measurements'!D26-$D$5,"---")</f>
        <v>4861.75</v>
      </c>
      <c r="E47" s="31">
        <f ca="1">IF(ISNUMBER('Raw Plate Reader Measurements'!E26),'Raw Plate Reader Measurements'!E26-$D$5,"---")</f>
        <v>2171.75</v>
      </c>
      <c r="F47" s="31">
        <f ca="1">IF(ISNUMBER('Raw Plate Reader Measurements'!F26),'Raw Plate Reader Measurements'!F26-$D$5,"---")</f>
        <v>36.75</v>
      </c>
      <c r="G47" s="31">
        <f ca="1">IF(ISNUMBER('Raw Plate Reader Measurements'!G26),'Raw Plate Reader Measurements'!G26-$D$5,"---")</f>
        <v>8985.75</v>
      </c>
      <c r="H47" s="31">
        <f ca="1">IF(ISNUMBER('Raw Plate Reader Measurements'!H26),'Raw Plate Reader Measurements'!H26-$D$5,"---")</f>
        <v>1853.75</v>
      </c>
      <c r="I47" s="31">
        <f ca="1">IF(ISNUMBER('Raw Plate Reader Measurements'!I26),'Raw Plate Reader Measurements'!I26-$D$5,"---")</f>
        <v>1170.75</v>
      </c>
      <c r="J47" s="31">
        <f ca="1">IF(ISNUMBER('Raw Plate Reader Measurements'!J26),'Raw Plate Reader Measurements'!J26-$D$5,"---")</f>
        <v>48.75</v>
      </c>
      <c r="K47" s="31" t="str">
        <f>IF(ISNUMBER('Raw Plate Reader Measurements'!K26),'Raw Plate Reader Measurements'!K26-$D$5,"---")</f>
        <v>---</v>
      </c>
      <c r="L47" s="31" t="str">
        <f>IF(ISNUMBER('Raw Plate Reader Measurements'!L26),'Raw Plate Reader Measurements'!L26-$D$5,"---")</f>
        <v>---</v>
      </c>
      <c r="M47" s="31" t="str">
        <f>IF(ISNUMBER('Raw Plate Reader Measurements'!M26),'Raw Plate Reader Measurements'!M26-$D$5,"---")</f>
        <v>---</v>
      </c>
    </row>
    <row r="48" spans="1:13" x14ac:dyDescent="0.2">
      <c r="A48" s="26" t="s">
        <v>51</v>
      </c>
      <c r="B48" s="31">
        <f ca="1">IF(ISNUMBER('Raw Plate Reader Measurements'!B27),'Raw Plate Reader Measurements'!B27-$D$5,"---")</f>
        <v>33.75</v>
      </c>
      <c r="C48" s="31">
        <f ca="1">IF(ISNUMBER('Raw Plate Reader Measurements'!C27),'Raw Plate Reader Measurements'!C27-$D$5,"---")</f>
        <v>1624.75</v>
      </c>
      <c r="D48" s="31">
        <f ca="1">IF(ISNUMBER('Raw Plate Reader Measurements'!D27),'Raw Plate Reader Measurements'!D27-$D$5,"---")</f>
        <v>4978.75</v>
      </c>
      <c r="E48" s="31">
        <f ca="1">IF(ISNUMBER('Raw Plate Reader Measurements'!E27),'Raw Plate Reader Measurements'!E27-$D$5,"---")</f>
        <v>2187.75</v>
      </c>
      <c r="F48" s="31">
        <f ca="1">IF(ISNUMBER('Raw Plate Reader Measurements'!F27),'Raw Plate Reader Measurements'!F27-$D$5,"---")</f>
        <v>19.75</v>
      </c>
      <c r="G48" s="31">
        <f ca="1">IF(ISNUMBER('Raw Plate Reader Measurements'!G27),'Raw Plate Reader Measurements'!G27-$D$5,"---")</f>
        <v>8560.75</v>
      </c>
      <c r="H48" s="31">
        <f ca="1">IF(ISNUMBER('Raw Plate Reader Measurements'!H27),'Raw Plate Reader Measurements'!H27-$D$5,"---")</f>
        <v>1734.75</v>
      </c>
      <c r="I48" s="31">
        <f ca="1">IF(ISNUMBER('Raw Plate Reader Measurements'!I27),'Raw Plate Reader Measurements'!I27-$D$5,"---")</f>
        <v>1235.75</v>
      </c>
      <c r="J48" s="31">
        <f ca="1">IF(ISNUMBER('Raw Plate Reader Measurements'!J27),'Raw Plate Reader Measurements'!J27-$D$5,"---")</f>
        <v>-8.25</v>
      </c>
      <c r="K48" s="31" t="str">
        <f>IF(ISNUMBER('Raw Plate Reader Measurements'!K27),'Raw Plate Reader Measurements'!K27-$D$5,"---")</f>
        <v>---</v>
      </c>
      <c r="L48" s="31" t="str">
        <f>IF(ISNUMBER('Raw Plate Reader Measurements'!L27),'Raw Plate Reader Measurements'!L27-$D$5,"---")</f>
        <v>---</v>
      </c>
      <c r="M48" s="31" t="str">
        <f>IF(ISNUMBER('Raw Plate Reader Measurements'!M27),'Raw Plate Reader Measurements'!M27-$D$5,"---")</f>
        <v>---</v>
      </c>
    </row>
    <row r="49" spans="1:13" x14ac:dyDescent="0.2">
      <c r="A49" s="26" t="s">
        <v>52</v>
      </c>
      <c r="B49" s="31">
        <f ca="1">IF(ISNUMBER('Raw Plate Reader Measurements'!B28),'Raw Plate Reader Measurements'!B28-$D$5,"---")</f>
        <v>36.75</v>
      </c>
      <c r="C49" s="31">
        <f ca="1">IF(ISNUMBER('Raw Plate Reader Measurements'!C28),'Raw Plate Reader Measurements'!C28-$D$5,"---")</f>
        <v>2881.75</v>
      </c>
      <c r="D49" s="31">
        <f ca="1">IF(ISNUMBER('Raw Plate Reader Measurements'!D28),'Raw Plate Reader Measurements'!D28-$D$5,"---")</f>
        <v>1275.75</v>
      </c>
      <c r="E49" s="31">
        <f ca="1">IF(ISNUMBER('Raw Plate Reader Measurements'!E28),'Raw Plate Reader Measurements'!E28-$D$5,"---")</f>
        <v>2430.75</v>
      </c>
      <c r="F49" s="31">
        <f ca="1">IF(ISNUMBER('Raw Plate Reader Measurements'!F28),'Raw Plate Reader Measurements'!F28-$D$5,"---")</f>
        <v>85.75</v>
      </c>
      <c r="G49" s="31">
        <f ca="1">IF(ISNUMBER('Raw Plate Reader Measurements'!G28),'Raw Plate Reader Measurements'!G28-$D$5,"---")</f>
        <v>11287.75</v>
      </c>
      <c r="H49" s="31">
        <f ca="1">IF(ISNUMBER('Raw Plate Reader Measurements'!H28),'Raw Plate Reader Measurements'!H28-$D$5,"---")</f>
        <v>1972.75</v>
      </c>
      <c r="I49" s="31">
        <f ca="1">IF(ISNUMBER('Raw Plate Reader Measurements'!I28),'Raw Plate Reader Measurements'!I28-$D$5,"---")</f>
        <v>1718.75</v>
      </c>
      <c r="J49" s="31">
        <f ca="1">IF(ISNUMBER('Raw Plate Reader Measurements'!J28),'Raw Plate Reader Measurements'!J28-$D$5,"---")</f>
        <v>-4.25</v>
      </c>
      <c r="K49" s="31" t="str">
        <f>IF(ISNUMBER('Raw Plate Reader Measurements'!K28),'Raw Plate Reader Measurements'!K28-$D$5,"---")</f>
        <v>---</v>
      </c>
      <c r="L49" s="31" t="str">
        <f>IF(ISNUMBER('Raw Plate Reader Measurements'!L28),'Raw Plate Reader Measurements'!L28-$D$5,"---")</f>
        <v>---</v>
      </c>
      <c r="M49" s="31" t="str">
        <f>IF(ISNUMBER('Raw Plate Reader Measurements'!M28),'Raw Plate Reader Measurements'!M28-$D$5,"---")</f>
        <v>---</v>
      </c>
    </row>
    <row r="50" spans="1:13" x14ac:dyDescent="0.2">
      <c r="A50" s="26" t="s">
        <v>53</v>
      </c>
      <c r="B50" s="31">
        <f ca="1">IF(ISNUMBER('Raw Plate Reader Measurements'!B29),'Raw Plate Reader Measurements'!B29-$D$5,"---")</f>
        <v>34.75</v>
      </c>
      <c r="C50" s="31">
        <f ca="1">IF(ISNUMBER('Raw Plate Reader Measurements'!C29),'Raw Plate Reader Measurements'!C29-$D$5,"---")</f>
        <v>1654.75</v>
      </c>
      <c r="D50" s="31">
        <f ca="1">IF(ISNUMBER('Raw Plate Reader Measurements'!D29),'Raw Plate Reader Measurements'!D29-$D$5,"---")</f>
        <v>1064.75</v>
      </c>
      <c r="E50" s="31">
        <f ca="1">IF(ISNUMBER('Raw Plate Reader Measurements'!E29),'Raw Plate Reader Measurements'!E29-$D$5,"---")</f>
        <v>2343.75</v>
      </c>
      <c r="F50" s="31">
        <f ca="1">IF(ISNUMBER('Raw Plate Reader Measurements'!F29),'Raw Plate Reader Measurements'!F29-$D$5,"---")</f>
        <v>54.75</v>
      </c>
      <c r="G50" s="31">
        <f ca="1">IF(ISNUMBER('Raw Plate Reader Measurements'!G29),'Raw Plate Reader Measurements'!G29-$D$5,"---")</f>
        <v>7978.75</v>
      </c>
      <c r="H50" s="31">
        <f ca="1">IF(ISNUMBER('Raw Plate Reader Measurements'!H29),'Raw Plate Reader Measurements'!H29-$D$5,"---")</f>
        <v>1590.75</v>
      </c>
      <c r="I50" s="31">
        <f ca="1">IF(ISNUMBER('Raw Plate Reader Measurements'!I29),'Raw Plate Reader Measurements'!I29-$D$5,"---")</f>
        <v>973.75</v>
      </c>
      <c r="J50" s="31">
        <f ca="1">IF(ISNUMBER('Raw Plate Reader Measurements'!J29),'Raw Plate Reader Measurements'!J29-$D$5,"---")</f>
        <v>-5.25</v>
      </c>
      <c r="K50" s="31" t="str">
        <f>IF(ISNUMBER('Raw Plate Reader Measurements'!K29),'Raw Plate Reader Measurements'!K29-$D$5,"---")</f>
        <v>---</v>
      </c>
      <c r="L50" s="31" t="str">
        <f>IF(ISNUMBER('Raw Plate Reader Measurements'!L29),'Raw Plate Reader Measurements'!L29-$D$5,"---")</f>
        <v>---</v>
      </c>
      <c r="M50" s="31" t="str">
        <f>IF(ISNUMBER('Raw Plate Reader Measurements'!M29),'Raw Plate Reader Measurements'!M29-$D$5,"---")</f>
        <v>---</v>
      </c>
    </row>
    <row r="51" spans="1:13" x14ac:dyDescent="0.2">
      <c r="A51" s="26" t="s">
        <v>54</v>
      </c>
      <c r="B51" s="31">
        <f ca="1">IF(ISNUMBER('Raw Plate Reader Measurements'!B30),'Raw Plate Reader Measurements'!B30-$D$5,"---")</f>
        <v>29.75</v>
      </c>
      <c r="C51" s="31">
        <f ca="1">IF(ISNUMBER('Raw Plate Reader Measurements'!C30),'Raw Plate Reader Measurements'!C30-$D$5,"---")</f>
        <v>1614.75</v>
      </c>
      <c r="D51" s="31">
        <f ca="1">IF(ISNUMBER('Raw Plate Reader Measurements'!D30),'Raw Plate Reader Measurements'!D30-$D$5,"---")</f>
        <v>1041.75</v>
      </c>
      <c r="E51" s="31">
        <f ca="1">IF(ISNUMBER('Raw Plate Reader Measurements'!E30),'Raw Plate Reader Measurements'!E30-$D$5,"---")</f>
        <v>2290.75</v>
      </c>
      <c r="F51" s="31">
        <f ca="1">IF(ISNUMBER('Raw Plate Reader Measurements'!F30),'Raw Plate Reader Measurements'!F30-$D$5,"---")</f>
        <v>43.75</v>
      </c>
      <c r="G51" s="31">
        <f ca="1">IF(ISNUMBER('Raw Plate Reader Measurements'!G30),'Raw Plate Reader Measurements'!G30-$D$5,"---")</f>
        <v>7753.75</v>
      </c>
      <c r="H51" s="31">
        <f ca="1">IF(ISNUMBER('Raw Plate Reader Measurements'!H30),'Raw Plate Reader Measurements'!H30-$D$5,"---")</f>
        <v>1556.75</v>
      </c>
      <c r="I51" s="31">
        <f ca="1">IF(ISNUMBER('Raw Plate Reader Measurements'!I30),'Raw Plate Reader Measurements'!I30-$D$5,"---")</f>
        <v>964.75</v>
      </c>
      <c r="J51" s="31">
        <f ca="1">IF(ISNUMBER('Raw Plate Reader Measurements'!J30),'Raw Plate Reader Measurements'!J30-$D$5,"---")</f>
        <v>5.75</v>
      </c>
      <c r="K51" s="31" t="str">
        <f>IF(ISNUMBER('Raw Plate Reader Measurements'!K30),'Raw Plate Reader Measurements'!K30-$D$5,"---")</f>
        <v>---</v>
      </c>
      <c r="L51" s="31" t="str">
        <f>IF(ISNUMBER('Raw Plate Reader Measurements'!L30),'Raw Plate Reader Measurements'!L30-$D$5,"---")</f>
        <v>---</v>
      </c>
      <c r="M51" s="31" t="str">
        <f>IF(ISNUMBER('Raw Plate Reader Measurements'!M30),'Raw Plate Reader Measurements'!M30-$D$5,"---")</f>
        <v>---</v>
      </c>
    </row>
    <row r="52" spans="1:13" x14ac:dyDescent="0.2">
      <c r="A52" s="26" t="s">
        <v>55</v>
      </c>
      <c r="B52" s="31">
        <f ca="1">IF(ISNUMBER('Raw Plate Reader Measurements'!B31),'Raw Plate Reader Measurements'!B31-$D$5,"---")</f>
        <v>21.75</v>
      </c>
      <c r="C52" s="31">
        <f ca="1">IF(ISNUMBER('Raw Plate Reader Measurements'!C31),'Raw Plate Reader Measurements'!C31-$D$5,"---")</f>
        <v>1644.75</v>
      </c>
      <c r="D52" s="31">
        <f ca="1">IF(ISNUMBER('Raw Plate Reader Measurements'!D31),'Raw Plate Reader Measurements'!D31-$D$5,"---")</f>
        <v>1069.75</v>
      </c>
      <c r="E52" s="31">
        <f ca="1">IF(ISNUMBER('Raw Plate Reader Measurements'!E31),'Raw Plate Reader Measurements'!E31-$D$5,"---")</f>
        <v>2372.75</v>
      </c>
      <c r="F52" s="31">
        <f ca="1">IF(ISNUMBER('Raw Plate Reader Measurements'!F31),'Raw Plate Reader Measurements'!F31-$D$5,"---")</f>
        <v>39.75</v>
      </c>
      <c r="G52" s="31">
        <f ca="1">IF(ISNUMBER('Raw Plate Reader Measurements'!G31),'Raw Plate Reader Measurements'!G31-$D$5,"---")</f>
        <v>8624.75</v>
      </c>
      <c r="H52" s="31">
        <f ca="1">IF(ISNUMBER('Raw Plate Reader Measurements'!H31),'Raw Plate Reader Measurements'!H31-$D$5,"---")</f>
        <v>1588.75</v>
      </c>
      <c r="I52" s="31">
        <f ca="1">IF(ISNUMBER('Raw Plate Reader Measurements'!I31),'Raw Plate Reader Measurements'!I31-$D$5,"---")</f>
        <v>970.75</v>
      </c>
      <c r="J52" s="31">
        <f ca="1">IF(ISNUMBER('Raw Plate Reader Measurements'!J31),'Raw Plate Reader Measurements'!J31-$D$5,"---")</f>
        <v>5.75</v>
      </c>
      <c r="K52" s="31" t="str">
        <f>IF(ISNUMBER('Raw Plate Reader Measurements'!K31),'Raw Plate Reader Measurements'!K31-$D$5,"---")</f>
        <v>---</v>
      </c>
      <c r="L52" s="31" t="str">
        <f>IF(ISNUMBER('Raw Plate Reader Measurements'!L31),'Raw Plate Reader Measurements'!L31-$D$5,"---")</f>
        <v>---</v>
      </c>
      <c r="M52" s="31" t="str">
        <f>IF(ISNUMBER('Raw Plate Reader Measurements'!M31),'Raw Plate Reader Measurements'!M31-$D$5,"---")</f>
        <v>---</v>
      </c>
    </row>
  </sheetData>
  <conditionalFormatting sqref="B12:M19">
    <cfRule type="expression" dxfId="1" priority="2">
      <formula>AND(ROW()&gt;=CELL("row",INDIRECT($D$7)),ROW()&lt;=(CELL("row",INDIRECT($D$7))+ROWS(INDIRECT($D$7))-1),COLUMN()&gt;=CELL("col",INDIRECT($D$7)),COLUMN()&lt;=(CELL("col",INDIRECT($D$7))+COLUMNS(INDIRECT($D$7))-1))</formula>
    </cfRule>
  </conditionalFormatting>
  <conditionalFormatting sqref="B20:M30">
    <cfRule type="expression" dxfId="0" priority="1">
      <formula>AND(ROW()&gt;=CELL("row",INDIRECT($D$7)),ROW()&lt;=(CELL("row",INDIRECT($D$7))+ROWS(INDIRECT($D$7))-1),COLUMN()&gt;=CELL("col",INDIRECT($D$7)),COLUMN()&lt;=(CELL("col",INDIRECT($D$7))+COLUMNS(INDIRECT($D$7))-1))</formula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Particle standard curve</vt:lpstr>
      <vt:lpstr>Fluorescein standard curve</vt:lpstr>
      <vt:lpstr>Raw Plate Reader Measurements</vt:lpstr>
      <vt:lpstr>Fluorescence per Particle</vt:lpstr>
    </vt:vector>
  </TitlesOfParts>
  <Company>Imperial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Dwijayanti, Ari</dc:creator>
  <cp:lastModifiedBy>Jacob Beal</cp:lastModifiedBy>
  <dcterms:created xsi:type="dcterms:W3CDTF">2016-05-08T16:01:08Z</dcterms:created>
  <dcterms:modified xsi:type="dcterms:W3CDTF">2019-06-05T22:59:46Z</dcterms:modified>
</cp:coreProperties>
</file>