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tables/table10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slicers/slicer3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slicers/slicer4.xml" ContentType="application/vnd.ms-excel.slicer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54a1a6ad-801a-4399-998f-e24adee9d51d.png" ContentType="image/.png"/>
  <Override PartName="/customUI/images/fa6e187d-fca6-4ff1-9756-f9fcc1fd6ffd.png" ContentType="image/.png"/>
  <Override PartName="/customUI/images/7020d471-51a3-4439-869e-b2f5ac798401.png" ContentType="image/.png"/>
  <Override PartName="/customUI/images/445f7bdd-829b-42d1-8988-9c087b591ad5.png" ContentType="image/.png"/>
  <Override PartName="/customUI/images/1d765168-e3f4-431a-ab62-01271b7455d7.png" ContentType="image/.png"/>
  <Override PartName="/customUI/images/38e266c4-db32-41b4-a057-f5ffc748e012.png" ContentType="image/.png"/>
  <Override PartName="/customUI/images/ae2f71cc-d1fe-4298-98fb-56bc8b4ed7c0.png" ContentType="image/.png"/>
  <Override PartName="/customUI/images/e83e9120-8cde-4a83-aec7-0e84fa33d6ef.png" ContentType="image/.png"/>
  <Override PartName="/customUI/images/56ae7ce3-95cf-42bd-b5d9-b997bd1d2317.png" ContentType="image/.png"/>
  <Override PartName="/customUI/images/c2444f87-603f-4f50-bbdd-d85c4912e4bb.png" ContentType="image/.png"/>
  <Override PartName="/customUI/images/d3e8eea8-1e31-491a-9afe-9a56f284ae7a.png" ContentType="image/.png"/>
  <Override PartName="/customUI/images/fdcf734c-d411-4d6c-985f-dea1981b44dd.png" ContentType="image/.png"/>
  <Override PartName="/customUI/images/c52a6b0d-8c35-410c-8249-30526a719c5a.png" ContentType="image/.png"/>
  <Override PartName="/customUI/images/8c896b89-33ed-464a-a34e-4f5ba7259a3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4e4d315e14244b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Orcamento" hidePivotFieldList="1"/>
  <mc:AlternateContent xmlns:mc="http://schemas.openxmlformats.org/markup-compatibility/2006">
    <mc:Choice Requires="x15">
      <x15ac:absPath xmlns:x15ac="http://schemas.microsoft.com/office/spreadsheetml/2010/11/ac" url="C:\Users\isace\Desktop\"/>
    </mc:Choice>
  </mc:AlternateContent>
  <xr:revisionPtr revIDLastSave="0" documentId="13_ncr:1_{85A6877B-D797-4C9B-A117-B056992AF152}" xr6:coauthVersionLast="47" xr6:coauthVersionMax="47" xr10:uidLastSave="{00000000-0000-0000-0000-000000000000}"/>
  <bookViews>
    <workbookView showHorizontalScroll="0" showVerticalScroll="0" showSheetTabs="0" xWindow="-113" yWindow="-113" windowWidth="24267" windowHeight="13023" tabRatio="817" firstSheet="2" activeTab="2" xr2:uid="{83E87832-E5DB-4668-908D-0165F061ED7E}"/>
  </bookViews>
  <sheets>
    <sheet name="Listas" sheetId="1" r:id="rId1"/>
    <sheet name="Filtros" sheetId="27" r:id="rId2"/>
    <sheet name="Despesas" sheetId="2" r:id="rId3"/>
    <sheet name="TiposdeDespesas" sheetId="3" r:id="rId4"/>
    <sheet name="FormasdePagamento" sheetId="4" r:id="rId5"/>
    <sheet name="DespesasFixas" sheetId="24" r:id="rId6"/>
    <sheet name="DespesasVariáveis" sheetId="25" r:id="rId7"/>
    <sheet name="tabelaVariáveis" sheetId="26" r:id="rId8"/>
    <sheet name="Receitas" sheetId="5" r:id="rId9"/>
    <sheet name="TiposdeReceitas" sheetId="6" r:id="rId10"/>
    <sheet name="DestinoFontes" sheetId="7" r:id="rId11"/>
    <sheet name="Investimentos" sheetId="8" r:id="rId12"/>
    <sheet name="TiposdeInvestimentos" sheetId="9" r:id="rId13"/>
    <sheet name="Cartões" sheetId="12" r:id="rId14"/>
    <sheet name="Restaurar" sheetId="15" r:id="rId15"/>
    <sheet name="dadosDashResumo" sheetId="16" r:id="rId16"/>
    <sheet name="dadosDashDespesas" sheetId="17" r:id="rId17"/>
    <sheet name="dadosDashReceitas" sheetId="18" r:id="rId18"/>
    <sheet name="dadosDashInvestimentos" sheetId="19" r:id="rId19"/>
    <sheet name="dashResumo" sheetId="22" r:id="rId20"/>
    <sheet name="dashDespesas" sheetId="20" r:id="rId21"/>
    <sheet name="dashReceitas" sheetId="21" r:id="rId22"/>
    <sheet name="dashInvestimentos" sheetId="23" r:id="rId23"/>
  </sheets>
  <functionGroups builtInGroupCount="19"/>
  <definedNames>
    <definedName name="_xlcn.WorksheetConnection_Despesas1" hidden="1">Despesas[]</definedName>
    <definedName name="_xlcn.WorksheetConnection_Investimentos1" hidden="1">Investimentos[]</definedName>
    <definedName name="_xlcn.WorksheetConnection_Receitas1" hidden="1">Receitas[]</definedName>
    <definedName name="_xlcn.WorksheetConnection_tbAno1" hidden="1">tbAno[]</definedName>
    <definedName name="_xlcn.WorksheetConnection_tbMês1" hidden="1">tbMês[]</definedName>
    <definedName name="_xlcn.WorksheetConnection_tbSituação1" hidden="1">tbSituação[]</definedName>
    <definedName name="_xleta.DATE" hidden="1" xlm="1">#NAME?</definedName>
    <definedName name="_xleta.DAY" hidden="1" xlm="1">#NAME?</definedName>
    <definedName name="_xleta.IF" hidden="1" xlm="1">#NAME?</definedName>
    <definedName name="_xleta.INDEX" hidden="1" xlm="1">#NAME?</definedName>
    <definedName name="_xleta.MONTH" hidden="1" xlm="1">#NAME?</definedName>
    <definedName name="_xleta.N" hidden="1" xlm="1">#NAME?</definedName>
    <definedName name="_xleta.T" hidden="1" xlm="1">#NAME?</definedName>
    <definedName name="_xleta.TRANSPOSE" hidden="1" xlm="1">#NAME?</definedName>
    <definedName name="_xleta.VSTACK" hidden="1" xlm="1">#NAME?</definedName>
    <definedName name="_xlpm.carencia" hidden="1" xlm="1">#NAME?</definedName>
    <definedName name="_xlpm.cartao" hidden="1" xlm="1">#NAME?</definedName>
    <definedName name="_xlpm.dataComCarencia" hidden="1" xlm="1">#NAME?</definedName>
    <definedName name="_xlpm.dataCompra" hidden="1" xlm="1">#NAME?</definedName>
    <definedName name="_xlpm.diaFechamento" hidden="1" xlm="1">#NAME?</definedName>
    <definedName name="_xlpm.diaVencimento" hidden="1" xlm="1">#NAME?</definedName>
    <definedName name="_xlpm.fimMes" hidden="1" xlm="1">#NAME?</definedName>
    <definedName name="_xlpm.mesVencimento" hidden="1" xlm="1">#NAME?</definedName>
    <definedName name="_xlpm.vencimento" hidden="1" xlm="1">#NAME?</definedName>
    <definedName name="cabecalhoFormasdePagameto">FormasdePagamento!$A$1:$ZZ$1</definedName>
    <definedName name="cabecalhoTiposdeDespesas">TiposdeDespesas!$A$1:$ZZ$1</definedName>
    <definedName name="cabecalhoTiposdeInvestimentos">TiposdeInvestimentos!$A$1:$Z$1</definedName>
    <definedName name="cabecalhoTiposdeReceitas">TiposdeReceitas!$A$1:$Z$1</definedName>
    <definedName name="DadosExternos_1" localSheetId="7" hidden="1">tabelaVariáveis!$A$1:$G$7</definedName>
    <definedName name="graficoDestinosReceitas">IF(dadosDashReceitas!$U$2&lt;&gt;"",OFFSET(dadosDashReceitas!$U$2,,,COUNTIF(dadosDashReceitas!$U$2:$U$8,"&lt;&gt;")-SUM((_xlfn.ISFORMULA(OFFSET(dadosDashReceitas!$U$2,,,COUNTA(dadosDashReceitas!$U$2:$U$8))))*(NOT(OFFSET(dadosDashReceitas!$U$2,,,COUNTA(dadosDashReceitas!$U$2:$U$8))&lt;&gt;"")))),"")</definedName>
    <definedName name="graficoDestinosReceitasValores">OFFSET(dadosDashReceitas!$V$2,,,COUNTA(dadosDashReceitas!$V$2:$V$8))</definedName>
    <definedName name="graficoFontesInvestimentos">IF(dadosDashInvestimentos!$U$2&lt;&gt;"",OFFSET(dadosDashInvestimentos!$U$2,,,COUNTIF(dadosDashInvestimentos!$U$2:$U$8,"&lt;&gt;")-SUM((_xlfn.ISFORMULA(OFFSET(dadosDashInvestimentos!$U$2,,,COUNTA(dadosDashInvestimentos!$U$2:$U$8))))*(NOT(OFFSET(dadosDashInvestimentos!$U$2,,,COUNTA(dadosDashInvestimentos!$U$2:$U$8))&lt;&gt;"")))),"")</definedName>
    <definedName name="graficoFontesInvestimentosValores">OFFSET(dadosDashInvestimentos!$V$2,,,COUNTA(dadosDashInvestimentos!$V$2:$V$8))</definedName>
    <definedName name="graficoInvestimentos">IF(dadosDashInvestimentos!$AE$2&lt;&gt;"",OFFSET(dadosDashInvestimentos!$AE$2,,,COUNTIF(dadosDashInvestimentos!$AE$2:$AE$8,"&lt;&gt;")-SUM((_xlfn.ISFORMULA(OFFSET(dadosDashInvestimentos!$AE$2,,,COUNTA(dadosDashInvestimentos!$AE$2:$AE$8))))*(NOT(OFFSET(dadosDashInvestimentos!$AE$2,,,COUNTA(dadosDashInvestimentos!$AE$2:$AE$8))&lt;&gt;"")))),"")</definedName>
    <definedName name="graficoInvestimentosValores">OFFSET(dadosDashInvestimentos!$AF$2,,,COUNTA(dadosDashInvestimentos!$AF$2:$AF$8))</definedName>
    <definedName name="graficoPagamentosDespesas">IF(dadosDashDespesas!$U$2&lt;&gt;"", OFFSET(dadosDashDespesas!$U$2,,,COUNTIF(dadosDashDespesas!$U$2:$U$8,"&lt;&gt;")-SUM((_xlfn.ISFORMULA(OFFSET(dadosDashDespesas!$U$2,,,COUNTA(dadosDashDespesas!$U$2:$U$8))))*(NOT(OFFSET(dadosDashDespesas!$U$2,,,COUNTA(dadosDashDespesas!$U$2:$U$8))&lt;&gt;"")))),"")</definedName>
    <definedName name="graficoPagamentosDespesasValores">OFFSET(dadosDashDespesas!$V$2,,,COUNTA(dadosDashDespesas!$V$2:$V$8))</definedName>
    <definedName name="graficoReceitas">IF(dadosDashReceitas!$AE$2&lt;&gt;"",OFFSET(dadosDashReceitas!$AE$2,,,COUNTIF(dadosDashReceitas!$AE$2:$AE$8,"&lt;&gt;")-SUM((_xlfn.ISFORMULA(OFFSET(dadosDashReceitas!$AE$2,,,COUNTA(dadosDashReceitas!$AE$2:$AE$8))))*(NOT(OFFSET(dadosDashReceitas!$AE$2,,,COUNTA(dadosDashReceitas!$AE$2:$AE$8))&lt;&gt;"")))),"")</definedName>
    <definedName name="graficoReceitasValores">OFFSET(dadosDashReceitas!$AF$2,,,COUNTA(dadosDashReceitas!$AF$2:$AF$8))</definedName>
    <definedName name="graficoSituacoesDespesas">IF(dadosDashDespesas!$AD$2&lt;&gt;"",OFFSET(dadosDashDespesas!$AD$2:$AD$5,,,COUNTA(dadosDashDespesas!$AD$2:$AD$5)),"")</definedName>
    <definedName name="graficoSituacoesDespesasValores">OFFSET(dadosDashDespesas!$AE$2:$AE$5,,,COUNTA(dadosDashDespesas!$AE$2:$AE$5))</definedName>
    <definedName name="graficoTiposDespesas">IF(dadosDashDespesas!$K$2&lt;&gt;"",OFFSET(dadosDashDespesas!$K$2,,,COUNTIF(dadosDashDespesas!$K$2:$K$7,"&lt;&gt;")-SUM((_xlfn.ISFORMULA(OFFSET(dadosDashDespesas!$K$2,,,COUNTA(dadosDashDespesas!$K$2:$K$7))))*(NOT(OFFSET(dadosDashDespesas!$K$2,,,COUNTA(dadosDashDespesas!$K$2:$K$7))&lt;&gt;"")))),"")</definedName>
    <definedName name="graficoTiposDespesasValores">OFFSET(dadosDashDespesas!$L$2,,,COUNTA(dadosDashDespesas!$L$2:$L$7))</definedName>
    <definedName name="graficoTiposInvestimentos">IF(dadosDashInvestimentos!$K$2&lt;&gt;"",OFFSET(dadosDashInvestimentos!$K$2,,,COUNTIF(dadosDashInvestimentos!$K$2:$K$7,"&lt;&gt;")-SUM((_xlfn.ISFORMULA(OFFSET(dadosDashInvestimentos!$K$2,,,COUNTA(dadosDashInvestimentos!$K$2:$K$7))))*(NOT(OFFSET(dadosDashInvestimentos!$K$2,,,COUNTA(dadosDashInvestimentos!$K$2:$K$7))&lt;&gt;"")))),"")</definedName>
    <definedName name="graficoTiposInvestimentosValores">OFFSET(dadosDashInvestimentos!$L$2,,,COUNTA(dadosDashInvestimentos!$L$2:$L$7))</definedName>
    <definedName name="graficoTiposReceitas">IF(dadosDashReceitas!$K$2&lt;&gt;"",OFFSET(dadosDashReceitas!$K$2,,,COUNTIF(dadosDashReceitas!$K$2:$K$7,"&lt;&gt;")-SUM((_xlfn.ISFORMULA(OFFSET(dadosDashReceitas!$K$2,,,COUNTA(dadosDashReceitas!$K$2:$K$7))))*(NOT(OFFSET(dadosDashReceitas!$K$2,,,COUNTA(dadosDashReceitas!$K$2:$K$7))&lt;&gt;"")))),"")</definedName>
    <definedName name="graficoTiposReceitasValores">OFFSET(dadosDashReceitas!$L$2,,,COUNTA(dadosDashReceitas!$L$2:$L$7))</definedName>
    <definedName name="listaCartoesDevedores">OFFSET(Listas!$BF$2,,,COUNTA(Listas!$BF$2:$BF$1001))</definedName>
    <definedName name="listaCategoriaPagamentoFixo">OFFSET(INDEX(FormasdePagamento!$A$2:$ZZ$101,         INDIRECT(MID(CELL("nome.arquivo",FormasdePagamento!$A$1),         SEARCH("]",CELL("nome.arquivo",FormasdePagamento!$A$1))+1,25) &amp; "!" &amp;         ADDRESS(101,MATCH(DespesasFixas!$F1,cabecalhoFormasdePagameto,0))),         MATCH(DespesasFixas!$F1,cabecalhoFormasdePagameto,0)),,,COUNTA(INDEX(FormasdePagamento!$A$2:$ZZ$101,         INDIRECT(MID(CELL("nome.arquivo",FormasdePagamento!$A$1),         SEARCH("]",CELL("nome.arquivo",FormasdePagamento!$A$1))+1,25) &amp; "!" &amp;         ADDRESS(101,MATCH(DespesasFixas!$F1,cabecalhoFormasdePagameto,0))),         MATCH(DespesasFixas!$F1,cabecalhoFormasdePagameto,0))))</definedName>
    <definedName name="listaDependenteCategoriaPagamento">OFFSET(INDEX(FormasdePagamento!$A$2:$ZZ$101,         INDIRECT(MID(CELL("nome.arquivo",FormasdePagamento!$A$1),         SEARCH("]",CELL("nome.arquivo",FormasdePagamento!$A$1))+1,25) &amp; "!" &amp;         ADDRESS(101,MATCH(Despesas[[#This Row],[Forma de Pagamento]],cabecalhoFormasdePagameto,0))),         MATCH(Despesas[[#This Row],[Forma de Pagamento]],cabecalhoFormasdePagameto,0)),,,COUNTA(INDEX(FormasdePagamento!$A$2:$ZZ$101,         INDIRECT(MID(CELL("nome.arquivo",FormasdePagamento!$A$1),         SEARCH("]",CELL("nome.arquivo",FormasdePagamento!$A$1))+1,25) &amp; "!" &amp;         ADDRESS(101,MATCH(Despesas[[#This Row],[Forma de Pagamento]],cabecalhoFormasdePagameto,0))),         MATCH(Despesas[[#This Row],[Forma de Pagamento]],cabecalhoFormasdePagameto,0))))</definedName>
    <definedName name="listaDependenteDetalhamento">OFFSET(INDEX(TiposdeDespesas!$A$2:$ZZ$101,         INDIRECT(MID(CELL("nome.arquivo",TiposdeDespesas!$A$1),         SEARCH("]",CELL("nome.arquivo",TiposdeDespesas!$A$1))+1,25) &amp; "!" &amp;         ADDRESS(101,MATCH(Despesas[[#This Row],[Tipo de Despesa]],cabecalhoTiposdeDespesas,0))),         MATCH(Despesas[[#This Row],[Tipo de Despesa]],cabecalhoTiposdeDespesas,0)),,,COUNTA(INDEX(TiposdeDespesas!$A$2:$ZZ$101,         INDIRECT(MID(CELL("nome.arquivo",TiposdeDespesas!$A$1),         SEARCH("]",CELL("nome.arquivo",TiposdeDespesas!$A$1))+1,25) &amp; "!" &amp;         ADDRESS(101,MATCH(Despesas[[#This Row],[Tipo de Despesa]],cabecalhoTiposdeDespesas,0))),         MATCH(Despesas[[#This Row],[Tipo de Despesa]],cabecalhoTiposdeDespesas,0))))</definedName>
    <definedName name="listaDependenteInvestimentos">OFFSET(INDEX(TiposdeInvestimentos!$A$2:$Z$101,         INDIRECT(MID(CELL("nome.arquivo",TiposdeInvestimentos!$A$1),         SEARCH("]",CELL("nome.arquivo",TiposdeInvestimentos!$A$1))+1,25) &amp; "!" &amp;         ADDRESS(101,MATCH(Investimentos[[#This Row],[Tipo de Investimento]],cabecalhoTiposdeInvestimentos,0))),         MATCH(Investimentos[[#This Row],[Tipo de Investimento]],cabecalhoTiposdeInvestimentos,0)),,,COUNTA(INDEX(TiposdeInvestimentos!$A$2:$Z$101,         INDIRECT(MID(CELL("nome.arquivo",TiposdeInvestimentos!$A$1),         SEARCH("]",CELL("nome.arquivo",TiposdeInvestimentos!$A$1))+1,25) &amp; "!" &amp;         ADDRESS(101,MATCH(Investimentos[[#This Row],[Tipo de Investimento]],cabecalhoTiposdeInvestimentos,0))),         MATCH(Investimentos[[#This Row],[Tipo de Investimento]],cabecalhoTiposdeInvestimentos,0))))</definedName>
    <definedName name="listaDependenteReceitas">OFFSET(INDEX(TiposdeReceitas!$A$2:$Z$101,         INDIRECT(MID(CELL("nome.arquivo",TiposdeReceitas!$A$1),         SEARCH("]",CELL("nome.arquivo",TiposdeReceitas!$A$1))+1,25) &amp; "!" &amp;         ADDRESS(101,MATCH(Receitas[[#This Row],[Tipo de Receita]],cabecalhoTiposdeReceitas,0))),         MATCH(Receitas[[#This Row],[Tipo de Receita]],cabecalhoTiposdeReceitas,0)),,,COUNTA(INDEX(TiposdeReceitas!$A$2:$Z$101,         INDIRECT(MID(CELL("nome.arquivo",TiposdeReceitas!$A$1),         SEARCH("]",CELL("nome.arquivo",TiposdeReceitas!$A$1))+1,25) &amp; "!" &amp;         ADDRESS(101,MATCH(Receitas[[#This Row],[Tipo de Receita]],cabecalhoTiposdeReceitas,0))),         MATCH(Receitas[[#This Row],[Tipo de Receita]],cabecalhoTiposdeReceitas,0))))</definedName>
    <definedName name="listaDestinosFontes">OFFSET(DestinoFontes!$A$2,,,COUNTA(DestinoFontes!$A$2:$A$101))</definedName>
    <definedName name="listaDetalhamentoFixo">OFFSET(INDEX(TiposdeDespesas!$A$2:$ZZ$101,         INDIRECT(MID(CELL("nome.arquivo",TiposdeDespesas!$A$1),         SEARCH("]",CELL("nome.arquivo",TiposdeDespesas!$A$1))+1,25) &amp; "!" &amp;         ADDRESS(101,MATCH(DespesasFixas!$C1,cabecalhoTiposdeDespesas,0))),         MATCH(DespesasFixas!$C1,cabecalhoTiposdeDespesas,0)),,,COUNTA(INDEX(TiposdeDespesas!$A$2:$ZZ$101,         INDIRECT(MID(CELL("nome.arquivo",TiposdeDespesas!$A$1),         SEARCH("]",CELL("nome.arquivo",TiposdeDespesas!$A$1))+1,25) &amp; "!" &amp;         ADDRESS(101,MATCH(DespesasFixas!$C1,cabecalhoTiposdeDespesas,0))),         MATCH(DespesasFixas!$C1,cabecalhoTiposdeDespesas,0))))</definedName>
    <definedName name="listaDetalhamentoVariável">OFFSET(INDEX(TiposdeDespesas!$A$2:$ZZ$101,         INDIRECT(MID(CELL("nome.arquivo",TiposdeDespesas!$A$1),         SEARCH("]",CELL("nome.arquivo",TiposdeDespesas!$A$1))+1,25) &amp; "!" &amp;         ADDRESS(101,MATCH(DespesasVariáveis[[#This Row],[Tipo de Despesa]],cabecalhoTiposdeDespesas,0))),         MATCH(DespesasVariáveis[[#This Row],[Tipo de Despesa]],cabecalhoTiposdeDespesas,0)),,,COUNTA(INDEX(TiposdeDespesas!$A$2:$ZZ$101,         INDIRECT(MID(CELL("nome.arquivo",TiposdeDespesas!$A$1),         SEARCH("]",CELL("nome.arquivo",TiposdeDespesas!$A$1))+1,25) &amp; "!" &amp;         ADDRESS(101,MATCH(DespesasVariáveis[[#This Row],[Tipo de Despesa]],cabecalhoTiposdeDespesas,0))),         MATCH(DespesasVariáveis[[#This Row],[Tipo de Despesa]],cabecalhoTiposdeDespesas,0))))</definedName>
    <definedName name="listaFormasdePagamento">OFFSET(Listas!$L$2,,,COUNTA(Listas!$L$2:$L$27))</definedName>
    <definedName name="listaNomesDevedores">OFFSET(Listas!$BB$2,,,COUNTA(Listas!$BB$2:$BB$1001))</definedName>
    <definedName name="listaReceitasUsadas">OFFSET(Listas!$N$2,,,COUNTA(Listas!$N$2:$N$1048576))</definedName>
    <definedName name="listaTiposdeDespesas">OFFSET(Listas!$J$2,,,COUNTA(Listas!$J$2:$J$27))</definedName>
    <definedName name="listaTiposdeInvestimentos">OFFSET(Listas!$V$2:$V$27,,,COUNTA(Listas!$V$2:$V$27))</definedName>
    <definedName name="listaTiposdeReceitas">OFFSET(Listas!$R$2,,,COUNTA(Listas!$R$2:$R$27))</definedName>
    <definedName name="SegmentaçãodeDados_Ano">#N/A</definedName>
    <definedName name="SegmentaçãodeDados_Ano1">#N/A</definedName>
    <definedName name="SegmentaçãodeDados_Ano2">#N/A</definedName>
    <definedName name="SegmentaçãodeDados_Anos">#N/A</definedName>
    <definedName name="SegmentaçãodeDados_Data__Mês">#N/A</definedName>
    <definedName name="SegmentaçãodeDados_Data__Mês1">#N/A</definedName>
    <definedName name="SegmentaçãodeDados_Data__Mês2">#N/A</definedName>
  </definedNames>
  <calcPr calcId="191029"/>
  <pivotCaches>
    <pivotCache cacheId="0" r:id="rId24"/>
    <pivotCache cacheId="1" r:id="rId25"/>
    <pivotCache cacheId="2" r:id="rId26"/>
    <pivotCache cacheId="3" r:id="rId27"/>
    <pivotCache cacheId="4" r:id="rId28"/>
    <pivotCache cacheId="5" r:id="rId29"/>
    <pivotCache cacheId="6" r:id="rId30"/>
    <pivotCache cacheId="7" r:id="rId31"/>
    <pivotCache cacheId="8" r:id="rId32"/>
    <pivotCache cacheId="9" r:id="rId33"/>
    <pivotCache cacheId="10" r:id="rId34"/>
    <pivotCache cacheId="11" r:id="rId35"/>
    <pivotCache cacheId="12" r:id="rId36"/>
    <pivotCache cacheId="13" r:id="rId37"/>
    <pivotCache cacheId="14" r:id="rId38"/>
    <pivotCache cacheId="15" r:id="rId39"/>
  </pivotCaches>
  <extLst>
    <ext xmlns:x14="http://schemas.microsoft.com/office/spreadsheetml/2009/9/main" uri="{876F7934-8845-4945-9796-88D515C7AA90}">
      <x14:pivotCaches>
        <pivotCache cacheId="16" r:id="rId40"/>
        <pivotCache cacheId="17" r:id="rId41"/>
        <pivotCache cacheId="18" r:id="rId42"/>
        <pivotCache cacheId="19" r:id="rId43"/>
      </x14:pivotCaches>
    </ext>
    <ext xmlns:x14="http://schemas.microsoft.com/office/spreadsheetml/2009/9/main" uri="{BBE1A952-AA13-448e-AADC-164F8A28A991}">
      <x14:slicerCaches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ívidasImpressão_24f9d8d1-e336-4932-983a-9f1ba182d0fb" name="DívidasImpressão" connection="Consulta - DívidasImpressão"/>
          <x15:modelTable id="DespesasVariáveisTabela_90becda9-ba8a-4d57-a9e7-95bf70372124" name="DespesasVariáveisTabela" connection="Consulta - DespesasVariáveisTabela"/>
          <x15:modelTable id="AlertaDespesas_09cba89b-2ce7-4efe-bf97-d93c7ce7b32d" name="AlertaDespesas" connection="Consulta - AlertaDespesas"/>
          <x15:modelTable id="tbSituação" name="tbSituação" connection="WorksheetConnection_tbSituação"/>
          <x15:modelTable id="tbMês" name="tbMês" connection="WorksheetConnection_tbMês"/>
          <x15:modelTable id="tbAno" name="tbAno" connection="WorksheetConnection_tbAno"/>
          <x15:modelTable id="Receitas" name="Receitas" connection="WorksheetConnection_Receitas"/>
          <x15:modelTable id="Investimentos" name="Investimentos" connection="WorksheetConnection_Investimentos"/>
          <x15:modelTable id="Despesas" name="Despesas" connection="WorksheetConnection_Despesas"/>
        </x15:modelTables>
        <x15:modelRelationships>
          <x15:modelRelationship fromTable="Despesas" fromColumn="Situação" toTable="tbSituação" toColumn="Situação"/>
          <x15:modelRelationship fromTable="Despesas" fromColumn="Mês" toTable="tbMês" toColumn="Mês"/>
          <x15:modelRelationship fromTable="Despesas" fromColumn="Ano" toTable="tbAno" toColumn="Anos"/>
          <x15:modelRelationship fromTable="Receitas" fromColumn="Mês" toTable="tbMês" toColumn="Mês"/>
          <x15:modelRelationship fromTable="Receitas" fromColumn="Ano" toTable="tbAno" toColumn="Anos"/>
          <x15:modelRelationship fromTable="Investimentos" fromColumn="Mês" toTable="tbMês" toColumn="Mês"/>
          <x15:modelRelationship fromTable="Investimentos" fromColumn="Ano" toTable="tbAno" toColumn="Ano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Mê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Despesas" columnName="Data de Vencimento" columnId="Data de Vencimento">
                <x16:calculatedTimeColumn columnName="Data de Vencimento (Ano)" columnId="Data de Vencimento (Ano)" contentType="years" isSelected="1"/>
                <x16:calculatedTimeColumn columnName="Data de Vencimento (Trimestre)" columnId="Data de Vencimento (Trimestre)" contentType="quarters" isSelected="1"/>
                <x16:calculatedTimeColumn columnName="Data de Vencimento (Índice de Mês)" columnId="Data de Vencimento (Índice de Mês)" contentType="monthsindex" isSelected="1"/>
                <x16:calculatedTimeColumn columnName="Data de Vencimento (Mês)" columnId="Data de Vencimento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2" l="1"/>
  <c r="C14" i="2"/>
  <c r="D14" i="2"/>
  <c r="N14" i="2"/>
  <c r="O14" i="2" s="1"/>
  <c r="Q14" i="2" s="1"/>
  <c r="A13" i="2"/>
  <c r="C13" i="2"/>
  <c r="D13" i="2"/>
  <c r="N13" i="2"/>
  <c r="O13" i="2" s="1"/>
  <c r="Q13" i="2"/>
  <c r="A5" i="5"/>
  <c r="C5" i="5"/>
  <c r="D5" i="5"/>
  <c r="J5" i="5"/>
  <c r="A12" i="2"/>
  <c r="C12" i="2"/>
  <c r="D12" i="2"/>
  <c r="N12" i="2"/>
  <c r="O12" i="2" s="1"/>
  <c r="Q12" i="2" s="1"/>
  <c r="A11" i="2"/>
  <c r="C11" i="2"/>
  <c r="D11" i="2"/>
  <c r="N11" i="2"/>
  <c r="O11" i="2" s="1"/>
  <c r="Q11" i="2" s="1"/>
  <c r="A10" i="2"/>
  <c r="C10" i="2"/>
  <c r="D10" i="2"/>
  <c r="N10" i="2"/>
  <c r="O10" i="2" s="1"/>
  <c r="Q10" i="2" s="1"/>
  <c r="A9" i="2"/>
  <c r="C9" i="2"/>
  <c r="D9" i="2"/>
  <c r="N9" i="2"/>
  <c r="O9" i="2" s="1"/>
  <c r="Q9" i="2" s="1"/>
  <c r="A8" i="2"/>
  <c r="C8" i="2"/>
  <c r="D8" i="2"/>
  <c r="N8" i="2"/>
  <c r="O8" i="2" s="1"/>
  <c r="Q8" i="2" s="1"/>
  <c r="A7" i="2"/>
  <c r="C7" i="2"/>
  <c r="D7" i="2"/>
  <c r="N7" i="2"/>
  <c r="O7" i="2" s="1"/>
  <c r="Q7" i="2" s="1"/>
  <c r="A6" i="2"/>
  <c r="C6" i="2"/>
  <c r="D6" i="2"/>
  <c r="N6" i="2"/>
  <c r="O6" i="2" s="1"/>
  <c r="Q6" i="2" s="1"/>
  <c r="A5" i="2"/>
  <c r="C5" i="2"/>
  <c r="D5" i="2"/>
  <c r="N5" i="2"/>
  <c r="O5" i="2" s="1"/>
  <c r="Q5" i="2" s="1"/>
  <c r="E2" i="25"/>
  <c r="E3" i="25"/>
  <c r="E4" i="25"/>
  <c r="BF2" i="1" a="1"/>
  <c r="A4" i="2"/>
  <c r="D4" i="2"/>
  <c r="N4" i="2"/>
  <c r="O4" i="2" s="1"/>
  <c r="Q4" i="2" s="1"/>
  <c r="H4" i="25"/>
  <c r="K4" i="25"/>
  <c r="AP17" i="1" l="1" a="1"/>
  <c r="AP17" i="1" s="1"/>
  <c r="BF2" i="1"/>
  <c r="H3" i="25" l="1"/>
  <c r="K3" i="25"/>
  <c r="K2" i="25"/>
  <c r="H2" i="25"/>
  <c r="L2" i="1" a="1"/>
  <c r="L2" i="1" s="1"/>
  <c r="A19" i="15" a="1"/>
  <c r="A19" i="15" s="1"/>
  <c r="A17" i="15" a="1"/>
  <c r="A17" i="15" s="1"/>
  <c r="AD2" i="17" l="1" a="1"/>
  <c r="O2" i="17" a="1"/>
  <c r="O2" i="17" s="1"/>
  <c r="AL3" i="19"/>
  <c r="AL3" i="18"/>
  <c r="AD2" i="17" l="1"/>
  <c r="AI2" i="19" a="1"/>
  <c r="AI2" i="19" s="1"/>
  <c r="AE4" i="19" a="1"/>
  <c r="AE4" i="19" s="1"/>
  <c r="AE5" i="19" a="1"/>
  <c r="AE5" i="19" s="1"/>
  <c r="AE6" i="19" a="1"/>
  <c r="AE6" i="19" s="1"/>
  <c r="AE7" i="19" a="1"/>
  <c r="AE7" i="19" s="1"/>
  <c r="AE8" i="19" a="1"/>
  <c r="AE8" i="19" s="1"/>
  <c r="AE3" i="19" a="1"/>
  <c r="AE3" i="19" s="1"/>
  <c r="AD3" i="19" a="1"/>
  <c r="AD3" i="19" s="1"/>
  <c r="AE2" i="19" a="1"/>
  <c r="AE2" i="19" s="1"/>
  <c r="Y2" i="19" a="1"/>
  <c r="Y2" i="19" s="1"/>
  <c r="U4" i="19" a="1"/>
  <c r="U4" i="19" s="1"/>
  <c r="U5" i="19" a="1"/>
  <c r="U5" i="19" s="1"/>
  <c r="U6" i="19" a="1"/>
  <c r="U6" i="19" s="1"/>
  <c r="U7" i="19" a="1"/>
  <c r="U7" i="19" s="1"/>
  <c r="U8" i="19" a="1"/>
  <c r="U8" i="19" s="1"/>
  <c r="U3" i="19" a="1"/>
  <c r="U3" i="19" s="1"/>
  <c r="U2" i="19" a="1"/>
  <c r="U2" i="19" s="1"/>
  <c r="T3" i="19" a="1"/>
  <c r="T3" i="19" s="1"/>
  <c r="O2" i="19" a="1"/>
  <c r="O2" i="19" s="1"/>
  <c r="K4" i="19" a="1"/>
  <c r="K4" i="19" s="1"/>
  <c r="K5" i="19" a="1"/>
  <c r="K5" i="19" s="1"/>
  <c r="K6" i="19" a="1"/>
  <c r="K6" i="19" s="1"/>
  <c r="K7" i="19" a="1"/>
  <c r="K7" i="19" s="1"/>
  <c r="K3" i="19" a="1"/>
  <c r="K3" i="19" s="1"/>
  <c r="J3" i="19" a="1"/>
  <c r="J3" i="19" s="1"/>
  <c r="K2" i="19" a="1"/>
  <c r="K2" i="19" s="1"/>
  <c r="AI2" i="18" a="1"/>
  <c r="AI2" i="18" s="1"/>
  <c r="AE2" i="18" a="1"/>
  <c r="AE2" i="18" s="1"/>
  <c r="AE4" i="18" a="1"/>
  <c r="AE4" i="18" s="1"/>
  <c r="AE5" i="18" a="1"/>
  <c r="AE5" i="18" s="1"/>
  <c r="AE6" i="18" a="1"/>
  <c r="AE6" i="18" s="1"/>
  <c r="AE7" i="18" a="1"/>
  <c r="AE7" i="18" s="1"/>
  <c r="AE8" i="18" a="1"/>
  <c r="AE8" i="18" s="1"/>
  <c r="AE3" i="18" a="1"/>
  <c r="AE3" i="18" s="1"/>
  <c r="AD3" i="18" a="1"/>
  <c r="AD3" i="18" s="1"/>
  <c r="Y2" i="18" a="1"/>
  <c r="Y2" i="18" s="1"/>
  <c r="U3" i="18" a="1"/>
  <c r="U3" i="18" s="1"/>
  <c r="U4" i="18" a="1"/>
  <c r="U4" i="18" s="1"/>
  <c r="U5" i="18" a="1"/>
  <c r="U5" i="18" s="1"/>
  <c r="U6" i="18" a="1"/>
  <c r="U6" i="18" s="1"/>
  <c r="U7" i="18" a="1"/>
  <c r="U7" i="18" s="1"/>
  <c r="U8" i="18" a="1"/>
  <c r="U8" i="18" s="1"/>
  <c r="U2" i="18" a="1"/>
  <c r="U2" i="18" s="1"/>
  <c r="T3" i="18" a="1"/>
  <c r="T3" i="18" s="1"/>
  <c r="O2" i="18" a="1"/>
  <c r="O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J3" i="18" a="1"/>
  <c r="J3" i="18" s="1"/>
  <c r="K2" i="18" a="1"/>
  <c r="K2" i="18" s="1"/>
  <c r="AH2" i="19" l="1" a="1"/>
  <c r="AH2" i="19" s="1"/>
  <c r="X2" i="19" a="1"/>
  <c r="X2" i="19" s="1"/>
  <c r="N2" i="19" a="1"/>
  <c r="N2" i="19" s="1"/>
  <c r="L2" i="19" a="1"/>
  <c r="L2" i="19" s="1"/>
  <c r="AF2" i="18" a="1"/>
  <c r="AF2" i="18" s="1"/>
  <c r="X2" i="18" a="1"/>
  <c r="X2" i="18" s="1"/>
  <c r="AH2" i="18" a="1"/>
  <c r="AH2" i="18" s="1"/>
  <c r="V2" i="18" a="1"/>
  <c r="V2" i="18" s="1"/>
  <c r="N2" i="18" a="1"/>
  <c r="N2" i="18" s="1"/>
  <c r="L2" i="18" a="1"/>
  <c r="L2" i="18" s="1"/>
  <c r="AF2" i="19" a="1"/>
  <c r="AF2" i="19" s="1"/>
  <c r="V2" i="19" a="1"/>
  <c r="V2" i="19" s="1"/>
  <c r="AK7" i="17"/>
  <c r="AK6" i="17"/>
  <c r="AK5" i="17"/>
  <c r="AK4" i="17"/>
  <c r="AK3" i="17"/>
  <c r="Y2" i="17" a="1"/>
  <c r="Y2" i="17" s="1"/>
  <c r="U3" i="17" a="1"/>
  <c r="U3" i="17" s="1"/>
  <c r="U4" i="17" a="1"/>
  <c r="U4" i="17" s="1"/>
  <c r="U5" i="17" a="1"/>
  <c r="U5" i="17" s="1"/>
  <c r="U6" i="17" a="1"/>
  <c r="U6" i="17" s="1"/>
  <c r="U2" i="17" a="1"/>
  <c r="U2" i="17" s="1"/>
  <c r="T3" i="17" a="1"/>
  <c r="T3" i="17" s="1"/>
  <c r="K2" i="17" a="1"/>
  <c r="K2" i="17" s="1"/>
  <c r="J3" i="17" a="1"/>
  <c r="J3" i="17" s="1"/>
  <c r="K3" i="17" s="1" a="1"/>
  <c r="K3" i="17" s="1"/>
  <c r="U8" i="17" l="1" a="1"/>
  <c r="U8" i="17" s="1"/>
  <c r="U7" i="17" a="1"/>
  <c r="U7" i="17" s="1"/>
  <c r="K6" i="17" a="1"/>
  <c r="K6" i="17" s="1"/>
  <c r="K5" i="17" a="1"/>
  <c r="K5" i="17" s="1"/>
  <c r="K7" i="17" a="1"/>
  <c r="K7" i="17" s="1"/>
  <c r="K4" i="17" a="1"/>
  <c r="K4" i="17" s="1"/>
  <c r="AH2" i="17" a="1"/>
  <c r="AE2" i="17" a="1"/>
  <c r="AH2" i="17" l="1"/>
  <c r="AE2" i="17"/>
  <c r="AR1" i="17" a="1"/>
  <c r="AR1" i="17" s="1"/>
  <c r="BD1" i="17" a="1"/>
  <c r="N2" i="17" a="1"/>
  <c r="N2" i="17" s="1"/>
  <c r="X2" i="17" a="1"/>
  <c r="X2" i="17" s="1"/>
  <c r="V2" i="17" a="1"/>
  <c r="L2" i="17" a="1"/>
  <c r="L2" i="17" s="1"/>
  <c r="V2" i="17" l="1"/>
  <c r="BD1" i="17"/>
  <c r="D4" i="5"/>
  <c r="A5" i="8" l="1"/>
  <c r="D5" i="8"/>
  <c r="A11" i="15" l="1" a="1"/>
  <c r="A11" i="15" s="1"/>
  <c r="A5" i="15" a="1"/>
  <c r="A5" i="15" s="1"/>
  <c r="A1" i="15" a="1"/>
  <c r="A1" i="15" s="1"/>
  <c r="A3" i="15" a="1"/>
  <c r="A3" i="15" s="1"/>
  <c r="AK2" i="1" l="1" a="1"/>
  <c r="AK2" i="1" s="1"/>
  <c r="AK1" i="1"/>
  <c r="AF2" i="1" a="1"/>
  <c r="AF2" i="1" s="1"/>
  <c r="AF1" i="1"/>
  <c r="V2" i="1" l="1" a="1"/>
  <c r="V2" i="1" s="1"/>
  <c r="D4" i="8"/>
  <c r="A4" i="8"/>
  <c r="A4" i="5"/>
  <c r="R2" i="1" l="1" a="1"/>
  <c r="R2" i="1" s="1"/>
  <c r="J4" i="5"/>
  <c r="N2" i="1" s="1" a="1"/>
  <c r="J2" i="1" a="1"/>
  <c r="N2" i="1" l="1"/>
  <c r="J2" i="1"/>
  <c r="AA6" i="1" a="1"/>
  <c r="AA6" i="1" s="1"/>
  <c r="AA5" i="1" a="1"/>
  <c r="AA5" i="1" s="1"/>
  <c r="AA3" i="1" a="1"/>
  <c r="AA3" i="1" s="1"/>
  <c r="AA4" i="1" a="1"/>
  <c r="AA4" i="1" s="1"/>
  <c r="AA2" i="16" l="1" a="1"/>
  <c r="AA1" i="1"/>
  <c r="D2" i="1"/>
  <c r="D3" i="1"/>
  <c r="D4" i="1"/>
  <c r="D5" i="1"/>
  <c r="D6" i="1"/>
  <c r="D7" i="1"/>
  <c r="D8" i="1"/>
  <c r="D9" i="1"/>
  <c r="D10" i="1"/>
  <c r="D11" i="1"/>
  <c r="D12" i="1"/>
  <c r="D13" i="1"/>
  <c r="C2" i="1"/>
  <c r="C3" i="1"/>
  <c r="C5" i="8" s="1"/>
  <c r="C4" i="1"/>
  <c r="C5" i="1"/>
  <c r="C4" i="5" s="1"/>
  <c r="C6" i="1"/>
  <c r="C7" i="1"/>
  <c r="C8" i="1"/>
  <c r="C9" i="1"/>
  <c r="C10" i="1"/>
  <c r="C11" i="1"/>
  <c r="C12" i="1"/>
  <c r="C13" i="1"/>
  <c r="E2" i="19" l="1" a="1"/>
  <c r="E2" i="19" s="1"/>
  <c r="AL2" i="19" s="1"/>
  <c r="D2" i="18" a="1"/>
  <c r="D2" i="18" s="1"/>
  <c r="E2" i="18" a="1"/>
  <c r="E2" i="18" s="1"/>
  <c r="AL2" i="18" s="1"/>
  <c r="D2" i="19" a="1"/>
  <c r="D2" i="19" s="1"/>
  <c r="D2" i="17" a="1"/>
  <c r="D2" i="17" s="1"/>
  <c r="E2" i="17" a="1"/>
  <c r="E2" i="17" s="1"/>
  <c r="AK2" i="17" s="1"/>
  <c r="B1" i="16" a="1"/>
  <c r="C4" i="8"/>
  <c r="C4" i="2"/>
  <c r="AA2" i="16"/>
  <c r="AA2" i="1" a="1"/>
  <c r="AA2" i="1" s="1"/>
  <c r="M3" i="16" l="1"/>
  <c r="G2" i="16"/>
  <c r="E4" i="16"/>
  <c r="D3" i="16"/>
  <c r="L2" i="16"/>
  <c r="B1" i="16"/>
  <c r="H4" i="16"/>
  <c r="G3" i="16"/>
  <c r="F2" i="16"/>
  <c r="F3" i="16"/>
  <c r="C2" i="16"/>
  <c r="L3" i="16"/>
  <c r="L4" i="16"/>
  <c r="K3" i="16"/>
  <c r="J2" i="16"/>
  <c r="J4" i="16"/>
  <c r="I3" i="16"/>
  <c r="H2" i="16"/>
  <c r="I4" i="16"/>
  <c r="G4" i="16"/>
  <c r="E2" i="16"/>
  <c r="F4" i="16"/>
  <c r="E3" i="16"/>
  <c r="D2" i="16"/>
  <c r="D4" i="16"/>
  <c r="C3" i="16"/>
  <c r="C4" i="16"/>
  <c r="M2" i="16"/>
  <c r="M4" i="16"/>
  <c r="K2" i="16"/>
  <c r="K4" i="16"/>
  <c r="J3" i="16"/>
  <c r="I2" i="16"/>
  <c r="H3" i="16"/>
  <c r="AC6" i="16"/>
  <c r="AC3" i="16"/>
  <c r="AC4" i="16"/>
  <c r="AC5" i="16"/>
  <c r="AC7" i="16"/>
  <c r="AC11" i="16"/>
  <c r="AC48" i="16"/>
  <c r="AC95" i="16"/>
  <c r="AC14" i="16"/>
  <c r="AC51" i="16"/>
  <c r="AC88" i="16"/>
  <c r="AC18" i="16"/>
  <c r="AC67" i="16"/>
  <c r="AC21" i="16"/>
  <c r="AC70" i="16"/>
  <c r="AC35" i="16"/>
  <c r="AC27" i="16"/>
  <c r="AC64" i="16"/>
  <c r="AC101" i="16"/>
  <c r="AC43" i="16"/>
  <c r="AC92" i="16"/>
  <c r="AC46" i="16"/>
  <c r="AC96" i="16"/>
  <c r="AC2" i="16"/>
  <c r="AC39" i="16"/>
  <c r="AC76" i="16"/>
  <c r="AC55" i="16"/>
  <c r="AC58" i="16"/>
  <c r="AC47" i="16"/>
  <c r="AC84" i="16"/>
  <c r="AC26" i="16"/>
  <c r="AC63" i="16"/>
  <c r="AC100" i="16"/>
  <c r="AC30" i="16"/>
  <c r="AC79" i="16"/>
  <c r="AC33" i="16"/>
  <c r="AC82" i="16"/>
  <c r="AC13" i="16"/>
  <c r="AC66" i="16"/>
  <c r="AC37" i="16"/>
  <c r="AC41" i="16"/>
  <c r="AC81" i="16"/>
  <c r="AC71" i="16"/>
  <c r="AC49" i="16"/>
  <c r="AC86" i="16"/>
  <c r="AC16" i="16"/>
  <c r="AC90" i="16"/>
  <c r="AC93" i="16"/>
  <c r="AC60" i="16"/>
  <c r="AC61" i="16"/>
  <c r="AC98" i="16"/>
  <c r="AC28" i="16"/>
  <c r="AC65" i="16"/>
  <c r="AC97" i="16"/>
  <c r="AC9" i="16"/>
  <c r="AC24" i="16"/>
  <c r="AC83" i="16"/>
  <c r="AC38" i="16"/>
  <c r="AC75" i="16"/>
  <c r="AC42" i="16"/>
  <c r="AC91" i="16"/>
  <c r="AC45" i="16"/>
  <c r="AC94" i="16"/>
  <c r="AC23" i="16"/>
  <c r="AC50" i="16"/>
  <c r="AC87" i="16"/>
  <c r="AC17" i="16"/>
  <c r="AC54" i="16"/>
  <c r="AC8" i="16"/>
  <c r="AC57" i="16"/>
  <c r="AC12" i="16"/>
  <c r="AC25" i="16"/>
  <c r="AC62" i="16"/>
  <c r="AC99" i="16"/>
  <c r="AC29" i="16"/>
  <c r="AC20" i="16"/>
  <c r="AC69" i="16"/>
  <c r="AC72" i="16"/>
  <c r="AC74" i="16"/>
  <c r="AC78" i="16"/>
  <c r="AC32" i="16"/>
  <c r="AC53" i="16"/>
  <c r="AC44" i="16"/>
  <c r="AC56" i="16"/>
  <c r="AC10" i="16"/>
  <c r="AC59" i="16"/>
  <c r="AC73" i="16"/>
  <c r="AC40" i="16"/>
  <c r="AC77" i="16"/>
  <c r="AC19" i="16"/>
  <c r="AC68" i="16"/>
  <c r="AC22" i="16"/>
  <c r="AC36" i="16"/>
  <c r="AC85" i="16"/>
  <c r="AC15" i="16"/>
  <c r="AC52" i="16"/>
  <c r="AC89" i="16"/>
  <c r="AC31" i="16"/>
  <c r="AC80" i="16"/>
  <c r="AC34" i="16"/>
  <c r="J5" i="16" l="1"/>
  <c r="H5" i="16"/>
  <c r="D5" i="16"/>
  <c r="M5" i="16"/>
  <c r="B2" i="16"/>
  <c r="B4" i="16"/>
  <c r="AG3" i="16" s="1"/>
  <c r="B3" i="16"/>
  <c r="AG2" i="16" s="1"/>
  <c r="G5" i="16"/>
  <c r="L5" i="16"/>
  <c r="K5" i="16"/>
  <c r="I5" i="16"/>
  <c r="F5" i="16"/>
  <c r="E5" i="16"/>
  <c r="C5" i="16"/>
  <c r="B5" i="16" l="1"/>
  <c r="AG1" i="16"/>
  <c r="AG4" i="16" l="1"/>
  <c r="B7" i="16"/>
  <c r="C7" i="16" s="1"/>
  <c r="D7" i="16" s="1"/>
  <c r="E7" i="16" s="1"/>
  <c r="F7" i="16" s="1"/>
  <c r="G7" i="16" s="1"/>
  <c r="H7" i="16" s="1"/>
  <c r="I7" i="16" s="1"/>
  <c r="J7" i="16" s="1"/>
  <c r="K7" i="16" s="1"/>
  <c r="L7" i="16" s="1"/>
  <c r="M7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95CBFA-6026-4770-A407-124B45A786F0}" name="Consulta - AlertaDespesas" description="Conexão com a consulta 'AlertaDespesas' na pasta de trabalho." type="100" refreshedVersion="8" minRefreshableVersion="5">
    <extLst>
      <ext xmlns:x15="http://schemas.microsoft.com/office/spreadsheetml/2010/11/main" uri="{DE250136-89BD-433C-8126-D09CA5730AF9}">
        <x15:connection id="18d28c33-65cf-4bab-91d0-e0d745be45a9"/>
      </ext>
    </extLst>
  </connection>
  <connection id="2" xr16:uid="{0ADB46E6-E42C-403E-98FF-1B33279EB721}" name="Consulta - DespesasVariáveisTabela" description="Conexão com a consulta 'DespesasVariáveisTabela' na pasta de trabalho." type="100" refreshedVersion="8" minRefreshableVersion="5" saveData="1">
    <extLst>
      <ext xmlns:x15="http://schemas.microsoft.com/office/spreadsheetml/2010/11/main" uri="{DE250136-89BD-433C-8126-D09CA5730AF9}">
        <x15:connection id="0171ca74-d3d4-4329-8444-efb767ffafa1" excludeFromRefreshAll="1"/>
      </ext>
    </extLst>
  </connection>
  <connection id="3" xr16:uid="{BD9A10A1-96CB-48E3-B2B3-8ECBCB55AFCA}" name="Consulta - DívidasImpressão" description="Conexão com a consulta 'DívidasImpressão' na pasta de trabalho." type="100" refreshedVersion="8" minRefreshableVersion="5" saveData="1">
    <extLst>
      <ext xmlns:x15="http://schemas.microsoft.com/office/spreadsheetml/2010/11/main" uri="{DE250136-89BD-433C-8126-D09CA5730AF9}">
        <x15:connection id="53d06a47-8a69-436f-ad44-71895d37fe91">
          <x15:oledbPr connection="Provider=Microsoft.Mashup.OleDb.1;Data Source=$Workbook$;Location=DívidasImpressão;Extended Properties=&quot;&quot;">
            <x15:dbTables>
              <x15:dbTable name="DívidasImpressão"/>
            </x15:dbTables>
          </x15:oledbPr>
        </x15:connection>
      </ext>
    </extLst>
  </connection>
  <connection id="4" xr16:uid="{FB420107-AF80-4CDB-A3BE-456C77D637EF}" keepAlive="1" name="ModelConnection_DadosExternos_11" description="Modelo de Dados" type="5" refreshedVersion="8" minRefreshableVersion="5" saveData="1">
    <dbPr connection="Data Model Connection" command="DespesasVariáveisTabela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903320F-808E-40DD-9883-5806EB8D2BA6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DAF954D4-31FD-4890-9A99-43E7ABA18160}" name="WorksheetConnection_Despesas" type="102" refreshedVersion="8" minRefreshableVersion="5" saveData="1">
    <extLst>
      <ext xmlns:x15="http://schemas.microsoft.com/office/spreadsheetml/2010/11/main" uri="{DE250136-89BD-433C-8126-D09CA5730AF9}">
        <x15:connection id="Despesas" excludeFromRefreshAll="1">
          <x15:rangePr sourceName="_xlcn.WorksheetConnection_Despesas1"/>
        </x15:connection>
      </ext>
    </extLst>
  </connection>
  <connection id="7" xr16:uid="{D4B512E0-E50D-4EF5-9230-1D238B003A8F}" name="WorksheetConnection_Investimentos" type="102" refreshedVersion="8" minRefreshableVersion="5" saveData="1">
    <extLst>
      <ext xmlns:x15="http://schemas.microsoft.com/office/spreadsheetml/2010/11/main" uri="{DE250136-89BD-433C-8126-D09CA5730AF9}">
        <x15:connection id="Investimentos" excludeFromRefreshAll="1">
          <x15:rangePr sourceName="_xlcn.WorksheetConnection_Investimentos1"/>
        </x15:connection>
      </ext>
    </extLst>
  </connection>
  <connection id="8" xr16:uid="{B84339D2-6797-4DA6-8919-69C8682A757F}" name="WorksheetConnection_Receitas" type="102" refreshedVersion="8" minRefreshableVersion="5" saveData="1">
    <extLst>
      <ext xmlns:x15="http://schemas.microsoft.com/office/spreadsheetml/2010/11/main" uri="{DE250136-89BD-433C-8126-D09CA5730AF9}">
        <x15:connection id="Receitas" excludeFromRefreshAll="1">
          <x15:rangePr sourceName="_xlcn.WorksheetConnection_Receitas1"/>
        </x15:connection>
      </ext>
    </extLst>
  </connection>
  <connection id="9" xr16:uid="{EDF2443A-E749-4ABD-A343-0EAE168EC21A}" name="WorksheetConnection_tbAno" type="102" refreshedVersion="8" minRefreshableVersion="5" saveData="1">
    <extLst>
      <ext xmlns:x15="http://schemas.microsoft.com/office/spreadsheetml/2010/11/main" uri="{DE250136-89BD-433C-8126-D09CA5730AF9}">
        <x15:connection id="tbAno" excludeFromRefreshAll="1">
          <x15:rangePr sourceName="_xlcn.WorksheetConnection_tbAno1"/>
        </x15:connection>
      </ext>
    </extLst>
  </connection>
  <connection id="10" xr16:uid="{C7C25124-F647-47EF-9BC1-184B64EB9A22}" name="WorksheetConnection_tbMês" type="102" refreshedVersion="8" minRefreshableVersion="5" saveData="1">
    <extLst>
      <ext xmlns:x15="http://schemas.microsoft.com/office/spreadsheetml/2010/11/main" uri="{DE250136-89BD-433C-8126-D09CA5730AF9}">
        <x15:connection id="tbMês" excludeFromRefreshAll="1">
          <x15:rangePr sourceName="_xlcn.WorksheetConnection_tbMês1"/>
        </x15:connection>
      </ext>
    </extLst>
  </connection>
  <connection id="11" xr16:uid="{4981DDE6-CCF2-4959-9333-7CB9B22C25CA}" name="WorksheetConnection_tbSituação" type="102" refreshedVersion="8" minRefreshableVersion="5" saveData="1">
    <extLst>
      <ext xmlns:x15="http://schemas.microsoft.com/office/spreadsheetml/2010/11/main" uri="{DE250136-89BD-433C-8126-D09CA5730AF9}">
        <x15:connection id="tbSituação" excludeFromRefreshAll="1">
          <x15:rangePr sourceName="_xlcn.WorksheetConnection_tbSituação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<sst xmlns="http://schemas.openxmlformats.org/spreadsheetml/2006/main" count="872" uniqueCount="424">
  <si>
    <t>Data de Vencimento</t>
  </si>
  <si>
    <t>Mês</t>
  </si>
  <si>
    <t>Ano</t>
  </si>
  <si>
    <t>Descrição</t>
  </si>
  <si>
    <t>Tipo de Despesa</t>
  </si>
  <si>
    <t>Valor</t>
  </si>
  <si>
    <t>Forma de Pagamento</t>
  </si>
  <si>
    <t>Categoria de Pagamento</t>
  </si>
  <si>
    <t>Receita Usada</t>
  </si>
  <si>
    <t>Data de Pagamento</t>
  </si>
  <si>
    <t>Pago?</t>
  </si>
  <si>
    <t>Situação</t>
  </si>
  <si>
    <t>Detalhamento de Despesa</t>
  </si>
  <si>
    <t>Data</t>
  </si>
  <si>
    <t>Mês Completo</t>
  </si>
  <si>
    <t>Mês (Número)</t>
  </si>
  <si>
    <t>Índice</t>
  </si>
  <si>
    <t>A PAGAR</t>
  </si>
  <si>
    <t>EM DÍVIDA</t>
  </si>
  <si>
    <t>PAGO</t>
  </si>
  <si>
    <t>Situação (Real)</t>
  </si>
  <si>
    <t>ATRASADO</t>
  </si>
  <si>
    <t>Moradia</t>
  </si>
  <si>
    <t>Alimentação</t>
  </si>
  <si>
    <t>Transporte</t>
  </si>
  <si>
    <t>Saúde</t>
  </si>
  <si>
    <t>Educação</t>
  </si>
  <si>
    <t>Lazer e entretenimento</t>
  </si>
  <si>
    <t>Cuidados pessoais</t>
  </si>
  <si>
    <t>Seguros</t>
  </si>
  <si>
    <t>Doações e presentes</t>
  </si>
  <si>
    <t>Impostos</t>
  </si>
  <si>
    <t>Outras despesas</t>
  </si>
  <si>
    <t>Pet</t>
  </si>
  <si>
    <t>Financeiros</t>
  </si>
  <si>
    <t>Prestação /Aluguel de imóvel</t>
  </si>
  <si>
    <t>Supermercado</t>
  </si>
  <si>
    <t>Combustível</t>
  </si>
  <si>
    <t>Plano de saúde</t>
  </si>
  <si>
    <t>Mensalidade escolar</t>
  </si>
  <si>
    <t>Cinema</t>
  </si>
  <si>
    <t>Cosméticos e produtos de higiene</t>
  </si>
  <si>
    <t>Seguro de vida</t>
  </si>
  <si>
    <t>Presentes para amigos e familiares</t>
  </si>
  <si>
    <t>Imposto de Renda</t>
  </si>
  <si>
    <t>Despesas não planejadas (emergências)</t>
  </si>
  <si>
    <t xml:space="preserve">Ração </t>
  </si>
  <si>
    <t>Empréstimos</t>
  </si>
  <si>
    <t>Condomínio</t>
  </si>
  <si>
    <t>Feira  / Sacolão</t>
  </si>
  <si>
    <t>Manutenção do veículo</t>
  </si>
  <si>
    <t>Medicamentos</t>
  </si>
  <si>
    <t>Material Escolar</t>
  </si>
  <si>
    <t>Assinaturas de streaming</t>
  </si>
  <si>
    <t>Corte de cabelo</t>
  </si>
  <si>
    <t>Seguro de saúde</t>
  </si>
  <si>
    <t>Doações para instituições ou causas</t>
  </si>
  <si>
    <t>IPTU</t>
  </si>
  <si>
    <t>Banho / Tosa</t>
  </si>
  <si>
    <t>Seguros (vida/residencial)</t>
  </si>
  <si>
    <t>Conta de água</t>
  </si>
  <si>
    <t>Padaria</t>
  </si>
  <si>
    <t>Seguro do veículo</t>
  </si>
  <si>
    <t>Consultas médicas</t>
  </si>
  <si>
    <t>Outros cursos</t>
  </si>
  <si>
    <t>Viagens e turismo</t>
  </si>
  <si>
    <t>Academia</t>
  </si>
  <si>
    <t>Seguro de automóvel</t>
  </si>
  <si>
    <t>Doações para instituições educacionais</t>
  </si>
  <si>
    <t>IRPF</t>
  </si>
  <si>
    <t>Veterinário</t>
  </si>
  <si>
    <t>Previdência privada</t>
  </si>
  <si>
    <t>Serviço de limpeza (diarista ou mensalista)</t>
  </si>
  <si>
    <t>Refeição fora de casa</t>
  </si>
  <si>
    <t>Transporte público (ônibus, metrô, etc.)</t>
  </si>
  <si>
    <t>Exames laboratoriais</t>
  </si>
  <si>
    <t>Faculdade</t>
  </si>
  <si>
    <t>Atividades esportivas ou hobbies</t>
  </si>
  <si>
    <t>Roupas</t>
  </si>
  <si>
    <t>Seguro residencial</t>
  </si>
  <si>
    <t>Contribuições para projetos comunitários</t>
  </si>
  <si>
    <t>IPVA</t>
  </si>
  <si>
    <t>Juros Cheque Especial</t>
  </si>
  <si>
    <t>Conta de energia elétrica</t>
  </si>
  <si>
    <t>Outros (café, água, sorvetes, etc)</t>
  </si>
  <si>
    <t>Estacionamento</t>
  </si>
  <si>
    <t>Dentista</t>
  </si>
  <si>
    <t>Mensalidade da faculdade</t>
  </si>
  <si>
    <t>Netflix</t>
  </si>
  <si>
    <t>Calçados</t>
  </si>
  <si>
    <t>Seguro de viagem</t>
  </si>
  <si>
    <t>Presentes para colegas de trabalho</t>
  </si>
  <si>
    <t>ITBI</t>
  </si>
  <si>
    <t>Acessórios</t>
  </si>
  <si>
    <t>Tarifas bancárias</t>
  </si>
  <si>
    <t>Gás</t>
  </si>
  <si>
    <t>IFood</t>
  </si>
  <si>
    <t>Ônibus / Metrô</t>
  </si>
  <si>
    <t>Terapia</t>
  </si>
  <si>
    <t>Uniforme</t>
  </si>
  <si>
    <t>Prime Video (Amazon)</t>
  </si>
  <si>
    <t>Seguro de equipamentos</t>
  </si>
  <si>
    <t>Presente de aniversário</t>
  </si>
  <si>
    <t>INSS</t>
  </si>
  <si>
    <t>Brinquedos</t>
  </si>
  <si>
    <t>Financiamento de veículo</t>
  </si>
  <si>
    <t>Açougue</t>
  </si>
  <si>
    <t>Taxi/Uber</t>
  </si>
  <si>
    <t>Psicólogo</t>
  </si>
  <si>
    <t>Taxas de inscrição</t>
  </si>
  <si>
    <t>Teatros</t>
  </si>
  <si>
    <t>Roupas casuais</t>
  </si>
  <si>
    <t>Seguro de celular</t>
  </si>
  <si>
    <t>Presente de incentivo</t>
  </si>
  <si>
    <t>FGTS</t>
  </si>
  <si>
    <t>Hotel</t>
  </si>
  <si>
    <t>Pagamento da fatura do cartão de crédito</t>
  </si>
  <si>
    <t>Decoração da casa</t>
  </si>
  <si>
    <t>Restaurante</t>
  </si>
  <si>
    <t>Lavagem</t>
  </si>
  <si>
    <t>Acupuntura</t>
  </si>
  <si>
    <t>Aulas particulares</t>
  </si>
  <si>
    <t>Shows</t>
  </si>
  <si>
    <t>Roupas de trabalho</t>
  </si>
  <si>
    <t>Seguro de notebook</t>
  </si>
  <si>
    <t>Presente de chá de bebê</t>
  </si>
  <si>
    <t>ICMS</t>
  </si>
  <si>
    <t>Dog walker</t>
  </si>
  <si>
    <t xml:space="preserve">Imposto de Renda a Pagar </t>
  </si>
  <si>
    <t>Manutenção</t>
  </si>
  <si>
    <t>Lanchonete</t>
  </si>
  <si>
    <t>Troca de óleo</t>
  </si>
  <si>
    <t>Psiquiátra</t>
  </si>
  <si>
    <t>Material de pesquisa</t>
  </si>
  <si>
    <t>Museus</t>
  </si>
  <si>
    <t>Roupas de exercício</t>
  </si>
  <si>
    <t>Seguro de desktop</t>
  </si>
  <si>
    <t>Presente de casamentos</t>
  </si>
  <si>
    <t>IPI</t>
  </si>
  <si>
    <t>Petiscos</t>
  </si>
  <si>
    <t>Saque</t>
  </si>
  <si>
    <t>Celular</t>
  </si>
  <si>
    <t>Delivery</t>
  </si>
  <si>
    <t>Licenciamento</t>
  </si>
  <si>
    <t>Exame fora de plano de saúde</t>
  </si>
  <si>
    <t>Aplicativos educativos</t>
  </si>
  <si>
    <t>Exposições</t>
  </si>
  <si>
    <t>Palmilhas</t>
  </si>
  <si>
    <t>Seguro de saúde para pets</t>
  </si>
  <si>
    <t>Presente de formaturas</t>
  </si>
  <si>
    <t>ISS</t>
  </si>
  <si>
    <t>Vacinas</t>
  </si>
  <si>
    <t>Boletos</t>
  </si>
  <si>
    <t>Telefone fixo</t>
  </si>
  <si>
    <t>Cafés</t>
  </si>
  <si>
    <t>Pedágio</t>
  </si>
  <si>
    <t>Tratamento estético</t>
  </si>
  <si>
    <t>Biblioteca</t>
  </si>
  <si>
    <t>Parques de diversões</t>
  </si>
  <si>
    <t>Cardaços</t>
  </si>
  <si>
    <t>Lembrancinhas</t>
  </si>
  <si>
    <t>Multas</t>
  </si>
  <si>
    <t>Vermifugação</t>
  </si>
  <si>
    <t>Internet</t>
  </si>
  <si>
    <t>Excursões</t>
  </si>
  <si>
    <t>Livros</t>
  </si>
  <si>
    <t>Manicure</t>
  </si>
  <si>
    <t>Honorários de contador</t>
  </si>
  <si>
    <t>Castração</t>
  </si>
  <si>
    <t>Reforma da casa</t>
  </si>
  <si>
    <t>Carro</t>
  </si>
  <si>
    <t>Intercâmbios</t>
  </si>
  <si>
    <t>Revistas</t>
  </si>
  <si>
    <t>Salão de beleza</t>
  </si>
  <si>
    <t>Consultoria fiscal</t>
  </si>
  <si>
    <t>Produtos de cuidados</t>
  </si>
  <si>
    <t>TV à cabo</t>
  </si>
  <si>
    <t>Eventos acadêmicos</t>
  </si>
  <si>
    <t>CD's</t>
  </si>
  <si>
    <t>Produtos para cabelo</t>
  </si>
  <si>
    <t>Cuidados especiais</t>
  </si>
  <si>
    <t>Taxas de Mudança</t>
  </si>
  <si>
    <t>Aluguel de veículo</t>
  </si>
  <si>
    <t>Clube</t>
  </si>
  <si>
    <t>Cuidados com a pele</t>
  </si>
  <si>
    <t>Alimentação especial</t>
  </si>
  <si>
    <t>Jardinagem</t>
  </si>
  <si>
    <t>Viagens</t>
  </si>
  <si>
    <t>Serviços de beleza</t>
  </si>
  <si>
    <t>Compra de móveis e eletrodomésticos</t>
  </si>
  <si>
    <t>Restaurantes</t>
  </si>
  <si>
    <t>Aluguel</t>
  </si>
  <si>
    <t>Bares</t>
  </si>
  <si>
    <t>Aulas esportivas</t>
  </si>
  <si>
    <t>Hipoteca</t>
  </si>
  <si>
    <t>Festas</t>
  </si>
  <si>
    <t>Equipamentos de exercícios</t>
  </si>
  <si>
    <t>Shopping</t>
  </si>
  <si>
    <t>Massagens</t>
  </si>
  <si>
    <t>Materiais de arte</t>
  </si>
  <si>
    <t>Tratamentos de spa</t>
  </si>
  <si>
    <t>Aulas de música</t>
  </si>
  <si>
    <t>Produtos para banho</t>
  </si>
  <si>
    <t>Jogos de tabuleiro</t>
  </si>
  <si>
    <t>Perfumes e colônias</t>
  </si>
  <si>
    <t>Jogos de videogames</t>
  </si>
  <si>
    <t>Desodorantes</t>
  </si>
  <si>
    <t>Jantares e almoços com amigos</t>
  </si>
  <si>
    <t>Jantares e almoços com familiares</t>
  </si>
  <si>
    <t>Happy hours</t>
  </si>
  <si>
    <t>Eventos</t>
  </si>
  <si>
    <t>Festivais</t>
  </si>
  <si>
    <t>Spotify</t>
  </si>
  <si>
    <t>Casamentos</t>
  </si>
  <si>
    <t>Celebrações</t>
  </si>
  <si>
    <t>Tipos de Despesas</t>
  </si>
  <si>
    <t>Formas de Pagamento</t>
  </si>
  <si>
    <t>Débito</t>
  </si>
  <si>
    <t>Crédito</t>
  </si>
  <si>
    <t>Dinheiro</t>
  </si>
  <si>
    <t>PIX</t>
  </si>
  <si>
    <t>Bilhete</t>
  </si>
  <si>
    <t>Vale</t>
  </si>
  <si>
    <t>Boleto</t>
  </si>
  <si>
    <t>Banco do Brasil</t>
  </si>
  <si>
    <t>Itaucard</t>
  </si>
  <si>
    <t>—</t>
  </si>
  <si>
    <t>Bilhete Único Comum</t>
  </si>
  <si>
    <t>Vale-refeição</t>
  </si>
  <si>
    <t>Caixa Econômica Federal</t>
  </si>
  <si>
    <t>Itaú Unibanco Mastercard</t>
  </si>
  <si>
    <t>Bilhete Único Vale-Transporte</t>
  </si>
  <si>
    <t>Vale-transporte</t>
  </si>
  <si>
    <t>Itaú</t>
  </si>
  <si>
    <t>Itaú Unibanco Visa</t>
  </si>
  <si>
    <t>Bilhete Único Gestante e Mãe Paulistana</t>
  </si>
  <si>
    <t>Vale-alimentação</t>
  </si>
  <si>
    <t>Bradesco</t>
  </si>
  <si>
    <t>Bradesco Visa</t>
  </si>
  <si>
    <t>Bilhete Único Especial</t>
  </si>
  <si>
    <t>Vale-cultura</t>
  </si>
  <si>
    <t>Santander</t>
  </si>
  <si>
    <t>Bradesco Mastercard</t>
  </si>
  <si>
    <t>Bilhete Único Estudante</t>
  </si>
  <si>
    <t>Vale-academia</t>
  </si>
  <si>
    <t>Nubank</t>
  </si>
  <si>
    <t>Santander Free</t>
  </si>
  <si>
    <t>Vale-combustível</t>
  </si>
  <si>
    <t>Banco Inter</t>
  </si>
  <si>
    <t>Santander AAdvantage</t>
  </si>
  <si>
    <t>Vale-presente</t>
  </si>
  <si>
    <t>Banrisul</t>
  </si>
  <si>
    <t>Ourocard</t>
  </si>
  <si>
    <t>Sicredi</t>
  </si>
  <si>
    <t>Ourocard Internacional</t>
  </si>
  <si>
    <t>Sicoob</t>
  </si>
  <si>
    <t>Ourocard Visa</t>
  </si>
  <si>
    <t>Mercado Pago</t>
  </si>
  <si>
    <t>Cartão Caixa</t>
  </si>
  <si>
    <t>PicPay</t>
  </si>
  <si>
    <t>Cartão Caixa Internacional</t>
  </si>
  <si>
    <t>Wise</t>
  </si>
  <si>
    <t>Nubank Mastercard</t>
  </si>
  <si>
    <t>Banco Pan</t>
  </si>
  <si>
    <t>Nubank Ultravioleta</t>
  </si>
  <si>
    <t>Neon</t>
  </si>
  <si>
    <t>Cartão de Crédito Inter</t>
  </si>
  <si>
    <t>PagSeguro</t>
  </si>
  <si>
    <t>Cartão Neon Mastercard</t>
  </si>
  <si>
    <t>Recarga Pay</t>
  </si>
  <si>
    <t>Cartão C6</t>
  </si>
  <si>
    <t>PayPal</t>
  </si>
  <si>
    <t>Cartão C6 Carbon</t>
  </si>
  <si>
    <t>Cartão PagSeguro</t>
  </si>
  <si>
    <t>PicPay Card</t>
  </si>
  <si>
    <t>PagBank</t>
  </si>
  <si>
    <t>Porto Seguro</t>
  </si>
  <si>
    <t>Teste 1</t>
  </si>
  <si>
    <t>Teste 2</t>
  </si>
  <si>
    <t>Receitas Convencionais</t>
  </si>
  <si>
    <t>Receitas Personalizadas</t>
  </si>
  <si>
    <t>Salário</t>
  </si>
  <si>
    <t>Salário Israel</t>
  </si>
  <si>
    <t>Férias</t>
  </si>
  <si>
    <t>Salário Luciana</t>
  </si>
  <si>
    <t>13º Salário</t>
  </si>
  <si>
    <t>Aposentadoria</t>
  </si>
  <si>
    <t>Receita extra</t>
  </si>
  <si>
    <t>Pensão</t>
  </si>
  <si>
    <t>Bônus</t>
  </si>
  <si>
    <t>Outras receitas</t>
  </si>
  <si>
    <t>Rendimentos de investimentos</t>
  </si>
  <si>
    <t>Bolsa de estudo</t>
  </si>
  <si>
    <t>Rendimentos de direitos autorais</t>
  </si>
  <si>
    <t>Prêmios e concursos</t>
  </si>
  <si>
    <t>Subvenções e ajudas</t>
  </si>
  <si>
    <t>Vendas de produtos</t>
  </si>
  <si>
    <t>Comissões</t>
  </si>
  <si>
    <t>Trabalho temporário</t>
  </si>
  <si>
    <t>Renda de aplicações financeiras</t>
  </si>
  <si>
    <t>Crowdfunding</t>
  </si>
  <si>
    <t>Destinos/Fontes</t>
  </si>
  <si>
    <t>Itaú Unibanco</t>
  </si>
  <si>
    <t>Banco Original</t>
  </si>
  <si>
    <t>Investimentos Personalizados</t>
  </si>
  <si>
    <t>Ações</t>
  </si>
  <si>
    <t>Ação 1</t>
  </si>
  <si>
    <t>Tesouro Direto</t>
  </si>
  <si>
    <t>Ação 2</t>
  </si>
  <si>
    <t>Renda Fixa</t>
  </si>
  <si>
    <t>Previdência Privada</t>
  </si>
  <si>
    <t>Poupança</t>
  </si>
  <si>
    <t>Receita</t>
  </si>
  <si>
    <t>Destino</t>
  </si>
  <si>
    <t>Tipo de Receita</t>
  </si>
  <si>
    <t>Tipos de Receitas</t>
  </si>
  <si>
    <t>Receitas Usadas</t>
  </si>
  <si>
    <t>Valor de Reajuste</t>
  </si>
  <si>
    <t>Tipo de Investimento</t>
  </si>
  <si>
    <t>Investimento</t>
  </si>
  <si>
    <t>Fonte</t>
  </si>
  <si>
    <t>,</t>
  </si>
  <si>
    <t>Data Recebida/A Receber</t>
  </si>
  <si>
    <t>Data de Investimento/A Investir</t>
  </si>
  <si>
    <t>Tipos de Investimentos</t>
  </si>
  <si>
    <t>Investimentos Convencionais</t>
  </si>
  <si>
    <t>Valor a Pagar</t>
  </si>
  <si>
    <t>Despesa (Total)</t>
  </si>
  <si>
    <t>Despesa a Pagar</t>
  </si>
  <si>
    <t>Contas a Pagar</t>
  </si>
  <si>
    <t>Contas Pagas</t>
  </si>
  <si>
    <t>Contas Atrasadas</t>
  </si>
  <si>
    <t>Contas em Dívida</t>
  </si>
  <si>
    <t>Receita (Total)</t>
  </si>
  <si>
    <t>Qtde. de Receitas</t>
  </si>
  <si>
    <t>Investimento (Total)</t>
  </si>
  <si>
    <t>Qtde. de Investimentos</t>
  </si>
  <si>
    <t>Valor Total</t>
  </si>
  <si>
    <t>Cartão Utilizado</t>
  </si>
  <si>
    <t>Data da Compra</t>
  </si>
  <si>
    <t>Qtde. Parcelas</t>
  </si>
  <si>
    <t>Parcela de Carência</t>
  </si>
  <si>
    <t>Valor Parcelado</t>
  </si>
  <si>
    <t>Dia de Vencimento</t>
  </si>
  <si>
    <t>Total a Pagar</t>
  </si>
  <si>
    <t>C6 Bank</t>
  </si>
  <si>
    <t>Inter</t>
  </si>
  <si>
    <t>Cartão</t>
  </si>
  <si>
    <t>Cartões</t>
  </si>
  <si>
    <t>Configurações</t>
  </si>
  <si>
    <t>Investimento 1</t>
  </si>
  <si>
    <t>Investimento 2</t>
  </si>
  <si>
    <t>Descrição da Receita</t>
  </si>
  <si>
    <t>Receitas</t>
  </si>
  <si>
    <t>Despesas</t>
  </si>
  <si>
    <t>Investimentos</t>
  </si>
  <si>
    <t>Saldos</t>
  </si>
  <si>
    <t>Saldo Acumulado</t>
  </si>
  <si>
    <t>abr</t>
  </si>
  <si>
    <t>jan</t>
  </si>
  <si>
    <t>jun</t>
  </si>
  <si>
    <t>mai</t>
  </si>
  <si>
    <t>(vazio)</t>
  </si>
  <si>
    <t>Anos</t>
  </si>
  <si>
    <t>Qtde. linhas</t>
  </si>
  <si>
    <t>linhas</t>
  </si>
  <si>
    <t>Soma de Valor a Pagar</t>
  </si>
  <si>
    <t>Qtde. de Situação</t>
  </si>
  <si>
    <t>Saldo (Total)</t>
  </si>
  <si>
    <t>graficoTiposDespesasValores</t>
  </si>
  <si>
    <t>Orçamento Familiar.xlsm'!graficoSituacoesDespesasValores</t>
  </si>
  <si>
    <t>Rótulos de Linha</t>
  </si>
  <si>
    <t>Soma de Valor</t>
  </si>
  <si>
    <t>Destino de Receita</t>
  </si>
  <si>
    <t>Fonte de Investimento</t>
  </si>
  <si>
    <t>Orçamento Familiar.xlsm'!graficoTiposInvestimentosValores</t>
  </si>
  <si>
    <t>Contagem de Data Recebida/A Receber</t>
  </si>
  <si>
    <t>SEERRO(DESLOC($K$2;;;CONT.SE($K$2:$K$7;"&lt;&gt;")-SOMA((ÉFÓRMULA(DESLOC($K$2;;;CONT.VALORES($K$2:$K$7))))*(NÃO(DESLOC($K$2;;;CONT.VALORES($K$2:$K$7))&lt;&gt;""))));"")</t>
  </si>
  <si>
    <t>SEERRO(DESLOC($L$2;;;CONT.VALORES($L$2:$L$7));"")</t>
  </si>
  <si>
    <t>Contagem de Data de Investimento/A Investir</t>
  </si>
  <si>
    <t>Conta de luz</t>
  </si>
  <si>
    <t>Teste 1 - 1/4 (31/05/2025)</t>
  </si>
  <si>
    <t>Teste 1 - 2/4 (30/06/2025)</t>
  </si>
  <si>
    <t>Teste 1 - 3/4 (31/07/2025)</t>
  </si>
  <si>
    <t>Teste 1 - 4/4 (31/08/2025)</t>
  </si>
  <si>
    <t>Teste 2 - 1/2 (15/05/2025)</t>
  </si>
  <si>
    <t>Teste 2 - 2/2 (15/06/2025)</t>
  </si>
  <si>
    <t>jul</t>
  </si>
  <si>
    <t>ago</t>
  </si>
  <si>
    <t>Verificar Duplicatas</t>
  </si>
  <si>
    <t>Habilitar Linha Automática</t>
  </si>
  <si>
    <t>Ajuste Automático de Largura</t>
  </si>
  <si>
    <t>Tabelas</t>
  </si>
  <si>
    <t>Despesas Fixas</t>
  </si>
  <si>
    <t>Data de Vencimento (Início)</t>
  </si>
  <si>
    <t>Data de Vencimento (Fim)</t>
  </si>
  <si>
    <t>Caso Outra Planilha</t>
  </si>
  <si>
    <t>Classificar Ordem Crescente</t>
  </si>
  <si>
    <t>Classificar Ordem Decrescente</t>
  </si>
  <si>
    <t>Dia de Fechamento</t>
  </si>
  <si>
    <t>Filtros Dependentes</t>
  </si>
  <si>
    <t>Memória</t>
  </si>
  <si>
    <t>Dia de Vencimento (Início)</t>
  </si>
  <si>
    <t>Dia de Vencimento (Fim)</t>
  </si>
  <si>
    <t/>
  </si>
  <si>
    <t>Data Recebida/A Receber (Inicio)</t>
  </si>
  <si>
    <t>Data Recebida/A Receber (Fim)</t>
  </si>
  <si>
    <t>Tipo de Invcstimento</t>
  </si>
  <si>
    <t>Data de Investimento/A Investir (Inicio)</t>
  </si>
  <si>
    <t>Data de Investimento/A Investir (Fim)</t>
  </si>
  <si>
    <t>Dia de Fechamento (Início)</t>
  </si>
  <si>
    <t>Dia de Fechamento (Fim)</t>
  </si>
  <si>
    <t>fev</t>
  </si>
  <si>
    <t>Barra de Rolagem Vertical</t>
  </si>
  <si>
    <t>Barra de Rolagem Horizontal</t>
  </si>
  <si>
    <t>Barra de Fórmulas</t>
  </si>
  <si>
    <t>Zoom</t>
  </si>
  <si>
    <t>Pode</t>
  </si>
  <si>
    <t>Não Pode</t>
  </si>
  <si>
    <t>80</t>
  </si>
  <si>
    <t>Despesas Parceladas</t>
  </si>
  <si>
    <t>A</t>
  </si>
  <si>
    <t>set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</si>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</sst>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R$&quot;\ ##,#00.00"/>
    <numFmt numFmtId="165" formatCode="&quot;R$&quot;\ #,##0.00"/>
    <numFmt numFmtId="166" formatCode="m/d/yyyy"/>
    <numFmt numFmtId="167" formatCode="dd/mm/yyyy"/>
  </numFmts>
  <fonts count="6" x14ac:knownFonts="1">
    <font>
      <sz val="11"/>
      <color theme="1"/>
      <name val="Times New Roman"/>
      <family val="2"/>
    </font>
    <font>
      <b/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2"/>
    </font>
    <font>
      <sz val="8"/>
      <name val="Times New Roman"/>
      <family val="2"/>
    </font>
    <font>
      <b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4659260841701"/>
        <bgColor theme="6" tint="-0.24994659260841701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4659260841701"/>
        <bgColor indexed="64"/>
      </patternFill>
    </fill>
  </fills>
  <borders count="6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 style="thin">
        <color theme="6" tint="-0.499984740745262"/>
      </bottom>
      <diagonal/>
    </border>
    <border>
      <left/>
      <right/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6" tint="-0.499984740745262"/>
      </left>
      <right/>
      <top/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" fillId="0" borderId="0" xfId="0" applyFont="1" applyAlignment="1">
      <alignment horizontal="center"/>
    </xf>
    <xf numFmtId="0" fontId="2" fillId="3" borderId="0" xfId="0" applyFont="1" applyFill="1"/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/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2" fillId="0" borderId="0" xfId="0" applyFont="1" applyAlignment="1">
      <alignment horizontal="center"/>
    </xf>
    <xf numFmtId="0" fontId="0" fillId="2" borderId="0" xfId="0" applyFill="1"/>
    <xf numFmtId="49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164" fontId="0" fillId="0" borderId="0" xfId="0" applyNumberFormat="1" applyProtection="1">
      <protection locked="0"/>
    </xf>
    <xf numFmtId="0" fontId="0" fillId="6" borderId="0" xfId="0" applyFill="1"/>
    <xf numFmtId="0" fontId="2" fillId="7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0" fillId="0" borderId="0" xfId="0" pivotButton="1"/>
    <xf numFmtId="165" fontId="0" fillId="0" borderId="0" xfId="0" applyNumberFormat="1"/>
    <xf numFmtId="164" fontId="0" fillId="0" borderId="0" xfId="0" applyNumberFormat="1"/>
    <xf numFmtId="0" fontId="2" fillId="0" borderId="0" xfId="0" pivotButton="1" applyFont="1"/>
    <xf numFmtId="0" fontId="0" fillId="0" borderId="0" xfId="0" quotePrefix="1"/>
    <xf numFmtId="0" fontId="5" fillId="8" borderId="1" xfId="0" applyFont="1" applyFill="1" applyBorder="1" applyAlignment="1">
      <alignment horizontal="center" vertical="center"/>
    </xf>
    <xf numFmtId="49" fontId="0" fillId="0" borderId="0" xfId="0" applyNumberFormat="1"/>
    <xf numFmtId="49" fontId="0" fillId="0" borderId="3" xfId="0" applyNumberFormat="1" applyBorder="1" applyAlignment="1">
      <alignment horizontal="left"/>
    </xf>
    <xf numFmtId="164" fontId="0" fillId="0" borderId="3" xfId="0" applyNumberFormat="1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9" fontId="0" fillId="0" borderId="0" xfId="0" applyNumberFormat="1"/>
    <xf numFmtId="0" fontId="0" fillId="0" borderId="5" xfId="0" applyBorder="1" applyProtection="1">
      <protection locked="0"/>
    </xf>
    <xf numFmtId="14" fontId="0" fillId="0" borderId="5" xfId="0" applyNumberFormat="1" applyBorder="1" applyProtection="1">
      <protection locked="0"/>
    </xf>
    <xf numFmtId="49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164" fontId="0" fillId="0" borderId="5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0" borderId="5" xfId="0" applyNumberFormat="1" applyBorder="1" applyAlignment="1">
      <alignment horizontal="left"/>
    </xf>
    <xf numFmtId="49" fontId="0" fillId="0" borderId="5" xfId="0" applyNumberFormat="1" applyBorder="1" applyAlignment="1">
      <alignment horizontal="right"/>
    </xf>
    <xf numFmtId="164" fontId="0" fillId="0" borderId="5" xfId="0" applyNumberFormat="1" applyBorder="1" applyAlignment="1">
      <alignment horizontal="left"/>
    </xf>
    <xf numFmtId="49" fontId="0" fillId="0" borderId="5" xfId="0" applyNumberFormat="1" applyBorder="1" applyAlignment="1">
      <alignment horizontal="center"/>
    </xf>
    <xf numFmtId="0" fontId="0" fillId="0" borderId="5" xfId="0" applyBorder="1"/>
    <xf numFmtId="0" fontId="3" fillId="4" borderId="0" xfId="0" applyFont="1" applyFill="1" applyAlignment="1">
      <alignment horizontal="center" vertical="center"/>
    </xf>
    <xf numFmtId="14" fontId="0" fillId="0" borderId="5" xfId="0" applyNumberForma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49" fontId="0" fillId="0" borderId="5" xfId="0" applyNumberFormat="1" applyBorder="1" applyAlignment="1" applyProtection="1">
      <alignment horizontal="left"/>
      <protection locked="0"/>
    </xf>
    <xf numFmtId="167" fontId="0" fillId="0" borderId="0" xfId="0" applyNumberFormat="1" applyAlignment="1" applyProtection="1">
      <alignment horizontal="center"/>
      <protection locked="0"/>
    </xf>
  </cellXfs>
  <cellStyles count="1">
    <cellStyle name="Normal" xfId="0" builtinId="0"/>
  </cellStyles>
  <dxfs count="103">
    <dxf>
      <font>
        <b/>
        <family val="1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m/d/yyyy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theme="6" tint="-0.24994659260841701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24994659260841701"/>
        </left>
        <right style="thin">
          <color theme="6" tint="-0.24994659260841701"/>
        </right>
        <top/>
        <bottom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color theme="0"/>
      </font>
      <fill>
        <patternFill>
          <fgColor theme="6" tint="-0.24994659260841701"/>
          <bgColor theme="6" tint="-0.24994659260841701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theme="6" tint="-0.24994659260841701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24994659260841701"/>
        </left>
        <right style="thin">
          <color theme="6" tint="-0.24994659260841701"/>
        </right>
        <top/>
        <bottom/>
      </border>
    </dxf>
    <dxf>
      <numFmt numFmtId="30" formatCode="@"/>
    </dxf>
    <dxf>
      <numFmt numFmtId="30" formatCode="@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R$&quot;\ ##,#0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6" tint="-0.499984740745262"/>
        </top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164" formatCode="&quot;R$&quot;\ ##,#00.00"/>
      <alignment horizontal="righ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theme="6" tint="-0.499984740745262"/>
        </left>
        <right/>
        <top style="thin">
          <color theme="6" tint="-0.49998474074526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6" tint="-0.499984740745262"/>
        </top>
        <bottom/>
        <vertical/>
        <horizontal/>
      </border>
    </dxf>
    <dxf>
      <border outline="0"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2"/>
        <scheme val="none"/>
      </font>
      <fill>
        <patternFill patternType="solid">
          <fgColor indexed="64"/>
          <bgColor theme="6" tint="-0.2499465926084170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6" tint="-0.499984740745262"/>
        </left>
        <right style="thin">
          <color theme="6" tint="-0.499984740745262"/>
        </right>
        <top/>
        <bottom/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color rgb="FFFFFFFF"/>
      </font>
      <fill>
        <patternFill>
          <fgColor rgb="FF249999"/>
          <bgColor rgb="FF249999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color rgb="FFFFFFFF"/>
      </font>
      <fill>
        <patternFill>
          <fgColor rgb="FF249999"/>
          <bgColor rgb="FF249999"/>
        </patternFill>
      </fill>
    </dxf>
    <dxf>
      <numFmt numFmtId="164" formatCode="&quot;R$&quot;\ ##,#00.0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164" formatCode="&quot;R$&quot;\ ##,#00.00"/>
      <alignment horizontal="righ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30" formatCode="@"/>
      <alignment horizontal="left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19" formatCode="dd/mm/yyyy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border diagonalUp="0" diagonalDown="0" outline="0">
        <left/>
        <right/>
        <top/>
        <bottom/>
      </border>
    </dxf>
    <dxf>
      <protection locked="0" hidden="0"/>
    </dxf>
    <dxf>
      <alignment horizontal="center" vertical="center" textRotation="0" wrapText="0" indent="0" justifyLastLine="0" shrinkToFit="0" readingOrder="0"/>
      <protection locked="1" hidden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6" tint="-0.24994659260841701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 style="thin">
          <color theme="6" tint="-0.499984740745262"/>
        </horizontal>
      </border>
    </dxf>
    <dxf>
      <font>
        <b val="0"/>
        <i val="0"/>
      </font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 style="thin">
          <color theme="6" tint="-0.499984740745262"/>
        </vertical>
        <horizontal style="thin">
          <color theme="6" tint="-0.499984740745262"/>
        </horizontal>
      </border>
    </dxf>
    <dxf>
      <font>
        <b/>
        <i val="0"/>
        <sz val="12"/>
        <color theme="0"/>
        <name val="Times New Roman"/>
        <family val="1"/>
      </font>
      <fill>
        <patternFill>
          <fgColor theme="6" tint="-0.24994659260841701"/>
          <bgColor theme="6" tint="-0.24994659260841701"/>
        </patternFill>
      </fill>
      <border>
        <bottom style="thin">
          <color theme="0"/>
        </bottom>
      </border>
    </dxf>
    <dxf>
      <font>
        <sz val="12"/>
        <name val="Times New Roman"/>
        <family val="1"/>
        <scheme val="none"/>
      </font>
      <fill>
        <patternFill>
          <fgColor theme="6" tint="-0.24994659260841701"/>
          <bgColor theme="6" tint="-0.24994659260841701"/>
        </patternFill>
      </fill>
    </dxf>
  </dxfs>
  <tableStyles count="2" defaultTableStyle="TableStyleMedium2" defaultPivotStyle="PivotStyleLight16">
    <tableStyle name="Estilo de Segmentação de Dados 1" pivot="0" table="0" count="9" xr9:uid="{93E188E3-7C64-4129-84BE-6B9E97000E59}">
      <tableStyleElement type="wholeTable" dxfId="102"/>
      <tableStyleElement type="headerRow" dxfId="101"/>
    </tableStyle>
    <tableStyle name="EstiloPersonalizado1" pivot="0" count="2" xr9:uid="{7CD83653-F964-4CCF-ACF7-DD5C646EABFF}">
      <tableStyleElement type="wholeTable" dxfId="100"/>
      <tableStyleElement type="headerRow" dxfId="99"/>
    </tableStyle>
  </tableStyles>
  <extLst>
    <ext xmlns:x14="http://schemas.microsoft.com/office/spreadsheetml/2009/9/main" uri="{46F421CA-312F-682f-3DD2-61675219B42D}">
      <x14:dxfs count="7">
        <dxf>
          <font>
            <color theme="0"/>
          </font>
          <fill>
            <patternFill>
              <fgColor theme="6" tint="-0.24994659260841701"/>
              <bgColor theme="6" tint="-0.24994659260841701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1" tint="0.24994659260841701"/>
          </font>
          <fill>
            <patternFill>
              <fgColor theme="6" tint="0.79998168889431442"/>
              <bgColor theme="6" tint="0.79998168889431442"/>
            </patternFill>
          </fill>
        </dxf>
        <dxf>
          <font>
            <color theme="0"/>
          </font>
          <fill>
            <patternFill>
              <fgColor theme="6" tint="-0.499984740745262"/>
              <bgColor theme="6" tint="-0.499984740745262"/>
            </patternFill>
          </fill>
        </dxf>
        <dxf>
          <font>
            <color theme="0"/>
          </font>
          <fill>
            <patternFill patternType="solid">
              <fgColor theme="6" tint="-0.24994659260841701"/>
              <bgColor theme="6" tint="-0.24994659260841701"/>
            </patternFill>
          </fill>
        </dxf>
        <dxf>
          <font>
            <color theme="6" tint="-0.24994659260841701"/>
          </font>
          <fill>
            <patternFill>
              <fgColor theme="0"/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42" Type="http://schemas.openxmlformats.org/officeDocument/2006/relationships/pivotCacheDefinition" Target="pivotCache/pivotCacheDefinition19.xml"/><Relationship Id="rId47" Type="http://schemas.microsoft.com/office/2007/relationships/slicerCache" Target="slicerCaches/slicerCache4.xml"/><Relationship Id="rId63" Type="http://schemas.openxmlformats.org/officeDocument/2006/relationships/customXml" Target="../customXml/item6.xml"/><Relationship Id="rId68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pivotCacheDefinition" Target="pivotCache/pivotCacheDefinition9.xml"/><Relationship Id="rId37" Type="http://schemas.openxmlformats.org/officeDocument/2006/relationships/pivotCacheDefinition" Target="pivotCache/pivotCacheDefinition14.xml"/><Relationship Id="rId40" Type="http://schemas.openxmlformats.org/officeDocument/2006/relationships/pivotCacheDefinition" Target="pivotCache/pivotCacheDefinition17.xml"/><Relationship Id="rId45" Type="http://schemas.microsoft.com/office/2007/relationships/slicerCache" Target="slicerCaches/slicerCache2.xml"/><Relationship Id="rId53" Type="http://schemas.openxmlformats.org/officeDocument/2006/relationships/styles" Target="styles.xml"/><Relationship Id="rId58" Type="http://schemas.openxmlformats.org/officeDocument/2006/relationships/customXml" Target="../customXml/item1.xml"/><Relationship Id="rId66" Type="http://schemas.openxmlformats.org/officeDocument/2006/relationships/customXml" Target="../customXml/item9.xml"/><Relationship Id="rId74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4.xml"/><Relationship Id="rId30" Type="http://schemas.openxmlformats.org/officeDocument/2006/relationships/pivotCacheDefinition" Target="pivotCache/pivotCacheDefinition7.xml"/><Relationship Id="rId35" Type="http://schemas.openxmlformats.org/officeDocument/2006/relationships/pivotCacheDefinition" Target="pivotCache/pivotCacheDefinition12.xml"/><Relationship Id="rId43" Type="http://schemas.openxmlformats.org/officeDocument/2006/relationships/pivotCacheDefinition" Target="pivotCache/pivotCacheDefinition20.xml"/><Relationship Id="rId48" Type="http://schemas.microsoft.com/office/2007/relationships/slicerCache" Target="slicerCaches/slicerCache5.xml"/><Relationship Id="rId56" Type="http://schemas.openxmlformats.org/officeDocument/2006/relationships/powerPivotData" Target="model/item.data"/><Relationship Id="rId64" Type="http://schemas.openxmlformats.org/officeDocument/2006/relationships/customXml" Target="../customXml/item7.xml"/><Relationship Id="rId69" Type="http://schemas.openxmlformats.org/officeDocument/2006/relationships/customXml" Target="../customXml/item1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72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33" Type="http://schemas.openxmlformats.org/officeDocument/2006/relationships/pivotCacheDefinition" Target="pivotCache/pivotCacheDefinition10.xml"/><Relationship Id="rId38" Type="http://schemas.openxmlformats.org/officeDocument/2006/relationships/pivotCacheDefinition" Target="pivotCache/pivotCacheDefinition15.xml"/><Relationship Id="rId46" Type="http://schemas.microsoft.com/office/2007/relationships/slicerCache" Target="slicerCaches/slicerCache3.xml"/><Relationship Id="rId59" Type="http://schemas.openxmlformats.org/officeDocument/2006/relationships/customXml" Target="../customXml/item2.xml"/><Relationship Id="rId67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8.xml"/><Relationship Id="rId54" Type="http://schemas.openxmlformats.org/officeDocument/2006/relationships/sharedStrings" Target="sharedStrings.xml"/><Relationship Id="rId62" Type="http://schemas.openxmlformats.org/officeDocument/2006/relationships/customXml" Target="../customXml/item5.xml"/><Relationship Id="rId70" Type="http://schemas.openxmlformats.org/officeDocument/2006/relationships/customXml" Target="../customXml/item13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5.xml"/><Relationship Id="rId36" Type="http://schemas.openxmlformats.org/officeDocument/2006/relationships/pivotCacheDefinition" Target="pivotCache/pivotCacheDefinition13.xml"/><Relationship Id="rId49" Type="http://schemas.microsoft.com/office/2007/relationships/slicerCache" Target="slicerCaches/slicerCache6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8.xml"/><Relationship Id="rId44" Type="http://schemas.microsoft.com/office/2007/relationships/slicerCache" Target="slicerCaches/slicerCache1.xml"/><Relationship Id="rId52" Type="http://schemas.openxmlformats.org/officeDocument/2006/relationships/connections" Target="connections.xml"/><Relationship Id="rId60" Type="http://schemas.openxmlformats.org/officeDocument/2006/relationships/customXml" Target="../customXml/item3.xml"/><Relationship Id="rId65" Type="http://schemas.openxmlformats.org/officeDocument/2006/relationships/customXml" Target="../customXml/item8.xml"/><Relationship Id="rId73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11.xml"/><Relationship Id="rId50" Type="http://schemas.microsoft.com/office/2007/relationships/slicerCache" Target="slicerCaches/slicerCache7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dadosDashResumo!$A$5</c:f>
              <c:strCache>
                <c:ptCount val="1"/>
                <c:pt idx="0">
                  <c:v>Saldos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dadosDashResumo!$B$5:$M$5</c:f>
              <c:numCache>
                <c:formatCode>"R$"\ ##,#00.00</c:formatCode>
                <c:ptCount val="12"/>
                <c:pt idx="0">
                  <c:v>-50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-675</c:v>
                </c:pt>
                <c:pt idx="5">
                  <c:v>-275</c:v>
                </c:pt>
                <c:pt idx="6">
                  <c:v>-125</c:v>
                </c:pt>
                <c:pt idx="7">
                  <c:v>-125</c:v>
                </c:pt>
                <c:pt idx="8">
                  <c:v>-100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4-4312-84B1-814FFDB6F9B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dadosDashResumo!$A$2</c:f>
              <c:strCache>
                <c:ptCount val="1"/>
                <c:pt idx="0">
                  <c:v>Receitas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dadosDashResumo!$B$2:$M$2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dadosDashResumo!$A$3</c:f>
              <c:strCache>
                <c:ptCount val="1"/>
                <c:pt idx="0">
                  <c:v>Despesas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5254-4C46-BB21-3F2517F4ADCE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dadosDashResumo!$B$3:$M$3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675</c:v>
                </c:pt>
                <c:pt idx="5">
                  <c:v>275</c:v>
                </c:pt>
                <c:pt idx="6">
                  <c:v>125</c:v>
                </c:pt>
                <c:pt idx="7">
                  <c:v>125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dadosDashResumo!$A$4</c:f>
              <c:strCache>
                <c:ptCount val="1"/>
                <c:pt idx="0">
                  <c:v>Investimentos</c:v>
                </c:pt>
              </c:strCache>
            </c:strRef>
          </c:tx>
          <c:spPr>
            <a:ln w="38100" cap="rnd" cmpd="dbl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dadosDashResumo!$B$1:$M$1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dadosDashResumo!$B$4:$M$4</c:f>
              <c:numCache>
                <c:formatCode>"R$"\ ##,#00.00</c:formatCode>
                <c:ptCount val="12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54-4BC7-9F87-48834937BD1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dadosDashDespesas!$E$1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7A5-4C86-ACD4-F14BC70ADD54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dadosDashDespesas!$D$2:$D$13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dadosDashDespesas!$E$2:$E$13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675</c:v>
                </c:pt>
                <c:pt idx="5">
                  <c:v>275</c:v>
                </c:pt>
                <c:pt idx="6">
                  <c:v>125</c:v>
                </c:pt>
                <c:pt idx="7">
                  <c:v>125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A5-4C86-ACD4-F14BC70AD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dadosDashDespesas!$L$1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[0]!graficoTiposDespesas</c:f>
              <c:strCache>
                <c:ptCount val="1"/>
                <c:pt idx="0">
                  <c:v>Alimentação</c:v>
                </c:pt>
              </c:strCache>
            </c:strRef>
          </c:cat>
          <c:val>
            <c:numRef>
              <c:f>[0]!graficoTiposDespesasValores</c:f>
              <c:numCache>
                <c:formatCode>"R$"\ ##,#00.00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2-415C-B15F-776FC9D7E8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dadosDashDespesas!$V$1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[0]!graficoPagamentosDespesas</c:f>
              <c:strCache>
                <c:ptCount val="2"/>
                <c:pt idx="0">
                  <c:v>Cartão</c:v>
                </c:pt>
                <c:pt idx="1">
                  <c:v>Crédito</c:v>
                </c:pt>
              </c:strCache>
            </c:strRef>
          </c:cat>
          <c:val>
            <c:numRef>
              <c:f>[0]!graficoPagamentosDespesasValores</c:f>
              <c:numCache>
                <c:formatCode>"R$"\ ##,#00.00</c:formatCode>
                <c:ptCount val="2"/>
                <c:pt idx="0">
                  <c:v>800</c:v>
                </c:pt>
                <c:pt idx="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6-425F-90A0-D7655E31B4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dadosDashDespesas!$AE$1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36-4A36-A725-4E4A995B85A1}"/>
              </c:ext>
            </c:extLst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36-4A36-A725-4E4A995B85A1}"/>
              </c:ext>
            </c:extLst>
          </c:dPt>
          <c:dPt>
            <c:idx val="2"/>
            <c:bubble3D val="0"/>
            <c:spPr>
              <a:solidFill>
                <a:schemeClr val="accent6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36-4A36-A725-4E4A995B85A1}"/>
              </c:ext>
            </c:extLst>
          </c:dPt>
          <c:dPt>
            <c:idx val="3"/>
            <c:bubble3D val="0"/>
            <c:spPr>
              <a:solidFill>
                <a:schemeClr val="accent6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36-4A36-A725-4E4A995B85A1}"/>
              </c:ext>
            </c:extLst>
          </c:dPt>
          <c:dLbls>
            <c:dLbl>
              <c:idx val="1"/>
              <c:layout>
                <c:manualLayout>
                  <c:x val="0.10277777777777777"/>
                  <c:y val="1.388888888888888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36-4A36-A725-4E4A995B85A1}"/>
                </c:ext>
              </c:extLst>
            </c:dLbl>
            <c:dLbl>
              <c:idx val="3"/>
              <c:layout>
                <c:manualLayout>
                  <c:x val="-0.15"/>
                  <c:y val="1.388888888888888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36-4A36-A725-4E4A995B85A1}"/>
                </c:ext>
              </c:extLst>
            </c:dLbl>
            <c:numFmt formatCode="00.00%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[0]!graficoSituacoesDespesas</c:f>
              <c:strCache>
                <c:ptCount val="2"/>
                <c:pt idx="0">
                  <c:v>EM DÍVIDA</c:v>
                </c:pt>
                <c:pt idx="1">
                  <c:v>PAGO</c:v>
                </c:pt>
              </c:strCache>
            </c:strRef>
          </c:cat>
          <c:val>
            <c:numRef>
              <c:f>[0]!graficoSituacoesDespesasValores</c:f>
              <c:numCache>
                <c:formatCode>"R$"\ ##,#00.00</c:formatCode>
                <c:ptCount val="2"/>
                <c:pt idx="0">
                  <c:v>400</c:v>
                </c:pt>
                <c:pt idx="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36-4A36-A725-4E4A995B85A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dadosDashReceitas!$E$1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0B-4190-B86A-F9756ED62EB7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dadosDashReceitas!$D$2:$D$13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dadosDashReceitas!$E$2:$E$13</c:f>
              <c:numCache>
                <c:formatCode>"R$"\ ##,#00.00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B-4190-B86A-F9756ED62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[0]!graficoTiposReceitas</c:f>
              <c:strCache>
                <c:ptCount val="1"/>
                <c:pt idx="0">
                  <c:v>Receitas Convencionais</c:v>
                </c:pt>
              </c:strCache>
            </c:strRef>
          </c:cat>
          <c:val>
            <c:numRef>
              <c:f>[0]!graficoTiposReceitasValores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D-4A4A-9804-21CE841641C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dadosDashReceitas!$AF$1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[0]!graficoReceitas</c:f>
              <c:strCache>
                <c:ptCount val="1"/>
                <c:pt idx="0">
                  <c:v>Salário</c:v>
                </c:pt>
              </c:strCache>
            </c:strRef>
          </c:cat>
          <c:val>
            <c:numRef>
              <c:f>[0]!graficoReceitasValores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D-4963-B85E-DD1B24EE4B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dadosDashReceitas!$V$1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[0]!graficoDestinosReceitas</c:f>
              <c:strCache>
                <c:ptCount val="1"/>
                <c:pt idx="0">
                  <c:v>Bradesco</c:v>
                </c:pt>
              </c:strCache>
            </c:strRef>
          </c:cat>
          <c:val>
            <c:numRef>
              <c:f>[0]!graficoDestinosReceitasValores</c:f>
              <c:numCache>
                <c:formatCode>"R$"\ ##,#00.00</c:formatCode>
                <c:ptCount val="1"/>
                <c:pt idx="0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D-4963-B85E-DD1B24EE4B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34567901234561E-3"/>
          <c:y val="0.15255255255255254"/>
          <c:w val="0.98275308641975312"/>
          <c:h val="0.59077777777777774"/>
        </c:manualLayout>
      </c:layout>
      <c:lineChart>
        <c:grouping val="standard"/>
        <c:varyColors val="0"/>
        <c:ser>
          <c:idx val="0"/>
          <c:order val="0"/>
          <c:tx>
            <c:strRef>
              <c:f>dadosDashInvestimentos!$E$1</c:f>
              <c:strCache>
                <c:ptCount val="1"/>
                <c:pt idx="0">
                  <c:v>Valor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38100" cap="rnd" cmpd="dbl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46-4813-B3E0-BB1FAE60A33F}"/>
              </c:ext>
            </c:extLst>
          </c:dPt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FFFFFF">
                    <a:lumMod val="9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dadosDashInvestimentos!$D$2:$D$13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dadosDashInvestimentos!$E$2:$E$13</c:f>
              <c:numCache>
                <c:formatCode>"R$"\ ##,#00.00</c:formatCode>
                <c:ptCount val="12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6-4813-B3E0-BB1FAE60A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680160"/>
        <c:axId val="1070683520"/>
      </c:lineChart>
      <c:catAx>
        <c:axId val="107068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1070683520"/>
        <c:crosses val="autoZero"/>
        <c:auto val="1"/>
        <c:lblAlgn val="ctr"/>
        <c:lblOffset val="120"/>
        <c:noMultiLvlLbl val="0"/>
      </c:catAx>
      <c:valAx>
        <c:axId val="1070683520"/>
        <c:scaling>
          <c:orientation val="minMax"/>
        </c:scaling>
        <c:delete val="1"/>
        <c:axPos val="l"/>
        <c:majorGridlines>
          <c:spPr>
            <a:ln w="12700" cap="flat" cmpd="sng" algn="ctr">
              <a:solidFill>
                <a:schemeClr val="bg1">
                  <a:lumMod val="50000"/>
                  <a:alpha val="25000"/>
                </a:schemeClr>
              </a:solidFill>
              <a:prstDash val="lgDash"/>
              <a:round/>
            </a:ln>
            <a:effectLst/>
          </c:spPr>
        </c:majorGridlines>
        <c:numFmt formatCode="&quot;R$&quot;\ ##,#00.00" sourceLinked="1"/>
        <c:majorTickMark val="none"/>
        <c:minorTickMark val="none"/>
        <c:tickLblPos val="nextTo"/>
        <c:crossAx val="10706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dadosDashInvestimentos!$L$1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[0]!graficoTiposInvestimentos</c:f>
              <c:strCache>
                <c:ptCount val="1"/>
                <c:pt idx="0">
                  <c:v>Investimentos Convencionais</c:v>
                </c:pt>
              </c:strCache>
            </c:strRef>
          </c:cat>
          <c:val>
            <c:numRef>
              <c:f>[0]!graficoTiposInvestimentosValores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5-421E-BDE1-1F01C27A3B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dadosDashInvestimentos!$AF$1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[0]!graficoInvestimentos</c:f>
              <c:strCache>
                <c:ptCount val="1"/>
                <c:pt idx="0">
                  <c:v>Ações</c:v>
                </c:pt>
              </c:strCache>
            </c:strRef>
          </c:cat>
          <c:val>
            <c:numRef>
              <c:f>[0]!graficoInvestimentosValores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F2-4D3F-AAE6-15DFEB5436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dadosDashInvestimentos!$V$1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&quot;R$&quot;\ ##,#00.00" sourceLinked="0"/>
            <c:spPr>
              <a:solidFill>
                <a:srgbClr val="000000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[0]!graficoFontesInvestimentos</c:f>
              <c:strCache>
                <c:ptCount val="1"/>
                <c:pt idx="0">
                  <c:v>Bradesco</c:v>
                </c:pt>
              </c:strCache>
            </c:strRef>
          </c:cat>
          <c:val>
            <c:numRef>
              <c:f>[0]!graficoFontesInvestimentosValores</c:f>
              <c:numCache>
                <c:formatCode>"R$"\ ##,#00.00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F4-463C-A197-BCE855AF7B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33785648"/>
        <c:axId val="433793328"/>
      </c:barChart>
      <c:catAx>
        <c:axId val="433785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pt-BR"/>
          </a:p>
        </c:txPr>
        <c:crossAx val="433793328"/>
        <c:crosses val="autoZero"/>
        <c:auto val="1"/>
        <c:lblAlgn val="ctr"/>
        <c:lblOffset val="100"/>
        <c:noMultiLvlLbl val="0"/>
      </c:catAx>
      <c:valAx>
        <c:axId val="433793328"/>
        <c:scaling>
          <c:orientation val="minMax"/>
        </c:scaling>
        <c:delete val="1"/>
        <c:axPos val="b"/>
        <c:numFmt formatCode="&quot;R$&quot;\ ##,#00.00" sourceLinked="1"/>
        <c:majorTickMark val="none"/>
        <c:minorTickMark val="none"/>
        <c:tickLblPos val="nextTo"/>
        <c:crossAx val="4337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1312042</xdr:colOff>
      <xdr:row>1</xdr:row>
      <xdr:rowOff>112382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Listas!$AA$1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D80CAB6-EB06-456C-80C1-2FB083848E0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8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1411357</xdr:colOff>
      <xdr:row>0</xdr:row>
      <xdr:rowOff>69573</xdr:rowOff>
    </xdr:from>
    <xdr:to>
      <xdr:col>6</xdr:col>
      <xdr:colOff>1312043</xdr:colOff>
      <xdr:row>1</xdr:row>
      <xdr:rowOff>112382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8" name="Retângulo: Cantos Superiores Arredondados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DESPESA A PAGAR</a:t>
            </a:r>
          </a:p>
        </xdr:txBody>
      </xdr:sp>
      <xdr:sp macro="doNothing" textlink="Listas!$AA$2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847C70A-4A61-4523-9BB9-D541D31A3D2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R$ 400,00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6</xdr:col>
      <xdr:colOff>1411358</xdr:colOff>
      <xdr:row>0</xdr:row>
      <xdr:rowOff>69573</xdr:rowOff>
    </xdr:from>
    <xdr:to>
      <xdr:col>8</xdr:col>
      <xdr:colOff>1520767</xdr:colOff>
      <xdr:row>1</xdr:row>
      <xdr:rowOff>112382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6172202" y="69573"/>
          <a:ext cx="2952000" cy="828000"/>
          <a:chOff x="86968" y="79513"/>
          <a:chExt cx="2520000" cy="828000"/>
        </a:xfrm>
      </xdr:grpSpPr>
      <xdr:sp macro="doNothing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3" name="Retângulo: Cantos Superiores Arredondados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A PAGAR</a:t>
            </a:r>
          </a:p>
        </xdr:txBody>
      </xdr:sp>
      <xdr:sp macro="doNothing" textlink="Listas!$AA$3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BD858EF-FBCE-4848-AD22-1921D0A9379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8</xdr:col>
      <xdr:colOff>1620082</xdr:colOff>
      <xdr:row>0</xdr:row>
      <xdr:rowOff>69573</xdr:rowOff>
    </xdr:from>
    <xdr:to>
      <xdr:col>10</xdr:col>
      <xdr:colOff>844908</xdr:colOff>
      <xdr:row>1</xdr:row>
      <xdr:rowOff>112382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9223517" y="69573"/>
          <a:ext cx="2952000" cy="828000"/>
          <a:chOff x="86968" y="79513"/>
          <a:chExt cx="2520000" cy="828000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8" name="Retângulo: Cantos Superiores Arredondado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PAGAS</a:t>
            </a:r>
          </a:p>
        </xdr:txBody>
      </xdr:sp>
      <xdr:sp macro="doNothing" textlink="Listas!$AA$4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11308A9-AF01-4620-AD64-A75FDE933BAB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6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10</xdr:col>
      <xdr:colOff>944223</xdr:colOff>
      <xdr:row>0</xdr:row>
      <xdr:rowOff>69573</xdr:rowOff>
    </xdr:from>
    <xdr:to>
      <xdr:col>14</xdr:col>
      <xdr:colOff>129293</xdr:colOff>
      <xdr:row>1</xdr:row>
      <xdr:rowOff>112382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12274832" y="69573"/>
          <a:ext cx="2952000" cy="828000"/>
          <a:chOff x="86968" y="79513"/>
          <a:chExt cx="2520000" cy="828000"/>
        </a:xfrm>
      </xdr:grpSpPr>
      <xdr:sp macro="doNothing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3" name="Retângulo: Cantos Superiores Arredondados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ATRASADAS</a:t>
            </a:r>
          </a:p>
        </xdr:txBody>
      </xdr:sp>
      <xdr:sp macro="doNothing" textlink="Listas!$AA$5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3754DB5-6700-494B-97D5-14F8FDAE0E0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14</xdr:col>
      <xdr:colOff>228600</xdr:colOff>
      <xdr:row>0</xdr:row>
      <xdr:rowOff>69573</xdr:rowOff>
    </xdr:from>
    <xdr:to>
      <xdr:col>16</xdr:col>
      <xdr:colOff>666008</xdr:colOff>
      <xdr:row>1</xdr:row>
      <xdr:rowOff>112382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5326139" y="69573"/>
          <a:ext cx="2952008" cy="828000"/>
          <a:chOff x="86968" y="79513"/>
          <a:chExt cx="2520000" cy="828000"/>
        </a:xfrm>
      </xdr:grpSpPr>
      <xdr:sp macro="doNothing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8" name="Retângulo: Cantos Superiores Arredondados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CONTAS EM DÍVIDA</a:t>
            </a:r>
          </a:p>
        </xdr:txBody>
      </xdr:sp>
      <xdr:sp macro="doNothing" textlink="Listas!$AA$6">
        <xdr:nvSpPr>
          <xdr:cNvPr id="29" name="CaixaDeTexto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573B46A-420F-4863-A78E-8F15390CCC0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3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993989</xdr:colOff>
      <xdr:row>1</xdr:row>
      <xdr:rowOff>112382</xdr:rowOff>
    </xdr:to>
    <xdr:grpSp>
      <xdr:nvGrpSpPr>
        <xdr:cNvPr id="84" name="Agrupar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85" name="Retângulo: Cantos Arredondados 84">
            <a:extLst>
              <a:ext uri="{FF2B5EF4-FFF2-40B4-BE49-F238E27FC236}">
                <a16:creationId xmlns:a16="http://schemas.microsoft.com/office/drawing/2014/main" id="{00000000-0008-0000-0400-000055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86" name="Retângulo: Cantos Superiores Arredondados 85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Listas!$AF$1">
        <xdr:nvSpPr>
          <xdr:cNvPr id="87" name="CaixaDeTexto 86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F7984B6-406C-4CBE-89CC-2908C0CD8018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R$ 20.000,00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5</xdr:col>
      <xdr:colOff>59634</xdr:colOff>
      <xdr:row>0</xdr:row>
      <xdr:rowOff>69573</xdr:rowOff>
    </xdr:from>
    <xdr:to>
      <xdr:col>7</xdr:col>
      <xdr:colOff>665999</xdr:colOff>
      <xdr:row>1</xdr:row>
      <xdr:rowOff>112382</xdr:rowOff>
    </xdr:to>
    <xdr:grpSp>
      <xdr:nvGrpSpPr>
        <xdr:cNvPr id="88" name="Agrupar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89" name="Retângulo: Cantos Arredondados 88">
            <a:extLst>
              <a:ext uri="{FF2B5EF4-FFF2-40B4-BE49-F238E27FC236}">
                <a16:creationId xmlns:a16="http://schemas.microsoft.com/office/drawing/2014/main" id="{00000000-0008-0000-0400-000059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90" name="Retângulo: Cantos Superiores Arredondados 89">
            <a:extLst>
              <a:ext uri="{FF2B5EF4-FFF2-40B4-BE49-F238E27FC236}">
                <a16:creationId xmlns:a16="http://schemas.microsoft.com/office/drawing/2014/main" id="{00000000-0008-0000-0400-00005A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QTDE. DE RECEITAS</a:t>
            </a:r>
          </a:p>
        </xdr:txBody>
      </xdr:sp>
      <xdr:sp macro="doNothing" textlink="Listas!$AF$2">
        <xdr:nvSpPr>
          <xdr:cNvPr id="91" name="CaixaDeTexto 90">
            <a:extLst>
              <a:ext uri="{FF2B5EF4-FFF2-40B4-BE49-F238E27FC236}">
                <a16:creationId xmlns:a16="http://schemas.microsoft.com/office/drawing/2014/main" id="{00000000-0008-0000-0400-00005B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D5F218-542D-49EC-A1DA-0C7D4325A7D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1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69572</xdr:colOff>
      <xdr:row>0</xdr:row>
      <xdr:rowOff>69573</xdr:rowOff>
    </xdr:from>
    <xdr:to>
      <xdr:col>4</xdr:col>
      <xdr:colOff>536789</xdr:colOff>
      <xdr:row>1</xdr:row>
      <xdr:rowOff>112382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69572" y="69573"/>
          <a:ext cx="2952000" cy="828000"/>
          <a:chOff x="86968" y="79513"/>
          <a:chExt cx="2520000" cy="828000"/>
        </a:xfrm>
      </xdr:grpSpPr>
      <xdr:sp macro="doNothing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Listas!$AK$1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AF6B24F-FC9A-491C-915A-C1FAB0348FEC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R$ 50,00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  <xdr:twoCellAnchor editAs="absolute">
    <xdr:from>
      <xdr:col>4</xdr:col>
      <xdr:colOff>636104</xdr:colOff>
      <xdr:row>0</xdr:row>
      <xdr:rowOff>69573</xdr:rowOff>
    </xdr:from>
    <xdr:to>
      <xdr:col>6</xdr:col>
      <xdr:colOff>785269</xdr:colOff>
      <xdr:row>1</xdr:row>
      <xdr:rowOff>112382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3120887" y="69573"/>
          <a:ext cx="2952000" cy="828000"/>
          <a:chOff x="86968" y="79513"/>
          <a:chExt cx="2520000" cy="828000"/>
        </a:xfrm>
      </xdr:grpSpPr>
      <xdr:sp macro="doNothing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86968" y="79513"/>
            <a:ext cx="2520000" cy="828000"/>
          </a:xfrm>
          <a:prstGeom prst="roundRect">
            <a:avLst/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9" name="Retângulo: Cantos Superiores Arredondados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86968" y="79513"/>
            <a:ext cx="2520000" cy="252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latin typeface="Times New Roman" panose="02020603050405020304" pitchFamily="18" charset="0"/>
                <a:cs typeface="Times New Roman" panose="02020603050405020304" pitchFamily="18" charset="0"/>
              </a:rPr>
              <a:t>QTDE. DE INVESTIMENTOS</a:t>
            </a:r>
          </a:p>
        </xdr:txBody>
      </xdr:sp>
      <xdr:sp macro="doNothing" textlink="Listas!$AK$2">
        <xdr:nvSpPr>
          <xdr:cNvPr id="10" name="CaixaDeTexto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86968" y="377686"/>
            <a:ext cx="2520000" cy="5068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2DE3DD1-2F2E-4D09-9F76-33EC7F4BC1B5}" type="TxLink">
              <a:rPr lang="en-US" sz="1400" b="1" i="0" u="none" strike="noStrike">
                <a:solidFill>
                  <a:schemeClr val="tx1"/>
                </a:solidFill>
                <a:latin typeface="Times New Roman"/>
                <a:ea typeface="+mn-ea"/>
                <a:cs typeface="Times New Roman"/>
              </a:rPr>
              <a:pPr marL="0" indent="0" algn="ctr"/>
              <a:t>1</a:t>
            </a:fld>
            <a:endParaRPr lang="en-US" sz="1400" b="1" i="0" u="none" strike="noStrike">
              <a:solidFill>
                <a:schemeClr val="tx1"/>
              </a:solidFill>
              <a:latin typeface="Times New Roman"/>
              <a:ea typeface="+mn-ea"/>
              <a:cs typeface="Times New Roman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85537</xdr:rowOff>
    </xdr:from>
    <xdr:to>
      <xdr:col>3</xdr:col>
      <xdr:colOff>555152</xdr:colOff>
      <xdr:row>40</xdr:row>
      <xdr:rowOff>93363</xdr:rowOff>
    </xdr:to>
    <xdr:sp macro="doNothing" textlink="">
      <xdr:nvSpPr>
        <xdr:cNvPr id="147" name="Retângulo: Cantos Arredondados 146">
          <a:extLst>
            <a:ext uri="{FF2B5EF4-FFF2-40B4-BE49-F238E27FC236}">
              <a16:creationId xmlns:a16="http://schemas.microsoft.com/office/drawing/2014/main" id="{00000000-0008-0000-1300-000093000000}"/>
            </a:ext>
          </a:extLst>
        </xdr:cNvPr>
        <xdr:cNvSpPr/>
      </xdr:nvSpPr>
      <xdr:spPr>
        <a:xfrm>
          <a:off x="87465" y="85537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85537</xdr:rowOff>
    </xdr:from>
    <xdr:to>
      <xdr:col>9</xdr:col>
      <xdr:colOff>113149</xdr:colOff>
      <xdr:row>5</xdr:row>
      <xdr:rowOff>115043</xdr:rowOff>
    </xdr:to>
    <xdr:grpSp>
      <xdr:nvGrpSpPr>
        <xdr:cNvPr id="148" name="Agrupar 147">
          <a:extLst>
            <a:ext uri="{FF2B5EF4-FFF2-40B4-BE49-F238E27FC236}">
              <a16:creationId xmlns:a16="http://schemas.microsoft.com/office/drawing/2014/main" id="{00000000-0008-0000-1300-000094000000}"/>
            </a:ext>
          </a:extLst>
        </xdr:cNvPr>
        <xdr:cNvGrpSpPr/>
      </xdr:nvGrpSpPr>
      <xdr:grpSpPr>
        <a:xfrm>
          <a:off x="2598088" y="85537"/>
          <a:ext cx="3240000" cy="924027"/>
          <a:chOff x="2627906" y="85539"/>
          <a:chExt cx="2376000" cy="924027"/>
        </a:xfrm>
      </xdr:grpSpPr>
      <xdr:sp macro="doNothing" textlink="">
        <xdr:nvSpPr>
          <xdr:cNvPr id="179" name="Retângulo: Cantos Arredondados 178">
            <a:extLst>
              <a:ext uri="{FF2B5EF4-FFF2-40B4-BE49-F238E27FC236}">
                <a16:creationId xmlns:a16="http://schemas.microsoft.com/office/drawing/2014/main" id="{00000000-0008-0000-1300-0000B3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80" name="Retângulo: Cantos Superiores Arredondados 179">
            <a:extLst>
              <a:ext uri="{FF2B5EF4-FFF2-40B4-BE49-F238E27FC236}">
                <a16:creationId xmlns:a16="http://schemas.microsoft.com/office/drawing/2014/main" id="{00000000-0008-0000-1300-0000B4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dadosDashResumo!$AG$1">
        <xdr:nvSpPr>
          <xdr:cNvPr id="181" name="Retângulo 180">
            <a:extLst>
              <a:ext uri="{FF2B5EF4-FFF2-40B4-BE49-F238E27FC236}">
                <a16:creationId xmlns:a16="http://schemas.microsoft.com/office/drawing/2014/main" id="{00000000-0008-0000-1300-0000B5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B61960E-2B6D-4532-A027-7F681261DF22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R$ 20.000,00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10</xdr:col>
      <xdr:colOff>79512</xdr:colOff>
      <xdr:row>0</xdr:row>
      <xdr:rowOff>85537</xdr:rowOff>
    </xdr:from>
    <xdr:to>
      <xdr:col>15</xdr:col>
      <xdr:colOff>138991</xdr:colOff>
      <xdr:row>5</xdr:row>
      <xdr:rowOff>115043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00000000-0008-0000-1300-000095000000}"/>
            </a:ext>
          </a:extLst>
        </xdr:cNvPr>
        <xdr:cNvGrpSpPr/>
      </xdr:nvGrpSpPr>
      <xdr:grpSpPr>
        <a:xfrm>
          <a:off x="6440556" y="85537"/>
          <a:ext cx="3240000" cy="924027"/>
          <a:chOff x="2627906" y="85539"/>
          <a:chExt cx="2376000" cy="924027"/>
        </a:xfrm>
      </xdr:grpSpPr>
      <xdr:sp macro="doNothing" textlink="">
        <xdr:nvSpPr>
          <xdr:cNvPr id="176" name="Retângulo: Cantos Arredondados 175">
            <a:extLst>
              <a:ext uri="{FF2B5EF4-FFF2-40B4-BE49-F238E27FC236}">
                <a16:creationId xmlns:a16="http://schemas.microsoft.com/office/drawing/2014/main" id="{00000000-0008-0000-1300-0000B0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7" name="Retângulo: Cantos Superiores Arredondados 176">
            <a:extLst>
              <a:ext uri="{FF2B5EF4-FFF2-40B4-BE49-F238E27FC236}">
                <a16:creationId xmlns:a16="http://schemas.microsoft.com/office/drawing/2014/main" id="{00000000-0008-0000-1300-0000B1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dadosDashResumo!$AG$2">
        <xdr:nvSpPr>
          <xdr:cNvPr id="178" name="Retângulo 177">
            <a:extLst>
              <a:ext uri="{FF2B5EF4-FFF2-40B4-BE49-F238E27FC236}">
                <a16:creationId xmlns:a16="http://schemas.microsoft.com/office/drawing/2014/main" id="{00000000-0008-0000-1300-0000B2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92E00C9-0AFA-4A4A-B210-19DB5AA54FF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16</xdr:col>
      <xdr:colOff>105354</xdr:colOff>
      <xdr:row>0</xdr:row>
      <xdr:rowOff>85537</xdr:rowOff>
    </xdr:from>
    <xdr:to>
      <xdr:col>21</xdr:col>
      <xdr:colOff>164833</xdr:colOff>
      <xdr:row>5</xdr:row>
      <xdr:rowOff>115043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0000000-0008-0000-1300-000096000000}"/>
            </a:ext>
          </a:extLst>
        </xdr:cNvPr>
        <xdr:cNvGrpSpPr/>
      </xdr:nvGrpSpPr>
      <xdr:grpSpPr>
        <a:xfrm>
          <a:off x="10283024" y="85537"/>
          <a:ext cx="3240000" cy="924027"/>
          <a:chOff x="2627906" y="85539"/>
          <a:chExt cx="2376000" cy="924027"/>
        </a:xfrm>
      </xdr:grpSpPr>
      <xdr:sp macro="doNothing" textlink="">
        <xdr:nvSpPr>
          <xdr:cNvPr id="173" name="Retângulo: Cantos Arredondados 172">
            <a:extLst>
              <a:ext uri="{FF2B5EF4-FFF2-40B4-BE49-F238E27FC236}">
                <a16:creationId xmlns:a16="http://schemas.microsoft.com/office/drawing/2014/main" id="{00000000-0008-0000-1300-0000AD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4" name="Retângulo: Cantos Superiores Arredondados 173">
            <a:extLst>
              <a:ext uri="{FF2B5EF4-FFF2-40B4-BE49-F238E27FC236}">
                <a16:creationId xmlns:a16="http://schemas.microsoft.com/office/drawing/2014/main" id="{00000000-0008-0000-1300-0000AE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dadosDashResumo!$AG$3">
        <xdr:nvSpPr>
          <xdr:cNvPr id="175" name="Retângulo 174">
            <a:extLst>
              <a:ext uri="{FF2B5EF4-FFF2-40B4-BE49-F238E27FC236}">
                <a16:creationId xmlns:a16="http://schemas.microsoft.com/office/drawing/2014/main" id="{00000000-0008-0000-1300-0000AF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8579DC-30EB-4EE4-8DDD-378D265A46EA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22</xdr:col>
      <xdr:colOff>131195</xdr:colOff>
      <xdr:row>0</xdr:row>
      <xdr:rowOff>85537</xdr:rowOff>
    </xdr:from>
    <xdr:to>
      <xdr:col>27</xdr:col>
      <xdr:colOff>190673</xdr:colOff>
      <xdr:row>5</xdr:row>
      <xdr:rowOff>115043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00000000-0008-0000-1300-000097000000}"/>
            </a:ext>
          </a:extLst>
        </xdr:cNvPr>
        <xdr:cNvGrpSpPr/>
      </xdr:nvGrpSpPr>
      <xdr:grpSpPr>
        <a:xfrm>
          <a:off x="14125491" y="85537"/>
          <a:ext cx="3240000" cy="924027"/>
          <a:chOff x="2627906" y="85539"/>
          <a:chExt cx="2376000" cy="924027"/>
        </a:xfrm>
      </xdr:grpSpPr>
      <xdr:sp macro="doNothing" textlink="">
        <xdr:nvSpPr>
          <xdr:cNvPr id="170" name="Retângulo: Cantos Arredondados 169">
            <a:extLst>
              <a:ext uri="{FF2B5EF4-FFF2-40B4-BE49-F238E27FC236}">
                <a16:creationId xmlns:a16="http://schemas.microsoft.com/office/drawing/2014/main" id="{00000000-0008-0000-1300-0000AA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171" name="Retângulo: Cantos Superiores Arredondados 170">
            <a:extLst>
              <a:ext uri="{FF2B5EF4-FFF2-40B4-BE49-F238E27FC236}">
                <a16:creationId xmlns:a16="http://schemas.microsoft.com/office/drawing/2014/main" id="{00000000-0008-0000-1300-0000AB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Saldo (Total)</a:t>
            </a:r>
          </a:p>
        </xdr:txBody>
      </xdr:sp>
      <xdr:sp macro="doNothing" textlink="dadosDashResumo!$AG$4">
        <xdr:nvSpPr>
          <xdr:cNvPr id="172" name="Retângulo 171">
            <a:extLst>
              <a:ext uri="{FF2B5EF4-FFF2-40B4-BE49-F238E27FC236}">
                <a16:creationId xmlns:a16="http://schemas.microsoft.com/office/drawing/2014/main" id="{00000000-0008-0000-1300-0000AC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1C6C37E-AD83-4945-B41C-C34E4BDF2B0A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R$ 18.650,00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37769</xdr:colOff>
      <xdr:row>6</xdr:row>
      <xdr:rowOff>49692</xdr:rowOff>
    </xdr:from>
    <xdr:to>
      <xdr:col>29</xdr:col>
      <xdr:colOff>299161</xdr:colOff>
      <xdr:row>14</xdr:row>
      <xdr:rowOff>94457</xdr:rowOff>
    </xdr:to>
    <xdr:grpSp>
      <xdr:nvGrpSpPr>
        <xdr:cNvPr id="152" name="Agrupar 151">
          <a:extLst>
            <a:ext uri="{FF2B5EF4-FFF2-40B4-BE49-F238E27FC236}">
              <a16:creationId xmlns:a16="http://schemas.microsoft.com/office/drawing/2014/main" id="{00000000-0008-0000-1300-000098000000}"/>
            </a:ext>
          </a:extLst>
        </xdr:cNvPr>
        <xdr:cNvGrpSpPr/>
      </xdr:nvGrpSpPr>
      <xdr:grpSpPr>
        <a:xfrm>
          <a:off x="2582187" y="1123118"/>
          <a:ext cx="16164000" cy="1476000"/>
          <a:chOff x="2582187" y="1123120"/>
          <a:chExt cx="16164000" cy="1476000"/>
        </a:xfrm>
      </xdr:grpSpPr>
      <xdr:sp macro="doNothing" textlink="">
        <xdr:nvSpPr>
          <xdr:cNvPr id="168" name="Retângulo: Cantos Arredondados 167">
            <a:extLst>
              <a:ext uri="{FF2B5EF4-FFF2-40B4-BE49-F238E27FC236}">
                <a16:creationId xmlns:a16="http://schemas.microsoft.com/office/drawing/2014/main" id="{00000000-0008-0000-1300-0000A8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9" name="Retângulo: Cantos Superiores Arredondados 168">
            <a:extLst>
              <a:ext uri="{FF2B5EF4-FFF2-40B4-BE49-F238E27FC236}">
                <a16:creationId xmlns:a16="http://schemas.microsoft.com/office/drawing/2014/main" id="{00000000-0008-0000-1300-0000A9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Saldo Mensal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86711</xdr:rowOff>
    </xdr:from>
    <xdr:to>
      <xdr:col>29</xdr:col>
      <xdr:colOff>292754</xdr:colOff>
      <xdr:row>5</xdr:row>
      <xdr:rowOff>94929</xdr:rowOff>
    </xdr:to>
    <xdr:grpSp>
      <xdr:nvGrpSpPr>
        <xdr:cNvPr id="153" name="Agrupar 152">
          <a:extLst>
            <a:ext uri="{FF2B5EF4-FFF2-40B4-BE49-F238E27FC236}">
              <a16:creationId xmlns:a16="http://schemas.microsoft.com/office/drawing/2014/main" id="{00000000-0008-0000-1300-000099000000}"/>
            </a:ext>
          </a:extLst>
        </xdr:cNvPr>
        <xdr:cNvGrpSpPr/>
      </xdr:nvGrpSpPr>
      <xdr:grpSpPr>
        <a:xfrm>
          <a:off x="17463051" y="86711"/>
          <a:ext cx="1276729" cy="902739"/>
          <a:chOff x="17463051" y="86713"/>
          <a:chExt cx="1276729" cy="902739"/>
        </a:xfrm>
      </xdr:grpSpPr>
      <xdr:sp macro="doNothing" textlink="">
        <xdr:nvSpPr>
          <xdr:cNvPr id="166" name="Retângulo: Cantos Arredondados 165">
            <a:extLst>
              <a:ext uri="{FF2B5EF4-FFF2-40B4-BE49-F238E27FC236}">
                <a16:creationId xmlns:a16="http://schemas.microsoft.com/office/drawing/2014/main" id="{00000000-0008-0000-1300-0000A6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67" name="Gráfico 166" descr="Carteira com preenchimento sólido">
            <a:extLst>
              <a:ext uri="{FF2B5EF4-FFF2-40B4-BE49-F238E27FC236}">
                <a16:creationId xmlns:a16="http://schemas.microsoft.com/office/drawing/2014/main" id="{00000000-0008-0000-1300-0000A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144383</xdr:colOff>
      <xdr:row>1</xdr:row>
      <xdr:rowOff>129207</xdr:rowOff>
    </xdr:from>
    <xdr:to>
      <xdr:col>10</xdr:col>
      <xdr:colOff>48278</xdr:colOff>
      <xdr:row>4</xdr:row>
      <xdr:rowOff>132493</xdr:rowOff>
    </xdr:to>
    <xdr:sp macro="doNothing" textlink="">
      <xdr:nvSpPr>
        <xdr:cNvPr id="154" name="Sinal de Subtração 153">
          <a:extLst>
            <a:ext uri="{FF2B5EF4-FFF2-40B4-BE49-F238E27FC236}">
              <a16:creationId xmlns:a16="http://schemas.microsoft.com/office/drawing/2014/main" id="{00000000-0008-0000-1300-00009A000000}"/>
            </a:ext>
          </a:extLst>
        </xdr:cNvPr>
        <xdr:cNvSpPr/>
      </xdr:nvSpPr>
      <xdr:spPr>
        <a:xfrm>
          <a:off x="5869322" y="308111"/>
          <a:ext cx="540000" cy="540000"/>
        </a:xfrm>
        <a:prstGeom prst="mathMinus">
          <a:avLst/>
        </a:prstGeom>
        <a:solidFill>
          <a:schemeClr val="tx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170225</xdr:colOff>
      <xdr:row>1</xdr:row>
      <xdr:rowOff>129207</xdr:rowOff>
    </xdr:from>
    <xdr:to>
      <xdr:col>16</xdr:col>
      <xdr:colOff>74120</xdr:colOff>
      <xdr:row>4</xdr:row>
      <xdr:rowOff>132493</xdr:rowOff>
    </xdr:to>
    <xdr:sp macro="doNothing" textlink="">
      <xdr:nvSpPr>
        <xdr:cNvPr id="155" name="Sinal de Subtração 154">
          <a:extLst>
            <a:ext uri="{FF2B5EF4-FFF2-40B4-BE49-F238E27FC236}">
              <a16:creationId xmlns:a16="http://schemas.microsoft.com/office/drawing/2014/main" id="{00000000-0008-0000-1300-00009B000000}"/>
            </a:ext>
          </a:extLst>
        </xdr:cNvPr>
        <xdr:cNvSpPr/>
      </xdr:nvSpPr>
      <xdr:spPr>
        <a:xfrm>
          <a:off x="9711790" y="308111"/>
          <a:ext cx="540000" cy="540000"/>
        </a:xfrm>
        <a:prstGeom prst="mathMinus">
          <a:avLst/>
        </a:prstGeom>
        <a:solidFill>
          <a:schemeClr val="tx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196067</xdr:colOff>
      <xdr:row>1</xdr:row>
      <xdr:rowOff>99390</xdr:rowOff>
    </xdr:from>
    <xdr:to>
      <xdr:col>22</xdr:col>
      <xdr:colOff>99962</xdr:colOff>
      <xdr:row>4</xdr:row>
      <xdr:rowOff>102676</xdr:rowOff>
    </xdr:to>
    <xdr:sp macro="doNothing" textlink="">
      <xdr:nvSpPr>
        <xdr:cNvPr id="156" name="Igual a 155">
          <a:extLst>
            <a:ext uri="{FF2B5EF4-FFF2-40B4-BE49-F238E27FC236}">
              <a16:creationId xmlns:a16="http://schemas.microsoft.com/office/drawing/2014/main" id="{00000000-0008-0000-1300-00009C000000}"/>
            </a:ext>
          </a:extLst>
        </xdr:cNvPr>
        <xdr:cNvSpPr/>
      </xdr:nvSpPr>
      <xdr:spPr>
        <a:xfrm>
          <a:off x="13554258" y="278294"/>
          <a:ext cx="540000" cy="540000"/>
        </a:xfrm>
        <a:prstGeom prst="mathEqual">
          <a:avLst/>
        </a:prstGeom>
        <a:solidFill>
          <a:schemeClr val="tx1"/>
        </a:solidFill>
        <a:ln>
          <a:noFill/>
        </a:ln>
        <a:effectLst>
          <a:outerShdw blurRad="50800" dist="254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14</xdr:row>
      <xdr:rowOff>168597</xdr:rowOff>
    </xdr:from>
    <xdr:to>
      <xdr:col>29</xdr:col>
      <xdr:colOff>299161</xdr:colOff>
      <xdr:row>23</xdr:row>
      <xdr:rowOff>34458</xdr:rowOff>
    </xdr:to>
    <xdr:grpSp>
      <xdr:nvGrpSpPr>
        <xdr:cNvPr id="157" name="Agrupar 156">
          <a:extLst>
            <a:ext uri="{FF2B5EF4-FFF2-40B4-BE49-F238E27FC236}">
              <a16:creationId xmlns:a16="http://schemas.microsoft.com/office/drawing/2014/main" id="{00000000-0008-0000-1300-00009D000000}"/>
            </a:ext>
          </a:extLst>
        </xdr:cNvPr>
        <xdr:cNvGrpSpPr/>
      </xdr:nvGrpSpPr>
      <xdr:grpSpPr>
        <a:xfrm>
          <a:off x="2582187" y="2673258"/>
          <a:ext cx="16164000" cy="1476000"/>
          <a:chOff x="2582187" y="1123120"/>
          <a:chExt cx="16164000" cy="1476000"/>
        </a:xfrm>
      </xdr:grpSpPr>
      <xdr:sp macro="doNothing" textlink="">
        <xdr:nvSpPr>
          <xdr:cNvPr id="164" name="Retângulo: Cantos Arredondados 163">
            <a:extLst>
              <a:ext uri="{FF2B5EF4-FFF2-40B4-BE49-F238E27FC236}">
                <a16:creationId xmlns:a16="http://schemas.microsoft.com/office/drawing/2014/main" id="{00000000-0008-0000-1300-0000A4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5" name="Retângulo: Cantos Superiores Arredondados 164">
            <a:extLst>
              <a:ext uri="{FF2B5EF4-FFF2-40B4-BE49-F238E27FC236}">
                <a16:creationId xmlns:a16="http://schemas.microsoft.com/office/drawing/2014/main" id="{00000000-0008-0000-1300-0000A5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 Mensal</a:t>
            </a:r>
          </a:p>
        </xdr:txBody>
      </xdr:sp>
    </xdr:grpSp>
    <xdr:clientData/>
  </xdr:twoCellAnchor>
  <xdr:twoCellAnchor editAs="absolute">
    <xdr:from>
      <xdr:col>4</xdr:col>
      <xdr:colOff>37769</xdr:colOff>
      <xdr:row>23</xdr:row>
      <xdr:rowOff>108598</xdr:rowOff>
    </xdr:from>
    <xdr:to>
      <xdr:col>29</xdr:col>
      <xdr:colOff>299161</xdr:colOff>
      <xdr:row>31</xdr:row>
      <xdr:rowOff>153363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00000000-0008-0000-1300-00009E000000}"/>
            </a:ext>
          </a:extLst>
        </xdr:cNvPr>
        <xdr:cNvGrpSpPr/>
      </xdr:nvGrpSpPr>
      <xdr:grpSpPr>
        <a:xfrm>
          <a:off x="2582187" y="4223398"/>
          <a:ext cx="16164000" cy="1476000"/>
          <a:chOff x="2582187" y="1123120"/>
          <a:chExt cx="16164000" cy="1476000"/>
        </a:xfrm>
      </xdr:grpSpPr>
      <xdr:sp macro="doNothing" textlink="">
        <xdr:nvSpPr>
          <xdr:cNvPr id="162" name="Retângulo: Cantos Arredondados 161">
            <a:extLst>
              <a:ext uri="{FF2B5EF4-FFF2-40B4-BE49-F238E27FC236}">
                <a16:creationId xmlns:a16="http://schemas.microsoft.com/office/drawing/2014/main" id="{00000000-0008-0000-1300-0000A2000000}"/>
              </a:ext>
            </a:extLst>
          </xdr:cNvPr>
          <xdr:cNvSpPr/>
        </xdr:nvSpPr>
        <xdr:spPr>
          <a:xfrm>
            <a:off x="2582187" y="1123120"/>
            <a:ext cx="16164000" cy="1476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3" name="Retângulo: Cantos Superiores Arredondados 162">
            <a:extLst>
              <a:ext uri="{FF2B5EF4-FFF2-40B4-BE49-F238E27FC236}">
                <a16:creationId xmlns:a16="http://schemas.microsoft.com/office/drawing/2014/main" id="{00000000-0008-0000-1300-0000A3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 Mensal</a:t>
            </a:r>
          </a:p>
        </xdr:txBody>
      </xdr:sp>
    </xdr:grpSp>
    <xdr:clientData/>
  </xdr:twoCellAnchor>
  <xdr:twoCellAnchor editAs="absolute">
    <xdr:from>
      <xdr:col>4</xdr:col>
      <xdr:colOff>37769</xdr:colOff>
      <xdr:row>32</xdr:row>
      <xdr:rowOff>48598</xdr:rowOff>
    </xdr:from>
    <xdr:to>
      <xdr:col>29</xdr:col>
      <xdr:colOff>299161</xdr:colOff>
      <xdr:row>40</xdr:row>
      <xdr:rowOff>93363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00000000-0008-0000-1300-00009F000000}"/>
            </a:ext>
          </a:extLst>
        </xdr:cNvPr>
        <xdr:cNvGrpSpPr/>
      </xdr:nvGrpSpPr>
      <xdr:grpSpPr>
        <a:xfrm>
          <a:off x="2582187" y="5773537"/>
          <a:ext cx="16164000" cy="1476000"/>
          <a:chOff x="2582187" y="1123120"/>
          <a:chExt cx="16164000" cy="1551066"/>
        </a:xfrm>
      </xdr:grpSpPr>
      <xdr:sp macro="doNothing" textlink="">
        <xdr:nvSpPr>
          <xdr:cNvPr id="160" name="Retângulo: Cantos Arredondados 159">
            <a:extLst>
              <a:ext uri="{FF2B5EF4-FFF2-40B4-BE49-F238E27FC236}">
                <a16:creationId xmlns:a16="http://schemas.microsoft.com/office/drawing/2014/main" id="{00000000-0008-0000-1300-0000A0000000}"/>
              </a:ext>
            </a:extLst>
          </xdr:cNvPr>
          <xdr:cNvSpPr/>
        </xdr:nvSpPr>
        <xdr:spPr>
          <a:xfrm>
            <a:off x="2582187" y="1123120"/>
            <a:ext cx="16164000" cy="1551066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1" name="Retângulo: Cantos Superiores Arredondados 160">
            <a:extLst>
              <a:ext uri="{FF2B5EF4-FFF2-40B4-BE49-F238E27FC236}">
                <a16:creationId xmlns:a16="http://schemas.microsoft.com/office/drawing/2014/main" id="{00000000-0008-0000-1300-0000A1000000}"/>
              </a:ext>
            </a:extLst>
          </xdr:cNvPr>
          <xdr:cNvSpPr/>
        </xdr:nvSpPr>
        <xdr:spPr>
          <a:xfrm>
            <a:off x="2582187" y="1123120"/>
            <a:ext cx="16164000" cy="302647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 Mensal</a:t>
            </a:r>
          </a:p>
        </xdr:txBody>
      </xdr:sp>
    </xdr:grpSp>
    <xdr:clientData/>
  </xdr:twoCellAnchor>
  <xdr:twoCellAnchor editAs="absolute">
    <xdr:from>
      <xdr:col>0</xdr:col>
      <xdr:colOff>159465</xdr:colOff>
      <xdr:row>1</xdr:row>
      <xdr:rowOff>85538</xdr:rowOff>
    </xdr:from>
    <xdr:to>
      <xdr:col>3</xdr:col>
      <xdr:colOff>483152</xdr:colOff>
      <xdr:row>39</xdr:row>
      <xdr:rowOff>19172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0" name="Anos 1">
              <a:extLst>
                <a:ext uri="{FF2B5EF4-FFF2-40B4-BE49-F238E27FC236}">
                  <a16:creationId xmlns:a16="http://schemas.microsoft.com/office/drawing/2014/main" id="{00000000-0008-0000-1300-0000B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2"/>
              <a:ext cx="2232000" cy="67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37769</xdr:colOff>
      <xdr:row>8</xdr:row>
      <xdr:rowOff>15883</xdr:rowOff>
    </xdr:from>
    <xdr:to>
      <xdr:col>29</xdr:col>
      <xdr:colOff>299161</xdr:colOff>
      <xdr:row>14</xdr:row>
      <xdr:rowOff>94457</xdr:rowOff>
    </xdr:to>
    <xdr:graphicFrame macro="">
      <xdr:nvGraphicFramePr>
        <xdr:cNvPr id="191" name="Gráfico 190">
          <a:extLst>
            <a:ext uri="{FF2B5EF4-FFF2-40B4-BE49-F238E27FC236}">
              <a16:creationId xmlns:a16="http://schemas.microsoft.com/office/drawing/2014/main" id="{00000000-0008-0000-13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37769</xdr:colOff>
      <xdr:row>16</xdr:row>
      <xdr:rowOff>134788</xdr:rowOff>
    </xdr:from>
    <xdr:to>
      <xdr:col>29</xdr:col>
      <xdr:colOff>299161</xdr:colOff>
      <xdr:row>23</xdr:row>
      <xdr:rowOff>34458</xdr:rowOff>
    </xdr:to>
    <xdr:graphicFrame macro="">
      <xdr:nvGraphicFramePr>
        <xdr:cNvPr id="192" name="Gráfico 191">
          <a:extLst>
            <a:ext uri="{FF2B5EF4-FFF2-40B4-BE49-F238E27FC236}">
              <a16:creationId xmlns:a16="http://schemas.microsoft.com/office/drawing/2014/main" id="{00000000-0008-0000-13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37769</xdr:colOff>
      <xdr:row>25</xdr:row>
      <xdr:rowOff>74789</xdr:rowOff>
    </xdr:from>
    <xdr:to>
      <xdr:col>29</xdr:col>
      <xdr:colOff>299161</xdr:colOff>
      <xdr:row>31</xdr:row>
      <xdr:rowOff>153363</xdr:rowOff>
    </xdr:to>
    <xdr:graphicFrame macro="">
      <xdr:nvGraphicFramePr>
        <xdr:cNvPr id="193" name="Gráfico 192">
          <a:extLst>
            <a:ext uri="{FF2B5EF4-FFF2-40B4-BE49-F238E27FC236}">
              <a16:creationId xmlns:a16="http://schemas.microsoft.com/office/drawing/2014/main" id="{00000000-0008-0000-13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37769</xdr:colOff>
      <xdr:row>34</xdr:row>
      <xdr:rowOff>14789</xdr:rowOff>
    </xdr:from>
    <xdr:to>
      <xdr:col>29</xdr:col>
      <xdr:colOff>299161</xdr:colOff>
      <xdr:row>40</xdr:row>
      <xdr:rowOff>93363</xdr:rowOff>
    </xdr:to>
    <xdr:graphicFrame macro="">
      <xdr:nvGraphicFramePr>
        <xdr:cNvPr id="194" name="Gráfico 193">
          <a:extLst>
            <a:ext uri="{FF2B5EF4-FFF2-40B4-BE49-F238E27FC236}">
              <a16:creationId xmlns:a16="http://schemas.microsoft.com/office/drawing/2014/main" id="{00000000-0008-0000-13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1400-00002B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4" name="Retângulo: Cantos Superiores Arredondados 43">
            <a:extLst>
              <a:ext uri="{FF2B5EF4-FFF2-40B4-BE49-F238E27FC236}">
                <a16:creationId xmlns:a16="http://schemas.microsoft.com/office/drawing/2014/main" id="{00000000-0008-0000-1400-00002C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 (Total)</a:t>
            </a:r>
          </a:p>
        </xdr:txBody>
      </xdr:sp>
      <xdr:sp macro="doNothing" textlink="dadosDashDespesas!$AK$2">
        <xdr:nvSpPr>
          <xdr:cNvPr id="45" name="Retângulo 44">
            <a:extLst>
              <a:ext uri="{FF2B5EF4-FFF2-40B4-BE49-F238E27FC236}">
                <a16:creationId xmlns:a16="http://schemas.microsoft.com/office/drawing/2014/main" id="{00000000-0008-0000-1400-00002D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C2A419-6BB7-45D5-AE2C-A20A33E234F3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R$ 1.300,00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1400-00002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41" name="Retângulo: Cantos Superiores Arredondados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Despesas a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Pagar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3">
        <xdr:nvSpPr>
          <xdr:cNvPr id="42" name="Retângulo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29B1034-58F7-499D-93BC-3AEEFDA9ADB3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R$ 400,00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555928</xdr:colOff>
      <xdr:row>0</xdr:row>
      <xdr:rowOff>85539</xdr:rowOff>
    </xdr:from>
    <xdr:to>
      <xdr:col>15</xdr:col>
      <xdr:colOff>387511</xdr:colOff>
      <xdr:row>5</xdr:row>
      <xdr:rowOff>115045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7553076" y="85539"/>
          <a:ext cx="2376000" cy="924027"/>
          <a:chOff x="2627906" y="85539"/>
          <a:chExt cx="2376000" cy="924027"/>
        </a:xfrm>
      </xdr:grpSpPr>
      <xdr:sp macro="doNothing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1400-00002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8" name="Retângulo: Cantos Superiores Arredondados 37">
            <a:extLst>
              <a:ext uri="{FF2B5EF4-FFF2-40B4-BE49-F238E27FC236}">
                <a16:creationId xmlns:a16="http://schemas.microsoft.com/office/drawing/2014/main" id="{00000000-0008-0000-1400-00002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a Pagar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4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1400-00002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4445B30-0B60-44FB-AA3E-0B4A9D34B2AC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15</xdr:col>
      <xdr:colOff>489005</xdr:colOff>
      <xdr:row>0</xdr:row>
      <xdr:rowOff>85539</xdr:rowOff>
    </xdr:from>
    <xdr:to>
      <xdr:col>19</xdr:col>
      <xdr:colOff>320587</xdr:colOff>
      <xdr:row>5</xdr:row>
      <xdr:rowOff>115045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pSpPr/>
      </xdr:nvGrpSpPr>
      <xdr:grpSpPr>
        <a:xfrm>
          <a:off x="10030570" y="85539"/>
          <a:ext cx="2376000" cy="924027"/>
          <a:chOff x="2627906" y="85539"/>
          <a:chExt cx="2376000" cy="924027"/>
        </a:xfrm>
      </xdr:grpSpPr>
      <xdr:sp macro="doNothing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1400-000022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5" name="Retângulo: Cantos Superiores Arredondados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 Pagas</a:t>
            </a:r>
          </a:p>
        </xdr:txBody>
      </xdr:sp>
      <xdr:sp macro="doNothing" textlink="dadosDashDespesas!$AK$5">
        <xdr:nvSpPr>
          <xdr:cNvPr id="36" name="Retângulo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B6C6442-9AB0-4780-A5C0-5F0A9BB6965D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6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19</xdr:col>
      <xdr:colOff>422081</xdr:colOff>
      <xdr:row>0</xdr:row>
      <xdr:rowOff>85539</xdr:rowOff>
    </xdr:from>
    <xdr:to>
      <xdr:col>23</xdr:col>
      <xdr:colOff>253664</xdr:colOff>
      <xdr:row>5</xdr:row>
      <xdr:rowOff>115045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pSpPr/>
      </xdr:nvGrpSpPr>
      <xdr:grpSpPr>
        <a:xfrm>
          <a:off x="12508064" y="85539"/>
          <a:ext cx="2376000" cy="924027"/>
          <a:chOff x="2627906" y="85539"/>
          <a:chExt cx="2376000" cy="924027"/>
        </a:xfrm>
      </xdr:grpSpPr>
      <xdr:sp macro="doNothing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400-00001F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32" name="Retângulo: Cantos Superiores Arredondados 31">
            <a:extLst>
              <a:ext uri="{FF2B5EF4-FFF2-40B4-BE49-F238E27FC236}">
                <a16:creationId xmlns:a16="http://schemas.microsoft.com/office/drawing/2014/main" id="{00000000-0008-0000-1400-000020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 Atrasadas</a:t>
            </a:r>
          </a:p>
        </xdr:txBody>
      </xdr:sp>
      <xdr:sp macro="doNothing" textlink="dadosDashDespesas!$AK$6">
        <xdr:nvSpPr>
          <xdr:cNvPr id="33" name="Retângulo 32">
            <a:extLst>
              <a:ext uri="{FF2B5EF4-FFF2-40B4-BE49-F238E27FC236}">
                <a16:creationId xmlns:a16="http://schemas.microsoft.com/office/drawing/2014/main" id="{00000000-0008-0000-1400-000021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DBBC55F-D5FB-48B2-8363-98F8D0178B7E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23</xdr:col>
      <xdr:colOff>355158</xdr:colOff>
      <xdr:row>0</xdr:row>
      <xdr:rowOff>85539</xdr:rowOff>
    </xdr:from>
    <xdr:to>
      <xdr:col>27</xdr:col>
      <xdr:colOff>186740</xdr:colOff>
      <xdr:row>5</xdr:row>
      <xdr:rowOff>115045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pSpPr/>
      </xdr:nvGrpSpPr>
      <xdr:grpSpPr>
        <a:xfrm>
          <a:off x="14985558" y="85539"/>
          <a:ext cx="2376000" cy="924027"/>
          <a:chOff x="2627906" y="85539"/>
          <a:chExt cx="2376000" cy="924027"/>
        </a:xfrm>
      </xdr:grpSpPr>
      <xdr:sp macro="doNothing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00000000-0008-0000-1400-00001C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9" name="Retângulo: Cantos Superiores Arredondados 28">
            <a:extLst>
              <a:ext uri="{FF2B5EF4-FFF2-40B4-BE49-F238E27FC236}">
                <a16:creationId xmlns:a16="http://schemas.microsoft.com/office/drawing/2014/main" id="{00000000-0008-0000-1400-00001D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Contas</a:t>
            </a:r>
            <a:r>
              <a:rPr lang="pt-BR" sz="1400" b="1" baseline="0">
                <a:latin typeface="BankGothic Lt BT" panose="020B0607020203060204" pitchFamily="34" charset="0"/>
                <a:cs typeface="Times New Roman" panose="02020603050405020304" pitchFamily="18" charset="0"/>
              </a:rPr>
              <a:t> em Dívida</a:t>
            </a:r>
            <a:endParaRPr lang="pt-BR" sz="1400" b="1">
              <a:latin typeface="BankGothic Lt BT" panose="020B0607020203060204" pitchFamily="34" charset="0"/>
              <a:cs typeface="Times New Roman" panose="02020603050405020304" pitchFamily="18" charset="0"/>
            </a:endParaRPr>
          </a:p>
        </xdr:txBody>
      </xdr:sp>
      <xdr:sp macro="doNothing" textlink="dadosDashDespesas!$AK$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1400-00001E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639E0A6-1C38-4FCC-AF20-8A52FFC8F328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3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1400-00001A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7" name="Retângulo: Cantos Superiores Arredondados 26">
            <a:extLst>
              <a:ext uri="{FF2B5EF4-FFF2-40B4-BE49-F238E27FC236}">
                <a16:creationId xmlns:a16="http://schemas.microsoft.com/office/drawing/2014/main" id="{00000000-0008-0000-1400-00001B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400-000018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25" name="Gráfico 24" descr="Moedas com preenchimento sólido">
            <a:extLst>
              <a:ext uri="{FF2B5EF4-FFF2-40B4-BE49-F238E27FC236}">
                <a16:creationId xmlns:a16="http://schemas.microsoft.com/office/drawing/2014/main" id="{00000000-0008-0000-14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3" name="Retângulo: Cantos Superiores Arredondados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por Tipo</a:t>
            </a:r>
          </a:p>
        </xdr:txBody>
      </xdr:sp>
    </xdr:grpSp>
    <xdr:clientData/>
  </xdr:twoCellAnchor>
  <xdr:twoCellAnchor editAs="absolute">
    <xdr:from>
      <xdr:col>12</xdr:col>
      <xdr:colOff>455212</xdr:colOff>
      <xdr:row>16</xdr:row>
      <xdr:rowOff>5963</xdr:rowOff>
    </xdr:from>
    <xdr:to>
      <xdr:col>21</xdr:col>
      <xdr:colOff>130274</xdr:colOff>
      <xdr:row>40</xdr:row>
      <xdr:rowOff>86259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8088465" y="2868433"/>
          <a:ext cx="5400000" cy="4374000"/>
          <a:chOff x="2582187" y="2872408"/>
          <a:chExt cx="5400000" cy="4374000"/>
        </a:xfrm>
      </xdr:grpSpPr>
      <xdr:sp macro="doNothing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400-000014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00000000-0008-0000-1400-000015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Despesas por Forma de Pagamento</a:t>
            </a:r>
          </a:p>
        </xdr:txBody>
      </xdr:sp>
    </xdr:grpSp>
    <xdr:clientData/>
  </xdr:twoCellAnchor>
  <xdr:twoCellAnchor editAs="absolute">
    <xdr:from>
      <xdr:col>21</xdr:col>
      <xdr:colOff>246492</xdr:colOff>
      <xdr:row>16</xdr:row>
      <xdr:rowOff>13069</xdr:rowOff>
    </xdr:from>
    <xdr:to>
      <xdr:col>29</xdr:col>
      <xdr:colOff>305657</xdr:colOff>
      <xdr:row>40</xdr:row>
      <xdr:rowOff>93365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GrpSpPr/>
      </xdr:nvGrpSpPr>
      <xdr:grpSpPr>
        <a:xfrm>
          <a:off x="13604683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00000000-0008-0000-1400-000013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baseline="0">
                <a:solidFill>
                  <a:schemeClr val="bg1"/>
                </a:solidFill>
                <a:latin typeface="BankGothic Lt BT" panose="020B0607020203060204" pitchFamily="34" charset="0"/>
              </a:rPr>
              <a:t>Despesas por Situação </a:t>
            </a:r>
            <a:endParaRPr lang="pt-BR" sz="1400" b="1">
              <a:solidFill>
                <a:schemeClr val="bg1"/>
              </a:solidFill>
              <a:latin typeface="BankGothic Lt BT" panose="020B0607020203060204" pitchFamily="34" charset="0"/>
            </a:endParaRPr>
          </a:p>
        </xdr:txBody>
      </xdr:sp>
    </xdr:grpSp>
    <xdr:clientData/>
  </xdr:twoCellAnchor>
  <xdr:twoCellAnchor editAs="absolute">
    <xdr:from>
      <xdr:col>21</xdr:col>
      <xdr:colOff>336492</xdr:colOff>
      <xdr:row>37</xdr:row>
      <xdr:rowOff>168966</xdr:rowOff>
    </xdr:from>
    <xdr:to>
      <xdr:col>29</xdr:col>
      <xdr:colOff>215657</xdr:colOff>
      <xdr:row>39</xdr:row>
      <xdr:rowOff>27157</xdr:rowOff>
    </xdr:to>
    <xdr:sp macro="doNothing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13694683" y="6788427"/>
          <a:ext cx="4968000" cy="21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26F2284B-FCD0-4269-AB75-FFDB8C12130D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4</xdr:col>
      <xdr:colOff>37769</xdr:colOff>
      <xdr:row>8</xdr:row>
      <xdr:rowOff>59632</xdr:rowOff>
    </xdr:from>
    <xdr:to>
      <xdr:col>29</xdr:col>
      <xdr:colOff>299161</xdr:colOff>
      <xdr:row>15</xdr:row>
      <xdr:rowOff>67302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Ano 1">
              <a:extLst>
                <a:ext uri="{FF2B5EF4-FFF2-40B4-BE49-F238E27FC236}">
                  <a16:creationId xmlns:a16="http://schemas.microsoft.com/office/drawing/2014/main" id="{00000000-0008-0000-1400-00003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4" name="Mês_Desp">
              <a:extLst>
                <a:ext uri="{FF2B5EF4-FFF2-40B4-BE49-F238E27FC236}">
                  <a16:creationId xmlns:a16="http://schemas.microsoft.com/office/drawing/2014/main" id="{00000000-0008-0000-1400-00003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_Des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534492</xdr:colOff>
      <xdr:row>17</xdr:row>
      <xdr:rowOff>122400</xdr:rowOff>
    </xdr:from>
    <xdr:to>
      <xdr:col>29</xdr:col>
      <xdr:colOff>17657</xdr:colOff>
      <xdr:row>33</xdr:row>
      <xdr:rowOff>3130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21</xdr:col>
      <xdr:colOff>318492</xdr:colOff>
      <xdr:row>33</xdr:row>
      <xdr:rowOff>39755</xdr:rowOff>
    </xdr:from>
    <xdr:to>
      <xdr:col>29</xdr:col>
      <xdr:colOff>233657</xdr:colOff>
      <xdr:row>34</xdr:row>
      <xdr:rowOff>148851</xdr:rowOff>
    </xdr:to>
    <xdr:sp macro="doNothing" textlink="dadosDashDespesas!$AH$2">
      <xdr:nvSpPr>
        <xdr:cNvPr id="47" name="CaixaDeTexto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SpPr txBox="1"/>
      </xdr:nvSpPr>
      <xdr:spPr>
        <a:xfrm>
          <a:off x="13676683" y="5943599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4E8D0C8-F1E8-45AE-85B8-6A5B5DB2B553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EM DÍVIDA: R$ 400,00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34</xdr:row>
      <xdr:rowOff>129207</xdr:rowOff>
    </xdr:from>
    <xdr:to>
      <xdr:col>29</xdr:col>
      <xdr:colOff>233657</xdr:colOff>
      <xdr:row>36</xdr:row>
      <xdr:rowOff>59399</xdr:rowOff>
    </xdr:to>
    <xdr:sp macro="doNothing" textlink="dadosDashDespesas!$AH$3">
      <xdr:nvSpPr>
        <xdr:cNvPr id="48" name="CaixaDeTexto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SpPr txBox="1"/>
      </xdr:nvSpPr>
      <xdr:spPr>
        <a:xfrm>
          <a:off x="13676683" y="6211955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D1D86E5-B6EC-4B3A-8C44-47AA0896905E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PAGO: R$ 900,00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36</xdr:row>
      <xdr:rowOff>39755</xdr:rowOff>
    </xdr:from>
    <xdr:to>
      <xdr:col>29</xdr:col>
      <xdr:colOff>233657</xdr:colOff>
      <xdr:row>37</xdr:row>
      <xdr:rowOff>148850</xdr:rowOff>
    </xdr:to>
    <xdr:sp macro="doNothing" textlink="dadosDashDespesas!$AH$4">
      <xdr:nvSpPr>
        <xdr:cNvPr id="49" name="CaixaDeTexto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SpPr txBox="1"/>
      </xdr:nvSpPr>
      <xdr:spPr>
        <a:xfrm>
          <a:off x="13676683" y="6480311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BDD8E4D-78ED-43B1-A8B1-0E2C0B44515F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21</xdr:col>
      <xdr:colOff>318492</xdr:colOff>
      <xdr:row>37</xdr:row>
      <xdr:rowOff>129206</xdr:rowOff>
    </xdr:from>
    <xdr:to>
      <xdr:col>29</xdr:col>
      <xdr:colOff>233657</xdr:colOff>
      <xdr:row>39</xdr:row>
      <xdr:rowOff>59397</xdr:rowOff>
    </xdr:to>
    <xdr:sp macro="doNothing" textlink="dadosDashDespesas!$AH$5">
      <xdr:nvSpPr>
        <xdr:cNvPr id="50" name="CaixaDeTexto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SpPr txBox="1"/>
      </xdr:nvSpPr>
      <xdr:spPr>
        <a:xfrm>
          <a:off x="13676683" y="6748667"/>
          <a:ext cx="5004000" cy="28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2DE485C-1539-441C-9938-E081FB3D9F90}" type="TxLink">
            <a:rPr lang="en-US" sz="1100" b="0" i="0" u="none" strike="noStrike">
              <a:solidFill>
                <a:schemeClr val="accent6"/>
              </a:solidFill>
              <a:latin typeface="Times New Roman"/>
              <a:cs typeface="Times New Roman"/>
            </a:rPr>
            <a:pPr algn="l"/>
            <a:t> </a:t>
          </a:fld>
          <a:endParaRPr lang="pt-BR" sz="1100">
            <a:solidFill>
              <a:schemeClr val="accent6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7170" name="Spin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15</xdr:row>
          <xdr:rowOff>174929</xdr:rowOff>
        </xdr:from>
        <xdr:to>
          <xdr:col>21</xdr:col>
          <xdr:colOff>127221</xdr:colOff>
          <xdr:row>17</xdr:row>
          <xdr:rowOff>119270</xdr:rowOff>
        </xdr:to>
        <xdr:sp macro="" textlink="">
          <xdr:nvSpPr>
            <xdr:cNvPr id="7171" name="Spin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1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500-00001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00000000-0008-0000-1500-00001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Receita (Total)</a:t>
            </a:r>
          </a:p>
        </xdr:txBody>
      </xdr:sp>
      <xdr:sp macro="doNothing" textlink="dadosDashReceitas!$AL$2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1500-00001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25ABFA-E37D-4C29-86A7-A708D0F5117F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 algn="ctr"/>
              <a:t>R$ 20.000,00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00000000-0008-0000-1500-00001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Qtde. de Receitas</a:t>
            </a:r>
          </a:p>
        </xdr:txBody>
      </xdr:sp>
      <xdr:sp macro="doNothing" textlink="dadosDashReceitas!$AL$3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EF20A7-3FB5-47E3-AE52-0926221F8B2F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2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555926</xdr:colOff>
      <xdr:row>0</xdr:row>
      <xdr:rowOff>85539</xdr:rowOff>
    </xdr:from>
    <xdr:to>
      <xdr:col>27</xdr:col>
      <xdr:colOff>170256</xdr:colOff>
      <xdr:row>5</xdr:row>
      <xdr:rowOff>91018</xdr:rowOff>
    </xdr:to>
    <xdr:sp macro="doNoth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7553074" y="85539"/>
          <a:ext cx="9792000" cy="900000"/>
        </a:xfrm>
        <a:prstGeom prst="roundRect">
          <a:avLst>
            <a:gd name="adj" fmla="val 17620"/>
          </a:avLst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1500-000011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8" name="Gráfico 17" descr="Cofrinho com preenchimento sólido">
            <a:extLst>
              <a:ext uri="{FF2B5EF4-FFF2-40B4-BE49-F238E27FC236}">
                <a16:creationId xmlns:a16="http://schemas.microsoft.com/office/drawing/2014/main" id="{00000000-0008-0000-15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por Tipo</a:t>
            </a:r>
          </a:p>
        </xdr:txBody>
      </xdr:sp>
    </xdr:grpSp>
    <xdr:clientData/>
  </xdr:twoCellAnchor>
  <xdr:twoCellAnchor editAs="absolute">
    <xdr:from>
      <xdr:col>21</xdr:col>
      <xdr:colOff>239996</xdr:colOff>
      <xdr:row>16</xdr:row>
      <xdr:rowOff>13069</xdr:rowOff>
    </xdr:from>
    <xdr:to>
      <xdr:col>29</xdr:col>
      <xdr:colOff>299161</xdr:colOff>
      <xdr:row>40</xdr:row>
      <xdr:rowOff>93365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13598187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00000000-0008-0000-1500-00000E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 por Destino</a:t>
            </a:r>
          </a:p>
        </xdr:txBody>
      </xdr:sp>
    </xdr:grpSp>
    <xdr:clientData/>
  </xdr:twoCellAnchor>
  <xdr:twoCellAnchor editAs="absolute">
    <xdr:from>
      <xdr:col>4</xdr:col>
      <xdr:colOff>37769</xdr:colOff>
      <xdr:row>8</xdr:row>
      <xdr:rowOff>51885</xdr:rowOff>
    </xdr:from>
    <xdr:to>
      <xdr:col>29</xdr:col>
      <xdr:colOff>299161</xdr:colOff>
      <xdr:row>15</xdr:row>
      <xdr:rowOff>59555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456934</xdr:colOff>
      <xdr:row>16</xdr:row>
      <xdr:rowOff>13069</xdr:rowOff>
    </xdr:from>
    <xdr:to>
      <xdr:col>21</xdr:col>
      <xdr:colOff>131996</xdr:colOff>
      <xdr:row>40</xdr:row>
      <xdr:rowOff>93365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pSpPr/>
      </xdr:nvGrpSpPr>
      <xdr:grpSpPr>
        <a:xfrm>
          <a:off x="8090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500-000021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34" name="Retângulo: Cantos Superiores Arredondados 33">
            <a:extLst>
              <a:ext uri="{FF2B5EF4-FFF2-40B4-BE49-F238E27FC236}">
                <a16:creationId xmlns:a16="http://schemas.microsoft.com/office/drawing/2014/main" id="{00000000-0008-0000-1500-000022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Receitas</a:t>
            </a:r>
          </a:p>
        </xdr:txBody>
      </xdr:sp>
    </xdr:grpSp>
    <xdr:clientData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246491</xdr:colOff>
      <xdr:row>17</xdr:row>
      <xdr:rowOff>140165</xdr:rowOff>
    </xdr:from>
    <xdr:to>
      <xdr:col>29</xdr:col>
      <xdr:colOff>233656</xdr:colOff>
      <xdr:row>40</xdr:row>
      <xdr:rowOff>93365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Ano 2"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Data (Mês) 2">
              <a:extLst>
                <a:ext uri="{FF2B5EF4-FFF2-40B4-BE49-F238E27FC236}">
                  <a16:creationId xmlns:a16="http://schemas.microsoft.com/office/drawing/2014/main" id="{00000000-0008-0000-1500-00002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8197" name="Spin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7951</xdr:colOff>
          <xdr:row>16</xdr:row>
          <xdr:rowOff>0</xdr:rowOff>
        </xdr:from>
        <xdr:to>
          <xdr:col>29</xdr:col>
          <xdr:colOff>302150</xdr:colOff>
          <xdr:row>17</xdr:row>
          <xdr:rowOff>127221</xdr:rowOff>
        </xdr:to>
        <xdr:sp macro="" textlink="">
          <xdr:nvSpPr>
            <xdr:cNvPr id="8198" name="Spin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16</xdr:row>
          <xdr:rowOff>0</xdr:rowOff>
        </xdr:from>
        <xdr:to>
          <xdr:col>21</xdr:col>
          <xdr:colOff>135172</xdr:colOff>
          <xdr:row>17</xdr:row>
          <xdr:rowOff>127221</xdr:rowOff>
        </xdr:to>
        <xdr:sp macro="" textlink="">
          <xdr:nvSpPr>
            <xdr:cNvPr id="8199" name="Spin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30</xdr:col>
      <xdr:colOff>0</xdr:colOff>
      <xdr:row>41</xdr:row>
      <xdr:rowOff>0</xdr:rowOff>
    </xdr:to>
    <xdr:sp macro="doNothing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ChangeAspect="1"/>
        </xdr:cNvSpPr>
      </xdr:nvSpPr>
      <xdr:spPr>
        <a:xfrm>
          <a:off x="0" y="0"/>
          <a:ext cx="18864470" cy="73350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87465</xdr:colOff>
      <xdr:row>0</xdr:row>
      <xdr:rowOff>85539</xdr:rowOff>
    </xdr:from>
    <xdr:to>
      <xdr:col>3</xdr:col>
      <xdr:colOff>555152</xdr:colOff>
      <xdr:row>40</xdr:row>
      <xdr:rowOff>93365</xdr:rowOff>
    </xdr:to>
    <xdr:sp macro="doNothing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87465" y="85539"/>
          <a:ext cx="2376000" cy="7164000"/>
        </a:xfrm>
        <a:prstGeom prst="roundRect">
          <a:avLst>
            <a:gd name="adj" fmla="val 8785"/>
          </a:avLst>
        </a:prstGeom>
        <a:solidFill>
          <a:schemeClr val="accent3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53670</xdr:colOff>
      <xdr:row>0</xdr:row>
      <xdr:rowOff>85539</xdr:rowOff>
    </xdr:from>
    <xdr:to>
      <xdr:col>7</xdr:col>
      <xdr:colOff>521358</xdr:colOff>
      <xdr:row>5</xdr:row>
      <xdr:rowOff>115045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pSpPr/>
      </xdr:nvGrpSpPr>
      <xdr:grpSpPr>
        <a:xfrm>
          <a:off x="2598088" y="85539"/>
          <a:ext cx="2376000" cy="924027"/>
          <a:chOff x="2627906" y="85539"/>
          <a:chExt cx="2376000" cy="924027"/>
        </a:xfrm>
      </xdr:grpSpPr>
      <xdr:sp macro="doNothing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00000000-0008-0000-1600-000019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Investimento (Total)</a:t>
            </a:r>
          </a:p>
        </xdr:txBody>
      </xdr:sp>
      <xdr:sp macro="doNothing" textlink="dadosDashInvestimentos!$AL$2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1600-00001A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EDC3A63-D924-4E12-B118-DA2F6BC33AE4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R$ 50,00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7</xdr:col>
      <xdr:colOff>622852</xdr:colOff>
      <xdr:row>0</xdr:row>
      <xdr:rowOff>85539</xdr:rowOff>
    </xdr:from>
    <xdr:to>
      <xdr:col>11</xdr:col>
      <xdr:colOff>454434</xdr:colOff>
      <xdr:row>5</xdr:row>
      <xdr:rowOff>115045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GrpSpPr/>
      </xdr:nvGrpSpPr>
      <xdr:grpSpPr>
        <a:xfrm>
          <a:off x="5075582" y="85539"/>
          <a:ext cx="2376000" cy="924027"/>
          <a:chOff x="2627906" y="85539"/>
          <a:chExt cx="2376000" cy="924027"/>
        </a:xfrm>
      </xdr:grpSpPr>
      <xdr:sp macro="doNothing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00000000-0008-0000-1600-000015000000}"/>
              </a:ext>
            </a:extLst>
          </xdr:cNvPr>
          <xdr:cNvSpPr/>
        </xdr:nvSpPr>
        <xdr:spPr>
          <a:xfrm>
            <a:off x="2627906" y="85539"/>
            <a:ext cx="2376000" cy="900000"/>
          </a:xfrm>
          <a:prstGeom prst="roundRect">
            <a:avLst>
              <a:gd name="adj" fmla="val 17620"/>
            </a:avLst>
          </a:prstGeom>
          <a:solidFill>
            <a:schemeClr val="bg1"/>
          </a:solidFill>
          <a:ln>
            <a:solidFill>
              <a:schemeClr val="bg1">
                <a:lumMod val="9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400"/>
          </a:p>
        </xdr:txBody>
      </xdr:sp>
      <xdr:sp macro="doNothing" textlink="">
        <xdr:nvSpPr>
          <xdr:cNvPr id="22" name="Retângulo: Cantos Superiores Arredondados 21">
            <a:extLst>
              <a:ext uri="{FF2B5EF4-FFF2-40B4-BE49-F238E27FC236}">
                <a16:creationId xmlns:a16="http://schemas.microsoft.com/office/drawing/2014/main" id="{00000000-0008-0000-1600-000016000000}"/>
              </a:ext>
            </a:extLst>
          </xdr:cNvPr>
          <xdr:cNvSpPr/>
        </xdr:nvSpPr>
        <xdr:spPr>
          <a:xfrm>
            <a:off x="2627906" y="85539"/>
            <a:ext cx="2376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BankGothic Lt BT" panose="020B0607020203060204" pitchFamily="34" charset="0"/>
                <a:cs typeface="Times New Roman" panose="02020603050405020304" pitchFamily="18" charset="0"/>
              </a:rPr>
              <a:t>Qtde. Investimentos</a:t>
            </a:r>
          </a:p>
        </xdr:txBody>
      </xdr:sp>
      <xdr:sp macro="doNothing" textlink="dadosDashInvestimentos!$AL$3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1600-000017000000}"/>
              </a:ext>
            </a:extLst>
          </xdr:cNvPr>
          <xdr:cNvSpPr/>
        </xdr:nvSpPr>
        <xdr:spPr>
          <a:xfrm>
            <a:off x="2627906" y="397566"/>
            <a:ext cx="2376000" cy="612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87447B-B427-4441-8D83-C75F91AD9B72}" type="TxLink">
              <a:rPr lang="en-US" sz="1400" b="1" i="0" u="none" strike="noStrike">
                <a:solidFill>
                  <a:schemeClr val="tx1"/>
                </a:solidFill>
                <a:latin typeface="Times New Roman"/>
                <a:cs typeface="Times New Roman"/>
              </a:rPr>
              <a:pPr algn="ctr"/>
              <a:t>2</a:t>
            </a:fld>
            <a:endParaRPr lang="en-US" sz="1400" b="1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555926</xdr:colOff>
      <xdr:row>0</xdr:row>
      <xdr:rowOff>85539</xdr:rowOff>
    </xdr:from>
    <xdr:to>
      <xdr:col>27</xdr:col>
      <xdr:colOff>170256</xdr:colOff>
      <xdr:row>5</xdr:row>
      <xdr:rowOff>91018</xdr:rowOff>
    </xdr:to>
    <xdr:sp macro="doNothing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7553074" y="85539"/>
          <a:ext cx="9792000" cy="900000"/>
        </a:xfrm>
        <a:prstGeom prst="roundRect">
          <a:avLst>
            <a:gd name="adj" fmla="val 17620"/>
          </a:avLst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37769</xdr:colOff>
      <xdr:row>6</xdr:row>
      <xdr:rowOff>49694</xdr:rowOff>
    </xdr:from>
    <xdr:to>
      <xdr:col>29</xdr:col>
      <xdr:colOff>299161</xdr:colOff>
      <xdr:row>15</xdr:row>
      <xdr:rowOff>59555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GrpSpPr/>
      </xdr:nvGrpSpPr>
      <xdr:grpSpPr>
        <a:xfrm>
          <a:off x="2582187" y="1123120"/>
          <a:ext cx="16164000" cy="1620000"/>
          <a:chOff x="2582187" y="1123120"/>
          <a:chExt cx="16164000" cy="1620000"/>
        </a:xfrm>
      </xdr:grpSpPr>
      <xdr:sp macro="doNothing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600-000013000000}"/>
              </a:ext>
            </a:extLst>
          </xdr:cNvPr>
          <xdr:cNvSpPr/>
        </xdr:nvSpPr>
        <xdr:spPr>
          <a:xfrm>
            <a:off x="2582187" y="1123120"/>
            <a:ext cx="16164000" cy="1620000"/>
          </a:xfrm>
          <a:prstGeom prst="roundRect">
            <a:avLst>
              <a:gd name="adj" fmla="val 1625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00000000-0008-0000-1600-000014000000}"/>
              </a:ext>
            </a:extLst>
          </xdr:cNvPr>
          <xdr:cNvSpPr/>
        </xdr:nvSpPr>
        <xdr:spPr>
          <a:xfrm>
            <a:off x="2582187" y="1123120"/>
            <a:ext cx="16164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Mensais</a:t>
            </a:r>
          </a:p>
        </xdr:txBody>
      </xdr:sp>
    </xdr:grpSp>
    <xdr:clientData/>
  </xdr:twoCellAnchor>
  <xdr:twoCellAnchor editAs="absolute">
    <xdr:from>
      <xdr:col>27</xdr:col>
      <xdr:colOff>288233</xdr:colOff>
      <xdr:row>0</xdr:row>
      <xdr:rowOff>86713</xdr:rowOff>
    </xdr:from>
    <xdr:to>
      <xdr:col>29</xdr:col>
      <xdr:colOff>292754</xdr:colOff>
      <xdr:row>5</xdr:row>
      <xdr:rowOff>94931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GrpSpPr/>
      </xdr:nvGrpSpPr>
      <xdr:grpSpPr>
        <a:xfrm>
          <a:off x="17463051" y="86713"/>
          <a:ext cx="1276729" cy="902739"/>
          <a:chOff x="17463051" y="86713"/>
          <a:chExt cx="1276729" cy="902739"/>
        </a:xfrm>
      </xdr:grpSpPr>
      <xdr:sp macro="doNothing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1600-000011000000}"/>
              </a:ext>
            </a:extLst>
          </xdr:cNvPr>
          <xdr:cNvSpPr/>
        </xdr:nvSpPr>
        <xdr:spPr>
          <a:xfrm>
            <a:off x="17463051" y="86713"/>
            <a:ext cx="1276729" cy="900000"/>
          </a:xfrm>
          <a:prstGeom prst="roundRect">
            <a:avLst>
              <a:gd name="adj" fmla="val 17620"/>
            </a:avLst>
          </a:prstGeom>
          <a:solidFill>
            <a:schemeClr val="tx1"/>
          </a:solidFill>
          <a:ln>
            <a:solidFill>
              <a:schemeClr val="tx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doNothing">
        <xdr:nvPicPr>
          <xdr:cNvPr id="18" name="Gráfico 17" descr="Banco com preenchimento sólido">
            <a:extLst>
              <a:ext uri="{FF2B5EF4-FFF2-40B4-BE49-F238E27FC236}">
                <a16:creationId xmlns:a16="http://schemas.microsoft.com/office/drawing/2014/main" id="{00000000-0008-0000-16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651415" y="89452"/>
            <a:ext cx="900000" cy="9000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37769</xdr:colOff>
      <xdr:row>16</xdr:row>
      <xdr:rowOff>13069</xdr:rowOff>
    </xdr:from>
    <xdr:to>
      <xdr:col>12</xdr:col>
      <xdr:colOff>348934</xdr:colOff>
      <xdr:row>40</xdr:row>
      <xdr:rowOff>93365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GrpSpPr/>
      </xdr:nvGrpSpPr>
      <xdr:grpSpPr>
        <a:xfrm>
          <a:off x="2582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1600-00000F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6" name="Retângulo: Cantos Superiores Arredondados 15">
            <a:extLst>
              <a:ext uri="{FF2B5EF4-FFF2-40B4-BE49-F238E27FC236}">
                <a16:creationId xmlns:a16="http://schemas.microsoft.com/office/drawing/2014/main" id="{00000000-0008-0000-1600-000010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por Tipo</a:t>
            </a:r>
          </a:p>
        </xdr:txBody>
      </xdr:sp>
    </xdr:grpSp>
    <xdr:clientData/>
  </xdr:twoCellAnchor>
  <xdr:twoCellAnchor editAs="absolute">
    <xdr:from>
      <xdr:col>21</xdr:col>
      <xdr:colOff>239996</xdr:colOff>
      <xdr:row>16</xdr:row>
      <xdr:rowOff>13069</xdr:rowOff>
    </xdr:from>
    <xdr:to>
      <xdr:col>29</xdr:col>
      <xdr:colOff>299161</xdr:colOff>
      <xdr:row>40</xdr:row>
      <xdr:rowOff>93365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pSpPr/>
      </xdr:nvGrpSpPr>
      <xdr:grpSpPr>
        <a:xfrm>
          <a:off x="13598187" y="2875539"/>
          <a:ext cx="5148000" cy="4374000"/>
          <a:chOff x="2582187" y="2872408"/>
          <a:chExt cx="5400000" cy="4374000"/>
        </a:xfrm>
      </xdr:grpSpPr>
      <xdr:sp macro="doNothing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600-00000D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14" name="Retângulo: Cantos Superiores Arredondados 13">
            <a:extLst>
              <a:ext uri="{FF2B5EF4-FFF2-40B4-BE49-F238E27FC236}">
                <a16:creationId xmlns:a16="http://schemas.microsoft.com/office/drawing/2014/main" id="{00000000-0008-0000-1600-00000E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 por Fonte</a:t>
            </a:r>
          </a:p>
        </xdr:txBody>
      </xdr:sp>
    </xdr:grpSp>
    <xdr:clientData/>
  </xdr:twoCellAnchor>
  <xdr:twoCellAnchor editAs="absolute">
    <xdr:from>
      <xdr:col>12</xdr:col>
      <xdr:colOff>456934</xdr:colOff>
      <xdr:row>16</xdr:row>
      <xdr:rowOff>13069</xdr:rowOff>
    </xdr:from>
    <xdr:to>
      <xdr:col>21</xdr:col>
      <xdr:colOff>131996</xdr:colOff>
      <xdr:row>40</xdr:row>
      <xdr:rowOff>93365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8090187" y="2875539"/>
          <a:ext cx="5400000" cy="4374000"/>
          <a:chOff x="2582187" y="2872408"/>
          <a:chExt cx="5400000" cy="4374000"/>
        </a:xfrm>
      </xdr:grpSpPr>
      <xdr:sp macro="doNothing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00000000-0008-0000-1600-000021000000}"/>
              </a:ext>
            </a:extLst>
          </xdr:cNvPr>
          <xdr:cNvSpPr/>
        </xdr:nvSpPr>
        <xdr:spPr>
          <a:xfrm>
            <a:off x="2582187" y="2872408"/>
            <a:ext cx="5400000" cy="4374000"/>
          </a:xfrm>
          <a:prstGeom prst="roundRect">
            <a:avLst>
              <a:gd name="adj" fmla="val 307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doNothing" textlink="">
        <xdr:nvSpPr>
          <xdr:cNvPr id="34" name="Retângulo: Cantos Superiores Arredondados 33">
            <a:extLst>
              <a:ext uri="{FF2B5EF4-FFF2-40B4-BE49-F238E27FC236}">
                <a16:creationId xmlns:a16="http://schemas.microsoft.com/office/drawing/2014/main" id="{00000000-0008-0000-1600-000022000000}"/>
              </a:ext>
            </a:extLst>
          </xdr:cNvPr>
          <xdr:cNvSpPr/>
        </xdr:nvSpPr>
        <xdr:spPr>
          <a:xfrm>
            <a:off x="2582187" y="2872408"/>
            <a:ext cx="5400000" cy="288000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3">
              <a:lumMod val="75000"/>
            </a:schemeClr>
          </a:solidFill>
          <a:ln>
            <a:solidFill>
              <a:schemeClr val="accent3">
                <a:lumMod val="75000"/>
              </a:schemeClr>
            </a:solidFill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  <a:latin typeface="BankGothic Lt BT" panose="020B0607020203060204" pitchFamily="34" charset="0"/>
              </a:rPr>
              <a:t>Investimentos</a:t>
            </a:r>
          </a:p>
        </xdr:txBody>
      </xdr:sp>
    </xdr:grpSp>
    <xdr:clientData/>
  </xdr:twoCellAnchor>
  <xdr:twoCellAnchor editAs="absolute">
    <xdr:from>
      <xdr:col>4</xdr:col>
      <xdr:colOff>37769</xdr:colOff>
      <xdr:row>8</xdr:row>
      <xdr:rowOff>51885</xdr:rowOff>
    </xdr:from>
    <xdr:to>
      <xdr:col>29</xdr:col>
      <xdr:colOff>299161</xdr:colOff>
      <xdr:row>15</xdr:row>
      <xdr:rowOff>59555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37769</xdr:colOff>
      <xdr:row>17</xdr:row>
      <xdr:rowOff>140165</xdr:rowOff>
    </xdr:from>
    <xdr:to>
      <xdr:col>12</xdr:col>
      <xdr:colOff>276934</xdr:colOff>
      <xdr:row>40</xdr:row>
      <xdr:rowOff>93365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455212</xdr:colOff>
      <xdr:row>17</xdr:row>
      <xdr:rowOff>140165</xdr:rowOff>
    </xdr:from>
    <xdr:to>
      <xdr:col>21</xdr:col>
      <xdr:colOff>58274</xdr:colOff>
      <xdr:row>40</xdr:row>
      <xdr:rowOff>93365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21</xdr:col>
      <xdr:colOff>246491</xdr:colOff>
      <xdr:row>17</xdr:row>
      <xdr:rowOff>140165</xdr:rowOff>
    </xdr:from>
    <xdr:to>
      <xdr:col>29</xdr:col>
      <xdr:colOff>233656</xdr:colOff>
      <xdr:row>40</xdr:row>
      <xdr:rowOff>93365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159465</xdr:colOff>
      <xdr:row>1</xdr:row>
      <xdr:rowOff>85540</xdr:rowOff>
    </xdr:from>
    <xdr:to>
      <xdr:col>3</xdr:col>
      <xdr:colOff>483152</xdr:colOff>
      <xdr:row>15</xdr:row>
      <xdr:rowOff>172879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Ano 3">
              <a:extLst>
                <a:ext uri="{FF2B5EF4-FFF2-40B4-BE49-F238E27FC236}">
                  <a16:creationId xmlns:a16="http://schemas.microsoft.com/office/drawing/2014/main" id="{00000000-0008-0000-1600-00002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64444"/>
              <a:ext cx="2232000" cy="259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159465</xdr:colOff>
      <xdr:row>15</xdr:row>
      <xdr:rowOff>165052</xdr:rowOff>
    </xdr:from>
    <xdr:to>
      <xdr:col>3</xdr:col>
      <xdr:colOff>483152</xdr:colOff>
      <xdr:row>23</xdr:row>
      <xdr:rowOff>65817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Data (Mês) 3">
              <a:extLst>
                <a:ext uri="{FF2B5EF4-FFF2-40B4-BE49-F238E27FC236}">
                  <a16:creationId xmlns:a16="http://schemas.microsoft.com/office/drawing/2014/main" id="{00000000-0008-0000-16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5" y="2848617"/>
              <a:ext cx="223200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63610</xdr:colOff>
          <xdr:row>16</xdr:row>
          <xdr:rowOff>0</xdr:rowOff>
        </xdr:from>
        <xdr:to>
          <xdr:col>12</xdr:col>
          <xdr:colOff>349857</xdr:colOff>
          <xdr:row>17</xdr:row>
          <xdr:rowOff>127221</xdr:rowOff>
        </xdr:to>
        <xdr:sp macro="" textlink="">
          <xdr:nvSpPr>
            <xdr:cNvPr id="9217" name="Spin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7951</xdr:colOff>
          <xdr:row>16</xdr:row>
          <xdr:rowOff>0</xdr:rowOff>
        </xdr:from>
        <xdr:to>
          <xdr:col>29</xdr:col>
          <xdr:colOff>302150</xdr:colOff>
          <xdr:row>17</xdr:row>
          <xdr:rowOff>127221</xdr:rowOff>
        </xdr:to>
        <xdr:sp macro="" textlink="">
          <xdr:nvSpPr>
            <xdr:cNvPr id="9218" name="Spin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477078</xdr:colOff>
          <xdr:row>16</xdr:row>
          <xdr:rowOff>0</xdr:rowOff>
        </xdr:from>
        <xdr:to>
          <xdr:col>21</xdr:col>
          <xdr:colOff>135172</xdr:colOff>
          <xdr:row>17</xdr:row>
          <xdr:rowOff>127221</xdr:rowOff>
        </xdr:to>
        <xdr:sp macro="" textlink="">
          <xdr:nvSpPr>
            <xdr:cNvPr id="9219" name="Spin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4537035" backgroundQuery="1" createdVersion="8" refreshedVersion="8" minRefreshableVersion="3" recordCount="0" supportSubquery="1" supportAdvancedDrill="1" xr:uid="{D6D8A195-012E-4DC4-9545-552231998D5B}">
  <cacheSource type="external" connectionId="5"/>
  <cacheFields count="4">
    <cacheField name="[Despesas].[Forma de Pagamento].[Forma de Pagamento]" caption="Forma de Pagamento" numFmtId="0" hierarchy="12" level="1">
      <sharedItems containsBlank="1" count="3">
        <m/>
        <s v="Cartão"/>
        <s v="Crédit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5578705" backgroundQuery="1" createdVersion="8" refreshedVersion="8" minRefreshableVersion="3" recordCount="0" supportSubquery="1" supportAdvancedDrill="1" xr:uid="{3DA72338-D0CB-459F-B207-59B1DC7CA0CF}">
  <cacheSource type="external" connectionId="5"/>
  <cacheFields count="4">
    <cacheField name="[tbSituação].[Situação].[Situação]" caption="Situação" numFmtId="0" hierarchy="62" level="1">
      <sharedItems count="2">
        <s v="EM DÍVIDA"/>
        <s v="PAGO"/>
      </sharedItems>
    </cacheField>
    <cacheField name="[Measures].[Contagem de Situação]" caption="Contagem de Situação" numFmtId="0" hierarchy="79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2" memberValueDatatype="130" unbalanced="0">
      <fieldsUsage count="2">
        <fieldUsage x="-1"/>
        <fieldUsage x="0"/>
      </fieldsUsage>
    </cacheHierarchy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696759" backgroundQuery="1" createdVersion="8" refreshedVersion="8" minRefreshableVersion="3" recordCount="0" supportSubquery="1" supportAdvancedDrill="1" xr:uid="{0DF61DE1-79A1-4F5F-94B3-A7F4F9483046}">
  <cacheSource type="external" connectionId="5"/>
  <cacheFields count="4">
    <cacheField name="[Despesas].[Situação].[Situação]" caption="Situação" numFmtId="0" hierarchy="18" level="1">
      <sharedItems count="2">
        <s v="EM DÍVIDA"/>
        <s v="PAG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800926" backgroundQuery="1" createdVersion="8" refreshedVersion="8" minRefreshableVersion="3" recordCount="0" supportSubquery="1" supportAdvancedDrill="1" xr:uid="{11784741-865B-42FD-BF10-26EBAC1BBF8E}">
  <cacheSource type="external" connectionId="5"/>
  <cacheFields count="3">
    <cacheField name="[tbMês].[Data (Mês)].[Data (Mês)]" caption="Data (Mês)" numFmtId="0" hierarchy="61" level="1">
      <sharedItems count="5">
        <s v="mai"/>
        <s v="jun"/>
        <s v="jul"/>
        <s v="ago"/>
        <s v="set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79050922" backgroundQuery="1" createdVersion="8" refreshedVersion="8" minRefreshableVersion="3" recordCount="0" supportSubquery="1" supportAdvancedDrill="1" xr:uid="{DFB0CBF3-508C-4CDA-A093-D33EA2180AAD}">
  <cacheSource type="external" connectionId="5"/>
  <cacheFields count="4">
    <cacheField name="[Despesas].[Tipo de Despesa].[Tipo de Despesa]" caption="Tipo de Despesa" numFmtId="0" hierarchy="9" level="1">
      <sharedItems containsBlank="1" count="2">
        <m/>
        <s v="Alimentação"/>
      </sharedItems>
    </cacheField>
    <cacheField name="[Measures].[Soma de Valor a Pagar]" caption="Soma de Valor a Pagar" numFmtId="0" hierarchy="80" level="32767"/>
    <cacheField name="[Despesas].[Ano].[Ano]" caption="Ano" numFmtId="0" hierarchy="7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>
      <fieldsUsage count="2">
        <fieldUsage x="-1"/>
        <fieldUsage x="2"/>
      </fieldsUsage>
    </cacheHierarchy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2" memberValueDatatype="130" unbalanced="0">
      <fieldsUsage count="2">
        <fieldUsage x="-1"/>
        <fieldUsage x="0"/>
      </fieldsUsage>
    </cacheHierarchy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7499997" backgroundQuery="1" createdVersion="8" refreshedVersion="8" minRefreshableVersion="3" recordCount="0" supportSubquery="1" supportAdvancedDrill="1" xr:uid="{241C8DFE-2396-4A2E-B53B-81E9061F0CF3}">
  <cacheSource type="external" connectionId="5"/>
  <cacheFields count="3">
    <cacheField name="[tbMês].[Data (Mês)].[Data (Mês)]" caption="Data (Mês)" numFmtId="0" hierarchy="61" level="1">
      <sharedItems count="2">
        <s v="abr"/>
        <s v="dez"/>
      </sharedItems>
    </cacheField>
    <cacheField name="[Measures].[Contagem de Data Recebida/A Receber]" caption="Contagem de Data Recebida/A Receber" numFmtId="0" hierarchy="81" level="32767"/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2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8310182" backgroundQuery="1" createdVersion="8" refreshedVersion="8" minRefreshableVersion="3" recordCount="0" supportSubquery="1" supportAdvancedDrill="1" xr:uid="{53B7D977-1D0B-4944-93FC-432892E798EF}">
  <cacheSource type="external" connectionId="5"/>
  <cacheFields count="4">
    <cacheField name="[Receitas].[Receita].[Receita]" caption="Receita" numFmtId="0" hierarchy="52" level="1">
      <sharedItems count="1">
        <s v="Salário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9236114" backgroundQuery="1" createdVersion="8" refreshedVersion="8" minRefreshableVersion="3" recordCount="0" supportSubquery="1" supportAdvancedDrill="1" xr:uid="{7614FC3A-F4D6-4894-B539-DC01AC57687B}">
  <cacheSource type="external" connectionId="5"/>
  <cacheFields count="4">
    <cacheField name="[Receitas].[Tipo de Receita].[Tipo de Receita]" caption="Tipo de Receita" numFmtId="0" hierarchy="51" level="1">
      <sharedItems count="1">
        <s v="Receitas Convencionais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0393522" backgroundQuery="1" createdVersion="8" refreshedVersion="8" minRefreshableVersion="3" recordCount="0" supportSubquery="1" supportAdvancedDrill="1" xr:uid="{9B604FFB-F004-4E0C-955F-586CD092288E}">
  <cacheSource type="external" connectionId="5"/>
  <cacheFields count="3">
    <cacheField name="[tbMês].[Data (Mês)].[Data (Mês)]" caption="Data (Mês)" numFmtId="0" hierarchy="61" level="1">
      <sharedItems count="1">
        <s v="abr"/>
      </sharedItems>
    </cacheField>
    <cacheField name="[Measures].[Soma de Valor 2]" caption="Soma de Valor 2" numFmtId="0" hierarchy="76" level="32767"/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2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1203707" backgroundQuery="1" createdVersion="8" refreshedVersion="8" minRefreshableVersion="3" recordCount="0" supportSubquery="1" supportAdvancedDrill="1" xr:uid="{DE296E37-7E22-48CF-B60F-D9ACD8DF021E}">
  <cacheSource type="external" connectionId="5"/>
  <cacheFields count="4">
    <cacheField name="[Receitas].[Destino].[Destino]" caption="Destino" numFmtId="0" hierarchy="54" level="1">
      <sharedItems count="1">
        <s v="Bradesco"/>
      </sharedItems>
    </cacheField>
    <cacheField name="[Measures].[Soma de Valor 2]" caption="Soma de Valor 2" numFmtId="0" hierarchy="76" level="32767"/>
    <cacheField name="[tbMês].[Data (Mês)].[Data (Mês)]" caption="Data (Mês)" numFmtId="0" hierarchy="61" level="1">
      <sharedItems containsSemiMixedTypes="0" containsNonDate="0" containsString="0"/>
    </cacheField>
    <cacheField name="[Receitas].[Ano].[Ano]" caption="Ano" numFmtId="0" hierarchy="49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>
      <fieldsUsage count="2">
        <fieldUsage x="-1"/>
        <fieldUsage x="3"/>
      </fieldsUsage>
    </cacheHierarchy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2" memberValueDatatype="130" unbalanced="0">
      <fieldsUsage count="2">
        <fieldUsage x="-1"/>
        <fieldUsage x="0"/>
      </fieldsUsage>
    </cacheHierarchy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2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9189813" backgroundQuery="1" createdVersion="8" refreshedVersion="8" minRefreshableVersion="3" recordCount="0" supportSubquery="1" supportAdvancedDrill="1" xr:uid="{2CADBC8A-AA98-4226-A60E-C53BACD5129F}">
  <cacheSource type="external" connectionId="5"/>
  <cacheFields count="4">
    <cacheField name="[Investimentos].[Investimento].[Investimento]" caption="Investimento" numFmtId="0" hierarchy="43" level="1">
      <sharedItems count="1">
        <s v="Ações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2" memberValueDatatype="130" unbalanced="0">
      <fieldsUsage count="2">
        <fieldUsage x="-1"/>
        <fieldUsage x="0"/>
      </fieldsUsage>
    </cacheHierarchy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0231482" backgroundQuery="1" createdVersion="8" refreshedVersion="8" minRefreshableVersion="3" recordCount="0" supportSubquery="1" supportAdvancedDrill="1" xr:uid="{64D5EFAC-7A5B-4D3F-87BE-2B5F3F41793D}">
  <cacheSource type="external" connectionId="5"/>
  <cacheFields count="4">
    <cacheField name="[Investimentos].[Tipo de Investimento].[Tipo de Investimento]" caption="Tipo de Investimento" numFmtId="0" hierarchy="42" level="1">
      <sharedItems count="1">
        <s v="Investimentos Convencionais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2" memberValueDatatype="130" unbalanced="0">
      <fieldsUsage count="2">
        <fieldUsage x="-1"/>
        <fieldUsage x="0"/>
      </fieldsUsage>
    </cacheHierarchy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1157406" backgroundQuery="1" createdVersion="8" refreshedVersion="8" minRefreshableVersion="3" recordCount="0" supportSubquery="1" supportAdvancedDrill="1" xr:uid="{C3154786-140E-4FB0-8BA3-3AB45F258C7C}">
  <cacheSource type="external" connectionId="5"/>
  <cacheFields count="3">
    <cacheField name="[tbMês].[Data (Mês)].[Data (Mês)]" caption="Data (Mês)" numFmtId="0" hierarchy="61" level="1">
      <sharedItems count="2">
        <s v="jan"/>
        <s v="fev"/>
      </sharedItems>
    </cacheField>
    <cacheField name="[Measures].[Contagem de Data de Investimento/A Investir]" caption="Contagem de Data de Investimento/A Investir" numFmtId="0" hierarchy="82" level="32767"/>
    <cacheField name="[Investimentos].[Ano].[Ano]" caption="Ano" numFmtId="0" hierarchy="40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1967591" backgroundQuery="1" createdVersion="8" refreshedVersion="8" minRefreshableVersion="3" recordCount="0" supportSubquery="1" supportAdvancedDrill="1" xr:uid="{3283FF48-E9B9-4B31-AD62-5865CDE28F67}">
  <cacheSource type="external" connectionId="5"/>
  <cacheFields count="3">
    <cacheField name="[tbMês].[Data (Mês)].[Data (Mês)]" caption="Data (Mês)" numFmtId="0" hierarchy="61" level="1">
      <sharedItems count="1">
        <s v="jan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403240738" backgroundQuery="1" createdVersion="8" refreshedVersion="8" minRefreshableVersion="3" recordCount="0" supportSubquery="1" supportAdvancedDrill="1" xr:uid="{10C7D9FA-F2BD-4D7B-97E5-146179915EB7}">
  <cacheSource type="external" connectionId="5"/>
  <cacheFields count="4">
    <cacheField name="[Investimentos].[Fonte].[Fonte]" caption="Fonte" numFmtId="0" hierarchy="45" level="1">
      <sharedItems count="1">
        <s v="Bradesco"/>
      </sharedItems>
    </cacheField>
    <cacheField name="[Measures].[Soma de Valor 3]" caption="Soma de Valor 3" numFmtId="0" hierarchy="77" level="32767"/>
    <cacheField name="[Investimentos].[Ano].[Ano]" caption="Ano" numFmtId="0" hierarchy="40" level="1">
      <sharedItems containsSemiMixedTypes="0" containsNonDate="0" containsString="0"/>
    </cacheField>
    <cacheField name="[tbMês].[Data (Mês)].[Data (Mês)]" caption="Data (Mês)" numFmtId="0" hierarchy="61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>
      <fieldsUsage count="2">
        <fieldUsage x="-1"/>
        <fieldUsage x="2"/>
      </fieldsUsage>
    </cacheHierarchy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2" memberValueDatatype="130" unbalanced="0">
      <fieldsUsage count="2">
        <fieldUsage x="-1"/>
        <fieldUsage x="0"/>
      </fieldsUsage>
    </cacheHierarchy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3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664467589" backgroundQuery="1" createdVersion="8" refreshedVersion="8" minRefreshableVersion="3" recordCount="0" supportSubquery="1" supportAdvancedDrill="1" xr:uid="{D50556E9-DAD0-46F1-8FA5-19B74F7CD402}">
  <cacheSource type="external" connectionId="5"/>
  <cacheFields count="5">
    <cacheField name="[tbMês].[Data (Mês)].[Data (Mês)]" caption="Data (Mês)" numFmtId="0" hierarchy="61" level="1">
      <sharedItems count="7">
        <s v="jan"/>
        <s v="abr"/>
        <s v="mai"/>
        <s v="jun"/>
        <s v="jul"/>
        <s v="ago"/>
        <s v="set"/>
      </sharedItems>
    </cacheField>
    <cacheField name="[Measures].[Soma de Valor]" caption="Soma de Valor" numFmtId="0" hierarchy="75" level="32767"/>
    <cacheField name="[Measures].[Soma de Valor 2]" caption="Soma de Valor 2" numFmtId="0" hierarchy="76" level="32767"/>
    <cacheField name="[Measures].[Soma de Valor 3]" caption="Soma de Valor 3" numFmtId="0" hierarchy="77" level="32767"/>
    <cacheField name="[tbAno].[Anos].[Anos]" caption="Anos" numFmtId="0" hierarchy="56" level="1">
      <sharedItems containsSemiMixedTypes="0" containsNonDate="0" containsString="0"/>
    </cacheField>
  </cacheFields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2" memberValueDatatype="20" unbalanced="0">
      <fieldsUsage count="2">
        <fieldUsage x="-1"/>
        <fieldUsage x="4"/>
      </fieldsUsage>
    </cacheHierarchy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>
      <fieldsUsage count="2">
        <fieldUsage x="-1"/>
        <fieldUsage x="0"/>
      </fieldsUsage>
    </cacheHierarchy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dimensions count="10">
    <dimension name="AlertaDespesas" uniqueName="[AlertaDespesas]" caption="AlertaDespesas"/>
    <dimension name="Despesas" uniqueName="[Despesas]" caption="Despesas"/>
    <dimension name="DespesasVariáveisTabela" uniqueName="[DespesasVariáveisTabela]" caption="DespesasVariáveisTabela"/>
    <dimension name="DívidasImpressão" uniqueName="[DívidasImpressão]" caption="DívidasImpressão"/>
    <dimension name="Investimentos" uniqueName="[Investimentos]" caption="Investimentos"/>
    <dimension measure="1" name="Measures" uniqueName="[Measures]" caption="Measures"/>
    <dimension name="Receitas" uniqueName="[Receitas]" caption="Receitas"/>
    <dimension name="tbAno" uniqueName="[tbAno]" caption="tbAno"/>
    <dimension name="tbMês" uniqueName="[tbMês]" caption="tbMês"/>
    <dimension name="tbSituação" uniqueName="[tbSituação]" caption="tbSituação"/>
  </dimensions>
  <measureGroups count="9">
    <measureGroup name="AlertaDespesas" caption="AlertaDespesas"/>
    <measureGroup name="Despesas" caption="Despesas"/>
    <measureGroup name="DespesasVariáveisTabela" caption="DespesasVariáveisTabela"/>
    <measureGroup name="DívidasImpressão" caption="DívidasImpressão"/>
    <measureGroup name="Investimentos" caption="Investimentos"/>
    <measureGroup name="Receitas" caption="Receitas"/>
    <measureGroup name="tbAno" caption="tbAno"/>
    <measureGroup name="tbMês" caption="tbMês"/>
    <measureGroup name="tbSituação" caption="tbSituação"/>
  </measureGroups>
  <maps count="16">
    <map measureGroup="0" dimension="0"/>
    <map measureGroup="1" dimension="1"/>
    <map measureGroup="1" dimension="7"/>
    <map measureGroup="1" dimension="8"/>
    <map measureGroup="1" dimension="9"/>
    <map measureGroup="2" dimension="2"/>
    <map measureGroup="3" dimension="3"/>
    <map measureGroup="4" dimension="4"/>
    <map measureGroup="4" dimension="7"/>
    <map measureGroup="4" dimension="8"/>
    <map measureGroup="5" dimension="6"/>
    <map measureGroup="5" dimension="7"/>
    <map measureGroup="5" dimension="8"/>
    <map measureGroup="6" dimension="7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67939815" backgroundQuery="1" createdVersion="3" refreshedVersion="8" minRefreshableVersion="3" recordCount="0" supportSubquery="1" supportAdvancedDrill="1" xr:uid="{E99712C3-2998-466C-875E-2653D9C1861A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2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40620141"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86574073" backgroundQuery="1" createdVersion="3" refreshedVersion="8" minRefreshableVersion="3" recordCount="0" supportSubquery="1" supportAdvancedDrill="1" xr:uid="{DE6EF76B-8B15-4320-B3FF-73CC7D8A113F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2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78848026"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5833333" backgroundQuery="1" createdVersion="3" refreshedVersion="8" minRefreshableVersion="3" recordCount="0" supportSubquery="1" supportAdvancedDrill="1" xr:uid="{FBDE9F82-5FD0-4F69-B156-AFC2CF847FB9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0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2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0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47950158"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SAC SOARES BARRETO" refreshedDate="45905.057398379628" backgroundQuery="1" createdVersion="3" refreshedVersion="8" minRefreshableVersion="3" recordCount="0" supportSubquery="1" supportAdvancedDrill="1" xr:uid="{6FFFB706-BE5A-47E0-91EF-A21EAC7A8282}">
  <cacheSource type="external" connectionId="5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83">
    <cacheHierarchy uniqueName="[AlertaDespesas].[Data de Vencimento]" caption="Data de Vencimento" attribute="1" time="1" defaultMemberUniqueName="[AlertaDespesas].[Data de Vencimento].[All]" allUniqueName="[AlertaDespesas].[Data de Vencimento].[All]" dimensionUniqueName="[AlertaDespesas]" displayFolder="" count="0" memberValueDatatype="7" unbalanced="0"/>
    <cacheHierarchy uniqueName="[AlertaDespesas].[Descrição]" caption="Descrição" attribute="1" defaultMemberUniqueName="[AlertaDespesas].[Descrição].[All]" allUniqueName="[AlertaDespesas].[Descrição].[All]" dimensionUniqueName="[AlertaDespesas]" displayFolder="" count="0" memberValueDatatype="130" unbalanced="0"/>
    <cacheHierarchy uniqueName="[AlertaDespesas].[Situação]" caption="Situação" attribute="1" defaultMemberUniqueName="[AlertaDespesas].[Situação].[All]" allUniqueName="[AlertaDespesas].[Situação].[All]" dimensionUniqueName="[AlertaDespesas]" displayFolder="" count="0" memberValueDatatype="130" unbalanced="0"/>
    <cacheHierarchy uniqueName="[AlertaDespesas].[Valor a Pagar]" caption="Valor a Pagar" attribute="1" defaultMemberUniqueName="[AlertaDespesas].[Valor a Pagar].[All]" allUniqueName="[AlertaDespesas].[Valor a Pagar].[All]" dimensionUniqueName="[AlertaDespesas]" displayFolder="" count="0" memberValueDatatype="5" unbalanced="0"/>
    <cacheHierarchy uniqueName="[Despesas].[Índice]" caption="Índice" attribute="1" defaultMemberUniqueName="[Despesas].[Índice].[All]" allUniqueName="[Despesas].[Índice].[All]" dimensionUniqueName="[Despesas]" displayFolder="" count="0" memberValueDatatype="20" unbalanced="0"/>
    <cacheHierarchy uniqueName="[Despesas].[Data de Vencimento]" caption="Data de Vencimento" attribute="1" time="1" defaultMemberUniqueName="[Despesas].[Data de Vencimento].[All]" allUniqueName="[Despesas].[Data de Vencimento].[All]" dimensionUniqueName="[Despesas]" displayFolder="" count="0" memberValueDatatype="7" unbalanced="0"/>
    <cacheHierarchy uniqueName="[Despesas].[Mês]" caption="Mês" attribute="1" defaultMemberUniqueName="[Despesas].[Mês].[All]" allUniqueName="[Despesas].[Mês].[All]" dimensionUniqueName="[Despesas]" displayFolder="" count="0" memberValueDatatype="130" unbalanced="0"/>
    <cacheHierarchy uniqueName="[Despesas].[Ano]" caption="Ano" attribute="1" defaultMemberUniqueName="[Despesas].[Ano].[All]" allUniqueName="[Despesas].[Ano].[All]" dimensionUniqueName="[Despesas]" displayFolder="" count="0" memberValueDatatype="130" unbalanced="0"/>
    <cacheHierarchy uniqueName="[Despesas].[Descrição]" caption="Descrição" attribute="1" defaultMemberUniqueName="[Despesas].[Descrição].[All]" allUniqueName="[Despesas].[Descrição].[All]" dimensionUniqueName="[Despesas]" displayFolder="" count="0" memberValueDatatype="130" unbalanced="0"/>
    <cacheHierarchy uniqueName="[Despesas].[Tipo de Despesa]" caption="Tipo de Despesa" attribute="1" defaultMemberUniqueName="[Despesas].[Tipo de Despesa].[All]" allUniqueName="[Despesas].[Tipo de Despesa].[All]" dimensionUniqueName="[Despesas]" displayFolder="" count="0" memberValueDatatype="130" unbalanced="0"/>
    <cacheHierarchy uniqueName="[Despesas].[Detalhamento de Despesa]" caption="Detalhamento de Despesa" attribute="1" defaultMemberUniqueName="[Despesas].[Detalhamento de Despesa].[All]" allUniqueName="[Despesas].[Detalhamento de Despesa].[All]" dimensionUniqueName="[Despesas]" displayFolder="" count="0" memberValueDatatype="130" unbalanced="0"/>
    <cacheHierarchy uniqueName="[Despesas].[Valor]" caption="Valor" attribute="1" defaultMemberUniqueName="[Despesas].[Valor].[All]" allUniqueName="[Despesas].[Valor].[All]" dimensionUniqueName="[Despesas]" displayFolder="" count="0" memberValueDatatype="20" unbalanced="0"/>
    <cacheHierarchy uniqueName="[Despesas].[Forma de Pagamento]" caption="Forma de Pagamento" attribute="1" defaultMemberUniqueName="[Despesas].[Forma de Pagamento].[All]" allUniqueName="[Despesas].[Forma de Pagamento].[All]" dimensionUniqueName="[Despesas]" displayFolder="" count="0" memberValueDatatype="130" unbalanced="0"/>
    <cacheHierarchy uniqueName="[Despesas].[Categoria de Pagamento]" caption="Categoria de Pagamento" attribute="1" defaultMemberUniqueName="[Despesas].[Categoria de Pagamento].[All]" allUniqueName="[Despesas].[Categoria de Pagamento].[All]" dimensionUniqueName="[Despesas]" displayFolder="" count="0" memberValueDatatype="130" unbalanced="0"/>
    <cacheHierarchy uniqueName="[Despesas].[Receita Usada]" caption="Receita Usada" attribute="1" defaultMemberUniqueName="[Despesas].[Receita Usada].[All]" allUniqueName="[Despesas].[Receita Usada].[All]" dimensionUniqueName="[Despesas]" displayFolder="" count="0" memberValueDatatype="130" unbalanced="0"/>
    <cacheHierarchy uniqueName="[Despesas].[Data de Pagamento]" caption="Data de Pagamento" attribute="1" defaultMemberUniqueName="[Despesas].[Data de Pagamento].[All]" allUniqueName="[Despesas].[Data de Pagamento].[All]" dimensionUniqueName="[Despesas]" displayFolder="" count="0" memberValueDatatype="130" unbalanced="0"/>
    <cacheHierarchy uniqueName="[Despesas].[Pago?]" caption="Pago?" attribute="1" defaultMemberUniqueName="[Despesas].[Pago?].[All]" allUniqueName="[Despesas].[Pago?].[All]" dimensionUniqueName="[Despesas]" displayFolder="" count="0" memberValueDatatype="130" unbalanced="0"/>
    <cacheHierarchy uniqueName="[Despesas].[Situação (Real)]" caption="Situação (Real)" attribute="1" defaultMemberUniqueName="[Despesas].[Situação (Real)].[All]" allUniqueName="[Despesas].[Situação (Real)].[All]" dimensionUniqueName="[Despesas]" displayFolder="" count="0" memberValueDatatype="130" unbalanced="0"/>
    <cacheHierarchy uniqueName="[Despesas].[Situação]" caption="Situação" attribute="1" defaultMemberUniqueName="[Despesas].[Situação].[All]" allUniqueName="[Despesas].[Situação].[All]" dimensionUniqueName="[Despesas]" displayFolder="" count="0" memberValueDatatype="130" unbalanced="0"/>
    <cacheHierarchy uniqueName="[Despesas].[Valor de Reajuste]" caption="Valor de Reajuste" attribute="1" defaultMemberUniqueName="[Despesas].[Valor de Reajuste].[All]" allUniqueName="[Despesas].[Valor de Reajuste].[All]" dimensionUniqueName="[Despesas]" displayFolder="" count="0" memberValueDatatype="130" unbalanced="0"/>
    <cacheHierarchy uniqueName="[Despesas].[Valor a Pagar]" caption="Valor a Pagar" attribute="1" defaultMemberUniqueName="[Despesas].[Valor a Pagar].[All]" allUniqueName="[Despesas].[Valor a Pagar].[All]" dimensionUniqueName="[Despesas]" displayFolder="" count="0" memberValueDatatype="20" unbalanced="0"/>
    <cacheHierarchy uniqueName="[Despesas].[Data de Vencimento (Ano)]" caption="Data de Vencimento (Ano)" attribute="1" defaultMemberUniqueName="[Despesas].[Data de Vencimento (Ano)].[All]" allUniqueName="[Despesas].[Data de Vencimento (Ano)].[All]" dimensionUniqueName="[Despesas]" displayFolder="" count="0" memberValueDatatype="130" unbalanced="0"/>
    <cacheHierarchy uniqueName="[Despesas].[Data de Vencimento (Trimestre)]" caption="Data de Vencimento (Trimestre)" attribute="1" defaultMemberUniqueName="[Despesas].[Data de Vencimento (Trimestre)].[All]" allUniqueName="[Despesas].[Data de Vencimento (Trimestre)].[All]" dimensionUniqueName="[Despesas]" displayFolder="" count="0" memberValueDatatype="130" unbalanced="0"/>
    <cacheHierarchy uniqueName="[Despesas].[Data de Vencimento (Mês)]" caption="Data de Vencimento (Mês)" attribute="1" defaultMemberUniqueName="[Despesas].[Data de Vencimento (Mês)].[All]" allUniqueName="[Despesas].[Data de Vencimento (Mês)].[All]" dimensionUniqueName="[Despesas]" displayFolder="" count="0" memberValueDatatype="130" unbalanced="0"/>
    <cacheHierarchy uniqueName="[DespesasVariáveisTabela].[Data de Vencimento]" caption="Data de Vencimento" attribute="1" time="1" defaultMemberUniqueName="[DespesasVariáveisTabela].[Data de Vencimento].[All]" allUniqueName="[DespesasVariáveisTabela].[Data de Vencimento].[All]" dimensionUniqueName="[DespesasVariáveisTabela]" displayFolder="" count="0" memberValueDatatype="7" unbalanced="0"/>
    <cacheHierarchy uniqueName="[DespesasVariáveisTabela].[Descrição]" caption="Descrição" attribute="1" defaultMemberUniqueName="[DespesasVariáveisTabela].[Descrição].[All]" allUniqueName="[DespesasVariáveisTabela].[Descrição].[All]" dimensionUniqueName="[DespesasVariáveisTabela]" displayFolder="" count="0" memberValueDatatype="130" unbalanced="0"/>
    <cacheHierarchy uniqueName="[DespesasVariáveisTabela].[Tipo de Despesa]" caption="Tipo de Despesa" attribute="1" defaultMemberUniqueName="[DespesasVariáveisTabela].[Tipo de Despesa].[All]" allUniqueName="[DespesasVariáveisTabela].[Tipo de Despesa].[All]" dimensionUniqueName="[DespesasVariáveisTabela]" displayFolder="" count="0" memberValueDatatype="130" unbalanced="0"/>
    <cacheHierarchy uniqueName="[DespesasVariáveisTabela].[Detalhamento de Despesa]" caption="Detalhamento de Despesa" attribute="1" defaultMemberUniqueName="[DespesasVariáveisTabela].[Detalhamento de Despesa].[All]" allUniqueName="[DespesasVariáveisTabela].[Detalhamento de Despesa].[All]" dimensionUniqueName="[DespesasVariáveisTabela]" displayFolder="" count="0" memberValueDatatype="130" unbalanced="0"/>
    <cacheHierarchy uniqueName="[DespesasVariáveisTabela].[Valor]" caption="Valor" attribute="1" defaultMemberUniqueName="[DespesasVariáveisTabela].[Valor].[All]" allUniqueName="[DespesasVariáveisTabela].[Valor].[All]" dimensionUniqueName="[DespesasVariáveisTabela]" displayFolder="" count="0" memberValueDatatype="5" unbalanced="0"/>
    <cacheHierarchy uniqueName="[DespesasVariáveisTabela].[Forma de Pagamento]" caption="Forma de Pagamento" attribute="1" defaultMemberUniqueName="[DespesasVariáveisTabela].[Forma de Pagamento].[All]" allUniqueName="[DespesasVariáveisTabela].[Forma de Pagamento].[All]" dimensionUniqueName="[DespesasVariáveisTabela]" displayFolder="" count="0" memberValueDatatype="130" unbalanced="0"/>
    <cacheHierarchy uniqueName="[DespesasVariáveisTabela].[Categoria de Pagamento]" caption="Categoria de Pagamento" attribute="1" defaultMemberUniqueName="[DespesasVariáveisTabela].[Categoria de Pagamento].[All]" allUniqueName="[DespesasVariáveisTabela].[Categoria de Pagamento].[All]" dimensionUniqueName="[DespesasVariáveisTabela]" displayFolder="" count="0" memberValueDatatype="130" unbalanced="0"/>
    <cacheHierarchy uniqueName="[DívidasImpressão].[Nome]" caption="Nome" attribute="1" defaultMemberUniqueName="[DívidasImpressão].[Nome].[All]" allUniqueName="[DívidasImpressão].[Nome].[All]" dimensionUniqueName="[DívidasImpressão]" displayFolder="" count="0" memberValueDatatype="130" unbalanced="0"/>
    <cacheHierarchy uniqueName="[DívidasImpressão].[Descrição]" caption="Descrição" attribute="1" defaultMemberUniqueName="[DívidasImpressão].[Descrição].[All]" allUniqueName="[DívidasImpressão].[Descrição].[All]" dimensionUniqueName="[DívidasImpressão]" displayFolder="" count="0" memberValueDatatype="130" unbalanced="0"/>
    <cacheHierarchy uniqueName="[DívidasImpressão].[Cartão Utilizado]" caption="Cartão Utilizado" attribute="1" defaultMemberUniqueName="[DívidasImpressão].[Cartão Utilizado].[All]" allUniqueName="[DívidasImpressão].[Cartão Utilizado].[All]" dimensionUniqueName="[DívidasImpressão]" displayFolder="" count="0" memberValueDatatype="130" unbalanced="0"/>
    <cacheHierarchy uniqueName="[DívidasImpressão].[Valor Parcelado]" caption="Valor Parcelado" attribute="1" defaultMemberUniqueName="[DívidasImpressão].[Valor Parcelado].[All]" allUniqueName="[DívidasImpressão].[Valor Parcelado].[All]" dimensionUniqueName="[DívidasImpressão]" displayFolder="" count="0" memberValueDatatype="5" unbalanced="0"/>
    <cacheHierarchy uniqueName="[DívidasImpressão].[Data de Vencimento]" caption="Data de Vencimento" attribute="1" time="1" defaultMemberUniqueName="[DívidasImpressão].[Data de Vencimento].[All]" allUniqueName="[DívidasImpressão].[Data de Vencimento].[All]" dimensionUniqueName="[DívidasImpressão]" displayFolder="" count="0" memberValueDatatype="7" unbalanced="0"/>
    <cacheHierarchy uniqueName="[DívidasImpressão].[Parcela]" caption="Parcela" attribute="1" defaultMemberUniqueName="[DívidasImpressão].[Parcela].[All]" allUniqueName="[DívidasImpressão].[Parcela].[All]" dimensionUniqueName="[DívidasImpressão]" displayFolder="" count="0" memberValueDatatype="130" unbalanced="0"/>
    <cacheHierarchy uniqueName="[Investimentos].[Índice]" caption="Índice" attribute="1" defaultMemberUniqueName="[Investimentos].[Índice].[All]" allUniqueName="[Investimentos].[Índice].[All]" dimensionUniqueName="[Investimentos]" displayFolder="" count="0" memberValueDatatype="20" unbalanced="0"/>
    <cacheHierarchy uniqueName="[Investimentos].[Data de Investimento/A Investir]" caption="Data de Investimento/A Investir" attribute="1" time="1" defaultMemberUniqueName="[Investimentos].[Data de Investimento/A Investir].[All]" allUniqueName="[Investimentos].[Data de Investimento/A Investir].[All]" dimensionUniqueName="[Investimentos]" displayFolder="" count="0" memberValueDatatype="7" unbalanced="0"/>
    <cacheHierarchy uniqueName="[Investimentos].[Mês]" caption="Mês" attribute="1" defaultMemberUniqueName="[Investimentos].[Mês].[All]" allUniqueName="[Investimentos].[Mês].[All]" dimensionUniqueName="[Investimentos]" displayFolder="" count="0" memberValueDatatype="130" unbalanced="0"/>
    <cacheHierarchy uniqueName="[Investimentos].[Ano]" caption="Ano" attribute="1" defaultMemberUniqueName="[Investimentos].[Ano].[All]" allUniqueName="[Investimentos].[Ano].[All]" dimensionUniqueName="[Investimentos]" displayFolder="" count="2" memberValueDatatype="20" unbalanced="0"/>
    <cacheHierarchy uniqueName="[Investimentos].[Descrição]" caption="Descrição" attribute="1" defaultMemberUniqueName="[Investimentos].[Descrição].[All]" allUniqueName="[Investimentos].[Descrição].[All]" dimensionUniqueName="[Investimentos]" displayFolder="" count="0" memberValueDatatype="130" unbalanced="0"/>
    <cacheHierarchy uniqueName="[Investimentos].[Tipo de Investimento]" caption="Tipo de Investimento" attribute="1" defaultMemberUniqueName="[Investimentos].[Tipo de Investimento].[All]" allUniqueName="[Investimentos].[Tipo de Investimento].[All]" dimensionUniqueName="[Investimentos]" displayFolder="" count="0" memberValueDatatype="130" unbalanced="0"/>
    <cacheHierarchy uniqueName="[Investimentos].[Investimento]" caption="Investimento" attribute="1" defaultMemberUniqueName="[Investimentos].[Investimento].[All]" allUniqueName="[Investimentos].[Investimento].[All]" dimensionUniqueName="[Investimentos]" displayFolder="" count="0" memberValueDatatype="130" unbalanced="0"/>
    <cacheHierarchy uniqueName="[Investimentos].[Valor]" caption="Valor" attribute="1" defaultMemberUniqueName="[Investimentos].[Valor].[All]" allUniqueName="[Investimentos].[Valor].[All]" dimensionUniqueName="[Investimentos]" displayFolder="" count="0" memberValueDatatype="20" unbalanced="0"/>
    <cacheHierarchy uniqueName="[Investimentos].[Fonte]" caption="Fonte" attribute="1" defaultMemberUniqueName="[Investimentos].[Fonte].[All]" allUniqueName="[Investimentos].[Fonte].[All]" dimensionUniqueName="[Investimentos]" displayFolder="" count="0" memberValueDatatype="130" unbalanced="0"/>
    <cacheHierarchy uniqueName="[Receitas].[Índice]" caption="Índice" attribute="1" defaultMemberUniqueName="[Receitas].[Índice].[All]" allUniqueName="[Receitas].[Índice].[All]" dimensionUniqueName="[Receitas]" displayFolder="" count="0" memberValueDatatype="20" unbalanced="0"/>
    <cacheHierarchy uniqueName="[Receitas].[Data Recebida/A Receber]" caption="Data Recebida/A Receber" attribute="1" time="1" defaultMemberUniqueName="[Receitas].[Data Recebida/A Receber].[All]" allUniqueName="[Receitas].[Data Recebida/A Receber].[All]" dimensionUniqueName="[Receitas]" displayFolder="" count="0" memberValueDatatype="7" unbalanced="0"/>
    <cacheHierarchy uniqueName="[Receitas].[Mês]" caption="Mês" attribute="1" defaultMemberUniqueName="[Receitas].[Mês].[All]" allUniqueName="[Receitas].[Mês].[All]" dimensionUniqueName="[Receitas]" displayFolder="" count="0" memberValueDatatype="130" unbalanced="0"/>
    <cacheHierarchy uniqueName="[Receitas].[Ano]" caption="Ano" attribute="1" defaultMemberUniqueName="[Receitas].[Ano].[All]" allUniqueName="[Receitas].[Ano].[All]" dimensionUniqueName="[Receitas]" displayFolder="" count="0" memberValueDatatype="130" unbalanced="0"/>
    <cacheHierarchy uniqueName="[Receitas].[Descrição]" caption="Descrição" attribute="1" defaultMemberUniqueName="[Receitas].[Descrição].[All]" allUniqueName="[Receitas].[Descrição].[All]" dimensionUniqueName="[Receitas]" displayFolder="" count="0" memberValueDatatype="130" unbalanced="0"/>
    <cacheHierarchy uniqueName="[Receitas].[Tipo de Receita]" caption="Tipo de Receita" attribute="1" defaultMemberUniqueName="[Receitas].[Tipo de Receita].[All]" allUniqueName="[Receitas].[Tipo de Receita].[All]" dimensionUniqueName="[Receitas]" displayFolder="" count="0" memberValueDatatype="130" unbalanced="0"/>
    <cacheHierarchy uniqueName="[Receitas].[Receita]" caption="Receita" attribute="1" defaultMemberUniqueName="[Receitas].[Receita].[All]" allUniqueName="[Receitas].[Receita].[All]" dimensionUniqueName="[Receitas]" displayFolder="" count="0" memberValueDatatype="130" unbalanced="0"/>
    <cacheHierarchy uniqueName="[Receitas].[Valor]" caption="Valor" attribute="1" defaultMemberUniqueName="[Receitas].[Valor].[All]" allUniqueName="[Receitas].[Valor].[All]" dimensionUniqueName="[Receitas]" displayFolder="" count="0" memberValueDatatype="20" unbalanced="0"/>
    <cacheHierarchy uniqueName="[Receitas].[Destino]" caption="Destino" attribute="1" defaultMemberUniqueName="[Receitas].[Destino].[All]" allUniqueName="[Receitas].[Destino].[All]" dimensionUniqueName="[Receitas]" displayFolder="" count="0" memberValueDatatype="130" unbalanced="0"/>
    <cacheHierarchy uniqueName="[Receitas].[Descrição da Receita]" caption="Descrição da Receita" attribute="1" defaultMemberUniqueName="[Receitas].[Descrição da Receita].[All]" allUniqueName="[Receitas].[Descrição da Receita].[All]" dimensionUniqueName="[Receitas]" displayFolder="" count="0" memberValueDatatype="130" unbalanced="0"/>
    <cacheHierarchy uniqueName="[tbAno].[Anos]" caption="Anos" attribute="1" defaultMemberUniqueName="[tbAno].[Anos].[All]" allUniqueName="[tbAno].[Anos].[All]" dimensionUniqueName="[tbAno]" displayFolder="" count="0" memberValueDatatype="20" unbalanced="0"/>
    <cacheHierarchy uniqueName="[tbMês].[Mês (Número)]" caption="Mês (Número)" attribute="1" defaultMemberUniqueName="[tbMês].[Mês (Número)].[All]" allUniqueName="[tbMês].[Mês (Número)].[All]" dimensionUniqueName="[tbMês]" displayFolder="" count="0" memberValueDatatype="20" unbalanced="0"/>
    <cacheHierarchy uniqueName="[tbMês].[Data]" caption="Data" attribute="1" time="1" defaultMemberUniqueName="[tbMês].[Data].[All]" allUniqueName="[tbMês].[Data].[All]" dimensionUniqueName="[tbMês]" displayFolder="" count="0" memberValueDatatype="7" unbalanced="0"/>
    <cacheHierarchy uniqueName="[tbMês].[Mês]" caption="Mês" attribute="1" defaultMemberUniqueName="[tbMês].[Mês].[All]" allUniqueName="[tbMês].[Mês].[All]" dimensionUniqueName="[tbMês]" displayFolder="" count="0" memberValueDatatype="130" unbalanced="0"/>
    <cacheHierarchy uniqueName="[tbMês].[Mês Completo]" caption="Mês Completo" attribute="1" defaultMemberUniqueName="[tbMês].[Mês Completo].[All]" allUniqueName="[tbMês].[Mês Completo].[All]" dimensionUniqueName="[tbMês]" displayFolder="" count="0" memberValueDatatype="130" unbalanced="0"/>
    <cacheHierarchy uniqueName="[tbMês].[Data (Mês)]" caption="Data (Mês)" attribute="1" defaultMemberUniqueName="[tbMês].[Data (Mês)].[All]" allUniqueName="[tbMês].[Data (Mês)].[All]" dimensionUniqueName="[tbMês]" displayFolder="" count="2" memberValueDatatype="130" unbalanced="0"/>
    <cacheHierarchy uniqueName="[tbSituação].[Situação]" caption="Situação" attribute="1" defaultMemberUniqueName="[tbSituação].[Situação].[All]" allUniqueName="[tbSituação].[Situação].[All]" dimensionUniqueName="[tbSituação]" displayFolder="" count="0" memberValueDatatype="130" unbalanced="0"/>
    <cacheHierarchy uniqueName="[Despesas].[Data de Vencimento (Índice de Mês)]" caption="Data de Vencimento (Índice de Mês)" attribute="1" defaultMemberUniqueName="[Despesas].[Data de Vencimento (Índice de Mês)].[All]" allUniqueName="[Despesas].[Data de Vencimento (Índice de Mês)].[All]" dimensionUniqueName="[Despesas]" displayFolder="" count="0" memberValueDatatype="20" unbalanced="0" hidden="1"/>
    <cacheHierarchy uniqueName="[tbMês].[Data (Índice de Mês)]" caption="Data (Índice de Mês)" attribute="1" defaultMemberUniqueName="[tbMês].[Data (Índice de Mês)].[All]" allUniqueName="[tbMês].[Data (Índice de Mês)].[All]" dimensionUniqueName="[tbMês]" displayFolder="" count="0" memberValueDatatype="20" unbalanced="0" hidden="1"/>
    <cacheHierarchy uniqueName="[Measures].[__XL_Count DívidasImpressão]" caption="__XL_Count DívidasImpressão" measure="1" displayFolder="" measureGroup="DívidasImpressão" count="0" hidden="1"/>
    <cacheHierarchy uniqueName="[Measures].[__XL_Count Despesas]" caption="__XL_Count Despesas" measure="1" displayFolder="" measureGroup="Despesas" count="0" hidden="1"/>
    <cacheHierarchy uniqueName="[Measures].[__XL_Count tbMês]" caption="__XL_Count tbMês" measure="1" displayFolder="" measureGroup="tbMês" count="0" hidden="1"/>
    <cacheHierarchy uniqueName="[Measures].[__XL_Count Receitas]" caption="__XL_Count Receitas" measure="1" displayFolder="" measureGroup="Receitas" count="0" hidden="1"/>
    <cacheHierarchy uniqueName="[Measures].[__XL_Count Investimentos]" caption="__XL_Count Investimentos" measure="1" displayFolder="" measureGroup="Investimentos" count="0" hidden="1"/>
    <cacheHierarchy uniqueName="[Measures].[__XL_Count tbSituação]" caption="__XL_Count tbSituação" measure="1" displayFolder="" measureGroup="tbSituação" count="0" hidden="1"/>
    <cacheHierarchy uniqueName="[Measures].[__XL_Count tbAno]" caption="__XL_Count tbAno" measure="1" displayFolder="" measureGroup="tbAno" count="0" hidden="1"/>
    <cacheHierarchy uniqueName="[Measures].[__XL_Count DespesasVariáveisTabela]" caption="__XL_Count DespesasVariáveisTabela" measure="1" displayFolder="" measureGroup="DespesasVariáveisTabela" count="0" hidden="1"/>
    <cacheHierarchy uniqueName="[Measures].[__XL_Count AlertaDespesas]" caption="__XL_Count AlertaDespesas" measure="1" displayFolder="" measureGroup="AlertaDespesas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Despes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Valor 2]" caption="Soma de Valor 2" measure="1" displayFolder="" measureGroup="Receitas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a de Valor 3]" caption="Soma de Valor 3" measure="1" displayFolder="" measureGroup="Investimento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Contagem de Valor de Reajuste]" caption="Contagem de Valor de Reajuste" measure="1" displayFolder="" measureGroup="Despesa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ntagem de Situação]" caption="Contagem de Situação" measure="1" displayFolder="" measureGroup="Despesa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Valor a Pagar]" caption="Soma de Valor a Pagar" measure="1" displayFolder="" measureGroup="Despesa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Data Recebida/A Receber]" caption="Contagem de Data Recebida/A Receber" measure="1" displayFolder="" measureGroup="Receitas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Contagem de Data de Investimento/A Investir]" caption="Contagem de Data de Investimento/A Investir" measure="1" displayFolder="" measureGroup="Investimento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262619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1C6919-4B93-438C-AC21-46C1A2AF3F12}" name="mesResumo" cacheId="15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Mês">
  <location ref="P1:S8" firstHeaderRow="0" firstDataRow="1" firstDataCol="1"/>
  <pivotFields count="5">
    <pivotField axis="axisRow" allDrilled="1" subtotalTop="0" showAll="0" dataSourceSort="1" defaultSubtotal="0">
      <items count="7">
        <item x="0" e="0"/>
        <item x="1" e="0"/>
        <item x="2" e="0"/>
        <item x="3" e="0"/>
        <item x="4" e="0"/>
        <item x="5" e="0"/>
        <item x="6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name="Receitas" fld="2" baseField="0" baseItem="0"/>
    <dataField name="Despesas" fld="1" baseField="0" baseItem="0"/>
    <dataField name="Investimentos" fld="3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Despesa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Despesas]"/>
        <x15:activeTabTopLevelEntity name="[Receitas]"/>
        <x15:activeTabTopLevelEntity name="[Investimentos]"/>
        <x15:activeTabTopLevelEntity name="[tbAn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CA132-DA31-48B1-98E1-0FA6221C7566}" name="despTipo" cacheId="4" applyNumberFormats="0" applyBorderFormats="0" applyFontFormats="0" applyPatternFormats="0" applyAlignmentFormats="0" applyWidthHeightFormats="1" dataCaption="Valores" showMissing="0" tag="9c960048-349f-4a30-b453-d53dca064b0e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Tipo de Despesa" fieldListSortAscending="1">
  <location ref="G1:H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AE1DDF-95FE-4EAE-B87F-7D5EC07031C8}" name="despMês" cacheId="3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Mês">
  <location ref="A1:B6" firstHeaderRow="1" firstDataRow="1" firstDataCol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Despes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B35E67-9FA2-46C9-A50D-5C1A905559E8}" name="despQtdeSituação" cacheId="1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Situação" customListSort="0">
  <location ref="AN1:AO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Qtde. de Situação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Qtde. de Situação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tbSituação]"/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CD7F3E-F138-4DCA-AE30-7F3EDC65B1A9}" name="despSituação" cacheId="2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Situação" fieldListSortAscending="1">
  <location ref="AA1:AB3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Soma de Valor a Pagar" fld="1" baseField="0" baseItem="0"/>
  </dataFields>
  <formats count="1">
    <format dxfId="0">
      <pivotArea field="0" type="button" dataOnly="0" labelOnly="1" outline="0" axis="axisRow" fieldPosition="0"/>
    </format>
  </format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7F89CE-835F-4EFE-A49B-0C8C7E035CBA}" name="despPagamento" cacheId="0" applyNumberFormats="0" applyBorderFormats="0" applyFontFormats="0" applyPatternFormats="0" applyAlignmentFormats="0" applyWidthHeightFormats="1" dataCaption="Valores" showMissing="0" updatedVersion="8" minRefreshableVersion="3" showDrill="0" showMemberPropertyTips="0" showDataTips="0" enableDrill="0" subtotalHiddenItems="1" rowGrandTotals="0" colGrandTotals="0" createdVersion="8" indent="0" outline="1" outlineData="1" multipleFieldFilters="0" rowHeaderCaption="Formas de Pagamento" fieldListSortAscending="1">
  <location ref="Q1:R4" firstHeaderRow="1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oma de Valor a Paga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espesas].[Ano].&amp;[2025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Valor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0" showColHeaders="0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 calculatedMembersInFilters="1" hideValuesRow="1"/>
    </ext>
    <ext xmlns:x15="http://schemas.microsoft.com/office/spreadsheetml/2010/11/main" uri="{E67621CE-5B39-4880-91FE-76760E9C1902}">
      <x15:pivotTableUISettings>
        <x15:activeTabTopLevelEntity name="[Despes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327890-5C7B-415F-9967-3C48F1774711}" name="recDestino" cacheId="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Destino de Receita">
  <location ref="Q1:R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19C09-58ED-42B8-9D97-E4F7F98A48C0}" name="recTipo" cacheId="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Tipo de Receita">
  <location ref="G1:H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8AE92-6E8C-4D3A-8973-EE81ED5020D4}" name="recMês" cacheId="8" applyNumberFormats="0" applyBorderFormats="0" applyFontFormats="0" applyPatternFormats="0" applyAlignmentFormats="0" applyWidthHeightFormats="1" dataCaption="Valores" updatedVersion="8" minRefreshableVersion="3" useAutoFormatting="1" subtotalHiddenItems="1" rowGrandTotals="0" colGrandTotals="0" itemPrintTitles="1" createdVersion="8" indent="0" outline="1" outlineData="1" multipleFieldFilters="0" rowHeaderCaption="Mês">
  <location ref="A1:B2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Recei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784EB-D5C7-4DF9-A12A-23BF1A75E512}" name="qtdeReceitas" cacheId="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N1:AO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Contagem de Data Recebida/A Receber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Recei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F016D-CF0E-43CB-8235-357D19E8E455}" name="recReceita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Receita">
  <location ref="AA1:AB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ceita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E4E1AA-968D-401D-A9E8-4233C2198171}" name="invFonte" cacheId="1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Fonte de Investimento">
  <location ref="Q1:R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75500-957E-451C-9703-414CBD69066C}" name="invTipo" cacheId="1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Tipo de Investimento">
  <location ref="G1:H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9DFFB-82B9-46B9-B9C1-2CAFF0C798FB}" name="invMês" cacheId="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Mês">
  <location ref="A1:B2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Investim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6547F-1F22-44B7-9831-C3177AA5737F}" name="qtdeInvestimentos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N1:AO3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>
      <x v="1"/>
    </i>
  </rowItems>
  <colItems count="1">
    <i/>
  </colItems>
  <dataFields count="1">
    <dataField name="Contagem de Data de Investimento/A Investir" fld="1" subtotal="count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Mês]"/>
        <x15:activeTabTopLevelEntity name="[Investimen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97C014-C523-4A60-B9B0-B2FDDA1D9299}" name="invInvestimento" cacheId="1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rowHeaderCaption="Investimento">
  <location ref="AA1:AB2" firstHeaderRow="1" firstDataRow="1" firstDataCol="1"/>
  <pivotFields count="4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name="Soma de Valor" fld="1" baseField="0" baseItem="0"/>
  </dataFields>
  <pivotHierarchies count="8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stimentos]"/>
        <x15:activeTabTopLevelEntity name="[tbMê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E68C312-4863-4D0E-BCA6-BA66BB2D6D70}" autoFormatId="16" applyNumberFormats="0" applyBorderFormats="0" applyFontFormats="0" applyPatternFormats="0" applyAlignmentFormats="0" applyWidthHeightFormats="0">
  <queryTableRefresh nextId="8">
    <queryTableFields count="7">
      <queryTableField id="1" name="Data de Vencimento" tableColumnId="1"/>
      <queryTableField id="2" name="Descrição" tableColumnId="2"/>
      <queryTableField id="3" name="Tipo de Despesa" tableColumnId="3"/>
      <queryTableField id="4" name="Detalhamento de Despesa" tableColumnId="4"/>
      <queryTableField id="5" name="Valor" tableColumnId="5"/>
      <queryTableField id="6" name="Forma de Pagamento" tableColumnId="6"/>
      <queryTableField id="7" name="Categoria de Pagamento" tableColumnId="7"/>
    </queryTableFields>
  </queryTableRefresh>
  <extLst>
    <ext xmlns:x15="http://schemas.microsoft.com/office/spreadsheetml/2010/11/main" uri="{883FBD77-0823-4a55-B5E3-86C4891E6966}">
      <x15:queryTable sourceDataName="Consulta - DespesasVariáveisTabel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B2C0EA1E-120A-4827-A080-AF57FB2C1F08}" sourceName="[tbMês].[Data (Mês)]">
  <pivotTables>
    <pivotTable tabId="17" name="despPagamento"/>
    <pivotTable tabId="17" name="despQtdeSituação"/>
    <pivotTable tabId="17" name="despSituação"/>
    <pivotTable tabId="17" name="despTipo"/>
  </pivotTables>
  <data>
    <olap pivotCacheId="340620141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mai]" c="mai"/>
              <i n="[tbMês].[Data (Mês)].&amp;[jun]" c="jun"/>
              <i n="[tbMês].[Data (Mês)].&amp;[jul]" c="jul"/>
              <i n="[tbMês].[Data (Mês)].&amp;[ago]" c="ago"/>
              <i n="[tbMês].[Data (Mês)].&amp;[set]" c="set"/>
              <i n="[tbMês].[Data (Mês)].&amp;[jan]" c="jan" nd="1"/>
              <i n="[tbMês].[Data (Mês)].&amp;[fev]" c="fev" nd="1"/>
              <i n="[tbMês].[Data (Mês)].&amp;[mar]" c="mar" nd="1"/>
              <i n="[tbMês].[Data (Mês)].&amp;[abr]" c="abr" nd="1"/>
              <i n="[tbMês].[Data (Mês)].&amp;[out]" c="out" nd="1"/>
              <i n="[tbMês].[Data (Mês)].&amp;[nov]" c="nov" nd="1"/>
              <i n="[tbMês].[Data (Mês)].&amp;[dez]" c="dez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4EDBBC10-D763-48FC-8037-5ECFCA9E95B3}" sourceName="[Despesas].[Ano]">
  <pivotTables>
    <pivotTable tabId="17" name="despTipo"/>
    <pivotTable tabId="17" name="despMês"/>
    <pivotTable tabId="17" name="despPagamento"/>
    <pivotTable tabId="17" name="despQtdeSituação"/>
    <pivotTable tabId="17" name="despSituação"/>
  </pivotTables>
  <data>
    <olap pivotCacheId="340620141">
      <levels count="2">
        <level uniqueName="[Despesas].[Ano].[(All)]" sourceCaption="(All)" count="0"/>
        <level uniqueName="[Despesas].[Ano].[Ano]" sourceCaption="Ano" count="2">
          <ranges>
            <range startItem="0">
              <i n="[Despesas].[Ano].&amp;[]" c=""/>
              <i n="[Despesas].[Ano].&amp;[2025]" c="2025"/>
            </range>
          </ranges>
        </level>
      </levels>
      <selections count="1">
        <selection n="[Despesas].[Ano].&amp;[2025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" xr10:uid="{30383661-0B57-4E40-A0D1-F90438F26A09}" sourceName="[tbAno].[Anos]">
  <pivotTables>
    <pivotTable tabId="16" name="mesResumo"/>
  </pivotTables>
  <data>
    <olap pivotCacheId="747950158">
      <levels count="2">
        <level uniqueName="[tbAno].[Anos].[(All)]" sourceCaption="(All)" count="0"/>
        <level uniqueName="[tbAno].[Anos].[Anos]" sourceCaption="Anos" count="101" sortOrder="ascending">
          <ranges>
            <range startItem="0">
              <i n="[tbAno].[Anos].&amp;[2024]" c="2024"/>
              <i n="[tbAno].[Anos].&amp;[2025]" c="2025"/>
              <i n="[tbAno].[Anos].&amp;[2026]" c="2026"/>
              <i n="[tbAno].[Anos].&amp;" c="(vazio)" nd="1"/>
              <i n="[tbAno].[Anos].&amp;[2021]" c="2021" nd="1"/>
              <i n="[tbAno].[Anos].&amp;[2022]" c="2022" nd="1"/>
              <i n="[tbAno].[Anos].&amp;[2023]" c="2023" nd="1"/>
              <i n="[tbAno].[Anos].&amp;[2027]" c="2027" nd="1"/>
              <i n="[tbAno].[Anos].&amp;[2028]" c="2028" nd="1"/>
              <i n="[tbAno].[Anos].&amp;[2029]" c="2029" nd="1"/>
              <i n="[tbAno].[Anos].&amp;[2030]" c="2030" nd="1"/>
              <i n="[tbAno].[Anos].&amp;[2031]" c="2031" nd="1"/>
              <i n="[tbAno].[Anos].&amp;[2032]" c="2032" nd="1"/>
              <i n="[tbAno].[Anos].&amp;[2033]" c="2033" nd="1"/>
              <i n="[tbAno].[Anos].&amp;[2034]" c="2034" nd="1"/>
              <i n="[tbAno].[Anos].&amp;[2035]" c="2035" nd="1"/>
              <i n="[tbAno].[Anos].&amp;[2036]" c="2036" nd="1"/>
              <i n="[tbAno].[Anos].&amp;[2037]" c="2037" nd="1"/>
              <i n="[tbAno].[Anos].&amp;[2038]" c="2038" nd="1"/>
              <i n="[tbAno].[Anos].&amp;[2039]" c="2039" nd="1"/>
              <i n="[tbAno].[Anos].&amp;[2040]" c="2040" nd="1"/>
              <i n="[tbAno].[Anos].&amp;[2041]" c="2041" nd="1"/>
              <i n="[tbAno].[Anos].&amp;[2042]" c="2042" nd="1"/>
              <i n="[tbAno].[Anos].&amp;[2043]" c="2043" nd="1"/>
              <i n="[tbAno].[Anos].&amp;[2044]" c="2044" nd="1"/>
              <i n="[tbAno].[Anos].&amp;[2045]" c="2045" nd="1"/>
              <i n="[tbAno].[Anos].&amp;[2046]" c="2046" nd="1"/>
              <i n="[tbAno].[Anos].&amp;[2047]" c="2047" nd="1"/>
              <i n="[tbAno].[Anos].&amp;[2048]" c="2048" nd="1"/>
              <i n="[tbAno].[Anos].&amp;[2049]" c="2049" nd="1"/>
              <i n="[tbAno].[Anos].&amp;[2050]" c="2050" nd="1"/>
              <i n="[tbAno].[Anos].&amp;[2051]" c="2051" nd="1"/>
              <i n="[tbAno].[Anos].&amp;[2052]" c="2052" nd="1"/>
              <i n="[tbAno].[Anos].&amp;[2053]" c="2053" nd="1"/>
              <i n="[tbAno].[Anos].&amp;[2054]" c="2054" nd="1"/>
              <i n="[tbAno].[Anos].&amp;[2055]" c="2055" nd="1"/>
              <i n="[tbAno].[Anos].&amp;[2056]" c="2056" nd="1"/>
              <i n="[tbAno].[Anos].&amp;[2057]" c="2057" nd="1"/>
              <i n="[tbAno].[Anos].&amp;[2058]" c="2058" nd="1"/>
              <i n="[tbAno].[Anos].&amp;[2059]" c="2059" nd="1"/>
              <i n="[tbAno].[Anos].&amp;[2060]" c="2060" nd="1"/>
              <i n="[tbAno].[Anos].&amp;[2061]" c="2061" nd="1"/>
              <i n="[tbAno].[Anos].&amp;[2062]" c="2062" nd="1"/>
              <i n="[tbAno].[Anos].&amp;[2063]" c="2063" nd="1"/>
              <i n="[tbAno].[Anos].&amp;[2064]" c="2064" nd="1"/>
              <i n="[tbAno].[Anos].&amp;[2065]" c="2065" nd="1"/>
              <i n="[tbAno].[Anos].&amp;[2066]" c="2066" nd="1"/>
              <i n="[tbAno].[Anos].&amp;[2067]" c="2067" nd="1"/>
              <i n="[tbAno].[Anos].&amp;[2068]" c="2068" nd="1"/>
              <i n="[tbAno].[Anos].&amp;[2069]" c="2069" nd="1"/>
              <i n="[tbAno].[Anos].&amp;[2070]" c="2070" nd="1"/>
              <i n="[tbAno].[Anos].&amp;[2071]" c="2071" nd="1"/>
              <i n="[tbAno].[Anos].&amp;[2072]" c="2072" nd="1"/>
              <i n="[tbAno].[Anos].&amp;[2073]" c="2073" nd="1"/>
              <i n="[tbAno].[Anos].&amp;[2074]" c="2074" nd="1"/>
              <i n="[tbAno].[Anos].&amp;[2075]" c="2075" nd="1"/>
              <i n="[tbAno].[Anos].&amp;[2076]" c="2076" nd="1"/>
              <i n="[tbAno].[Anos].&amp;[2077]" c="2077" nd="1"/>
              <i n="[tbAno].[Anos].&amp;[2078]" c="2078" nd="1"/>
              <i n="[tbAno].[Anos].&amp;[2079]" c="2079" nd="1"/>
              <i n="[tbAno].[Anos].&amp;[2080]" c="2080" nd="1"/>
              <i n="[tbAno].[Anos].&amp;[2081]" c="2081" nd="1"/>
              <i n="[tbAno].[Anos].&amp;[2082]" c="2082" nd="1"/>
              <i n="[tbAno].[Anos].&amp;[2083]" c="2083" nd="1"/>
              <i n="[tbAno].[Anos].&amp;[2084]" c="2084" nd="1"/>
              <i n="[tbAno].[Anos].&amp;[2085]" c="2085" nd="1"/>
              <i n="[tbAno].[Anos].&amp;[2086]" c="2086" nd="1"/>
              <i n="[tbAno].[Anos].&amp;[2087]" c="2087" nd="1"/>
              <i n="[tbAno].[Anos].&amp;[2088]" c="2088" nd="1"/>
              <i n="[tbAno].[Anos].&amp;[2089]" c="2089" nd="1"/>
              <i n="[tbAno].[Anos].&amp;[2090]" c="2090" nd="1"/>
              <i n="[tbAno].[Anos].&amp;[2091]" c="2091" nd="1"/>
              <i n="[tbAno].[Anos].&amp;[2092]" c="2092" nd="1"/>
              <i n="[tbAno].[Anos].&amp;[2093]" c="2093" nd="1"/>
              <i n="[tbAno].[Anos].&amp;[2094]" c="2094" nd="1"/>
              <i n="[tbAno].[Anos].&amp;[2095]" c="2095" nd="1"/>
              <i n="[tbAno].[Anos].&amp;[2096]" c="2096" nd="1"/>
              <i n="[tbAno].[Anos].&amp;[2097]" c="2097" nd="1"/>
              <i n="[tbAno].[Anos].&amp;[2098]" c="2098" nd="1"/>
              <i n="[tbAno].[Anos].&amp;[2099]" c="2099" nd="1"/>
              <i n="[tbAno].[Anos].&amp;[2100]" c="2100" nd="1"/>
              <i n="[tbAno].[Anos].&amp;[2101]" c="2101" nd="1"/>
              <i n="[tbAno].[Anos].&amp;[2102]" c="2102" nd="1"/>
              <i n="[tbAno].[Anos].&amp;[2103]" c="2103" nd="1"/>
              <i n="[tbAno].[Anos].&amp;[2104]" c="2104" nd="1"/>
              <i n="[tbAno].[Anos].&amp;[2105]" c="2105" nd="1"/>
              <i n="[tbAno].[Anos].&amp;[2106]" c="2106" nd="1"/>
              <i n="[tbAno].[Anos].&amp;[2107]" c="2107" nd="1"/>
              <i n="[tbAno].[Anos].&amp;[2108]" c="2108" nd="1"/>
              <i n="[tbAno].[Anos].&amp;[2109]" c="2109" nd="1"/>
              <i n="[tbAno].[Anos].&amp;[2110]" c="2110" nd="1"/>
              <i n="[tbAno].[Anos].&amp;[2111]" c="2111" nd="1"/>
              <i n="[tbAno].[Anos].&amp;[2112]" c="2112" nd="1"/>
              <i n="[tbAno].[Anos].&amp;[2113]" c="2113" nd="1"/>
              <i n="[tbAno].[Anos].&amp;[2114]" c="2114" nd="1"/>
              <i n="[tbAno].[Anos].&amp;[2115]" c="2115" nd="1"/>
              <i n="[tbAno].[Anos].&amp;[2116]" c="2116" nd="1"/>
              <i n="[tbAno].[Anos].&amp;[2117]" c="2117" nd="1"/>
              <i n="[tbAno].[Anos].&amp;[2118]" c="2118" nd="1"/>
              <i n="[tbAno].[Anos].&amp;[2119]" c="2119" nd="1"/>
              <i n="[tbAno].[Anos].&amp;[2120]" c="2120" nd="1"/>
            </range>
          </ranges>
        </level>
      </levels>
      <selections count="1">
        <selection n="[tbAno].[Anos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tbAno].[Anos].[Anos]" count="98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1" xr10:uid="{4439B517-CD71-44D3-A1B0-D64928CAEB8C}" sourceName="[tbMês].[Data (Mês)]">
  <pivotTables>
    <pivotTable tabId="18" name="qtdeReceitas"/>
    <pivotTable tabId="18" name="recDestino"/>
    <pivotTable tabId="18" name="recReceita"/>
    <pivotTable tabId="18" name="recTipo"/>
  </pivotTables>
  <data>
    <olap pivotCacheId="1078848026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abr]" c="abr"/>
              <i n="[tbMês].[Data (Mês)].&amp;[dez]" c="dez"/>
              <i n="[tbMês].[Data (Mês)].&amp;[jan]" c="jan" nd="1"/>
              <i n="[tbMês].[Data (Mês)].&amp;[fev]" c="fev" nd="1"/>
              <i n="[tbMês].[Data (Mês)].&amp;[mar]" c="mar" nd="1"/>
              <i n="[tbMês].[Data (Mês)].&amp;[mai]" c="mai" nd="1"/>
              <i n="[tbMês].[Data (Mês)].&amp;[jun]" c="jun" nd="1"/>
              <i n="[tbMês].[Data (Mês)].&amp;[jul]" c="jul" nd="1"/>
              <i n="[tbMês].[Data (Mês)].&amp;[ago]" c="ago" nd="1"/>
              <i n="[tbMês].[Data (Mês)].&amp;[set]" c="set" nd="1"/>
              <i n="[tbMês].[Data (Mês)].&amp;[out]" c="out" nd="1"/>
              <i n="[tbMês].[Data (Mês)].&amp;[nov]" c="nov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E8B8DC8D-B7B3-4C47-AECC-870B3237EB9C}" sourceName="[Receitas].[Ano]">
  <pivotTables>
    <pivotTable tabId="18" name="recMês"/>
    <pivotTable tabId="18" name="qtdeReceitas"/>
    <pivotTable tabId="18" name="recDestino"/>
    <pivotTable tabId="18" name="recReceita"/>
    <pivotTable tabId="18" name="recTipo"/>
  </pivotTables>
  <data>
    <olap pivotCacheId="1078848026">
      <levels count="2">
        <level uniqueName="[Receitas].[Ano].[(All)]" sourceCaption="(All)" count="0"/>
        <level uniqueName="[Receitas].[Ano].[Ano]" sourceCaption="Ano" count="2" sortOrder="ascending">
          <ranges>
            <range startItem="0">
              <i n="[Receitas].[Ano].&amp;[2024]" c="2024"/>
              <i n="[Receitas].[Ano].&amp;[]" c="" nd="1"/>
            </range>
          </ranges>
        </level>
      </levels>
      <selections count="1">
        <selection n="[Receitas].[Ano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2" xr10:uid="{D74B7F05-B04B-4EBB-99E3-EB4121100D90}" sourceName="[tbMês].[Data (Mês)]">
  <pivotTables>
    <pivotTable tabId="19" name="invFonte"/>
    <pivotTable tabId="19" name="invInvestimento"/>
    <pivotTable tabId="19" name="invTipo"/>
    <pivotTable tabId="19" name="qtdeInvestimentos"/>
  </pivotTables>
  <data>
    <olap pivotCacheId="22626194">
      <levels count="2">
        <level uniqueName="[tbMês].[Data (Mês)].[(All)]" sourceCaption="(All)" count="0"/>
        <level uniqueName="[tbMês].[Data (Mês)].[Data (Mês)]" sourceCaption="Data (Mês)" count="13">
          <ranges>
            <range startItem="0">
              <i n="[tbMês].[Data (Mês)].&amp;[jan]" c="jan"/>
              <i n="[tbMês].[Data (Mês)].&amp;[fev]" c="fev"/>
              <i n="[tbMês].[Data (Mês)].&amp;[mar]" c="mar" nd="1"/>
              <i n="[tbMês].[Data (Mês)].&amp;[abr]" c="abr" nd="1"/>
              <i n="[tbMês].[Data (Mês)].&amp;[mai]" c="mai" nd="1"/>
              <i n="[tbMês].[Data (Mês)].&amp;[jun]" c="jun" nd="1"/>
              <i n="[tbMês].[Data (Mês)].&amp;[jul]" c="jul" nd="1"/>
              <i n="[tbMês].[Data (Mês)].&amp;[ago]" c="ago" nd="1"/>
              <i n="[tbMês].[Data (Mês)].&amp;[set]" c="set" nd="1"/>
              <i n="[tbMês].[Data (Mês)].&amp;[out]" c="out" nd="1"/>
              <i n="[tbMês].[Data (Mês)].&amp;[nov]" c="nov" nd="1"/>
              <i n="[tbMês].[Data (Mês)].&amp;[dez]" c="dez" nd="1"/>
              <i n="[tbMês].[Data (Mês)].&amp;" c="(vazio)" nd="1"/>
            </range>
          </ranges>
        </level>
      </levels>
      <selections count="1">
        <selection n="[tbMês].[Data (Mês)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2" xr10:uid="{F02B49A7-43BC-4B7C-A4E1-D0BA75B41EB0}" sourceName="[Investimentos].[Ano]">
  <pivotTables>
    <pivotTable tabId="19" name="invMês"/>
    <pivotTable tabId="19" name="invFonte"/>
    <pivotTable tabId="19" name="invInvestimento"/>
    <pivotTable tabId="19" name="invTipo"/>
    <pivotTable tabId="19" name="qtdeInvestimentos"/>
  </pivotTables>
  <data>
    <olap pivotCacheId="22626194">
      <levels count="2">
        <level uniqueName="[Investimentos].[Ano].[(All)]" sourceCaption="(All)" count="0"/>
        <level uniqueName="[Investimentos].[Ano].[Ano]" sourceCaption="Ano" count="1" sortOrder="ascending">
          <ranges>
            <range startItem="0">
              <i n="[Investimentos].[Ano].&amp;[2026]" c="2026"/>
            </range>
          </ranges>
        </level>
      </levels>
      <selections count="1">
        <selection n="[Investimentos].[An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s 1" xr10:uid="{3098F893-4442-4F84-AAD7-73A3BE9FCAC2}" cache="SegmentaçãodeDados_Anos" caption="ANO:" columnCount="3" level="1" style="Estilo de Segmentação de Dados 1" rowHeight="288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_Desp" xr10:uid="{53B1B48A-E7AA-4DA0-A7DB-7FC39CFB31A8}" cache="SegmentaçãodeDados_Data__Mês" caption="MÊS:" columnCount="4" level="1" style="Estilo de Segmentação de Dados 1" rowHeight="288000"/>
  <slicer name="Ano 1" xr10:uid="{E625CDDA-7282-41F3-9FA4-17DBE2CA4D42}" cache="SegmentaçãodeDados_Ano" caption="ANO:" columnCount="3" level="1" style="Estilo de Segmentação de Dados 1" rowHeight="28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Mês) 2" xr10:uid="{4DD1280B-42C8-4516-849C-00C29D5F78B8}" cache="SegmentaçãodeDados_Data__Mês1" caption="MÊS:" columnCount="4" level="1" style="Estilo de Segmentação de Dados 1" rowHeight="288000"/>
  <slicer name="Ano 2" xr10:uid="{B1652259-A503-442E-9542-318D069CD890}" cache="SegmentaçãodeDados_Ano1" caption="ANO:" columnCount="4" level="1" style="Estilo de Segmentação de Dados 1" rowHeight="288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Mês) 3" xr10:uid="{1A523B55-E040-41D7-A19E-C3B244E6F733}" cache="SegmentaçãodeDados_Data__Mês2" caption="MÊS:" columnCount="4" level="1" style="Estilo de Segmentação de Dados 1" rowHeight="288000"/>
  <slicer name="Ano 3" xr10:uid="{FD91B0FD-70CA-4171-820B-6BA874038A51}" cache="SegmentaçãodeDados_Ano2" caption="ANO:" columnCount="4" level="1" style="Estilo de Segmentação de Dados 1" rowHeight="288000"/>
</slicer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A1300E-8ABC-4CE9-B319-66E91EFB0AE6}" name="tbMês" displayName="tbMês" ref="A1:D13" totalsRowShown="0" headerRowDxfId="98">
  <autoFilter ref="A1:D13" xr:uid="{D7A1300E-8ABC-4CE9-B319-66E91EFB0AE6}"/>
  <tableColumns count="4">
    <tableColumn id="1" xr3:uid="{7182E8C3-5193-473B-BE9B-EC6D688F8BCD}" name="Mês (Número)"/>
    <tableColumn id="2" xr3:uid="{77943D04-712E-4407-9B89-30CF1DF07EC3}" name="Data" dataDxfId="97"/>
    <tableColumn id="3" xr3:uid="{B65E6F2C-5D67-472E-A04A-FD3A27841564}" name="Mês" dataDxfId="96">
      <calculatedColumnFormula>TEXT(B2, "[$-pt-BR]mmm;@")</calculatedColumnFormula>
    </tableColumn>
    <tableColumn id="4" xr3:uid="{14B84A0C-CA0A-48AE-BDB9-F5F3A4A73737}" name="Mês Completo" dataDxfId="95">
      <calculatedColumnFormula>PROPER(TEXT(tbMês[[#This Row],[Data]], "[$-pt-BR]mmmm;@"))</calculatedColumnFormula>
    </tableColumn>
  </tableColumns>
  <tableStyleInfo name="EstiloPersonalizado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884B78-A2D5-417A-AE0F-CAE1DBB7E505}" name="tbSituação" displayName="tbSituação" ref="F1:F5" totalsRowShown="0">
  <autoFilter ref="F1:F5" xr:uid="{41884B78-A2D5-417A-AE0F-CAE1DBB7E505}"/>
  <tableColumns count="1">
    <tableColumn id="1" xr3:uid="{1E5C6610-E731-4B2E-87A7-811982094875}" name="Situação"/>
  </tableColumns>
  <tableStyleInfo name="EstiloPersonalizado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F899ED-772C-44E6-82BD-8E386903ACB2}" name="Despesas" displayName="Despesas" ref="A3:Q14" totalsRowShown="0" headerRowDxfId="94" dataDxfId="93" tableBorderDxfId="92">
  <autoFilter ref="A3:Q14" xr:uid="{A4F899ED-772C-44E6-82BD-8E386903ACB2}"/>
  <tableColumns count="17">
    <tableColumn id="14" xr3:uid="{BA718B1E-F323-43B3-B717-C0432D54FB6B}" name="Índice" dataDxfId="91">
      <calculatedColumnFormula>ROW(Despesas[[#This Row],[Índice]])-ROW(Despesas[[#Headers],[Índice]])</calculatedColumnFormula>
    </tableColumn>
    <tableColumn id="1" xr3:uid="{94ECC0D7-CB36-4AEC-A7CE-5DC7FEC3C875}" name="Data de Vencimento" dataDxfId="90"/>
    <tableColumn id="2" xr3:uid="{B05195CA-2500-4262-877C-1FF181EE2429}" name="Mês" dataDxfId="89">
      <calculatedColumnFormula>IFERROR(IF(Despesas[[#This Row],[Data de Vencimento]]&lt;&gt;"", VLOOKUP(MONTH(Despesas[[#This Row],[Data de Vencimento]]),tbMês[], 3,FALSE), ""), "")</calculatedColumnFormula>
    </tableColumn>
    <tableColumn id="3" xr3:uid="{DCAD8D2D-B226-4225-AE52-3418DC908617}" name="Ano" dataDxfId="88">
      <calculatedColumnFormula>IFERROR(IF(Despesas[[#This Row],[Data de Vencimento]]&lt;&gt;"",YEAR(Despesas[[#This Row],[Data de Vencimento]]),""), "")</calculatedColumnFormula>
    </tableColumn>
    <tableColumn id="4" xr3:uid="{17295941-68E2-46EA-8586-6730F24DA5EF}" name="Descrição" dataDxfId="87"/>
    <tableColumn id="5" xr3:uid="{400A3A97-DCE2-4BF0-AAEB-A51A9BC32D93}" name="Tipo de Despesa" dataDxfId="86"/>
    <tableColumn id="6" xr3:uid="{903E6257-5444-4111-A9D7-4133F656B04D}" name="Detalhamento de Despesa" dataDxfId="85"/>
    <tableColumn id="7" xr3:uid="{B7CA005F-EBF5-4DF1-BE0D-92AC371FDB5F}" name="Valor" dataDxfId="84"/>
    <tableColumn id="8" xr3:uid="{186B16CB-40A0-43BC-A913-922909991521}" name="Forma de Pagamento" dataDxfId="83"/>
    <tableColumn id="9" xr3:uid="{5F0AD8DC-E38D-45EE-A08A-273748E6C251}" name="Categoria de Pagamento" dataDxfId="82"/>
    <tableColumn id="10" xr3:uid="{8CA73A35-16AA-4CBE-A500-FFCD9E36C739}" name="Receita Usada" dataDxfId="81"/>
    <tableColumn id="11" xr3:uid="{6F618629-205F-4417-BC09-35DFA5E5F087}" name="Data de Pagamento" dataDxfId="80"/>
    <tableColumn id="12" xr3:uid="{58995F66-0F28-4B41-9650-5AD13E60996F}" name="Pago?" dataDxfId="79"/>
    <tableColumn id="15" xr3:uid="{343454EA-0054-4B9F-A854-D7EC9AAB2E06}" name="Situação (Real)" dataDxfId="78">
      <calculatedColumnFormula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calculatedColumnFormula>
    </tableColumn>
    <tableColumn id="13" xr3:uid="{B5C16F34-EDD0-46E0-B11C-EADC7F676008}" name="Situação" dataDxfId="77">
      <calculatedColumnFormula>Despesas[[#This Row],[Situação (Real)]]</calculatedColumnFormula>
    </tableColumn>
    <tableColumn id="16" xr3:uid="{758296E0-4868-4ECD-B57B-FA4321ED428F}" name="Valor de Reajuste" dataDxfId="76"/>
    <tableColumn id="17" xr3:uid="{B04D503B-4EEF-4A43-91A3-DF529590F7F5}" name="Valor a Pagar" dataDxfId="75">
      <calculatedColumnFormula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calculatedColumnFormula>
    </tableColumn>
  </tableColumns>
  <tableStyleInfo name="EstiloPersonalizado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FD4D2E6-20E6-45C3-9F02-59B386E4E7EC}" name="DespesasFixas" displayName="DespesasFixas" ref="A1:G4" totalsRowShown="0" headerRowDxfId="70" dataDxfId="69" tableBorderDxfId="68">
  <autoFilter ref="A1:G4" xr:uid="{5FD4D2E6-20E6-45C3-9F02-59B386E4E7EC}"/>
  <sortState xmlns:xlrd2="http://schemas.microsoft.com/office/spreadsheetml/2017/richdata2" ref="A2:G4">
    <sortCondition ref="A1:A4"/>
  </sortState>
  <tableColumns count="7">
    <tableColumn id="1" xr3:uid="{FE4546E7-E936-4153-A98A-CAAE1AA745AE}" name="Dia de Vencimento" dataDxfId="67"/>
    <tableColumn id="2" xr3:uid="{18E2BB88-644E-4F38-B8F0-4BF4EC0E2841}" name="Descrição" dataDxfId="66"/>
    <tableColumn id="3" xr3:uid="{32A3F42F-B92A-41DC-AE9A-467A5A5AE6C1}" name="Tipo de Despesa" dataDxfId="65"/>
    <tableColumn id="4" xr3:uid="{2CAB1D56-C4B5-4DE5-BC94-BC53A46F0613}" name="Detalhamento de Despesa" dataDxfId="64"/>
    <tableColumn id="5" xr3:uid="{08EF3C84-691E-4556-9E3F-C868BE4B505F}" name="Valor" dataDxfId="63"/>
    <tableColumn id="6" xr3:uid="{EE0D5037-3298-4333-BF85-556F74EA3498}" name="Forma de Pagamento" dataDxfId="62"/>
    <tableColumn id="7" xr3:uid="{63EF910C-CC67-42AF-B526-5DA44059BB18}" name="Categoria de Pagamento" dataDxfId="61"/>
  </tableColumns>
  <tableStyleInfo name="EstiloPersonalizado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CEFBB8C-F757-4D3D-9B9D-6860A3CDB52A}" name="DespesasVariáveis" displayName="DespesasVariáveis" ref="A1:K4" totalsRowShown="0" headerRowDxfId="60" headerRowBorderDxfId="59" tableBorderDxfId="58">
  <autoFilter ref="A1:K4" xr:uid="{7CEFBB8C-F757-4D3D-9B9D-6860A3CDB52A}"/>
  <tableColumns count="11">
    <tableColumn id="1" xr3:uid="{A4A8E6CD-0092-4642-8E8D-1111BBA67CD2}" name="Descrição" dataDxfId="57"/>
    <tableColumn id="2" xr3:uid="{8A2A7D09-71D9-4E6B-BA83-479ED14C1FEF}" name="Valor Total" dataDxfId="56"/>
    <tableColumn id="3" xr3:uid="{97A6F4F4-4A68-49F6-BBDF-859ED894A47C}" name="Cartão Utilizado" dataDxfId="55"/>
    <tableColumn id="4" xr3:uid="{8C145AED-F650-4885-BFA0-B1D74371A842}" name="Data da Compra" dataDxfId="54"/>
    <tableColumn id="5" xr3:uid="{145C0165-65F3-4211-A1CA-C52545CE108B}" name="Data de Vencimento" dataDxfId="53">
      <calculatedColumnFormula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calculatedColumnFormula>
    </tableColumn>
    <tableColumn id="6" xr3:uid="{3E1B840B-06CC-4980-804D-F3D891208F02}" name="Qtde. Parcelas" dataDxfId="52"/>
    <tableColumn id="7" xr3:uid="{9BA55D20-4F5F-42FB-B4CB-C1BE24B4BD47}" name="Parcela de Carência" dataDxfId="51"/>
    <tableColumn id="8" xr3:uid="{56319E5A-0049-42D5-92A3-EA83D384BC46}" name="Valor Parcelado" dataDxfId="50">
      <calculatedColumnFormula>IFERROR(IF(AND(DespesasVariáveis[[#This Row],[Valor Total]]&lt;&gt;"",DespesasVariáveis[[#This Row],[Qtde. Parcelas]]&lt;&gt;""), DespesasVariáveis[[#This Row],[Valor Total]]/DespesasVariáveis[[#This Row],[Qtde. Parcelas]], ""), "")</calculatedColumnFormula>
    </tableColumn>
    <tableColumn id="9" xr3:uid="{F0268460-EE63-4A74-A335-3D0A40FAA363}" name="Tipo de Despesa" dataDxfId="49"/>
    <tableColumn id="10" xr3:uid="{14CCCAD2-82EB-43DD-8AC8-D8BB2027D32C}" name="Detalhamento de Despesa" dataDxfId="48"/>
    <tableColumn id="11" xr3:uid="{6921BBC3-12F4-470F-BC8B-2936CB5EF416}" name="Forma de Pagamento" dataDxfId="47">
      <calculatedColumnFormula>IFERROR(IF(AND(DespesasVariáveis[[#This Row],[Descrição]]&lt;&gt;"",DespesasVariáveis[[#This Row],[Cartão Utilizado]]&lt;&gt;""), "Cartão", ""), "")</calculatedColumnFormula>
    </tableColumn>
  </tableColumns>
  <tableStyleInfo name="EstiloPersonalizado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041B354-8AED-4D49-85AF-C4461B3BB3E5}" name="DespesasVariáveisTabela" displayName="DespesasVariáveisTabela" ref="A1:G7" tableType="queryTable" totalsRowShown="0" headerRowDxfId="46">
  <autoFilter ref="A1:G7" xr:uid="{9041B354-8AED-4D49-85AF-C4461B3BB3E5}"/>
  <tableColumns count="7">
    <tableColumn id="1" xr3:uid="{C4797E3A-5B31-4D9A-BCAD-254325D1FF5E}" uniqueName="1" name="Data de Vencimento" queryTableFieldId="1" dataDxfId="45"/>
    <tableColumn id="2" xr3:uid="{7F35F292-6F1A-4D66-8F9A-1B760A47D623}" uniqueName="2" name="Descrição" queryTableFieldId="2" dataDxfId="44"/>
    <tableColumn id="3" xr3:uid="{C54ADC54-8A1C-4710-A94E-4409ADE7C063}" uniqueName="3" name="Tipo de Despesa" queryTableFieldId="3" dataDxfId="43"/>
    <tableColumn id="4" xr3:uid="{AE565875-67D2-4532-98AE-DB66D9625681}" uniqueName="4" name="Detalhamento de Despesa" queryTableFieldId="4" dataDxfId="42"/>
    <tableColumn id="5" xr3:uid="{D8A2E88B-4EC9-4834-AEDD-C81542248B0C}" uniqueName="5" name="Valor" queryTableFieldId="5" dataDxfId="41"/>
    <tableColumn id="6" xr3:uid="{6A5695A1-3E90-4153-8F32-A5355822781F}" uniqueName="6" name="Forma de Pagamento" queryTableFieldId="6" dataDxfId="40"/>
    <tableColumn id="7" xr3:uid="{556CC014-32AB-4717-80C1-B7382F1A5A5A}" uniqueName="7" name="Categoria de Pagamento" queryTableFieldId="7" dataDxfId="39"/>
  </tableColumns>
  <tableStyleInfo name="EstiloPersonalizado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F39D7-430D-454C-9993-0BD6F386377B}" name="Receitas" displayName="Receitas" ref="A3:J5" totalsRowShown="0" headerRowDxfId="38" tableBorderDxfId="37">
  <autoFilter ref="A3:J5" xr:uid="{8C1F39D7-430D-454C-9993-0BD6F386377B}"/>
  <tableColumns count="10">
    <tableColumn id="10" xr3:uid="{F93683B1-D8F9-41B8-B215-BE85970D53B3}" name="Índice" dataDxfId="36">
      <calculatedColumnFormula>ROW(Receitas[[#This Row],[Índice]])-ROW(Receitas[[#Headers],[Índice]])</calculatedColumnFormula>
    </tableColumn>
    <tableColumn id="1" xr3:uid="{DF45398A-A9DE-46C7-BF32-691292B1A5D5}" name="Data Recebida/A Receber" dataDxfId="35"/>
    <tableColumn id="2" xr3:uid="{602D6230-42AF-41E6-8CB4-CD7CEBFB260C}" name="Mês" dataDxfId="34">
      <calculatedColumnFormula>IFERROR(IF(Receitas[[#This Row],[Data Recebida/A Receber]]&lt;&gt;"", VLOOKUP(MONTH(Receitas[[#This Row],[Data Recebida/A Receber]]),tbMês[], 3,FALSE), ""), "")</calculatedColumnFormula>
    </tableColumn>
    <tableColumn id="3" xr3:uid="{EF6144F2-C915-4762-8D5B-10C61D57C8DA}" name="Ano" dataDxfId="33">
      <calculatedColumnFormula>IFERROR(IF(Receitas[[#This Row],[Data Recebida/A Receber]]&lt;&gt;"",YEAR(Receitas[[#This Row],[Data Recebida/A Receber]]),""), "")</calculatedColumnFormula>
    </tableColumn>
    <tableColumn id="4" xr3:uid="{E4ABA51C-E4D7-4C61-BA95-6701706807EF}" name="Descrição" dataDxfId="32"/>
    <tableColumn id="5" xr3:uid="{0B60D44D-9D2A-4594-A3BA-C11826555E1D}" name="Tipo de Receita" dataDxfId="31"/>
    <tableColumn id="6" xr3:uid="{1F41B5CC-FD0F-402A-A8C1-4DDD26D16EBB}" name="Receita" dataDxfId="30"/>
    <tableColumn id="7" xr3:uid="{3942D66C-85DC-440B-A305-AD3CBF4854F8}" name="Valor" dataDxfId="29"/>
    <tableColumn id="8" xr3:uid="{6E98107C-EAFB-4F2E-AC12-F5ED04E5B9E4}" name="Destino" dataDxfId="28"/>
    <tableColumn id="9" xr3:uid="{B1E75796-64CD-4072-9DEB-A3A251FB2E70}" name="Descrição da Receita" dataDxfId="27">
      <calculatedColumnFormula>IFERROR(IF(AND(Receitas[[#This Row],[Data Recebida/A Receber]]&lt;&gt;"", Receitas[[#This Row],[Descrição]]&lt;&gt;""), Receitas[[#This Row],[Descrição]] &amp; " - " &amp; TEXT(Receitas[[#This Row],[Data Recebida/A Receber]], "dd/mm/aaaa"), ""), "")</calculatedColumnFormula>
    </tableColumn>
  </tableColumns>
  <tableStyleInfo name="EstiloPersonalizado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7478CD-5CFE-485D-B401-72DD6643F834}" name="Investimentos" displayName="Investimentos" ref="A3:I5" totalsRowShown="0" headerRowDxfId="21" tableBorderDxfId="20">
  <autoFilter ref="A3:I5" xr:uid="{C47478CD-5CFE-485D-B401-72DD6643F834}"/>
  <tableColumns count="9">
    <tableColumn id="9" xr3:uid="{C13A78B5-10FA-43FC-8681-A518D346A107}" name="Índice" dataDxfId="19">
      <calculatedColumnFormula>ROW(Investimentos[[#This Row],[Índice]])-ROW(Investimentos[[#Headers],[Índice]])</calculatedColumnFormula>
    </tableColumn>
    <tableColumn id="1" xr3:uid="{8982BEE2-BB43-45BD-8B64-6DFCEE1CFDE7}" name="Data de Investimento/A Investir" dataDxfId="18"/>
    <tableColumn id="2" xr3:uid="{BE2D8D74-F7F0-4A04-B03D-6054AFFD5402}" name="Mês" dataDxfId="17">
      <calculatedColumnFormula>IFERROR(IF(Investimentos[[#This Row],[Data de Investimento/A Investir]]&lt;&gt;"", VLOOKUP(MONTH(Investimentos[[#This Row],[Data de Investimento/A Investir]]),tbMês[], 3,FALSE), ""), "")</calculatedColumnFormula>
    </tableColumn>
    <tableColumn id="3" xr3:uid="{35D1B1E1-994C-4628-A6AD-3A23ACE78FBD}" name="Ano" dataDxfId="16">
      <calculatedColumnFormula>IFERROR(IF(Investimentos[[#This Row],[Data de Investimento/A Investir]]&lt;&gt;"",YEAR(Investimentos[[#This Row],[Data de Investimento/A Investir]]),""), "")</calculatedColumnFormula>
    </tableColumn>
    <tableColumn id="4" xr3:uid="{907F76A3-A57B-42DF-8C7E-1168446CBB3A}" name="Descrição" dataDxfId="15"/>
    <tableColumn id="5" xr3:uid="{53A6CD17-3933-45C6-8D49-EEE7E1B938F9}" name="Tipo de Investimento" dataDxfId="14"/>
    <tableColumn id="6" xr3:uid="{4A7690BE-9610-48EA-93CA-950AA73BB1E5}" name="Investimento" dataDxfId="13"/>
    <tableColumn id="7" xr3:uid="{CF7A3690-298F-4397-8C2E-E8316F246DF5}" name="Valor" dataDxfId="12"/>
    <tableColumn id="8" xr3:uid="{B588845C-A77F-4104-87F7-14A511A9000F}" name="Fonte" dataDxfId="11"/>
  </tableColumns>
  <tableStyleInfo name="EstiloPersonalizado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299B6C-C7BF-4714-B89A-8B65C443C32B}" name="Cartões" displayName="Cartões" ref="A1:C6" headerRowDxfId="8">
  <autoFilter ref="A1:C6" xr:uid="{91299B6C-C7BF-4714-B89A-8B65C443C32B}"/>
  <tableColumns count="3">
    <tableColumn id="1" xr3:uid="{C31D34F1-CB28-4918-959A-3F2B87385FD7}" name="Cartão" totalsRowLabel="Total" dataDxfId="7" totalsRowDxfId="6"/>
    <tableColumn id="2" xr3:uid="{BE0F7BE7-517F-40BF-9220-77DA7FC3E291}" name="Dia de Vencimento" totalsRowFunction="sum" dataDxfId="5" totalsRowDxfId="4"/>
    <tableColumn id="3" xr3:uid="{9F996663-5006-4428-B255-58F599711587}" name="Dia de Fechamento" dataDxfId="3"/>
  </tableColumns>
  <tableStyleInfo name="EstiloPersonalizado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B398FE-644C-4707-A922-4F71B3F51751}" name="tbAno" displayName="tbAno" ref="AC1:AC101" totalsRowShown="0" headerRowDxfId="2">
  <autoFilter ref="AC1:AC101" xr:uid="{F0B398FE-644C-4707-A922-4F71B3F51751}"/>
  <tableColumns count="1">
    <tableColumn id="1" xr3:uid="{0164AB75-676F-4184-881F-2D38849BAB5A}" name="Anos" dataDxfId="1">
      <calculatedColumnFormula>IF($AA2&lt;&gt;"",$AA2,IF(AND($AA$2="",ROW($AA$2)=2),YEAR(TODAY())+ROW($AA2)-2,LARGE($AA$2:$AA$101,1)+ROW($AA2)-COUNTA($AA$2:$AA$101)-1))</calculatedColumnFormula>
    </tableColumn>
  </tableColumns>
  <tableStyleInfo name="EstiloPersonalizado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Isac 2">
      <a:dk1>
        <a:srgbClr val="000000"/>
      </a:dk1>
      <a:lt1>
        <a:srgbClr val="FFFFFF"/>
      </a:lt1>
      <a:dk2>
        <a:srgbClr val="C00000"/>
      </a:dk2>
      <a:lt2>
        <a:srgbClr val="E11F9C"/>
      </a:lt2>
      <a:accent1>
        <a:srgbClr val="FFC000"/>
      </a:accent1>
      <a:accent2>
        <a:srgbClr val="FFFF00"/>
      </a:accent2>
      <a:accent3>
        <a:srgbClr val="33CCCC"/>
      </a:accent3>
      <a:accent4>
        <a:srgbClr val="00B0F0"/>
      </a:accent4>
      <a:accent5>
        <a:srgbClr val="002060"/>
      </a:accent5>
      <a:accent6>
        <a:srgbClr val="9966FF"/>
      </a:accent6>
      <a:hlink>
        <a:srgbClr val="0070C0"/>
      </a:hlink>
      <a:folHlink>
        <a:srgbClr val="E11F9C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4.xml"/><Relationship Id="rId2" Type="http://schemas.openxmlformats.org/officeDocument/2006/relationships/pivotTable" Target="../pivotTables/pivotTable13.xml"/><Relationship Id="rId1" Type="http://schemas.openxmlformats.org/officeDocument/2006/relationships/pivotTable" Target="../pivotTables/pivotTable12.xml"/><Relationship Id="rId5" Type="http://schemas.openxmlformats.org/officeDocument/2006/relationships/pivotTable" Target="../pivotTables/pivotTable16.xml"/><Relationship Id="rId4" Type="http://schemas.openxmlformats.org/officeDocument/2006/relationships/pivotTable" Target="../pivotTables/pivotTable15.xml"/></Relationships>
</file>

<file path=xl/worksheets/_rels/sheet2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22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control" Target="../activeX/activeX3.xml"/><Relationship Id="rId7" Type="http://schemas.openxmlformats.org/officeDocument/2006/relationships/image" Target="../media/image3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image" Target="../media/image6.emf"/></Relationships>
</file>

<file path=xl/worksheets/_rels/sheet23.xml.rels><?xml version="1.0" encoding="UTF-8" standalone="yes"?>
<Relationships xmlns="http://schemas.openxmlformats.org/package/2006/relationships"><Relationship Id="rId8" Type="http://schemas.microsoft.com/office/2007/relationships/slicer" Target="../slicers/slicer4.xml"/><Relationship Id="rId3" Type="http://schemas.openxmlformats.org/officeDocument/2006/relationships/control" Target="../activeX/activeX6.xml"/><Relationship Id="rId7" Type="http://schemas.openxmlformats.org/officeDocument/2006/relationships/image" Target="../media/image3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19CB7-0F49-45AD-A226-9B4E003755FB}">
  <sheetPr codeName="Planilha10"/>
  <dimension ref="A1:CI54"/>
  <sheetViews>
    <sheetView topLeftCell="BI1" zoomScale="80" zoomScaleNormal="80" workbookViewId="0">
      <selection activeCell="BO6" sqref="BO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8.44140625" bestFit="1" customWidth="1"/>
    <col min="2" max="2" width="10.21875" bestFit="1" customWidth="1"/>
    <col min="3" max="3" width="9.5546875" bestFit="1" customWidth="1"/>
    <col min="4" max="4" width="18.44140625" bestFit="1" customWidth="1"/>
    <col min="6" max="6" width="11.6640625" bestFit="1" customWidth="1"/>
    <col min="10" max="10" width="19.6640625" bestFit="1" customWidth="1"/>
    <col min="12" max="12" width="20.44140625" bestFit="1" customWidth="1"/>
    <col min="14" max="14" width="16.109375" bestFit="1" customWidth="1"/>
    <col min="16" max="16" width="9.33203125" bestFit="1" customWidth="1"/>
    <col min="18" max="18" width="20.21875" bestFit="1" customWidth="1"/>
    <col min="19" max="19" width="9.33203125" bestFit="1" customWidth="1"/>
    <col min="22" max="22" width="24.88671875" bestFit="1" customWidth="1"/>
    <col min="26" max="26" width="15.5546875" bestFit="1" customWidth="1"/>
    <col min="27" max="27" width="12" bestFit="1" customWidth="1"/>
    <col min="29" max="29" width="9.33203125" bestFit="1" customWidth="1"/>
    <col min="31" max="31" width="15.21875" bestFit="1" customWidth="1"/>
    <col min="32" max="32" width="12" bestFit="1" customWidth="1"/>
    <col min="36" max="36" width="19.77734375" bestFit="1" customWidth="1"/>
    <col min="41" max="41" width="11.77734375" bestFit="1" customWidth="1"/>
    <col min="42" max="42" width="39.6640625" customWidth="1"/>
    <col min="43" max="43" width="9.33203125" bestFit="1" customWidth="1"/>
    <col min="45" max="45" width="11.6640625" bestFit="1" customWidth="1"/>
    <col min="49" max="49" width="17.77734375" bestFit="1" customWidth="1"/>
    <col min="54" max="54" width="9.88671875" bestFit="1" customWidth="1"/>
    <col min="55" max="55" width="13.44140625" customWidth="1"/>
    <col min="56" max="56" width="9.33203125" bestFit="1" customWidth="1"/>
    <col min="58" max="58" width="9.33203125" bestFit="1" customWidth="1"/>
    <col min="60" max="60" width="9.33203125" bestFit="1" customWidth="1"/>
    <col min="62" max="62" width="25.5546875" bestFit="1" customWidth="1"/>
    <col min="63" max="63" width="13.88671875" bestFit="1" customWidth="1"/>
    <col min="66" max="66" width="19.88671875" bestFit="1" customWidth="1"/>
    <col min="67" max="67" width="13.88671875" bestFit="1" customWidth="1"/>
    <col min="70" max="70" width="10.21875" bestFit="1" customWidth="1"/>
  </cols>
  <sheetData>
    <row r="1" spans="1:70" x14ac:dyDescent="0.25">
      <c r="A1" s="2" t="s">
        <v>15</v>
      </c>
      <c r="B1" s="2" t="s">
        <v>13</v>
      </c>
      <c r="C1" s="2" t="s">
        <v>1</v>
      </c>
      <c r="D1" s="2" t="s">
        <v>14</v>
      </c>
      <c r="F1" t="s">
        <v>11</v>
      </c>
      <c r="H1" s="17"/>
      <c r="J1" s="7" t="s">
        <v>215</v>
      </c>
      <c r="L1" s="7" t="s">
        <v>216</v>
      </c>
      <c r="N1" s="7" t="s">
        <v>316</v>
      </c>
      <c r="P1" s="17"/>
      <c r="R1" s="7" t="s">
        <v>315</v>
      </c>
      <c r="T1" s="20"/>
      <c r="V1" s="21" t="s">
        <v>324</v>
      </c>
      <c r="X1" s="20"/>
      <c r="Z1" t="s">
        <v>327</v>
      </c>
      <c r="AA1" t="str">
        <f ca="1">TEXT(IFERROR(SUBTOTAL(109, Despesas[Valor a Pagar]),0), "R$ ##.#00,00")</f>
        <v>R$ 1.300,00</v>
      </c>
      <c r="AC1" s="20"/>
      <c r="AE1" t="s">
        <v>333</v>
      </c>
      <c r="AF1" t="str">
        <f>TEXT(IFERROR(SUBTOTAL(109, Receitas[Valor]),0), "R$ ##.#00,00")</f>
        <v>R$ 20.000,00</v>
      </c>
      <c r="AH1" s="20"/>
      <c r="AJ1" t="s">
        <v>335</v>
      </c>
      <c r="AK1" t="str">
        <f>TEXT(IFERROR(SUBTOTAL(109, Investimentos[Valor]),0), "R$ ##.#00,00")</f>
        <v>R$ 50,00</v>
      </c>
      <c r="AM1" s="17"/>
      <c r="AQ1" s="20"/>
      <c r="AU1" s="20"/>
      <c r="AZ1" s="20"/>
      <c r="BB1" s="7"/>
      <c r="BD1" s="17"/>
      <c r="BF1" s="7" t="s">
        <v>348</v>
      </c>
      <c r="BH1" s="20"/>
      <c r="BJ1" t="s">
        <v>349</v>
      </c>
      <c r="BN1" t="s">
        <v>392</v>
      </c>
      <c r="BQ1" t="s">
        <v>416</v>
      </c>
    </row>
    <row r="2" spans="1:70" x14ac:dyDescent="0.25">
      <c r="A2">
        <v>1</v>
      </c>
      <c r="B2" s="3">
        <v>1</v>
      </c>
      <c r="C2" s="1" t="str">
        <f>TEXT(B2, "[$-pt-BR]mmm;@")</f>
        <v>jan</v>
      </c>
      <c r="D2" t="str">
        <f>PROPER(TEXT(tbMês[[#This Row],[Data]], "[$-pt-BR]mmmm;@"))</f>
        <v>Janeiro</v>
      </c>
      <c r="F2" t="s">
        <v>17</v>
      </c>
      <c r="H2" s="18"/>
      <c r="J2" t="str" cm="1">
        <f t="array" ref="J2:J14">IFERROR(_xlfn._xlws.SORT(TRANSPOSE((_xlfn._xlws.FILTER(cabecalhoTiposdeDespesas,cabecalhoTiposdeDespesas&lt;&gt;"")))),"")</f>
        <v>Alimentação</v>
      </c>
      <c r="L2" t="str" cm="1">
        <f t="array" ref="L2:L9">IFERROR(_xlfn.UNIQUE(_xlfn._xlws.SORT(_xlfn.VSTACK(TRANSPOSE((_xlfn._xlws.FILTER(cabecalhoFormasdePagameto,cabecalhoFormasdePagameto&lt;&gt;""))), "Cartão"))),"")</f>
        <v>Bilhete</v>
      </c>
      <c r="N2" t="str" cm="1">
        <f t="array" ref="N2">IFERROR(_xlfn._xlws.SORT(TRANSPOSE((_xlfn._xlws.FILTER(Receitas[Descrição da Receita],Receitas[Descrição da Receita]&lt;&gt;"")))),"")</f>
        <v>Salário - 02/04/2024</v>
      </c>
      <c r="P2" s="17"/>
      <c r="R2" t="str" cm="1">
        <f t="array" ref="R2:R3">IFERROR(_xlfn._xlws.SORT(TRANSPOSE((_xlfn._xlws.FILTER(cabecalhoTiposdeReceitas,cabecalhoTiposdeReceitas&lt;&gt;"")))),"")</f>
        <v>Receitas Convencionais</v>
      </c>
      <c r="T2" s="20"/>
      <c r="V2" t="str" cm="1">
        <f t="array" ref="V2:V3">IFERROR(_xlfn._xlws.SORT(TRANSPOSE((_xlfn._xlws.FILTER(cabecalhoTiposdeInvestimentos,cabecalhoTiposdeInvestimentos&lt;&gt;"")))),"")</f>
        <v>Investimentos Convencionais</v>
      </c>
      <c r="X2" s="20"/>
      <c r="Z2" t="s">
        <v>328</v>
      </c>
      <c r="AA2" t="str" cm="1">
        <f t="array" aca="1" ref="AA2" ca="1">TEXT(SUMPRODUCT(SUBTOTAL(109,OFFSET(Despesas[Valor a Pagar],ROW(Despesas[Valor a Pagar])-MIN(ROW(Despesas[Valor a Pagar])),0,1)),--(Despesas[Situação (Real)]=$F$2))+SUMPRODUCT(SUBTOTAL(109,OFFSET(Despesas[Valor a Pagar],ROW(Despesas[Valor a Pagar])-MIN(ROW(Despesas[Valor a Pagar])),0,1)),--(Despesas[Situação (Real)]=$F$4)), "R$ ##.#00,00")</f>
        <v>R$ 400,00</v>
      </c>
      <c r="AC2" s="20"/>
      <c r="AE2" t="s">
        <v>334</v>
      </c>
      <c r="AF2" cm="1">
        <f t="array" aca="1" ref="AF2" ca="1">IFERROR(SUMPRODUCT((Receitas[Valor]&lt;&gt;"")*(Receitas[Data Recebida/A Receber]&lt;&gt;"")*(SUBTOTAL(103,OFFSET(Receitas[Data Recebida/A Receber],ROW(Receitas[Data Recebida/A Receber])-MIN(ROW(Receitas[Data Recebida/A Receber])),0,1)))),0)</f>
        <v>1</v>
      </c>
      <c r="AH2" s="20"/>
      <c r="AJ2" t="s">
        <v>336</v>
      </c>
      <c r="AK2" cm="1">
        <f t="array" aca="1" ref="AK2" ca="1">IFERROR(SUMPRODUCT((Investimentos[Valor]&lt;&gt;"")*(Investimentos[Data de Investimento/A Investir]&lt;&gt;"")*(SUBTOTAL(103,OFFSET(Investimentos[Data de Investimento/A Investir],ROW(Investimentos[Data de Investimento/A Investir])-MIN(ROW(Investimentos[Data de Investimento/A Investir])),0,1)))),0)</f>
        <v>1</v>
      </c>
      <c r="AM2" s="17"/>
      <c r="AQ2" s="20"/>
      <c r="AU2" s="20"/>
      <c r="AZ2" s="20"/>
      <c r="BD2" s="17"/>
      <c r="BF2" t="str" cm="1">
        <f t="array" ref="BF2:BF4">IFERROR(_xlfn.CHOOSECOLS(_xlfn._xlws.FILTER(Cartões[],(Cartões[Cartão]&lt;&gt;"")*(Cartões[Dia de Vencimento]&lt;&gt;"")*(Cartões[Dia de Fechamento]&lt;&gt;"")),MATCH("Cartão",Cartões[#Headers],0)),"")</f>
        <v>Santander</v>
      </c>
      <c r="BH2" s="20"/>
      <c r="BJ2" t="s">
        <v>390</v>
      </c>
      <c r="BK2" t="b">
        <v>0</v>
      </c>
      <c r="BN2" t="s">
        <v>354</v>
      </c>
      <c r="BO2" t="b">
        <v>1</v>
      </c>
      <c r="BQ2" t="s">
        <v>417</v>
      </c>
      <c r="BR2" s="34">
        <v>80</v>
      </c>
    </row>
    <row r="3" spans="1:70" x14ac:dyDescent="0.25">
      <c r="A3">
        <v>2</v>
      </c>
      <c r="B3" s="3">
        <v>32</v>
      </c>
      <c r="C3" s="1" t="str">
        <f t="shared" ref="C3:C13" si="0">TEXT(B3, "[$-pt-BR]mmm;@")</f>
        <v>fev</v>
      </c>
      <c r="D3" t="str">
        <f>PROPER(TEXT(tbMês[[#This Row],[Data]], "[$-pt-BR]mmmm;@"))</f>
        <v>Fevereiro</v>
      </c>
      <c r="F3" t="s">
        <v>21</v>
      </c>
      <c r="H3" s="17"/>
      <c r="J3" t="str">
        <v>Cuidados pessoais</v>
      </c>
      <c r="L3" t="str">
        <v>Boleto</v>
      </c>
      <c r="P3" s="17"/>
      <c r="R3" t="str">
        <v>Receitas Personalizadas</v>
      </c>
      <c r="T3" s="20"/>
      <c r="V3" t="str">
        <v>Investimentos Personalizados</v>
      </c>
      <c r="X3" s="20"/>
      <c r="Z3" t="s">
        <v>329</v>
      </c>
      <c r="AA3" cm="1">
        <f t="array" aca="1" ref="AA3" ca="1">IFERROR(SUMPRODUCT((Despesas[Situação (Real)]=$F$2)*(SUBTOTAL(103,OFFSET(Despesas[Situação (Real)],ROW(Despesas[Situação (Real)])-MIN(ROW(Despesas[Situação (Real)])),0,1)))),0)</f>
        <v>0</v>
      </c>
      <c r="AC3" s="20"/>
      <c r="AH3" s="20"/>
      <c r="AM3" s="17"/>
      <c r="AQ3" s="20"/>
      <c r="AU3" s="20"/>
      <c r="AZ3" s="20"/>
      <c r="BD3" s="17"/>
      <c r="BF3" t="str">
        <v>Itaucard</v>
      </c>
      <c r="BH3" s="20"/>
      <c r="BJ3" t="s">
        <v>389</v>
      </c>
      <c r="BK3" t="b">
        <v>0</v>
      </c>
      <c r="BN3" t="s">
        <v>393</v>
      </c>
      <c r="BO3" t="b">
        <v>0</v>
      </c>
      <c r="BQ3" t="s">
        <v>418</v>
      </c>
      <c r="BR3" s="34" t="s">
        <v>419</v>
      </c>
    </row>
    <row r="4" spans="1:70" x14ac:dyDescent="0.25">
      <c r="A4">
        <v>3</v>
      </c>
      <c r="B4" s="3">
        <v>61</v>
      </c>
      <c r="C4" s="1" t="str">
        <f t="shared" si="0"/>
        <v>mar</v>
      </c>
      <c r="D4" t="str">
        <f>PROPER(TEXT(tbMês[[#This Row],[Data]], "[$-pt-BR]mmmm;@"))</f>
        <v>Março</v>
      </c>
      <c r="F4" t="s">
        <v>18</v>
      </c>
      <c r="J4" t="str">
        <v>Doações e presentes</v>
      </c>
      <c r="L4" t="str">
        <v>Cartão</v>
      </c>
      <c r="Z4" t="s">
        <v>330</v>
      </c>
      <c r="AA4" cm="1">
        <f t="array" aca="1" ref="AA4" ca="1">IFERROR(SUMPRODUCT((Despesas[Situação (Real)]=$F$5)*(SUBTOTAL(103,OFFSET(Despesas[Situação (Real)],ROW(Despesas[Situação (Real)])-MIN(ROW(Despesas[Situação (Real)])),0,1)))),0)</f>
        <v>6</v>
      </c>
      <c r="BF4" t="str">
        <v>Inter</v>
      </c>
      <c r="BJ4" t="s">
        <v>391</v>
      </c>
      <c r="BK4" t="b">
        <v>0</v>
      </c>
      <c r="BN4" t="s">
        <v>420</v>
      </c>
      <c r="BO4" t="b">
        <v>0</v>
      </c>
    </row>
    <row r="5" spans="1:70" x14ac:dyDescent="0.25">
      <c r="A5">
        <v>4</v>
      </c>
      <c r="B5" s="3">
        <v>92</v>
      </c>
      <c r="C5" s="1" t="str">
        <f t="shared" si="0"/>
        <v>abr</v>
      </c>
      <c r="D5" t="str">
        <f>PROPER(TEXT(tbMês[[#This Row],[Data]], "[$-pt-BR]mmmm;@"))</f>
        <v>Abril</v>
      </c>
      <c r="F5" t="s">
        <v>19</v>
      </c>
      <c r="J5" t="str">
        <v>Educação</v>
      </c>
      <c r="L5" t="str">
        <v>Crédito</v>
      </c>
      <c r="Z5" t="s">
        <v>331</v>
      </c>
      <c r="AA5" cm="1">
        <f t="array" aca="1" ref="AA5" ca="1">IFERROR(SUMPRODUCT((Despesas[Situação (Real)]=$F$3)*(SUBTOTAL(103,OFFSET(Despesas[Situação (Real)],ROW(Despesas[Situação (Real)])-MIN(ROW(Despesas[Situação (Real)])),0,1)))),0)</f>
        <v>0</v>
      </c>
      <c r="BJ5" t="s">
        <v>415</v>
      </c>
      <c r="BK5" t="b">
        <v>0</v>
      </c>
      <c r="BN5" t="s">
        <v>353</v>
      </c>
      <c r="BO5" t="b">
        <v>0</v>
      </c>
    </row>
    <row r="6" spans="1:70" x14ac:dyDescent="0.25">
      <c r="A6">
        <v>5</v>
      </c>
      <c r="B6" s="3">
        <v>122</v>
      </c>
      <c r="C6" s="1" t="str">
        <f t="shared" si="0"/>
        <v>mai</v>
      </c>
      <c r="D6" t="str">
        <f>PROPER(TEXT(tbMês[[#This Row],[Data]], "[$-pt-BR]mmmm;@"))</f>
        <v>Maio</v>
      </c>
      <c r="J6" t="str">
        <v>Financeiros</v>
      </c>
      <c r="L6" t="str">
        <v>Débito</v>
      </c>
      <c r="Z6" t="s">
        <v>332</v>
      </c>
      <c r="AA6" cm="1">
        <f t="array" aca="1" ref="AA6" ca="1">IFERROR(SUMPRODUCT((Despesas[Situação (Real)]=$F$4)*(SUBTOTAL(103,OFFSET(Despesas[Situação (Real)],ROW(Despesas[Situação (Real)])-MIN(ROW(Despesas[Situação (Real)])),0,1)))),0)</f>
        <v>3</v>
      </c>
      <c r="BJ6" t="s">
        <v>413</v>
      </c>
      <c r="BK6" t="b">
        <v>0</v>
      </c>
      <c r="BN6" t="s">
        <v>355</v>
      </c>
      <c r="BO6" t="b">
        <v>0</v>
      </c>
    </row>
    <row r="7" spans="1:70" x14ac:dyDescent="0.25">
      <c r="A7">
        <v>6</v>
      </c>
      <c r="B7" s="3">
        <v>153</v>
      </c>
      <c r="C7" s="1" t="str">
        <f t="shared" si="0"/>
        <v>jun</v>
      </c>
      <c r="D7" t="str">
        <f>PROPER(TEXT(tbMês[[#This Row],[Data]], "[$-pt-BR]mmmm;@"))</f>
        <v>Junho</v>
      </c>
      <c r="J7" t="str">
        <v>Impostos</v>
      </c>
      <c r="L7" t="str">
        <v>Dinheiro</v>
      </c>
      <c r="BJ7" t="s">
        <v>414</v>
      </c>
      <c r="BK7" t="b">
        <v>0</v>
      </c>
    </row>
    <row r="8" spans="1:70" x14ac:dyDescent="0.25">
      <c r="A8">
        <v>7</v>
      </c>
      <c r="B8" s="3">
        <v>183</v>
      </c>
      <c r="C8" s="1" t="str">
        <f t="shared" si="0"/>
        <v>jul</v>
      </c>
      <c r="D8" t="str">
        <f>PROPER(TEXT(tbMês[[#This Row],[Data]], "[$-pt-BR]mmmm;@"))</f>
        <v>Julho</v>
      </c>
      <c r="J8" t="str">
        <v>Lazer e entretenimento</v>
      </c>
      <c r="L8" t="str">
        <v>PIX</v>
      </c>
    </row>
    <row r="9" spans="1:70" x14ac:dyDescent="0.25">
      <c r="A9">
        <v>8</v>
      </c>
      <c r="B9" s="3">
        <v>214</v>
      </c>
      <c r="C9" s="1" t="str">
        <f t="shared" si="0"/>
        <v>ago</v>
      </c>
      <c r="D9" t="str">
        <f>PROPER(TEXT(tbMês[[#This Row],[Data]], "[$-pt-BR]mmmm;@"))</f>
        <v>Agosto</v>
      </c>
      <c r="J9" t="str">
        <v>Moradia</v>
      </c>
      <c r="L9" t="str">
        <v>Vale</v>
      </c>
      <c r="BN9" t="s">
        <v>348</v>
      </c>
      <c r="BO9" t="b">
        <v>0</v>
      </c>
    </row>
    <row r="10" spans="1:70" x14ac:dyDescent="0.25">
      <c r="A10">
        <v>9</v>
      </c>
      <c r="B10" s="3">
        <v>245</v>
      </c>
      <c r="C10" s="1" t="str">
        <f t="shared" si="0"/>
        <v>set</v>
      </c>
      <c r="D10" t="str">
        <f>PROPER(TEXT(tbMês[[#This Row],[Data]], "[$-pt-BR]mmmm;@"))</f>
        <v>Setembro</v>
      </c>
      <c r="J10" t="str">
        <v>Outras despesas</v>
      </c>
    </row>
    <row r="11" spans="1:70" x14ac:dyDescent="0.25">
      <c r="A11">
        <v>10</v>
      </c>
      <c r="B11" s="3">
        <v>275</v>
      </c>
      <c r="C11" s="1" t="str">
        <f t="shared" si="0"/>
        <v>out</v>
      </c>
      <c r="D11" t="str">
        <f>PROPER(TEXT(tbMês[[#This Row],[Data]], "[$-pt-BR]mmmm;@"))</f>
        <v>Outubro</v>
      </c>
      <c r="J11" t="str">
        <v>Pet</v>
      </c>
    </row>
    <row r="12" spans="1:70" x14ac:dyDescent="0.25">
      <c r="A12">
        <v>11</v>
      </c>
      <c r="B12" s="3">
        <v>306</v>
      </c>
      <c r="C12" s="1" t="str">
        <f t="shared" si="0"/>
        <v>nov</v>
      </c>
      <c r="D12" t="str">
        <f>PROPER(TEXT(tbMês[[#This Row],[Data]], "[$-pt-BR]mmmm;@"))</f>
        <v>Novembro</v>
      </c>
      <c r="J12" t="str">
        <v>Saúde</v>
      </c>
    </row>
    <row r="13" spans="1:70" x14ac:dyDescent="0.25">
      <c r="A13">
        <v>12</v>
      </c>
      <c r="B13" s="3">
        <v>336</v>
      </c>
      <c r="C13" s="1" t="str">
        <f t="shared" si="0"/>
        <v>dez</v>
      </c>
      <c r="D13" t="str">
        <f>PROPER(TEXT(tbMês[[#This Row],[Data]], "[$-pt-BR]mmmm;@"))</f>
        <v>Dezembro</v>
      </c>
      <c r="J13" t="str">
        <v>Seguros</v>
      </c>
    </row>
    <row r="14" spans="1:70" x14ac:dyDescent="0.25">
      <c r="J14" t="str">
        <v>Transporte</v>
      </c>
    </row>
    <row r="17" spans="42:42" x14ac:dyDescent="0.25">
      <c r="AP17" t="str" cm="1">
        <f t="array" aca="1" ref="AP17" ca="1">IFERROR(
    _xlfn.TEXTJOIN(
        "/",
        TRUE,
        VLOOKUP(
            _xlfn._xlws.SORT(
                _xlfn.UNIQUE(
                    FILTRAR(#REF!, SUBTOTAL(103, OFFSET(#REF!, ROW(#REF!)-ROW(INDEX(#REF!,1)), 0)))
                )
            ),
            tbMês[],
            3,
            FALSE
        )
    ),
    ""
)</f>
        <v/>
      </c>
    </row>
    <row r="54" spans="87:87" x14ac:dyDescent="0.25">
      <c r="CI54" s="4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A9C-7FEF-48F0-B908-7D0C6A47CC67}">
  <sheetPr codeName="Planilha1"/>
  <dimension ref="A1:AF29"/>
  <sheetViews>
    <sheetView topLeftCell="D1" zoomScale="80" zoomScaleNormal="80" workbookViewId="0">
      <selection activeCell="Q9" sqref="Q9"/>
    </sheetView>
  </sheetViews>
  <sheetFormatPr defaultRowHeight="14.4" x14ac:dyDescent="0.25"/>
  <cols>
    <col min="1" max="1" width="24.109375" bestFit="1" customWidth="1"/>
    <col min="2" max="2" width="10.109375" bestFit="1" customWidth="1"/>
    <col min="4" max="4" width="24.109375" bestFit="1" customWidth="1"/>
    <col min="7" max="7" width="24.109375" bestFit="1" customWidth="1"/>
    <col min="9" max="9" width="7.88671875" customWidth="1"/>
    <col min="10" max="10" width="24.109375" bestFit="1" customWidth="1"/>
    <col min="13" max="13" width="26.109375" bestFit="1" customWidth="1"/>
    <col min="14" max="14" width="13.88671875" bestFit="1" customWidth="1"/>
    <col min="16" max="16" width="28.44140625" bestFit="1" customWidth="1"/>
    <col min="17" max="17" width="10.109375" bestFit="1" customWidth="1"/>
    <col min="19" max="19" width="28.44140625" bestFit="1" customWidth="1"/>
    <col min="20" max="20" width="14.33203125" customWidth="1"/>
    <col min="22" max="22" width="33.44140625" bestFit="1" customWidth="1"/>
    <col min="23" max="23" width="13" customWidth="1"/>
    <col min="25" max="25" width="33.44140625" bestFit="1" customWidth="1"/>
    <col min="28" max="28" width="23.33203125" bestFit="1" customWidth="1"/>
    <col min="31" max="31" width="24" bestFit="1" customWidth="1"/>
  </cols>
  <sheetData>
    <row r="1" spans="1:32" x14ac:dyDescent="0.25">
      <c r="A1" t="s">
        <v>354</v>
      </c>
      <c r="D1" t="s">
        <v>393</v>
      </c>
      <c r="G1" t="s">
        <v>420</v>
      </c>
      <c r="J1" t="s">
        <v>396</v>
      </c>
      <c r="M1" t="s">
        <v>349</v>
      </c>
      <c r="P1" t="s">
        <v>353</v>
      </c>
      <c r="S1" t="s">
        <v>396</v>
      </c>
      <c r="V1" t="s">
        <v>355</v>
      </c>
      <c r="Y1" t="s">
        <v>396</v>
      </c>
      <c r="AB1" t="s">
        <v>348</v>
      </c>
      <c r="AC1" s="34"/>
      <c r="AE1" t="s">
        <v>396</v>
      </c>
    </row>
    <row r="2" spans="1:32" x14ac:dyDescent="0.25">
      <c r="A2" t="s">
        <v>2</v>
      </c>
      <c r="D2" t="s">
        <v>2</v>
      </c>
      <c r="G2" t="s">
        <v>2</v>
      </c>
      <c r="J2" t="s">
        <v>2</v>
      </c>
      <c r="K2" t="s">
        <v>404</v>
      </c>
      <c r="M2" t="s">
        <v>397</v>
      </c>
      <c r="N2" t="b">
        <v>0</v>
      </c>
      <c r="P2" t="s">
        <v>2</v>
      </c>
      <c r="S2" t="s">
        <v>2</v>
      </c>
      <c r="V2" t="s">
        <v>2</v>
      </c>
      <c r="Y2" t="s">
        <v>2</v>
      </c>
      <c r="AB2" t="s">
        <v>347</v>
      </c>
      <c r="AC2" s="34" t="s">
        <v>404</v>
      </c>
      <c r="AE2" t="s">
        <v>347</v>
      </c>
    </row>
    <row r="3" spans="1:32" x14ac:dyDescent="0.25">
      <c r="A3" t="s">
        <v>1</v>
      </c>
      <c r="B3" s="34"/>
      <c r="D3" t="s">
        <v>1</v>
      </c>
      <c r="E3" s="34"/>
      <c r="G3" t="s">
        <v>1</v>
      </c>
      <c r="H3" s="34"/>
      <c r="J3" t="s">
        <v>1</v>
      </c>
      <c r="K3" s="34" t="s">
        <v>404</v>
      </c>
      <c r="M3" t="s">
        <v>398</v>
      </c>
      <c r="N3" t="b">
        <v>0</v>
      </c>
      <c r="P3" t="s">
        <v>1</v>
      </c>
      <c r="Q3" s="34"/>
      <c r="S3" t="s">
        <v>1</v>
      </c>
      <c r="T3" s="34"/>
      <c r="V3" t="s">
        <v>1</v>
      </c>
      <c r="W3" s="34"/>
      <c r="Y3" t="s">
        <v>1</v>
      </c>
      <c r="Z3" s="34"/>
      <c r="AB3" t="s">
        <v>402</v>
      </c>
      <c r="AC3" s="34" t="s">
        <v>404</v>
      </c>
      <c r="AE3" t="s">
        <v>402</v>
      </c>
      <c r="AF3" s="34"/>
    </row>
    <row r="4" spans="1:32" x14ac:dyDescent="0.25">
      <c r="A4" t="s">
        <v>11</v>
      </c>
      <c r="B4" s="34"/>
      <c r="D4" t="s">
        <v>11</v>
      </c>
      <c r="E4" s="34"/>
      <c r="G4" t="s">
        <v>11</v>
      </c>
      <c r="H4" s="34"/>
      <c r="J4" t="s">
        <v>11</v>
      </c>
      <c r="K4" s="34" t="s">
        <v>404</v>
      </c>
      <c r="M4" t="s">
        <v>400</v>
      </c>
      <c r="N4" t="b">
        <v>0</v>
      </c>
      <c r="P4" t="s">
        <v>3</v>
      </c>
      <c r="Q4" s="34"/>
      <c r="S4" t="s">
        <v>3</v>
      </c>
      <c r="T4" s="34"/>
      <c r="V4" t="s">
        <v>3</v>
      </c>
      <c r="W4" s="34"/>
      <c r="Y4" t="s">
        <v>3</v>
      </c>
      <c r="Z4" s="34"/>
      <c r="AB4" t="s">
        <v>403</v>
      </c>
      <c r="AC4" s="34" t="s">
        <v>404</v>
      </c>
      <c r="AE4" t="s">
        <v>403</v>
      </c>
      <c r="AF4" s="34"/>
    </row>
    <row r="5" spans="1:32" x14ac:dyDescent="0.25">
      <c r="A5" t="s">
        <v>3</v>
      </c>
      <c r="B5" s="34"/>
      <c r="D5" t="s">
        <v>3</v>
      </c>
      <c r="E5" s="34"/>
      <c r="G5" t="s">
        <v>3</v>
      </c>
      <c r="H5" s="34" t="s">
        <v>404</v>
      </c>
      <c r="J5" t="s">
        <v>3</v>
      </c>
      <c r="K5" s="34" t="s">
        <v>404</v>
      </c>
      <c r="P5" t="s">
        <v>314</v>
      </c>
      <c r="Q5" s="34"/>
      <c r="S5" t="s">
        <v>314</v>
      </c>
      <c r="T5" s="34"/>
      <c r="V5" t="s">
        <v>407</v>
      </c>
      <c r="W5" s="34"/>
      <c r="Y5" t="s">
        <v>407</v>
      </c>
      <c r="Z5" s="34"/>
      <c r="AB5" t="s">
        <v>410</v>
      </c>
      <c r="AC5" s="34" t="s">
        <v>404</v>
      </c>
      <c r="AE5" t="s">
        <v>410</v>
      </c>
      <c r="AF5" s="34"/>
    </row>
    <row r="6" spans="1:32" x14ac:dyDescent="0.25">
      <c r="A6" t="s">
        <v>4</v>
      </c>
      <c r="B6" s="34"/>
      <c r="D6" t="s">
        <v>4</v>
      </c>
      <c r="E6" s="34"/>
      <c r="G6" t="s">
        <v>4</v>
      </c>
      <c r="H6" s="34"/>
      <c r="J6" t="s">
        <v>4</v>
      </c>
      <c r="K6" s="34" t="s">
        <v>404</v>
      </c>
      <c r="P6" t="s">
        <v>312</v>
      </c>
      <c r="Q6" s="34"/>
      <c r="S6" t="s">
        <v>312</v>
      </c>
      <c r="T6" s="34"/>
      <c r="V6" t="s">
        <v>319</v>
      </c>
      <c r="W6" s="34"/>
      <c r="Y6" t="s">
        <v>319</v>
      </c>
      <c r="Z6" s="34"/>
      <c r="AB6" t="s">
        <v>411</v>
      </c>
      <c r="AC6" s="34" t="s">
        <v>404</v>
      </c>
      <c r="AE6" t="s">
        <v>411</v>
      </c>
      <c r="AF6" s="34"/>
    </row>
    <row r="7" spans="1:32" x14ac:dyDescent="0.25">
      <c r="A7" t="s">
        <v>12</v>
      </c>
      <c r="B7" s="34"/>
      <c r="D7" t="s">
        <v>12</v>
      </c>
      <c r="E7" s="34"/>
      <c r="G7" t="s">
        <v>12</v>
      </c>
      <c r="H7" s="34"/>
      <c r="J7" t="s">
        <v>12</v>
      </c>
      <c r="K7" s="34" t="s">
        <v>404</v>
      </c>
      <c r="P7" t="s">
        <v>313</v>
      </c>
      <c r="Q7" s="34"/>
      <c r="S7" t="s">
        <v>313</v>
      </c>
      <c r="T7" s="34"/>
      <c r="V7" t="s">
        <v>320</v>
      </c>
      <c r="W7" s="34"/>
      <c r="Y7" t="s">
        <v>320</v>
      </c>
      <c r="Z7" s="34"/>
      <c r="AC7" s="34"/>
      <c r="AF7" s="34"/>
    </row>
    <row r="8" spans="1:32" x14ac:dyDescent="0.25">
      <c r="A8" t="s">
        <v>6</v>
      </c>
      <c r="B8" s="34"/>
      <c r="D8" t="s">
        <v>6</v>
      </c>
      <c r="E8" s="34"/>
      <c r="G8" t="s">
        <v>6</v>
      </c>
      <c r="H8" s="34"/>
      <c r="J8" t="s">
        <v>6</v>
      </c>
      <c r="K8" s="34" t="s">
        <v>404</v>
      </c>
      <c r="P8" t="s">
        <v>405</v>
      </c>
      <c r="Q8" s="34"/>
      <c r="S8" t="s">
        <v>405</v>
      </c>
      <c r="T8" s="34"/>
      <c r="V8" t="s">
        <v>408</v>
      </c>
      <c r="W8" s="34"/>
      <c r="Y8" t="s">
        <v>408</v>
      </c>
      <c r="Z8" s="34"/>
      <c r="AC8" s="34"/>
      <c r="AF8" s="34"/>
    </row>
    <row r="9" spans="1:32" x14ac:dyDescent="0.25">
      <c r="A9" t="s">
        <v>7</v>
      </c>
      <c r="B9" s="34"/>
      <c r="D9" t="s">
        <v>7</v>
      </c>
      <c r="E9" s="34"/>
      <c r="G9" t="s">
        <v>338</v>
      </c>
      <c r="H9" s="34"/>
      <c r="J9" t="s">
        <v>7</v>
      </c>
      <c r="K9" s="34" t="s">
        <v>404</v>
      </c>
      <c r="P9" t="s">
        <v>406</v>
      </c>
      <c r="Q9" s="34"/>
      <c r="S9" t="s">
        <v>406</v>
      </c>
      <c r="T9" s="34"/>
      <c r="V9" t="s">
        <v>409</v>
      </c>
      <c r="W9" s="34"/>
      <c r="Y9" t="s">
        <v>409</v>
      </c>
      <c r="Z9" s="34"/>
      <c r="AC9" s="34"/>
      <c r="AF9" s="34"/>
    </row>
    <row r="10" spans="1:32" x14ac:dyDescent="0.25">
      <c r="A10" t="s">
        <v>8</v>
      </c>
      <c r="B10" s="34"/>
      <c r="D10" t="s">
        <v>8</v>
      </c>
      <c r="E10" s="34"/>
      <c r="G10" t="s">
        <v>8</v>
      </c>
      <c r="H10" s="34"/>
      <c r="J10" t="s">
        <v>8</v>
      </c>
      <c r="K10" s="34" t="s">
        <v>404</v>
      </c>
      <c r="Q10" s="34"/>
      <c r="T10" s="34"/>
      <c r="W10" s="34"/>
      <c r="Z10" s="34"/>
      <c r="AC10" s="34"/>
      <c r="AF10" s="34"/>
    </row>
    <row r="11" spans="1:32" x14ac:dyDescent="0.25">
      <c r="A11" t="s">
        <v>394</v>
      </c>
      <c r="B11" s="34"/>
      <c r="D11" t="s">
        <v>402</v>
      </c>
      <c r="E11" s="34"/>
      <c r="G11" t="s">
        <v>394</v>
      </c>
      <c r="H11" s="34" t="s">
        <v>404</v>
      </c>
      <c r="J11" t="s">
        <v>394</v>
      </c>
      <c r="K11" s="34" t="s">
        <v>404</v>
      </c>
      <c r="Q11" s="34"/>
      <c r="T11" s="34"/>
      <c r="W11" s="34"/>
      <c r="Z11" s="34"/>
      <c r="AC11" s="34"/>
      <c r="AF11" s="34"/>
    </row>
    <row r="12" spans="1:32" x14ac:dyDescent="0.25">
      <c r="A12" t="s">
        <v>395</v>
      </c>
      <c r="B12" s="34"/>
      <c r="D12" t="s">
        <v>403</v>
      </c>
      <c r="E12" s="34"/>
      <c r="G12" t="s">
        <v>395</v>
      </c>
      <c r="H12" s="34" t="s">
        <v>404</v>
      </c>
      <c r="J12" t="s">
        <v>395</v>
      </c>
      <c r="K12" s="34" t="s">
        <v>404</v>
      </c>
      <c r="Q12" s="34"/>
      <c r="T12" s="34"/>
      <c r="W12" s="34"/>
      <c r="Z12" s="34"/>
      <c r="AC12" s="34"/>
      <c r="AF12" s="34"/>
    </row>
    <row r="13" spans="1:32" x14ac:dyDescent="0.25">
      <c r="B13" s="34"/>
      <c r="E13" s="34"/>
      <c r="H13" s="34"/>
      <c r="K13" s="34"/>
      <c r="Q13" s="34"/>
      <c r="T13" s="34"/>
      <c r="W13" s="34"/>
      <c r="Z13" s="34"/>
      <c r="AC13" s="34"/>
      <c r="AF13" s="34"/>
    </row>
    <row r="14" spans="1:32" x14ac:dyDescent="0.25">
      <c r="B14" s="34"/>
      <c r="E14" s="34"/>
      <c r="H14" s="34"/>
      <c r="K14" s="34"/>
      <c r="Q14" s="34"/>
      <c r="T14" s="34"/>
      <c r="W14" s="34"/>
      <c r="Z14" s="34"/>
      <c r="AC14" s="34"/>
      <c r="AF14" s="34"/>
    </row>
    <row r="15" spans="1:32" x14ac:dyDescent="0.25">
      <c r="B15" s="34"/>
      <c r="E15" s="34"/>
      <c r="H15" s="34"/>
      <c r="K15" s="34"/>
      <c r="Q15" s="34"/>
      <c r="T15" s="34"/>
      <c r="W15" s="34"/>
      <c r="Z15" s="34"/>
      <c r="AC15" s="34"/>
      <c r="AF15" s="34"/>
    </row>
    <row r="16" spans="1:32" x14ac:dyDescent="0.25">
      <c r="B16" s="34"/>
      <c r="E16" s="34"/>
      <c r="H16" s="34"/>
      <c r="K16" s="34"/>
      <c r="Q16" s="34"/>
      <c r="T16" s="34"/>
      <c r="W16" s="34"/>
      <c r="Z16" s="34"/>
      <c r="AC16" s="34"/>
      <c r="AF16" s="34"/>
    </row>
    <row r="17" spans="1:29" x14ac:dyDescent="0.25">
      <c r="A17" t="s">
        <v>401</v>
      </c>
      <c r="B17" s="34"/>
      <c r="D17" t="s">
        <v>401</v>
      </c>
      <c r="E17" s="34"/>
      <c r="G17" t="s">
        <v>401</v>
      </c>
      <c r="H17" s="34"/>
      <c r="J17" t="s">
        <v>401</v>
      </c>
      <c r="K17" s="34"/>
      <c r="Q17" s="34"/>
      <c r="T17" s="34"/>
      <c r="W17" s="34"/>
      <c r="Z17" s="34"/>
      <c r="AC17" s="34"/>
    </row>
    <row r="18" spans="1:29" x14ac:dyDescent="0.25">
      <c r="A18" t="s">
        <v>2</v>
      </c>
      <c r="D18" t="s">
        <v>2</v>
      </c>
      <c r="G18" t="s">
        <v>2</v>
      </c>
      <c r="J18" t="s">
        <v>2</v>
      </c>
      <c r="Q18" s="34"/>
      <c r="T18" s="34"/>
      <c r="W18" s="34"/>
      <c r="Z18" s="34"/>
      <c r="AC18" s="34"/>
    </row>
    <row r="19" spans="1:29" x14ac:dyDescent="0.25">
      <c r="A19" t="s">
        <v>1</v>
      </c>
      <c r="B19" s="34"/>
      <c r="D19" t="s">
        <v>1</v>
      </c>
      <c r="E19" s="34"/>
      <c r="G19" t="s">
        <v>1</v>
      </c>
      <c r="H19" s="34"/>
      <c r="J19" t="s">
        <v>1</v>
      </c>
      <c r="K19" s="34"/>
      <c r="Q19" s="34"/>
      <c r="T19" s="34"/>
      <c r="W19" s="34"/>
      <c r="Z19" s="34"/>
      <c r="AC19" s="34"/>
    </row>
    <row r="20" spans="1:29" x14ac:dyDescent="0.25">
      <c r="A20" t="s">
        <v>11</v>
      </c>
      <c r="B20" s="34"/>
      <c r="D20" t="s">
        <v>11</v>
      </c>
      <c r="E20" s="34"/>
      <c r="G20" t="s">
        <v>11</v>
      </c>
      <c r="H20" s="34"/>
      <c r="J20" t="s">
        <v>11</v>
      </c>
      <c r="K20" s="34"/>
      <c r="Q20" s="34"/>
      <c r="T20" s="34"/>
      <c r="W20" s="34"/>
      <c r="Z20" s="34"/>
      <c r="AC20" s="34"/>
    </row>
    <row r="21" spans="1:29" x14ac:dyDescent="0.25">
      <c r="A21" t="s">
        <v>3</v>
      </c>
      <c r="B21" s="34"/>
      <c r="D21" t="s">
        <v>3</v>
      </c>
      <c r="E21" s="34"/>
      <c r="G21" t="s">
        <v>3</v>
      </c>
      <c r="H21" s="34"/>
      <c r="J21" t="s">
        <v>3</v>
      </c>
      <c r="K21" s="34"/>
      <c r="Q21" s="34"/>
      <c r="T21" s="34"/>
      <c r="W21" s="34"/>
      <c r="Z21" s="34"/>
      <c r="AC21" s="34"/>
    </row>
    <row r="22" spans="1:29" x14ac:dyDescent="0.25">
      <c r="A22" t="s">
        <v>4</v>
      </c>
      <c r="B22" s="34"/>
      <c r="D22" t="s">
        <v>4</v>
      </c>
      <c r="E22" s="34"/>
      <c r="G22" t="s">
        <v>4</v>
      </c>
      <c r="H22" s="34"/>
      <c r="J22" t="s">
        <v>4</v>
      </c>
      <c r="K22" s="34"/>
      <c r="Q22" s="34"/>
      <c r="T22" s="34"/>
      <c r="W22" s="34"/>
      <c r="Z22" s="34"/>
      <c r="AC22" s="34"/>
    </row>
    <row r="23" spans="1:29" x14ac:dyDescent="0.25">
      <c r="A23" t="s">
        <v>12</v>
      </c>
      <c r="B23" s="34"/>
      <c r="D23" t="s">
        <v>12</v>
      </c>
      <c r="E23" s="34"/>
      <c r="G23" t="s">
        <v>12</v>
      </c>
      <c r="H23" s="34"/>
      <c r="J23" t="s">
        <v>12</v>
      </c>
      <c r="K23" s="34"/>
      <c r="Q23" s="34"/>
      <c r="T23" s="34"/>
      <c r="W23" s="34"/>
      <c r="Z23" s="34"/>
      <c r="AC23" s="34"/>
    </row>
    <row r="24" spans="1:29" x14ac:dyDescent="0.25">
      <c r="A24" t="s">
        <v>6</v>
      </c>
      <c r="B24" s="34"/>
      <c r="D24" t="s">
        <v>6</v>
      </c>
      <c r="E24" s="34"/>
      <c r="G24" t="s">
        <v>6</v>
      </c>
      <c r="H24" s="34"/>
      <c r="J24" t="s">
        <v>6</v>
      </c>
      <c r="K24" s="34"/>
      <c r="Q24" s="34"/>
      <c r="T24" s="34"/>
      <c r="W24" s="34"/>
      <c r="Z24" s="34"/>
      <c r="AC24" s="34"/>
    </row>
    <row r="25" spans="1:29" x14ac:dyDescent="0.25">
      <c r="A25" t="s">
        <v>7</v>
      </c>
      <c r="B25" s="34"/>
      <c r="D25" t="s">
        <v>7</v>
      </c>
      <c r="E25" s="34"/>
      <c r="G25" t="s">
        <v>338</v>
      </c>
      <c r="H25" s="34"/>
      <c r="J25" t="s">
        <v>7</v>
      </c>
      <c r="K25" s="34"/>
      <c r="Q25" s="34"/>
      <c r="T25" s="34"/>
      <c r="W25" s="34"/>
      <c r="Z25" s="34"/>
      <c r="AC25" s="34"/>
    </row>
    <row r="26" spans="1:29" x14ac:dyDescent="0.25">
      <c r="A26" t="s">
        <v>8</v>
      </c>
      <c r="B26" s="34"/>
      <c r="D26" t="s">
        <v>8</v>
      </c>
      <c r="E26" s="34"/>
      <c r="G26" t="s">
        <v>8</v>
      </c>
      <c r="H26" s="34"/>
      <c r="J26" t="s">
        <v>8</v>
      </c>
      <c r="K26" s="34"/>
      <c r="Q26" s="34"/>
      <c r="T26" s="34"/>
      <c r="W26" s="34"/>
      <c r="Z26" s="34"/>
      <c r="AC26" s="34"/>
    </row>
    <row r="27" spans="1:29" x14ac:dyDescent="0.25">
      <c r="A27" t="s">
        <v>394</v>
      </c>
      <c r="B27" s="34"/>
      <c r="D27" t="s">
        <v>402</v>
      </c>
      <c r="E27" s="34"/>
      <c r="G27" t="s">
        <v>394</v>
      </c>
      <c r="H27" s="34"/>
      <c r="J27" t="s">
        <v>394</v>
      </c>
      <c r="K27" s="34"/>
      <c r="Q27" s="34"/>
      <c r="T27" s="34"/>
      <c r="W27" s="34"/>
      <c r="Z27" s="34"/>
      <c r="AC27" s="34"/>
    </row>
    <row r="28" spans="1:29" x14ac:dyDescent="0.25">
      <c r="A28" t="s">
        <v>395</v>
      </c>
      <c r="B28" s="34"/>
      <c r="D28" t="s">
        <v>403</v>
      </c>
      <c r="E28" s="34"/>
      <c r="G28" t="s">
        <v>395</v>
      </c>
      <c r="H28" s="34"/>
      <c r="J28" t="s">
        <v>395</v>
      </c>
      <c r="K28" s="34"/>
      <c r="Q28" s="34"/>
      <c r="T28" s="34"/>
      <c r="W28" s="34"/>
      <c r="Z28" s="34"/>
      <c r="AC28" s="34"/>
    </row>
    <row r="29" spans="1:29" x14ac:dyDescent="0.25">
      <c r="Q29" s="34"/>
      <c r="T29" s="34"/>
      <c r="W29" s="34"/>
      <c r="Z29" s="3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D97D-F4EF-4E28-BA4B-132C3987DE91}">
  <sheetPr codeName="Planilha11">
    <pageSetUpPr autoPageBreaks="0"/>
  </sheetPr>
  <dimension ref="A1:V15"/>
  <sheetViews>
    <sheetView showGridLines="0" showRowColHeaders="0" tabSelected="1" topLeftCell="B1" zoomScale="80" zoomScaleNormal="80" workbookViewId="0">
      <pane ySplit="3" topLeftCell="A4" activePane="bottomLeft" state="frozen"/>
      <selection activeCell="E22" sqref="E22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33203125" style="4" hidden="1" customWidth="1"/>
    <col min="2" max="2" width="23.88671875" style="5" bestFit="1" customWidth="1"/>
    <col min="3" max="3" width="9.5546875" style="4" hidden="1" customWidth="1"/>
    <col min="4" max="4" width="9.6640625" style="4" hidden="1" customWidth="1"/>
    <col min="5" max="5" width="22.6640625" style="22" bestFit="1" customWidth="1"/>
    <col min="6" max="6" width="20" style="22" bestFit="1" customWidth="1"/>
    <col min="7" max="7" width="28.77734375" style="22" bestFit="1" customWidth="1"/>
    <col min="8" max="8" width="11" style="19" bestFit="1" customWidth="1"/>
    <col min="9" max="9" width="24.5546875" style="22" bestFit="1" customWidth="1"/>
    <col min="10" max="10" width="27.44140625" style="22" bestFit="1" customWidth="1"/>
    <col min="11" max="11" width="18.33203125" style="22" bestFit="1" customWidth="1"/>
    <col min="12" max="12" width="23" style="5" bestFit="1" customWidth="1"/>
    <col min="13" max="13" width="11.21875" style="22" bestFit="1" customWidth="1"/>
    <col min="14" max="14" width="19.44140625" style="4" hidden="1" customWidth="1"/>
    <col min="15" max="15" width="13.44140625" style="4" customWidth="1"/>
    <col min="16" max="16" width="21.6640625" style="11" bestFit="1" customWidth="1"/>
    <col min="17" max="17" width="18" style="19" bestFit="1" customWidth="1"/>
    <col min="18" max="22" width="8.88671875" style="4" customWidth="1"/>
    <col min="23" max="16384" width="8.88671875" style="4" hidden="1"/>
  </cols>
  <sheetData>
    <row r="1" spans="1:22" ht="6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x14ac:dyDescent="0.25">
      <c r="A3" s="47" t="s">
        <v>16</v>
      </c>
      <c r="B3" s="47" t="s">
        <v>0</v>
      </c>
      <c r="C3" s="47" t="s">
        <v>1</v>
      </c>
      <c r="D3" s="47" t="s">
        <v>2</v>
      </c>
      <c r="E3" s="47" t="s">
        <v>3</v>
      </c>
      <c r="F3" s="47" t="s">
        <v>4</v>
      </c>
      <c r="G3" s="47" t="s">
        <v>12</v>
      </c>
      <c r="H3" s="47" t="s">
        <v>5</v>
      </c>
      <c r="I3" s="47" t="s">
        <v>6</v>
      </c>
      <c r="J3" s="47" t="s">
        <v>7</v>
      </c>
      <c r="K3" s="47" t="s">
        <v>8</v>
      </c>
      <c r="L3" s="47" t="s">
        <v>9</v>
      </c>
      <c r="M3" s="47" t="s">
        <v>10</v>
      </c>
      <c r="N3" s="47" t="s">
        <v>20</v>
      </c>
      <c r="O3" s="47" t="s">
        <v>11</v>
      </c>
      <c r="P3" s="47" t="s">
        <v>317</v>
      </c>
      <c r="Q3" s="47" t="s">
        <v>326</v>
      </c>
    </row>
    <row r="4" spans="1:22" x14ac:dyDescent="0.25">
      <c r="A4" s="8">
        <f>ROW(Despesas[[#This Row],[Índice]])-ROW(Despesas[[#Headers],[Índice]])</f>
        <v>1</v>
      </c>
      <c r="B4" s="9">
        <v>45787</v>
      </c>
      <c r="C4" s="8" t="str">
        <f>IFERROR(IF(Despesas[[#This Row],[Data de Vencimento]]&lt;&gt;"", VLOOKUP(MONTH(Despesas[[#This Row],[Data de Vencimento]]),tbMês[], 3,FALSE), ""), "")</f>
        <v>mai</v>
      </c>
      <c r="D4" s="8">
        <f>IFERROR(IF(Despesas[[#This Row],[Data de Vencimento]]&lt;&gt;"",YEAR(Despesas[[#This Row],[Data de Vencimento]]),""), "")</f>
        <v>2025</v>
      </c>
      <c r="E4" s="10" t="s">
        <v>60</v>
      </c>
      <c r="F4" s="10" t="s">
        <v>23</v>
      </c>
      <c r="G4" s="10" t="s">
        <v>61</v>
      </c>
      <c r="H4" s="11">
        <v>250</v>
      </c>
      <c r="I4" s="10"/>
      <c r="J4" s="10"/>
      <c r="K4" s="10"/>
      <c r="L4" s="9"/>
      <c r="M4" s="48" t="s">
        <v>19</v>
      </c>
      <c r="N4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4" s="8" t="str">
        <f ca="1">Despesas[[#This Row],[Situação (Real)]]</f>
        <v>PAGO</v>
      </c>
      <c r="Q4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250</v>
      </c>
    </row>
    <row r="5" spans="1:22" x14ac:dyDescent="0.25">
      <c r="A5" s="8">
        <f>ROW(Despesas[[#This Row],[Índice]])-ROW(Despesas[[#Headers],[Índice]])</f>
        <v>2</v>
      </c>
      <c r="B5" s="9">
        <v>45808</v>
      </c>
      <c r="C5" s="8" t="str">
        <f>IFERROR(IF(Despesas[[#This Row],[Data de Vencimento]]&lt;&gt;"", VLOOKUP(MONTH(Despesas[[#This Row],[Data de Vencimento]]),tbMês[], 3,FALSE), ""), "")</f>
        <v>mai</v>
      </c>
      <c r="D5" s="8">
        <f>IFERROR(IF(Despesas[[#This Row],[Data de Vencimento]]&lt;&gt;"",YEAR(Despesas[[#This Row],[Data de Vencimento]]),""), "")</f>
        <v>2025</v>
      </c>
      <c r="E5" s="10" t="s">
        <v>380</v>
      </c>
      <c r="F5" s="10"/>
      <c r="G5" s="10"/>
      <c r="H5" s="11">
        <v>150</v>
      </c>
      <c r="I5" s="10" t="s">
        <v>218</v>
      </c>
      <c r="J5" s="10"/>
      <c r="K5" s="10"/>
      <c r="L5" s="9"/>
      <c r="M5" s="48" t="s">
        <v>19</v>
      </c>
      <c r="N5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5" s="8" t="str">
        <f ca="1">Despesas[[#This Row],[Situação (Real)]]</f>
        <v>PAGO</v>
      </c>
      <c r="Q5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6" spans="1:22" x14ac:dyDescent="0.25">
      <c r="A6" s="8">
        <f>ROW(Despesas[[#This Row],[Índice]])-ROW(Despesas[[#Headers],[Índice]])</f>
        <v>3</v>
      </c>
      <c r="B6" s="9">
        <v>45808</v>
      </c>
      <c r="C6" s="8" t="str">
        <f>IFERROR(IF(Despesas[[#This Row],[Data de Vencimento]]&lt;&gt;"", VLOOKUP(MONTH(Despesas[[#This Row],[Data de Vencimento]]),tbMês[], 3,FALSE), ""), "")</f>
        <v>mai</v>
      </c>
      <c r="D6" s="8">
        <f>IFERROR(IF(Despesas[[#This Row],[Data de Vencimento]]&lt;&gt;"",YEAR(Despesas[[#This Row],[Data de Vencimento]]),""), "")</f>
        <v>2025</v>
      </c>
      <c r="E6" s="10" t="s">
        <v>381</v>
      </c>
      <c r="F6" s="10"/>
      <c r="G6" s="10"/>
      <c r="H6" s="11">
        <v>125</v>
      </c>
      <c r="I6" s="10" t="s">
        <v>347</v>
      </c>
      <c r="J6" s="10" t="s">
        <v>241</v>
      </c>
      <c r="K6" s="10"/>
      <c r="L6" s="9"/>
      <c r="M6" s="48" t="s">
        <v>19</v>
      </c>
      <c r="N6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6" s="8" t="str">
        <f ca="1">Despesas[[#This Row],[Situação (Real)]]</f>
        <v>PAGO</v>
      </c>
      <c r="Q6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7" spans="1:22" x14ac:dyDescent="0.25">
      <c r="A7" s="8">
        <f>ROW(Despesas[[#This Row],[Índice]])-ROW(Despesas[[#Headers],[Índice]])</f>
        <v>4</v>
      </c>
      <c r="B7" s="9">
        <v>45838</v>
      </c>
      <c r="C7" s="8" t="str">
        <f>IFERROR(IF(Despesas[[#This Row],[Data de Vencimento]]&lt;&gt;"", VLOOKUP(MONTH(Despesas[[#This Row],[Data de Vencimento]]),tbMês[], 3,FALSE), ""), "")</f>
        <v>jun</v>
      </c>
      <c r="D7" s="8">
        <f>IFERROR(IF(Despesas[[#This Row],[Data de Vencimento]]&lt;&gt;"",YEAR(Despesas[[#This Row],[Data de Vencimento]]),""), "")</f>
        <v>2025</v>
      </c>
      <c r="E7" s="10" t="s">
        <v>382</v>
      </c>
      <c r="F7" s="10"/>
      <c r="G7" s="10"/>
      <c r="H7" s="11">
        <v>125</v>
      </c>
      <c r="I7" s="10" t="s">
        <v>347</v>
      </c>
      <c r="J7" s="10" t="s">
        <v>241</v>
      </c>
      <c r="K7" s="10"/>
      <c r="L7" s="9"/>
      <c r="M7" s="48" t="s">
        <v>19</v>
      </c>
      <c r="N7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7" s="8" t="str">
        <f ca="1">Despesas[[#This Row],[Situação (Real)]]</f>
        <v>PAGO</v>
      </c>
      <c r="Q7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8" spans="1:22" x14ac:dyDescent="0.25">
      <c r="A8" s="8">
        <f>ROW(Despesas[[#This Row],[Índice]])-ROW(Despesas[[#Headers],[Índice]])</f>
        <v>5</v>
      </c>
      <c r="B8" s="9">
        <v>45869</v>
      </c>
      <c r="C8" s="8" t="str">
        <f>IFERROR(IF(Despesas[[#This Row],[Data de Vencimento]]&lt;&gt;"", VLOOKUP(MONTH(Despesas[[#This Row],[Data de Vencimento]]),tbMês[], 3,FALSE), ""), "")</f>
        <v>jul</v>
      </c>
      <c r="D8" s="8">
        <f>IFERROR(IF(Despesas[[#This Row],[Data de Vencimento]]&lt;&gt;"",YEAR(Despesas[[#This Row],[Data de Vencimento]]),""), "")</f>
        <v>2025</v>
      </c>
      <c r="E8" s="10" t="s">
        <v>383</v>
      </c>
      <c r="F8" s="10"/>
      <c r="G8" s="10"/>
      <c r="H8" s="11">
        <v>125</v>
      </c>
      <c r="I8" s="10" t="s">
        <v>347</v>
      </c>
      <c r="J8" s="10" t="s">
        <v>241</v>
      </c>
      <c r="K8" s="10"/>
      <c r="L8" s="9"/>
      <c r="M8" s="48" t="s">
        <v>19</v>
      </c>
      <c r="N8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8" s="8" t="str">
        <f ca="1">Despesas[[#This Row],[Situação (Real)]]</f>
        <v>PAGO</v>
      </c>
      <c r="Q8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9" spans="1:22" x14ac:dyDescent="0.25">
      <c r="A9" s="8">
        <f>ROW(Despesas[[#This Row],[Índice]])-ROW(Despesas[[#Headers],[Índice]])</f>
        <v>6</v>
      </c>
      <c r="B9" s="9">
        <v>45900</v>
      </c>
      <c r="C9" s="8" t="str">
        <f>IFERROR(IF(Despesas[[#This Row],[Data de Vencimento]]&lt;&gt;"", VLOOKUP(MONTH(Despesas[[#This Row],[Data de Vencimento]]),tbMês[], 3,FALSE), ""), "")</f>
        <v>ago</v>
      </c>
      <c r="D9" s="8">
        <f>IFERROR(IF(Despesas[[#This Row],[Data de Vencimento]]&lt;&gt;"",YEAR(Despesas[[#This Row],[Data de Vencimento]]),""), "")</f>
        <v>2025</v>
      </c>
      <c r="E9" s="10" t="s">
        <v>384</v>
      </c>
      <c r="F9" s="10"/>
      <c r="G9" s="10"/>
      <c r="H9" s="11">
        <v>125</v>
      </c>
      <c r="I9" s="10" t="s">
        <v>347</v>
      </c>
      <c r="J9" s="10" t="s">
        <v>241</v>
      </c>
      <c r="K9" s="10"/>
      <c r="L9" s="9"/>
      <c r="M9" s="48" t="s">
        <v>19</v>
      </c>
      <c r="N9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PAGO</v>
      </c>
      <c r="O9" s="8" t="str">
        <f ca="1">Despesas[[#This Row],[Situação (Real)]]</f>
        <v>PAGO</v>
      </c>
      <c r="Q9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125</v>
      </c>
    </row>
    <row r="10" spans="1:22" x14ac:dyDescent="0.25">
      <c r="A10" s="8">
        <f>ROW(Despesas[[#This Row],[Índice]])-ROW(Despesas[[#Headers],[Índice]])</f>
        <v>7</v>
      </c>
      <c r="B10" s="9">
        <v>45792</v>
      </c>
      <c r="C10" s="8" t="str">
        <f>IFERROR(IF(Despesas[[#This Row],[Data de Vencimento]]&lt;&gt;"", VLOOKUP(MONTH(Despesas[[#This Row],[Data de Vencimento]]),tbMês[], 3,FALSE), ""), "")</f>
        <v>mai</v>
      </c>
      <c r="D10" s="8">
        <f>IFERROR(IF(Despesas[[#This Row],[Data de Vencimento]]&lt;&gt;"",YEAR(Despesas[[#This Row],[Data de Vencimento]]),""), "")</f>
        <v>2025</v>
      </c>
      <c r="E10" s="10" t="s">
        <v>385</v>
      </c>
      <c r="F10" s="10"/>
      <c r="G10" s="10"/>
      <c r="H10" s="11">
        <v>150</v>
      </c>
      <c r="I10" s="10" t="s">
        <v>347</v>
      </c>
      <c r="J10" s="10" t="s">
        <v>225</v>
      </c>
      <c r="K10" s="10"/>
      <c r="L10" s="9"/>
      <c r="M10" s="48"/>
      <c r="N10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0" s="8" t="str">
        <f ca="1">Despesas[[#This Row],[Situação (Real)]]</f>
        <v>EM DÍVIDA</v>
      </c>
      <c r="Q10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11" spans="1:22" x14ac:dyDescent="0.25">
      <c r="A11" s="8">
        <f>ROW(Despesas[[#This Row],[Índice]])-ROW(Despesas[[#Headers],[Índice]])</f>
        <v>8</v>
      </c>
      <c r="B11" s="9">
        <v>45823</v>
      </c>
      <c r="C11" s="8" t="str">
        <f>IFERROR(IF(Despesas[[#This Row],[Data de Vencimento]]&lt;&gt;"", VLOOKUP(MONTH(Despesas[[#This Row],[Data de Vencimento]]),tbMês[], 3,FALSE), ""), "")</f>
        <v>jun</v>
      </c>
      <c r="D11" s="8">
        <f>IFERROR(IF(Despesas[[#This Row],[Data de Vencimento]]&lt;&gt;"",YEAR(Despesas[[#This Row],[Data de Vencimento]]),""), "")</f>
        <v>2025</v>
      </c>
      <c r="E11" s="10" t="s">
        <v>386</v>
      </c>
      <c r="F11" s="10"/>
      <c r="G11" s="10"/>
      <c r="H11" s="11">
        <v>150</v>
      </c>
      <c r="I11" s="10" t="s">
        <v>347</v>
      </c>
      <c r="J11" s="10" t="s">
        <v>225</v>
      </c>
      <c r="K11" s="10"/>
      <c r="L11" s="9"/>
      <c r="M11" s="48"/>
      <c r="N11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1" s="8" t="str">
        <f ca="1">Despesas[[#This Row],[Situação (Real)]]</f>
        <v>EM DÍVIDA</v>
      </c>
      <c r="Q11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150</v>
      </c>
    </row>
    <row r="12" spans="1:22" x14ac:dyDescent="0.25">
      <c r="A12" s="8">
        <f>ROW(Despesas[[#This Row],[Índice]])-ROW(Despesas[[#Headers],[Índice]])</f>
        <v>9</v>
      </c>
      <c r="B12" s="9">
        <v>45904</v>
      </c>
      <c r="C12" s="8" t="str">
        <f>IFERROR(IF(Despesas[[#This Row],[Data de Vencimento]]&lt;&gt;"", VLOOKUP(MONTH(Despesas[[#This Row],[Data de Vencimento]]),tbMês[], 3,FALSE), ""), "")</f>
        <v>set</v>
      </c>
      <c r="D12" s="8">
        <f>IFERROR(IF(Despesas[[#This Row],[Data de Vencimento]]&lt;&gt;"",YEAR(Despesas[[#This Row],[Data de Vencimento]]),""), "")</f>
        <v>2025</v>
      </c>
      <c r="E12" s="10" t="s">
        <v>421</v>
      </c>
      <c r="F12" s="10"/>
      <c r="G12" s="10"/>
      <c r="H12" s="11">
        <v>100</v>
      </c>
      <c r="I12" s="10"/>
      <c r="J12" s="10"/>
      <c r="K12" s="10"/>
      <c r="L12" s="9"/>
      <c r="M12" s="48"/>
      <c r="N12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>EM DÍVIDA</v>
      </c>
      <c r="O12" s="8" t="str">
        <f ca="1">Despesas[[#This Row],[Situação (Real)]]</f>
        <v>EM DÍVIDA</v>
      </c>
      <c r="Q12" s="19">
        <f ca="1"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100</v>
      </c>
    </row>
    <row r="13" spans="1:22" x14ac:dyDescent="0.25">
      <c r="A13" s="8">
        <f>ROW(Despesas[[#This Row],[Índice]])-ROW(Despesas[[#Headers],[Índice]])</f>
        <v>10</v>
      </c>
      <c r="B13" s="9"/>
      <c r="C13" s="8" t="str">
        <f>IFERROR(IF(Despesas[[#This Row],[Data de Vencimento]]&lt;&gt;"", VLOOKUP(MONTH(Despesas[[#This Row],[Data de Vencimento]]),tbMês[], 3,FALSE), ""), "")</f>
        <v/>
      </c>
      <c r="D13" s="8" t="str">
        <f>IFERROR(IF(Despesas[[#This Row],[Data de Vencimento]]&lt;&gt;"",YEAR(Despesas[[#This Row],[Data de Vencimento]]),""), "")</f>
        <v/>
      </c>
      <c r="E13" s="10"/>
      <c r="F13" s="10"/>
      <c r="G13" s="10"/>
      <c r="H13" s="11"/>
      <c r="I13" s="10"/>
      <c r="J13" s="10"/>
      <c r="K13" s="10"/>
      <c r="L13" s="9"/>
      <c r="M13" s="48"/>
      <c r="N13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/>
      </c>
      <c r="O13" s="8" t="str">
        <f ca="1">Despesas[[#This Row],[Situação (Real)]]</f>
        <v/>
      </c>
      <c r="Q13" s="19">
        <f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0</v>
      </c>
    </row>
    <row r="14" spans="1:22" x14ac:dyDescent="0.25">
      <c r="A14" s="8">
        <f>ROW(Despesas[[#This Row],[Índice]])-ROW(Despesas[[#Headers],[Índice]])</f>
        <v>11</v>
      </c>
      <c r="B14" s="60"/>
      <c r="C14" s="8" t="str">
        <f>IFERROR(IF(Despesas[[#This Row],[Data de Vencimento]]&lt;&gt;"", VLOOKUP(MONTH(Despesas[[#This Row],[Data de Vencimento]]),tbMês[], 3,FALSE), ""), "")</f>
        <v/>
      </c>
      <c r="D14" s="8" t="str">
        <f>IFERROR(IF(Despesas[[#This Row],[Data de Vencimento]]&lt;&gt;"",YEAR(Despesas[[#This Row],[Data de Vencimento]]),""), "")</f>
        <v/>
      </c>
      <c r="E14" s="10"/>
      <c r="F14" s="10"/>
      <c r="G14" s="10"/>
      <c r="H14" s="11"/>
      <c r="I14" s="10"/>
      <c r="J14" s="10"/>
      <c r="K14" s="10"/>
      <c r="L14" s="9"/>
      <c r="M14" s="48"/>
      <c r="N14" s="8" t="str">
        <f ca="1">IFERROR(IF(AND(Despesas[[#This Row],[Data de Vencimento]]&lt;&gt;"",Despesas[[#This Row],[Descrição]]&lt;&gt;""), IF(AND(OR(Despesas[[#This Row],[Data de Vencimento]]&lt;&gt;"", NOT(Despesas[[#This Row],[Data de Vencimento]]&lt;&gt;"")), Despesas[[#This Row],[Pago?]]&lt;&gt;""),Despesas[[#This Row],[Pago?]], IF(AND(Despesas[[#This Row],[Data de Vencimento]]&lt;&gt;"", NOT(Despesas[[#This Row],[Data de Pagamento]]&lt;&gt;""), Despesas[[#This Row],[Data de Vencimento]]&gt;=TODAY()),Listas!$F$2, IF(AND(Despesas[[#This Row],[Data de Vencimento]]&lt;&gt;"", Despesas[[#This Row],[Data de Pagamento]]&lt;&gt;"",Despesas[[#This Row],[Data de Vencimento]]&lt;Despesas[[#This Row],[Data de Pagamento]]),Listas!$F$3, IF(AND(Despesas[[#This Row],[Data de Vencimento]]&lt;&gt;"", Despesas[[#This Row],[Data de Pagamento]]&lt;&gt;"",Despesas[[#This Row],[Data de Vencimento]]&gt;=Despesas[[#This Row],[Data de Pagamento]]),Listas!$F$5,IF(AND(Despesas[[#This Row],[Data de Vencimento]]&lt;&gt;"",NOT(Despesas[[#This Row],[Data de Pagamento]]&lt;&gt;""),Despesas[[#This Row],[Data de Vencimento]]&lt;TODAY()),Listas!$F$4, IF(AND(NOT(Despesas[[#This Row],[Data de Vencimento]]&lt;&gt;""),Despesas[[#This Row],[Data de Pagamento]]&lt;&gt;""), Listas!$F$5,Listas!$F$2)))))), ""), "")</f>
        <v/>
      </c>
      <c r="O14" s="8" t="str">
        <f ca="1">Despesas[[#This Row],[Situação (Real)]]</f>
        <v/>
      </c>
      <c r="Q14" s="19">
        <f>IFERROR(IF(AND(Despesas[[#This Row],[Data de Vencimento]]&lt;&gt;"",Despesas[[#This Row],[Descrição]]&lt;&gt;""),IF(OR(AND(Despesas[[#This Row],[Situação]]&lt;&gt;Listas!$F$3,Despesas[[#This Row],[Situação]]&lt;&gt;Listas!$F$4),NOT(Despesas[[#This Row],[Valor de Reajuste]]&lt;&gt;"")),Despesas[[#This Row],[Valor]],Despesas[[#This Row],[Valor de Reajuste]]),0), 0)</f>
        <v>0</v>
      </c>
    </row>
    <row r="15" spans="1:22" x14ac:dyDescent="0.25">
      <c r="A15" s="42"/>
      <c r="B15" s="43"/>
      <c r="C15" s="42"/>
      <c r="D15" s="42"/>
      <c r="E15" s="44"/>
      <c r="F15" s="44"/>
      <c r="G15" s="44"/>
      <c r="H15" s="45"/>
      <c r="I15" s="44"/>
      <c r="J15" s="44"/>
      <c r="K15" s="44"/>
      <c r="L15" s="43"/>
      <c r="M15" s="44"/>
      <c r="N15" s="42"/>
      <c r="O15" s="42"/>
      <c r="P15" s="46"/>
      <c r="Q15" s="45"/>
    </row>
  </sheetData>
  <protectedRanges>
    <protectedRange sqref="B15:B1048576 D15:L1048576 B4:B14 D4:L14" name="Tabela de Despesas"/>
  </protectedRanges>
  <phoneticPr fontId="4" type="noConversion"/>
  <dataValidations count="9">
    <dataValidation type="list" allowBlank="1" showInputMessage="1" showErrorMessage="1" errorTitle="Erro de Entrada de Dados" error="Escolha uma forma de pagamento da lista suspensa." sqref="I4:I14" xr:uid="{9E37948E-3455-4781-A96A-BF2A473BE2DE}">
      <formula1>listaFormasdePagamento</formula1>
    </dataValidation>
    <dataValidation type="list" allowBlank="1" showInputMessage="1" showErrorMessage="1" errorTitle="Erro de Entrada de Dados" error="Escolha o detalhamento de despesa com base no tipo de despesa na lista suspensa." sqref="G4:G14" xr:uid="{670BD744-591A-44AE-873A-92C103C3A507}">
      <formula1>listaDependenteDetalhamento</formula1>
    </dataValidation>
    <dataValidation type="list" allowBlank="1" showInputMessage="1" showErrorMessage="1" errorTitle="Erro de Entrada de Dados" error="Escolha um tipo de despesa que esteja na lista suspensa." sqref="F4:F14" xr:uid="{A30CADB2-8163-4507-B3FB-6F11CD9A72E9}">
      <formula1>listaTiposdeDespesas</formula1>
    </dataValidation>
    <dataValidation type="list" allowBlank="1" showInputMessage="1" showErrorMessage="1" errorTitle="Erro de Entrada de Dados" error="Escolha uma receita na lista suspensa." sqref="K4:K14" xr:uid="{B21DE7C7-934A-4A1A-B98D-677B61E6A9A0}">
      <formula1>listaReceitasUsadas</formula1>
    </dataValidation>
    <dataValidation type="date" operator="greaterThan" allowBlank="1" showInputMessage="1" showErrorMessage="1" errorTitle="Erro de Entrada de Dados" error="Digite uma data de vencimento válida. Garanta que seja no formato &quot;dd/mm/aaaa&quot;." sqref="B4:B14" xr:uid="{148C160C-5AF4-427D-8D6B-846A29594F0D}">
      <formula1>1</formula1>
    </dataValidation>
    <dataValidation type="textLength" operator="greaterThanOrEqual" allowBlank="1" showInputMessage="1" showErrorMessage="1" sqref="E4:E14" xr:uid="{17E001F4-4637-44AC-8565-D80CF3401EEB}">
      <formula1>0</formula1>
    </dataValidation>
    <dataValidation type="decimal" operator="greaterThanOrEqual" allowBlank="1" showInputMessage="1" showErrorMessage="1" errorTitle="Erro de Entrada de Dados" error="Digite um valor decimal maior ou igual a 0." sqref="P4:P14 H4:H14" xr:uid="{9B75BE7B-C05D-4C66-82CE-530B57F16981}">
      <formula1>0</formula1>
    </dataValidation>
    <dataValidation type="date" operator="greaterThanOrEqual" allowBlank="1" showInputMessage="1" showErrorMessage="1" errorTitle="Erro de Entrada de Dados" error="Digite uma data de pagamento válida. Garanta que seja no formato &quot;dd/mm/aaaa&quot;." sqref="L4:L14" xr:uid="{0D5DC294-EBC2-4D8B-AE15-A63611CBEE27}">
      <formula1>1</formula1>
    </dataValidation>
    <dataValidation type="list" allowBlank="1" showInputMessage="1" showErrorMessage="1" errorTitle="Erro de Entrada de Dados" error="Escolha a categoria de pagamento com base na forma de pagamento na lista suspensa." sqref="J4:J14" xr:uid="{5DAB7B6E-E7DC-4537-B157-103147B97CFD}">
      <formula1>IF($I4&lt;&gt;"Cartão",listaDependenteCategoriaPagamento, listaCartoesDevedores)</formula1>
    </dataValidation>
  </dataValidations>
  <pageMargins left="0.19685039370078741" right="0.19685039370078741" top="0.39370078740157483" bottom="0.39370078740157483" header="0.31496062992125984" footer="0.19685039370078741"/>
  <pageSetup paperSize="9" orientation="portrait" horizontalDpi="200" verticalDpi="200" r:id="rId1"/>
  <headerFooter alignWithMargins="0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 de Entrada de Dados" error="Escolha uma das opções de 'Pago?' na lista suspensa." xr:uid="{CBF46EEB-7B33-48DB-8CB5-D38C767B368E}">
          <x14:formula1>
            <xm:f>Listas!$F$2:$F$5</xm:f>
          </x14:formula1>
          <xm:sqref>M4:M14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D4D9-F941-4089-A75A-B117580C477F}">
  <sheetPr codeName="Planilha12">
    <pageSetUpPr autoPageBreaks="0"/>
  </sheetPr>
  <dimension ref="A1:Z101"/>
  <sheetViews>
    <sheetView showGridLines="0" showRowColHeaders="0" zoomScale="80" zoomScaleNormal="80" workbookViewId="0">
      <pane ySplit="1" topLeftCell="A2" activePane="bottomLeft" state="frozen"/>
      <selection activeCell="XFB18" sqref="XFB18"/>
      <selection pane="bottomLeft" activeCell="A6" sqref="A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35.6640625" bestFit="1" customWidth="1"/>
    <col min="2" max="2" width="28" bestFit="1" customWidth="1"/>
    <col min="3" max="3" width="33.6640625" bestFit="1" customWidth="1"/>
    <col min="4" max="4" width="25.5546875" bestFit="1" customWidth="1"/>
    <col min="5" max="5" width="22" bestFit="1" customWidth="1"/>
    <col min="6" max="6" width="28.6640625" bestFit="1" customWidth="1"/>
    <col min="7" max="7" width="28.21875" bestFit="1" customWidth="1"/>
    <col min="8" max="8" width="22.21875" bestFit="1" customWidth="1"/>
    <col min="9" max="9" width="34.44140625" bestFit="1" customWidth="1"/>
    <col min="10" max="10" width="20.109375" bestFit="1" customWidth="1"/>
    <col min="11" max="11" width="33" bestFit="1" customWidth="1"/>
    <col min="12" max="12" width="18.44140625" bestFit="1" customWidth="1"/>
    <col min="13" max="13" width="34.6640625" bestFit="1" customWidth="1"/>
    <col min="14" max="26" width="9.21875" customWidth="1"/>
    <col min="27" max="16384" width="8.88671875" hidden="1"/>
  </cols>
  <sheetData>
    <row r="1" spans="1:2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6" t="s">
        <v>35</v>
      </c>
      <c r="B2" s="16" t="s">
        <v>36</v>
      </c>
      <c r="C2" s="16" t="s">
        <v>37</v>
      </c>
      <c r="D2" s="16" t="s">
        <v>38</v>
      </c>
      <c r="E2" s="16" t="s">
        <v>39</v>
      </c>
      <c r="F2" s="16" t="s">
        <v>40</v>
      </c>
      <c r="G2" s="16" t="s">
        <v>41</v>
      </c>
      <c r="H2" s="16" t="s">
        <v>42</v>
      </c>
      <c r="I2" s="16" t="s">
        <v>43</v>
      </c>
      <c r="J2" s="16" t="s">
        <v>44</v>
      </c>
      <c r="K2" s="16" t="s">
        <v>45</v>
      </c>
      <c r="L2" s="16" t="s">
        <v>46</v>
      </c>
      <c r="M2" s="16" t="s">
        <v>47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5">
      <c r="A3" s="16" t="s">
        <v>48</v>
      </c>
      <c r="B3" s="16" t="s">
        <v>49</v>
      </c>
      <c r="C3" s="16" t="s">
        <v>50</v>
      </c>
      <c r="D3" s="16" t="s">
        <v>51</v>
      </c>
      <c r="E3" s="16" t="s">
        <v>52</v>
      </c>
      <c r="F3" s="16" t="s">
        <v>53</v>
      </c>
      <c r="G3" s="16" t="s">
        <v>54</v>
      </c>
      <c r="H3" s="16" t="s">
        <v>55</v>
      </c>
      <c r="I3" s="16" t="s">
        <v>56</v>
      </c>
      <c r="J3" s="16" t="s">
        <v>57</v>
      </c>
      <c r="K3" s="16"/>
      <c r="L3" s="16" t="s">
        <v>58</v>
      </c>
      <c r="M3" s="16" t="s">
        <v>59</v>
      </c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5">
      <c r="A4" s="16" t="s">
        <v>60</v>
      </c>
      <c r="B4" s="16" t="s">
        <v>61</v>
      </c>
      <c r="C4" s="16" t="s">
        <v>62</v>
      </c>
      <c r="D4" s="16" t="s">
        <v>63</v>
      </c>
      <c r="E4" s="16" t="s">
        <v>64</v>
      </c>
      <c r="F4" s="16" t="s">
        <v>65</v>
      </c>
      <c r="G4" s="16" t="s">
        <v>66</v>
      </c>
      <c r="H4" s="16" t="s">
        <v>67</v>
      </c>
      <c r="I4" s="16" t="s">
        <v>68</v>
      </c>
      <c r="J4" s="16" t="s">
        <v>69</v>
      </c>
      <c r="K4" s="16"/>
      <c r="L4" s="16" t="s">
        <v>70</v>
      </c>
      <c r="M4" s="16" t="s">
        <v>71</v>
      </c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5">
      <c r="A5" s="16" t="s">
        <v>72</v>
      </c>
      <c r="B5" s="16" t="s">
        <v>73</v>
      </c>
      <c r="C5" s="16" t="s">
        <v>74</v>
      </c>
      <c r="D5" s="16" t="s">
        <v>75</v>
      </c>
      <c r="E5" s="16" t="s">
        <v>76</v>
      </c>
      <c r="F5" s="16" t="s">
        <v>77</v>
      </c>
      <c r="G5" s="16" t="s">
        <v>78</v>
      </c>
      <c r="H5" s="16" t="s">
        <v>79</v>
      </c>
      <c r="I5" s="16" t="s">
        <v>80</v>
      </c>
      <c r="J5" s="16" t="s">
        <v>81</v>
      </c>
      <c r="K5" s="16"/>
      <c r="L5" s="16" t="s">
        <v>51</v>
      </c>
      <c r="M5" s="16" t="s">
        <v>82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5">
      <c r="A6" s="16" t="s">
        <v>83</v>
      </c>
      <c r="B6" s="16" t="s">
        <v>84</v>
      </c>
      <c r="C6" s="16" t="s">
        <v>85</v>
      </c>
      <c r="D6" s="16" t="s">
        <v>86</v>
      </c>
      <c r="E6" s="16" t="s">
        <v>87</v>
      </c>
      <c r="F6" s="16" t="s">
        <v>88</v>
      </c>
      <c r="G6" s="16" t="s">
        <v>89</v>
      </c>
      <c r="H6" s="16" t="s">
        <v>90</v>
      </c>
      <c r="I6" s="16" t="s">
        <v>91</v>
      </c>
      <c r="J6" s="16" t="s">
        <v>92</v>
      </c>
      <c r="K6" s="16"/>
      <c r="L6" s="16" t="s">
        <v>93</v>
      </c>
      <c r="M6" s="16" t="s">
        <v>94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5">
      <c r="A7" s="16" t="s">
        <v>95</v>
      </c>
      <c r="B7" s="16" t="s">
        <v>96</v>
      </c>
      <c r="C7" s="16" t="s">
        <v>97</v>
      </c>
      <c r="D7" s="16" t="s">
        <v>98</v>
      </c>
      <c r="E7" s="16" t="s">
        <v>99</v>
      </c>
      <c r="F7" s="16" t="s">
        <v>100</v>
      </c>
      <c r="G7" s="16" t="s">
        <v>93</v>
      </c>
      <c r="H7" s="16" t="s">
        <v>101</v>
      </c>
      <c r="I7" s="16" t="s">
        <v>102</v>
      </c>
      <c r="J7" s="16" t="s">
        <v>103</v>
      </c>
      <c r="K7" s="16"/>
      <c r="L7" s="16" t="s">
        <v>104</v>
      </c>
      <c r="M7" s="16" t="s">
        <v>105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5">
      <c r="A8" s="16" t="s">
        <v>57</v>
      </c>
      <c r="B8" s="16" t="s">
        <v>106</v>
      </c>
      <c r="C8" s="16" t="s">
        <v>107</v>
      </c>
      <c r="D8" s="16" t="s">
        <v>108</v>
      </c>
      <c r="E8" s="16" t="s">
        <v>109</v>
      </c>
      <c r="F8" s="16" t="s">
        <v>110</v>
      </c>
      <c r="G8" s="16" t="s">
        <v>111</v>
      </c>
      <c r="H8" s="16" t="s">
        <v>112</v>
      </c>
      <c r="I8" s="16" t="s">
        <v>113</v>
      </c>
      <c r="J8" s="16" t="s">
        <v>114</v>
      </c>
      <c r="K8" s="16"/>
      <c r="L8" s="16" t="s">
        <v>115</v>
      </c>
      <c r="M8" s="16" t="s">
        <v>116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5">
      <c r="A9" s="16" t="s">
        <v>117</v>
      </c>
      <c r="B9" s="16" t="s">
        <v>118</v>
      </c>
      <c r="C9" s="16" t="s">
        <v>119</v>
      </c>
      <c r="D9" s="16" t="s">
        <v>120</v>
      </c>
      <c r="E9" s="16" t="s">
        <v>121</v>
      </c>
      <c r="F9" s="16" t="s">
        <v>122</v>
      </c>
      <c r="G9" s="16" t="s">
        <v>123</v>
      </c>
      <c r="H9" s="16" t="s">
        <v>124</v>
      </c>
      <c r="I9" s="16" t="s">
        <v>125</v>
      </c>
      <c r="J9" s="16" t="s">
        <v>126</v>
      </c>
      <c r="K9" s="16"/>
      <c r="L9" s="16" t="s">
        <v>127</v>
      </c>
      <c r="M9" s="16" t="s">
        <v>128</v>
      </c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5">
      <c r="A10" s="16" t="s">
        <v>129</v>
      </c>
      <c r="B10" s="16" t="s">
        <v>130</v>
      </c>
      <c r="C10" s="16" t="s">
        <v>131</v>
      </c>
      <c r="D10" s="16" t="s">
        <v>132</v>
      </c>
      <c r="E10" s="16" t="s">
        <v>133</v>
      </c>
      <c r="F10" s="16" t="s">
        <v>134</v>
      </c>
      <c r="G10" s="16" t="s">
        <v>135</v>
      </c>
      <c r="H10" s="16" t="s">
        <v>136</v>
      </c>
      <c r="I10" s="16" t="s">
        <v>137</v>
      </c>
      <c r="J10" s="16" t="s">
        <v>138</v>
      </c>
      <c r="K10" s="16"/>
      <c r="L10" s="16" t="s">
        <v>139</v>
      </c>
      <c r="M10" s="16" t="s">
        <v>140</v>
      </c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5">
      <c r="A11" s="16" t="s">
        <v>141</v>
      </c>
      <c r="B11" s="16" t="s">
        <v>142</v>
      </c>
      <c r="C11" s="16" t="s">
        <v>143</v>
      </c>
      <c r="D11" s="16" t="s">
        <v>144</v>
      </c>
      <c r="E11" s="16" t="s">
        <v>145</v>
      </c>
      <c r="F11" s="16" t="s">
        <v>146</v>
      </c>
      <c r="G11" s="16" t="s">
        <v>147</v>
      </c>
      <c r="H11" s="16" t="s">
        <v>148</v>
      </c>
      <c r="I11" s="16" t="s">
        <v>149</v>
      </c>
      <c r="J11" s="16" t="s">
        <v>150</v>
      </c>
      <c r="K11" s="16"/>
      <c r="L11" s="16" t="s">
        <v>151</v>
      </c>
      <c r="M11" s="16" t="s">
        <v>152</v>
      </c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5">
      <c r="A12" s="16" t="s">
        <v>153</v>
      </c>
      <c r="B12" s="16" t="s">
        <v>154</v>
      </c>
      <c r="C12" s="16" t="s">
        <v>155</v>
      </c>
      <c r="D12" s="16" t="s">
        <v>156</v>
      </c>
      <c r="E12" s="16" t="s">
        <v>157</v>
      </c>
      <c r="F12" s="16" t="s">
        <v>158</v>
      </c>
      <c r="G12" s="16" t="s">
        <v>159</v>
      </c>
      <c r="H12" s="16"/>
      <c r="I12" s="16" t="s">
        <v>160</v>
      </c>
      <c r="J12" s="16" t="s">
        <v>161</v>
      </c>
      <c r="K12" s="16"/>
      <c r="L12" s="16" t="s">
        <v>162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5">
      <c r="A13" s="16" t="s">
        <v>163</v>
      </c>
      <c r="B13" s="16"/>
      <c r="C13" s="16" t="s">
        <v>81</v>
      </c>
      <c r="D13" s="16"/>
      <c r="E13" s="16" t="s">
        <v>164</v>
      </c>
      <c r="F13" s="16" t="s">
        <v>165</v>
      </c>
      <c r="G13" s="16" t="s">
        <v>166</v>
      </c>
      <c r="H13" s="16"/>
      <c r="I13" s="16"/>
      <c r="J13" s="16" t="s">
        <v>167</v>
      </c>
      <c r="K13" s="16"/>
      <c r="L13" s="16" t="s">
        <v>168</v>
      </c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5">
      <c r="A14" s="16" t="s">
        <v>169</v>
      </c>
      <c r="B14" s="16"/>
      <c r="C14" s="16" t="s">
        <v>170</v>
      </c>
      <c r="D14" s="16"/>
      <c r="E14" s="16" t="s">
        <v>171</v>
      </c>
      <c r="F14" s="16" t="s">
        <v>172</v>
      </c>
      <c r="G14" s="16" t="s">
        <v>173</v>
      </c>
      <c r="H14" s="16"/>
      <c r="I14" s="16"/>
      <c r="J14" s="16" t="s">
        <v>174</v>
      </c>
      <c r="K14" s="16"/>
      <c r="L14" s="16" t="s">
        <v>175</v>
      </c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5">
      <c r="A15" s="16" t="s">
        <v>176</v>
      </c>
      <c r="B15" s="16"/>
      <c r="C15" s="16" t="s">
        <v>155</v>
      </c>
      <c r="D15" s="16"/>
      <c r="E15" s="16" t="s">
        <v>177</v>
      </c>
      <c r="F15" s="16" t="s">
        <v>178</v>
      </c>
      <c r="G15" s="16" t="s">
        <v>179</v>
      </c>
      <c r="H15" s="16"/>
      <c r="I15" s="16"/>
      <c r="J15" s="16"/>
      <c r="K15" s="16"/>
      <c r="L15" s="16" t="s">
        <v>180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5">
      <c r="A16" s="16" t="s">
        <v>181</v>
      </c>
      <c r="B16" s="16"/>
      <c r="C16" s="16" t="s">
        <v>182</v>
      </c>
      <c r="D16" s="16"/>
      <c r="E16" s="16"/>
      <c r="F16" s="16" t="s">
        <v>183</v>
      </c>
      <c r="G16" s="16" t="s">
        <v>184</v>
      </c>
      <c r="H16" s="16"/>
      <c r="I16" s="16"/>
      <c r="J16" s="16"/>
      <c r="K16" s="16"/>
      <c r="L16" s="16" t="s">
        <v>185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5">
      <c r="A17" s="16" t="s">
        <v>186</v>
      </c>
      <c r="B17" s="16"/>
      <c r="C17" s="16"/>
      <c r="D17" s="16"/>
      <c r="E17" s="16"/>
      <c r="F17" s="16" t="s">
        <v>187</v>
      </c>
      <c r="G17" s="16" t="s">
        <v>188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5">
      <c r="A18" s="16" t="s">
        <v>189</v>
      </c>
      <c r="B18" s="16"/>
      <c r="C18" s="16"/>
      <c r="D18" s="16"/>
      <c r="E18" s="16"/>
      <c r="F18" s="16" t="s">
        <v>190</v>
      </c>
      <c r="G18" s="16" t="s">
        <v>51</v>
      </c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5">
      <c r="A19" s="16" t="s">
        <v>191</v>
      </c>
      <c r="B19" s="16"/>
      <c r="C19" s="16"/>
      <c r="D19" s="16"/>
      <c r="E19" s="16"/>
      <c r="F19" s="16" t="s">
        <v>192</v>
      </c>
      <c r="G19" s="16" t="s">
        <v>193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5">
      <c r="A20" s="16" t="s">
        <v>194</v>
      </c>
      <c r="B20" s="16"/>
      <c r="C20" s="16"/>
      <c r="D20" s="16"/>
      <c r="E20" s="16"/>
      <c r="F20" s="16" t="s">
        <v>195</v>
      </c>
      <c r="G20" s="16" t="s">
        <v>196</v>
      </c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5">
      <c r="A21" s="16"/>
      <c r="B21" s="16"/>
      <c r="C21" s="16"/>
      <c r="D21" s="16"/>
      <c r="E21" s="16"/>
      <c r="F21" s="16" t="s">
        <v>197</v>
      </c>
      <c r="G21" s="16" t="s">
        <v>198</v>
      </c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5">
      <c r="A22" s="16"/>
      <c r="B22" s="16"/>
      <c r="C22" s="16"/>
      <c r="D22" s="16"/>
      <c r="E22" s="16"/>
      <c r="F22" s="16" t="s">
        <v>199</v>
      </c>
      <c r="G22" s="16" t="s">
        <v>200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5">
      <c r="A23" s="16"/>
      <c r="B23" s="16"/>
      <c r="C23" s="16"/>
      <c r="D23" s="16"/>
      <c r="E23" s="16"/>
      <c r="F23" s="16" t="s">
        <v>201</v>
      </c>
      <c r="G23" s="16" t="s">
        <v>202</v>
      </c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5">
      <c r="A24" s="16"/>
      <c r="B24" s="16"/>
      <c r="C24" s="16"/>
      <c r="D24" s="16"/>
      <c r="E24" s="16"/>
      <c r="F24" s="16" t="s">
        <v>203</v>
      </c>
      <c r="G24" s="16" t="s">
        <v>204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5">
      <c r="A25" s="16"/>
      <c r="B25" s="16"/>
      <c r="C25" s="16"/>
      <c r="D25" s="16"/>
      <c r="E25" s="16"/>
      <c r="F25" s="16" t="s">
        <v>205</v>
      </c>
      <c r="G25" s="16" t="s">
        <v>206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5">
      <c r="A26" s="16"/>
      <c r="B26" s="16"/>
      <c r="C26" s="16"/>
      <c r="D26" s="16"/>
      <c r="E26" s="16"/>
      <c r="F26" s="16" t="s">
        <v>207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5">
      <c r="A27" s="16"/>
      <c r="B27" s="16"/>
      <c r="C27" s="16"/>
      <c r="D27" s="16"/>
      <c r="E27" s="16"/>
      <c r="F27" s="16" t="s">
        <v>208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5">
      <c r="A28" s="16"/>
      <c r="B28" s="16"/>
      <c r="C28" s="16"/>
      <c r="D28" s="16"/>
      <c r="E28" s="16"/>
      <c r="F28" s="16" t="s">
        <v>209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5">
      <c r="A29" s="16"/>
      <c r="B29" s="16"/>
      <c r="C29" s="16"/>
      <c r="D29" s="16"/>
      <c r="E29" s="16"/>
      <c r="F29" s="16" t="s">
        <v>195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5">
      <c r="A30" s="16"/>
      <c r="B30" s="16"/>
      <c r="C30" s="16"/>
      <c r="D30" s="16"/>
      <c r="E30" s="16"/>
      <c r="F30" s="16" t="s">
        <v>210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5">
      <c r="A31" s="16"/>
      <c r="B31" s="16"/>
      <c r="C31" s="16"/>
      <c r="D31" s="16"/>
      <c r="E31" s="16"/>
      <c r="F31" s="16" t="s">
        <v>211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5">
      <c r="A32" s="16"/>
      <c r="B32" s="16"/>
      <c r="C32" s="16"/>
      <c r="D32" s="16"/>
      <c r="E32" s="16"/>
      <c r="F32" s="16" t="s">
        <v>212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5">
      <c r="A33" s="16"/>
      <c r="B33" s="16"/>
      <c r="C33" s="16"/>
      <c r="D33" s="16"/>
      <c r="E33" s="16"/>
      <c r="F33" s="16" t="s">
        <v>213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5">
      <c r="A34" s="16"/>
      <c r="B34" s="16"/>
      <c r="C34" s="16"/>
      <c r="D34" s="16"/>
      <c r="E34" s="16"/>
      <c r="F34" s="16" t="s">
        <v>214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</sheetData>
  <conditionalFormatting sqref="A1:Z1">
    <cfRule type="expression" dxfId="74" priority="10">
      <formula>IF(A$1&lt;&gt;"", TRUE, FALSE)</formula>
    </cfRule>
  </conditionalFormatting>
  <conditionalFormatting sqref="A1:Z101">
    <cfRule type="expression" dxfId="73" priority="9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6E5E9-94CB-489A-ABA6-722A5EABC130}">
  <sheetPr codeName="Planilha13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1.6640625" bestFit="1" customWidth="1"/>
    <col min="2" max="2" width="22.5546875" bestFit="1" customWidth="1"/>
    <col min="3" max="4" width="9.21875" customWidth="1"/>
    <col min="5" max="5" width="34.33203125" bestFit="1" customWidth="1"/>
    <col min="6" max="6" width="15" bestFit="1" customWidth="1"/>
    <col min="7" max="26" width="9.21875" customWidth="1"/>
    <col min="27" max="16384" width="8.88671875" hidden="1"/>
  </cols>
  <sheetData>
    <row r="1" spans="1:26" x14ac:dyDescent="0.25">
      <c r="A1" s="6" t="s">
        <v>217</v>
      </c>
      <c r="B1" s="6" t="s">
        <v>218</v>
      </c>
      <c r="C1" s="6" t="s">
        <v>219</v>
      </c>
      <c r="D1" s="6" t="s">
        <v>220</v>
      </c>
      <c r="E1" s="6" t="s">
        <v>221</v>
      </c>
      <c r="F1" s="6" t="s">
        <v>222</v>
      </c>
      <c r="G1" s="6" t="s">
        <v>223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t="s">
        <v>224</v>
      </c>
      <c r="B2" t="s">
        <v>225</v>
      </c>
      <c r="C2" t="s">
        <v>226</v>
      </c>
      <c r="D2" t="s">
        <v>226</v>
      </c>
      <c r="E2" t="s">
        <v>227</v>
      </c>
      <c r="F2" t="s">
        <v>228</v>
      </c>
      <c r="G2" t="s">
        <v>226</v>
      </c>
    </row>
    <row r="3" spans="1:26" x14ac:dyDescent="0.25">
      <c r="A3" t="s">
        <v>229</v>
      </c>
      <c r="B3" t="s">
        <v>230</v>
      </c>
      <c r="E3" t="s">
        <v>231</v>
      </c>
      <c r="F3" t="s">
        <v>232</v>
      </c>
    </row>
    <row r="4" spans="1:26" x14ac:dyDescent="0.25">
      <c r="A4" t="s">
        <v>233</v>
      </c>
      <c r="B4" t="s">
        <v>234</v>
      </c>
      <c r="E4" t="s">
        <v>235</v>
      </c>
      <c r="F4" t="s">
        <v>236</v>
      </c>
    </row>
    <row r="5" spans="1:26" x14ac:dyDescent="0.25">
      <c r="A5" t="s">
        <v>237</v>
      </c>
      <c r="B5" t="s">
        <v>238</v>
      </c>
      <c r="E5" t="s">
        <v>239</v>
      </c>
      <c r="F5" t="s">
        <v>240</v>
      </c>
    </row>
    <row r="6" spans="1:26" x14ac:dyDescent="0.25">
      <c r="A6" t="s">
        <v>241</v>
      </c>
      <c r="B6" t="s">
        <v>242</v>
      </c>
      <c r="E6" t="s">
        <v>243</v>
      </c>
      <c r="F6" t="s">
        <v>244</v>
      </c>
    </row>
    <row r="7" spans="1:26" x14ac:dyDescent="0.25">
      <c r="A7" t="s">
        <v>245</v>
      </c>
      <c r="B7" t="s">
        <v>246</v>
      </c>
      <c r="F7" t="s">
        <v>247</v>
      </c>
    </row>
    <row r="8" spans="1:26" x14ac:dyDescent="0.25">
      <c r="A8" t="s">
        <v>248</v>
      </c>
      <c r="B8" t="s">
        <v>249</v>
      </c>
      <c r="F8" t="s">
        <v>250</v>
      </c>
    </row>
    <row r="9" spans="1:26" x14ac:dyDescent="0.25">
      <c r="A9" t="s">
        <v>251</v>
      </c>
      <c r="B9" t="s">
        <v>252</v>
      </c>
    </row>
    <row r="10" spans="1:26" x14ac:dyDescent="0.25">
      <c r="A10" t="s">
        <v>253</v>
      </c>
      <c r="B10" t="s">
        <v>254</v>
      </c>
    </row>
    <row r="11" spans="1:26" x14ac:dyDescent="0.25">
      <c r="A11" t="s">
        <v>255</v>
      </c>
      <c r="B11" t="s">
        <v>256</v>
      </c>
    </row>
    <row r="12" spans="1:26" x14ac:dyDescent="0.25">
      <c r="A12" t="s">
        <v>257</v>
      </c>
      <c r="B12" t="s">
        <v>258</v>
      </c>
    </row>
    <row r="13" spans="1:26" x14ac:dyDescent="0.25">
      <c r="A13" t="s">
        <v>259</v>
      </c>
      <c r="B13" t="s">
        <v>260</v>
      </c>
    </row>
    <row r="14" spans="1:26" x14ac:dyDescent="0.25">
      <c r="A14" t="s">
        <v>261</v>
      </c>
      <c r="B14" t="s">
        <v>262</v>
      </c>
    </row>
    <row r="15" spans="1:26" x14ac:dyDescent="0.25">
      <c r="A15" t="s">
        <v>263</v>
      </c>
      <c r="B15" t="s">
        <v>264</v>
      </c>
    </row>
    <row r="16" spans="1:26" x14ac:dyDescent="0.25">
      <c r="A16" t="s">
        <v>265</v>
      </c>
      <c r="B16" t="s">
        <v>266</v>
      </c>
    </row>
    <row r="17" spans="1:2" x14ac:dyDescent="0.25">
      <c r="A17" t="s">
        <v>267</v>
      </c>
      <c r="B17" t="s">
        <v>268</v>
      </c>
    </row>
    <row r="18" spans="1:2" x14ac:dyDescent="0.25">
      <c r="A18" t="s">
        <v>269</v>
      </c>
      <c r="B18" t="s">
        <v>270</v>
      </c>
    </row>
    <row r="19" spans="1:2" x14ac:dyDescent="0.25">
      <c r="A19" t="s">
        <v>271</v>
      </c>
      <c r="B19" t="s">
        <v>272</v>
      </c>
    </row>
    <row r="20" spans="1:2" x14ac:dyDescent="0.25">
      <c r="B20" t="s">
        <v>273</v>
      </c>
    </row>
    <row r="21" spans="1:2" x14ac:dyDescent="0.25">
      <c r="B21" t="s">
        <v>274</v>
      </c>
    </row>
    <row r="22" spans="1:2" x14ac:dyDescent="0.25">
      <c r="B22" t="s">
        <v>275</v>
      </c>
    </row>
    <row r="23" spans="1:2" x14ac:dyDescent="0.25">
      <c r="B23" t="s">
        <v>276</v>
      </c>
    </row>
    <row r="24" spans="1:2" x14ac:dyDescent="0.25">
      <c r="B24" t="s">
        <v>269</v>
      </c>
    </row>
    <row r="25" spans="1:2" x14ac:dyDescent="0.25"/>
    <row r="26" spans="1:2" x14ac:dyDescent="0.25"/>
    <row r="27" spans="1:2" x14ac:dyDescent="0.25"/>
    <row r="28" spans="1:2" x14ac:dyDescent="0.25"/>
    <row r="29" spans="1:2" x14ac:dyDescent="0.25"/>
    <row r="30" spans="1:2" x14ac:dyDescent="0.25"/>
    <row r="31" spans="1:2" x14ac:dyDescent="0.25"/>
    <row r="32" spans="1: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72" priority="2">
      <formula>IF(A$1&lt;&gt;"", TRUE, FALSE)</formula>
    </cfRule>
  </conditionalFormatting>
  <conditionalFormatting sqref="A1:Z101">
    <cfRule type="expression" dxfId="71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1D979-E5F2-4210-BCAC-A81A01F3E72B}">
  <sheetPr codeName="Planilha33">
    <pageSetUpPr autoPageBreaks="0"/>
  </sheetPr>
  <dimension ref="A1:Z4"/>
  <sheetViews>
    <sheetView showGridLines="0" showRowColHeaders="0" zoomScale="80" zoomScaleNormal="80" workbookViewId="0">
      <pane ySplit="1" topLeftCell="A2" activePane="bottomLeft" state="frozen"/>
      <selection pane="bottomLeft"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22.77734375" style="23" bestFit="1" customWidth="1"/>
    <col min="2" max="2" width="14.44140625" style="14" bestFit="1" customWidth="1"/>
    <col min="3" max="3" width="20" style="14" bestFit="1" customWidth="1"/>
    <col min="4" max="4" width="28.77734375" style="14" bestFit="1" customWidth="1"/>
    <col min="5" max="5" width="11" style="15" bestFit="1" customWidth="1"/>
    <col min="6" max="6" width="24.5546875" style="14" bestFit="1" customWidth="1"/>
    <col min="7" max="7" width="27.44140625" style="14" bestFit="1" customWidth="1"/>
    <col min="8" max="26" width="8.88671875" customWidth="1"/>
    <col min="27" max="38" width="8.88671875" hidden="1" customWidth="1"/>
    <col min="39" max="16384" width="8.88671875" hidden="1"/>
  </cols>
  <sheetData>
    <row r="1" spans="1:7" x14ac:dyDescent="0.25">
      <c r="A1" s="38" t="s">
        <v>343</v>
      </c>
      <c r="B1" s="39" t="s">
        <v>3</v>
      </c>
      <c r="C1" s="39" t="s">
        <v>4</v>
      </c>
      <c r="D1" s="39" t="s">
        <v>12</v>
      </c>
      <c r="E1" s="39" t="s">
        <v>5</v>
      </c>
      <c r="F1" s="39" t="s">
        <v>6</v>
      </c>
      <c r="G1" s="39" t="s">
        <v>7</v>
      </c>
    </row>
    <row r="2" spans="1:7" x14ac:dyDescent="0.25">
      <c r="A2" s="37">
        <v>10</v>
      </c>
      <c r="B2" s="35" t="s">
        <v>60</v>
      </c>
      <c r="C2" s="35" t="s">
        <v>23</v>
      </c>
      <c r="D2" s="35" t="s">
        <v>61</v>
      </c>
      <c r="E2" s="36">
        <v>250</v>
      </c>
      <c r="F2" s="35"/>
      <c r="G2" s="35"/>
    </row>
    <row r="3" spans="1:7" x14ac:dyDescent="0.25">
      <c r="A3" s="37">
        <v>31</v>
      </c>
      <c r="B3" s="35" t="s">
        <v>380</v>
      </c>
      <c r="C3" s="35"/>
      <c r="D3" s="35"/>
      <c r="E3" s="36">
        <v>200</v>
      </c>
      <c r="F3" s="35"/>
      <c r="G3" s="35"/>
    </row>
    <row r="4" spans="1:7" x14ac:dyDescent="0.25">
      <c r="A4" s="37"/>
      <c r="B4" s="35"/>
      <c r="C4" s="35"/>
      <c r="D4" s="35"/>
      <c r="E4" s="36"/>
      <c r="F4" s="35"/>
      <c r="G4" s="35"/>
    </row>
  </sheetData>
  <dataValidations count="7">
    <dataValidation type="list" allowBlank="1" showInputMessage="1" showErrorMessage="1" errorTitle="Erro de Entrada de Dados" error="Escolha um tipo de despesa que esteja na lista suspensa." sqref="C2:C4" xr:uid="{AAF5089E-4CFC-4B5A-9334-A1D83755216E}">
      <formula1>listaTiposdeDespesas</formula1>
    </dataValidation>
    <dataValidation type="list" allowBlank="1" showInputMessage="1" showErrorMessage="1" errorTitle="Erro de Entrada de Dados" error="Escolha o detalhamento de despesa com base no tipo de despesa na lista suspensa." sqref="D2:D4" xr:uid="{AF73EE17-6FCB-414D-A62C-792FA0AA5FD9}">
      <formula1>listaDetalhamentoFixo</formula1>
    </dataValidation>
    <dataValidation type="list" allowBlank="1" showInputMessage="1" showErrorMessage="1" errorTitle="Erro de Entrada de Dados" error="Escolha uma forma de pagamento da lista suspensa." sqref="F2:F4" xr:uid="{BC751B13-E63C-463A-8F65-C131747A65AF}">
      <formula1>listaFormasdePagamento</formula1>
    </dataValidation>
    <dataValidation type="list" allowBlank="1" showInputMessage="1" showErrorMessage="1" errorTitle="Erro de Entrada de Dados" error="Escolha a categoria de pagamento com base na forma de pagamento na lista suspensa." sqref="G2:G4" xr:uid="{9A622EFE-B665-4A55-8591-BE9101AC5C92}">
      <formula1>listaCategoriaPagamentoFixo</formula1>
    </dataValidation>
    <dataValidation type="whole" allowBlank="1" showInputMessage="1" showErrorMessage="1" errorTitle="Erro de Entrada de Dados" error="Digite um valor inteiro maior ou igual a 1 e menor ou igual a 31 (1 a 31)." sqref="A2:A4" xr:uid="{D25DA527-0BAB-4167-A241-6931CC5064B2}">
      <formula1>1</formula1>
      <formula2>31</formula2>
    </dataValidation>
    <dataValidation type="textLength" operator="greaterThanOrEqual" allowBlank="1" showInputMessage="1" showErrorMessage="1" sqref="B2:B4" xr:uid="{C8B697FA-C594-4C56-ADBD-D74C469DCAB1}">
      <formula1>0</formula1>
    </dataValidation>
    <dataValidation type="decimal" operator="greaterThanOrEqual" allowBlank="1" showInputMessage="1" showErrorMessage="1" errorTitle="Erro de Entrada de Dados" error="Digite um valor decimal maior ou igual a 0." sqref="E2:E4" xr:uid="{ADCEAF89-EE1A-4054-885E-5A659253BBCB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E5B6-01A8-43AD-B517-9BB2DCEFC968}">
  <sheetPr codeName="Planilha34"/>
  <dimension ref="A1:Z4"/>
  <sheetViews>
    <sheetView showGridLines="0" showRowColHeaders="0" zoomScale="80" zoomScaleNormal="80" workbookViewId="0">
      <pane ySplit="1" topLeftCell="A2" activePane="bottomLeft" state="frozen"/>
      <selection pane="bottomLeft" activeCell="A4" sqref="A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4.44140625" style="14" bestFit="1" customWidth="1"/>
    <col min="2" max="2" width="15.77734375" style="15" bestFit="1" customWidth="1"/>
    <col min="3" max="3" width="20.109375" style="14" bestFit="1" customWidth="1"/>
    <col min="4" max="4" width="20.21875" style="3" bestFit="1" customWidth="1"/>
    <col min="5" max="5" width="23.88671875" style="3" bestFit="1" customWidth="1"/>
    <col min="6" max="6" width="18.77734375" style="23" bestFit="1" customWidth="1"/>
    <col min="7" max="7" width="23.33203125" style="23" bestFit="1" customWidth="1"/>
    <col min="8" max="8" width="19.88671875" style="15" bestFit="1" customWidth="1"/>
    <col min="9" max="9" width="20" style="14" bestFit="1" customWidth="1"/>
    <col min="10" max="10" width="28.77734375" style="14" bestFit="1" customWidth="1"/>
    <col min="11" max="11" width="24.5546875" style="16" bestFit="1" customWidth="1"/>
    <col min="12" max="12" width="27.44140625" bestFit="1" customWidth="1"/>
    <col min="13" max="26" width="8.88671875" customWidth="1"/>
    <col min="27" max="16384" width="8.88671875" hidden="1"/>
  </cols>
  <sheetData>
    <row r="1" spans="1:11" x14ac:dyDescent="0.25">
      <c r="A1" s="33" t="s">
        <v>3</v>
      </c>
      <c r="B1" s="33" t="s">
        <v>337</v>
      </c>
      <c r="C1" s="33" t="s">
        <v>338</v>
      </c>
      <c r="D1" s="33" t="s">
        <v>339</v>
      </c>
      <c r="E1" s="33" t="s">
        <v>0</v>
      </c>
      <c r="F1" s="33" t="s">
        <v>340</v>
      </c>
      <c r="G1" s="33" t="s">
        <v>341</v>
      </c>
      <c r="H1" s="33" t="s">
        <v>342</v>
      </c>
      <c r="I1" s="33" t="s">
        <v>4</v>
      </c>
      <c r="J1" s="33" t="s">
        <v>12</v>
      </c>
      <c r="K1" s="33" t="s">
        <v>6</v>
      </c>
    </row>
    <row r="2" spans="1:11" x14ac:dyDescent="0.25">
      <c r="A2" s="14" t="s">
        <v>277</v>
      </c>
      <c r="B2" s="15">
        <v>500</v>
      </c>
      <c r="C2" s="14" t="s">
        <v>241</v>
      </c>
      <c r="D2" s="3">
        <v>45779</v>
      </c>
      <c r="E2" s="3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>45808</v>
      </c>
      <c r="F2" s="23">
        <v>4</v>
      </c>
      <c r="H2" s="15">
        <f>IFERROR(IF(AND(DespesasVariáveis[[#This Row],[Valor Total]]&lt;&gt;"",DespesasVariáveis[[#This Row],[Qtde. Parcelas]]&lt;&gt;""), DespesasVariáveis[[#This Row],[Valor Total]]/DespesasVariáveis[[#This Row],[Qtde. Parcelas]], ""), "")</f>
        <v>125</v>
      </c>
      <c r="I2" s="14" t="s">
        <v>34</v>
      </c>
      <c r="J2" s="14" t="s">
        <v>47</v>
      </c>
      <c r="K2" s="16" t="str">
        <f>IFERROR(IF(AND(DespesasVariáveis[[#This Row],[Descrição]]&lt;&gt;"",DespesasVariáveis[[#This Row],[Cartão Utilizado]]&lt;&gt;""), "Cartão", ""), "")</f>
        <v>Cartão</v>
      </c>
    </row>
    <row r="3" spans="1:11" x14ac:dyDescent="0.25">
      <c r="A3" s="14" t="s">
        <v>278</v>
      </c>
      <c r="B3" s="15">
        <v>300</v>
      </c>
      <c r="C3" s="14" t="s">
        <v>225</v>
      </c>
      <c r="D3" s="3">
        <v>45782</v>
      </c>
      <c r="E3" s="3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>45792</v>
      </c>
      <c r="F3" s="23">
        <v>2</v>
      </c>
      <c r="H3" s="15">
        <f>IFERROR(IF(AND(DespesasVariáveis[[#This Row],[Valor Total]]&lt;&gt;"",DespesasVariáveis[[#This Row],[Qtde. Parcelas]]&lt;&gt;""), DespesasVariáveis[[#This Row],[Valor Total]]/DespesasVariáveis[[#This Row],[Qtde. Parcelas]], ""), "")</f>
        <v>150</v>
      </c>
      <c r="K3" s="16" t="str">
        <f>IFERROR(IF(AND(DespesasVariáveis[[#This Row],[Descrição]]&lt;&gt;"",DespesasVariáveis[[#This Row],[Cartão Utilizado]]&lt;&gt;""), "Cartão", ""), "")</f>
        <v>Cartão</v>
      </c>
    </row>
    <row r="4" spans="1:11" x14ac:dyDescent="0.25">
      <c r="D4" s="40"/>
      <c r="E4" s="40" t="str">
        <f>IFERROR(
  IF(AND(DespesasVariáveis[[#This Row],[Data da Compra]]&lt;&gt;"", DespesasVariáveis[[#This Row],[Cartão Utilizado]]&lt;&gt;""),
    DATE(
      YEAR(DespesasVariáveis[[#This Row],[Data da Compra]]),
      MONTH(DespesasVariáveis[[#This Row],[Data da Compra]]) + IF(
        DAY(DespesasVariáveis[[#This Row],[Data da Compra]]) &lt;= VLOOKUP(DespesasVariáveis[[#This Row],[Cartão Utilizado]], Cartões[], 3, FALSE),
        0,
        1
      ) + DespesasVariáveis[[#This Row],[Parcela de Carência]],
            IF(
        VLOOKUP(DespesasVariáveis[[#This Row],[Cartão Utilizado]], Cartões[], 2, FALSE) &gt;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DAY(EOMONTH(DATE(YEAR(DespesasVariáveis[[#This Row],[Data da Compra]]), MONTH(DespesasVariáveis[[#This Row],[Data da Compra]]) + IF(DAY(DespesasVariáveis[[#This Row],[Data da Compra]]) &lt;= VLOOKUP(DespesasVariáveis[[#This Row],[Cartão Utilizado]], Cartões[], 3, FALSE), 0, 1), 1), 0)),
        VLOOKUP(DespesasVariáveis[[#This Row],[Cartão Utilizado]], Cartões[], 2, FALSE)
      )
    ),
    ""
  ),
  ""
)</f>
        <v/>
      </c>
      <c r="H4" s="15" t="str">
        <f>IFERROR(IF(AND(DespesasVariáveis[[#This Row],[Valor Total]]&lt;&gt;"",DespesasVariáveis[[#This Row],[Qtde. Parcelas]]&lt;&gt;""), DespesasVariáveis[[#This Row],[Valor Total]]/DespesasVariáveis[[#This Row],[Qtde. Parcelas]], ""), "")</f>
        <v/>
      </c>
      <c r="K4" s="16" t="str">
        <f>IFERROR(IF(AND(DespesasVariáveis[[#This Row],[Descrição]]&lt;&gt;"",DespesasVariáveis[[#This Row],[Cartão Utilizado]]&lt;&gt;""), "Cartão", ""), "")</f>
        <v/>
      </c>
    </row>
  </sheetData>
  <dataValidations count="7">
    <dataValidation type="list" allowBlank="1" showInputMessage="1" showErrorMessage="1" errorTitle="Erro de Entrada de Dados" error="Escolha o cartão utilizado na lista suspensa." sqref="C2:C4" xr:uid="{AF25943C-B26C-457C-9E29-45174433AC0A}">
      <formula1>listaCartoesDevedores</formula1>
    </dataValidation>
    <dataValidation type="list" allowBlank="1" showInputMessage="1" showErrorMessage="1" errorTitle="Erro de Entrada de Dados" error="Escolha um tipo de despesa que esteja na lista suspensa." sqref="I2:I4" xr:uid="{8996E58E-F34C-4246-9F4B-6467799F7BEE}">
      <formula1>listaTiposdeDespesas</formula1>
    </dataValidation>
    <dataValidation type="list" allowBlank="1" showInputMessage="1" showErrorMessage="1" errorTitle="Erro de Entrada de Dados" error="Escolha o detalhamento de despesa com base no tipo de despesa na lista suspensa." sqref="J2:J4" xr:uid="{A47CDC92-A782-4890-B015-BB4335A3517A}">
      <formula1>listaDetalhamentoVariável</formula1>
    </dataValidation>
    <dataValidation type="whole" operator="greaterThanOrEqual" allowBlank="1" showInputMessage="1" showErrorMessage="1" errorTitle="Erro de Entrada de Dados" error="Digite um valor inteiro maior ou igual a 0 (ou deixe vazio)." sqref="F2:G4" xr:uid="{893D4F71-DA78-49DF-B779-37D0C8B08694}">
      <formula1>0</formula1>
    </dataValidation>
    <dataValidation type="textLength" operator="greaterThanOrEqual" allowBlank="1" showInputMessage="1" showErrorMessage="1" sqref="A2:A4" xr:uid="{EE4D21DE-98C6-447F-B418-FA02E62752BA}">
      <formula1>0</formula1>
    </dataValidation>
    <dataValidation type="date" operator="greaterThanOrEqual" allowBlank="1" showInputMessage="1" showErrorMessage="1" errorTitle="Erro de Entrada de Dados" error="Digite uma data de compra válida. Garanta que seja no formato &quot;dd/mm/aaaa&quot;." sqref="D2:D4" xr:uid="{07AC55C6-F9E3-4FE4-9B1D-C801A22E0997}">
      <formula1>1</formula1>
    </dataValidation>
    <dataValidation type="decimal" operator="greaterThanOrEqual" allowBlank="1" showInputMessage="1" showErrorMessage="1" errorTitle="Erro de Entrada de Dados" error="Digite um valor decimal maior ou igual a 0." sqref="B2:B4" xr:uid="{CFF28C44-6CD7-44B3-AA54-E4C6FAEB3AD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3C0F3-F003-4330-8376-740C66AFCA1E}">
  <sheetPr codeName="Planilha35"/>
  <dimension ref="A1:G7"/>
  <sheetViews>
    <sheetView showGridLines="0" showRowColHeaders="0" zoomScale="80" zoomScaleNormal="80" workbookViewId="0">
      <pane ySplit="1" topLeftCell="A2" activePane="bottomLeft" state="frozen"/>
      <selection pane="bottomLeft"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23.88671875" style="3" bestFit="1" customWidth="1"/>
    <col min="2" max="2" width="22.6640625" style="14" bestFit="1" customWidth="1"/>
    <col min="3" max="3" width="20" style="14" bestFit="1" customWidth="1"/>
    <col min="4" max="4" width="28.77734375" style="14" bestFit="1" customWidth="1"/>
    <col min="5" max="5" width="11" style="15" bestFit="1" customWidth="1"/>
    <col min="6" max="6" width="24.5546875" style="34" bestFit="1" customWidth="1"/>
    <col min="7" max="7" width="27.44140625" style="34" bestFit="1" customWidth="1"/>
  </cols>
  <sheetData>
    <row r="1" spans="1:7" x14ac:dyDescent="0.25">
      <c r="A1" s="2" t="s">
        <v>0</v>
      </c>
      <c r="B1" s="2" t="s">
        <v>3</v>
      </c>
      <c r="C1" s="2" t="s">
        <v>4</v>
      </c>
      <c r="D1" s="2" t="s">
        <v>12</v>
      </c>
      <c r="E1" s="2" t="s">
        <v>5</v>
      </c>
      <c r="F1" s="2" t="s">
        <v>6</v>
      </c>
      <c r="G1" s="2" t="s">
        <v>7</v>
      </c>
    </row>
    <row r="2" spans="1:7" x14ac:dyDescent="0.25">
      <c r="A2" s="3">
        <v>45808</v>
      </c>
      <c r="B2" s="14" t="s">
        <v>381</v>
      </c>
      <c r="C2" s="14" t="s">
        <v>34</v>
      </c>
      <c r="D2" s="14" t="s">
        <v>47</v>
      </c>
      <c r="E2" s="15">
        <v>125</v>
      </c>
      <c r="F2" s="34" t="s">
        <v>347</v>
      </c>
      <c r="G2" s="34" t="s">
        <v>241</v>
      </c>
    </row>
    <row r="3" spans="1:7" x14ac:dyDescent="0.25">
      <c r="A3" s="3">
        <v>45838</v>
      </c>
      <c r="B3" s="14" t="s">
        <v>382</v>
      </c>
      <c r="C3" s="14" t="s">
        <v>34</v>
      </c>
      <c r="D3" s="14" t="s">
        <v>47</v>
      </c>
      <c r="E3" s="15">
        <v>125</v>
      </c>
      <c r="F3" s="34" t="s">
        <v>347</v>
      </c>
      <c r="G3" s="34" t="s">
        <v>241</v>
      </c>
    </row>
    <row r="4" spans="1:7" x14ac:dyDescent="0.25">
      <c r="A4" s="3">
        <v>45869</v>
      </c>
      <c r="B4" s="14" t="s">
        <v>383</v>
      </c>
      <c r="C4" s="14" t="s">
        <v>34</v>
      </c>
      <c r="D4" s="14" t="s">
        <v>47</v>
      </c>
      <c r="E4" s="15">
        <v>125</v>
      </c>
      <c r="F4" s="34" t="s">
        <v>347</v>
      </c>
      <c r="G4" s="34" t="s">
        <v>241</v>
      </c>
    </row>
    <row r="5" spans="1:7" x14ac:dyDescent="0.25">
      <c r="A5" s="3">
        <v>45900</v>
      </c>
      <c r="B5" s="14" t="s">
        <v>384</v>
      </c>
      <c r="C5" s="14" t="s">
        <v>34</v>
      </c>
      <c r="D5" s="14" t="s">
        <v>47</v>
      </c>
      <c r="E5" s="15">
        <v>125</v>
      </c>
      <c r="F5" s="34" t="s">
        <v>347</v>
      </c>
      <c r="G5" s="34" t="s">
        <v>241</v>
      </c>
    </row>
    <row r="6" spans="1:7" x14ac:dyDescent="0.25">
      <c r="A6" s="3">
        <v>45792</v>
      </c>
      <c r="B6" s="14" t="s">
        <v>385</v>
      </c>
      <c r="E6" s="15">
        <v>150</v>
      </c>
      <c r="F6" s="34" t="s">
        <v>347</v>
      </c>
      <c r="G6" s="34" t="s">
        <v>225</v>
      </c>
    </row>
    <row r="7" spans="1:7" x14ac:dyDescent="0.25">
      <c r="A7" s="3">
        <v>45823</v>
      </c>
      <c r="B7" s="14" t="s">
        <v>386</v>
      </c>
      <c r="E7" s="15">
        <v>150</v>
      </c>
      <c r="F7" s="34" t="s">
        <v>347</v>
      </c>
      <c r="G7" s="34" t="s">
        <v>225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2ADE9-3811-455C-9838-2BBB214ED05A}">
  <sheetPr codeName="Planilha14">
    <pageSetUpPr autoPageBreaks="0"/>
  </sheetPr>
  <dimension ref="A1:AZ6"/>
  <sheetViews>
    <sheetView showGridLines="0" showRowColHeaders="0" topLeftCell="B1" zoomScale="80" zoomScaleNormal="80" workbookViewId="0">
      <pane ySplit="3" topLeftCell="A4" activePane="bottomLeft" state="frozen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21875" style="1" hidden="1" customWidth="1"/>
    <col min="2" max="2" width="28.33203125" style="3" bestFit="1" customWidth="1"/>
    <col min="3" max="3" width="9.5546875" style="1" hidden="1" customWidth="1"/>
    <col min="4" max="4" width="9.6640625" style="14" hidden="1" customWidth="1"/>
    <col min="5" max="5" width="14.44140625" style="14" bestFit="1" customWidth="1"/>
    <col min="6" max="6" width="20.109375" style="14" bestFit="1" customWidth="1"/>
    <col min="7" max="7" width="12.6640625" style="25" bestFit="1" customWidth="1"/>
    <col min="8" max="8" width="12" style="26" bestFit="1" customWidth="1"/>
    <col min="9" max="9" width="12.77734375" style="24" bestFit="1" customWidth="1"/>
    <col min="10" max="10" width="24.109375" hidden="1" customWidth="1"/>
    <col min="11" max="52" width="8.88671875" customWidth="1"/>
    <col min="53" max="16384" width="8.88671875" hidden="1"/>
  </cols>
  <sheetData>
    <row r="1" spans="1:52" ht="62" customHeight="1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x14ac:dyDescent="0.25">
      <c r="A3" s="56" t="s">
        <v>16</v>
      </c>
      <c r="B3" s="56" t="s">
        <v>322</v>
      </c>
      <c r="C3" s="56" t="s">
        <v>1</v>
      </c>
      <c r="D3" s="56" t="s">
        <v>2</v>
      </c>
      <c r="E3" s="56" t="s">
        <v>3</v>
      </c>
      <c r="F3" s="56" t="s">
        <v>314</v>
      </c>
      <c r="G3" s="56" t="s">
        <v>312</v>
      </c>
      <c r="H3" s="56" t="s">
        <v>5</v>
      </c>
      <c r="I3" s="56" t="s">
        <v>313</v>
      </c>
      <c r="J3" s="56" t="s">
        <v>352</v>
      </c>
    </row>
    <row r="4" spans="1:52" x14ac:dyDescent="0.25">
      <c r="A4" s="1">
        <f>ROW(Receitas[[#This Row],[Índice]])-ROW(Receitas[[#Headers],[Índice]])</f>
        <v>1</v>
      </c>
      <c r="B4" s="3">
        <v>45384</v>
      </c>
      <c r="C4" s="1" t="str">
        <f>IFERROR(IF(Receitas[[#This Row],[Data Recebida/A Receber]]&lt;&gt;"", VLOOKUP(MONTH(Receitas[[#This Row],[Data Recebida/A Receber]]),tbMês[], 3,FALSE), ""), "")</f>
        <v>abr</v>
      </c>
      <c r="D4" s="1">
        <f>IFERROR(IF(Receitas[[#This Row],[Data Recebida/A Receber]]&lt;&gt;"",YEAR(Receitas[[#This Row],[Data Recebida/A Receber]]),""), "")</f>
        <v>2024</v>
      </c>
      <c r="E4" s="14" t="s">
        <v>281</v>
      </c>
      <c r="F4" s="14" t="s">
        <v>279</v>
      </c>
      <c r="G4" s="14" t="s">
        <v>281</v>
      </c>
      <c r="H4" s="15">
        <v>20000</v>
      </c>
      <c r="I4" s="14" t="s">
        <v>237</v>
      </c>
      <c r="J4" s="1" t="str">
        <f>IFERROR(IF(AND(Receitas[[#This Row],[Data Recebida/A Receber]]&lt;&gt;"", Receitas[[#This Row],[Descrição]]&lt;&gt;""), Receitas[[#This Row],[Descrição]] &amp; " - " &amp; TEXT(Receitas[[#This Row],[Data Recebida/A Receber]], "dd/mm/aaaa"), ""), "")</f>
        <v>Salário - 02/04/2024</v>
      </c>
    </row>
    <row r="5" spans="1:52" x14ac:dyDescent="0.25">
      <c r="A5" s="1">
        <f>ROW(Receitas[[#This Row],[Índice]])-ROW(Receitas[[#Headers],[Índice]])</f>
        <v>2</v>
      </c>
      <c r="B5" s="3">
        <v>45657</v>
      </c>
      <c r="C5" s="1" t="str">
        <f>IFERROR(IF(Receitas[[#This Row],[Data Recebida/A Receber]]&lt;&gt;"", VLOOKUP(MONTH(Receitas[[#This Row],[Data Recebida/A Receber]]),tbMês[], 3,FALSE), ""), "")</f>
        <v>dez</v>
      </c>
      <c r="D5" s="24">
        <f>IFERROR(IF(Receitas[[#This Row],[Data Recebida/A Receber]]&lt;&gt;"",YEAR(Receitas[[#This Row],[Data Recebida/A Receber]]),""), "")</f>
        <v>2024</v>
      </c>
      <c r="G5" s="14"/>
      <c r="H5" s="15"/>
      <c r="I5" s="14"/>
      <c r="J5" s="1" t="str">
        <f>IFERROR(IF(AND(Receitas[[#This Row],[Data Recebida/A Receber]]&lt;&gt;"", Receitas[[#This Row],[Descrição]]&lt;&gt;""), Receitas[[#This Row],[Descrição]] &amp; " - " &amp; TEXT(Receitas[[#This Row],[Data Recebida/A Receber]], "dd/mm/aaaa"), ""), "")</f>
        <v/>
      </c>
    </row>
    <row r="6" spans="1:52" x14ac:dyDescent="0.25">
      <c r="A6" s="49"/>
      <c r="B6" s="50"/>
      <c r="C6" s="49"/>
      <c r="D6" s="51"/>
      <c r="E6" s="51"/>
      <c r="F6" s="51"/>
      <c r="G6" s="52"/>
      <c r="H6" s="53"/>
      <c r="I6" s="54"/>
      <c r="J6" s="55"/>
    </row>
  </sheetData>
  <sheetProtection formatCells="0" formatColumns="0" formatRows="0" insertRows="0" deleteRows="0" autoFilter="0"/>
  <dataValidations count="6">
    <dataValidation type="list" allowBlank="1" showInputMessage="1" showErrorMessage="1" errorTitle="Erro de Entrada de Dados" error="Escolha um tipo de receita que esteja na lista suspensa." sqref="F4:F5" xr:uid="{BB9F3571-B081-4F04-9E2F-F56336CD43FF}">
      <formula1>listaTiposdeReceitas</formula1>
    </dataValidation>
    <dataValidation type="list" allowBlank="1" showInputMessage="1" showErrorMessage="1" errorTitle="Erro de Entrada de Dados" error="Escolha a receita com base no tipo de receita na lista suspensa." sqref="G4:G5" xr:uid="{ACC3EDCE-F0A1-4DEF-B411-5F06D5CCB622}">
      <formula1>listaDependenteReceitas</formula1>
    </dataValidation>
    <dataValidation type="list" allowBlank="1" showInputMessage="1" showErrorMessage="1" errorTitle="Erro de Entrada de Dados" error="Escolha um destino de receita que esteja na lista suspensa." sqref="I4:I5" xr:uid="{382A5417-C883-4F47-A195-44A3AA2B37F9}">
      <formula1>listaDestinosFontes</formula1>
    </dataValidation>
    <dataValidation type="date" operator="greaterThanOrEqual" allowBlank="1" showInputMessage="1" showErrorMessage="1" errorTitle="Erro de Entrada de Dados" error="Digite uma data recebida/a receber válida. Garanta que seja no formato &quot;dd/mm/aaaa&quot;." sqref="B4:B5" xr:uid="{D5E229A0-F14F-4671-BFC4-99C17DCE57E5}">
      <formula1>1</formula1>
    </dataValidation>
    <dataValidation type="textLength" operator="greaterThanOrEqual" allowBlank="1" showInputMessage="1" showErrorMessage="1" sqref="E4:E5" xr:uid="{13ED7967-DB36-42A4-9ECF-5675A7C8BB06}">
      <formula1>0</formula1>
    </dataValidation>
    <dataValidation type="decimal" operator="greaterThanOrEqual" allowBlank="1" showInputMessage="1" showErrorMessage="1" errorTitle="Erro de Entrada de Dados" error="Digite um valor decimal maior ou igual a 0." sqref="H4:H5" xr:uid="{0F15475B-5F48-4AA9-8210-76DF25C6D0D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30E90-6801-43FB-A0A1-7FA71CEF79A2}">
  <sheetPr codeName="Planilha15">
    <pageSetUpPr autoPageBreaks="0"/>
  </sheetPr>
  <dimension ref="A1:Z101"/>
  <sheetViews>
    <sheetView showRowColHeaders="0" zoomScale="80" zoomScaleNormal="80" workbookViewId="0">
      <pane ySplit="1" topLeftCell="A2" activePane="bottomLeft" state="frozen"/>
      <selection pane="bottomLeft" activeCell="B18" sqref="B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7.44140625" bestFit="1" customWidth="1"/>
    <col min="2" max="2" width="21.77734375" bestFit="1" customWidth="1"/>
    <col min="3" max="26" width="9.21875" customWidth="1"/>
    <col min="27" max="16384" width="8.88671875" hidden="1"/>
  </cols>
  <sheetData>
    <row r="1" spans="1:26" x14ac:dyDescent="0.25">
      <c r="A1" s="12" t="s">
        <v>279</v>
      </c>
      <c r="B1" s="12" t="s">
        <v>280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281</v>
      </c>
      <c r="B2" t="s">
        <v>282</v>
      </c>
    </row>
    <row r="3" spans="1:26" x14ac:dyDescent="0.25">
      <c r="A3" t="s">
        <v>283</v>
      </c>
      <c r="B3" t="s">
        <v>284</v>
      </c>
    </row>
    <row r="4" spans="1:26" x14ac:dyDescent="0.25">
      <c r="A4" t="s">
        <v>285</v>
      </c>
    </row>
    <row r="5" spans="1:26" x14ac:dyDescent="0.25">
      <c r="A5" t="s">
        <v>286</v>
      </c>
    </row>
    <row r="6" spans="1:26" x14ac:dyDescent="0.25">
      <c r="A6" t="s">
        <v>287</v>
      </c>
    </row>
    <row r="7" spans="1:26" x14ac:dyDescent="0.25">
      <c r="A7" t="s">
        <v>288</v>
      </c>
    </row>
    <row r="8" spans="1:26" x14ac:dyDescent="0.25">
      <c r="A8" t="s">
        <v>47</v>
      </c>
    </row>
    <row r="9" spans="1:26" x14ac:dyDescent="0.25">
      <c r="A9" t="s">
        <v>289</v>
      </c>
    </row>
    <row r="10" spans="1:26" x14ac:dyDescent="0.25">
      <c r="A10" t="s">
        <v>290</v>
      </c>
    </row>
    <row r="11" spans="1:26" x14ac:dyDescent="0.25">
      <c r="A11" t="s">
        <v>291</v>
      </c>
    </row>
    <row r="12" spans="1:26" x14ac:dyDescent="0.25">
      <c r="A12" t="s">
        <v>191</v>
      </c>
    </row>
    <row r="13" spans="1:26" x14ac:dyDescent="0.25">
      <c r="A13" t="s">
        <v>292</v>
      </c>
    </row>
    <row r="14" spans="1:26" x14ac:dyDescent="0.25">
      <c r="A14" t="s">
        <v>293</v>
      </c>
    </row>
    <row r="15" spans="1:26" x14ac:dyDescent="0.25">
      <c r="A15" t="s">
        <v>294</v>
      </c>
    </row>
    <row r="16" spans="1:26" x14ac:dyDescent="0.25">
      <c r="A16" t="s">
        <v>295</v>
      </c>
    </row>
    <row r="17" spans="1:1" x14ac:dyDescent="0.25">
      <c r="A17" t="s">
        <v>296</v>
      </c>
    </row>
    <row r="18" spans="1:1" x14ac:dyDescent="0.25">
      <c r="A18" t="s">
        <v>297</v>
      </c>
    </row>
    <row r="19" spans="1:1" x14ac:dyDescent="0.25">
      <c r="A19" t="s">
        <v>298</v>
      </c>
    </row>
    <row r="20" spans="1:1" x14ac:dyDescent="0.25">
      <c r="A20" t="s">
        <v>299</v>
      </c>
    </row>
    <row r="21" spans="1:1" x14ac:dyDescent="0.25">
      <c r="A21" t="s">
        <v>300</v>
      </c>
    </row>
    <row r="22" spans="1:1" x14ac:dyDescent="0.25"/>
    <row r="23" spans="1:1" x14ac:dyDescent="0.25"/>
    <row r="24" spans="1:1" x14ac:dyDescent="0.25"/>
    <row r="25" spans="1:1" x14ac:dyDescent="0.25"/>
    <row r="26" spans="1:1" x14ac:dyDescent="0.25"/>
    <row r="27" spans="1:1" x14ac:dyDescent="0.25"/>
    <row r="28" spans="1:1" x14ac:dyDescent="0.25"/>
    <row r="29" spans="1:1" x14ac:dyDescent="0.25"/>
    <row r="30" spans="1:1" x14ac:dyDescent="0.25"/>
    <row r="31" spans="1:1" x14ac:dyDescent="0.25"/>
    <row r="32" spans="1: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26" priority="2">
      <formula>IF(A$1&lt;&gt;"", TRUE, FALSE)</formula>
    </cfRule>
  </conditionalFormatting>
  <conditionalFormatting sqref="A1:Z101">
    <cfRule type="expression" dxfId="25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AB0A4-3732-4C4D-9E1B-0CD05A23A4E1}">
  <sheetPr codeName="Planilha16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1.6640625" bestFit="1" customWidth="1"/>
    <col min="2" max="26" width="9.21875" hidden="1" customWidth="1"/>
    <col min="27" max="16384" width="8.88671875" hidden="1"/>
  </cols>
  <sheetData>
    <row r="1" spans="1:26" x14ac:dyDescent="0.25">
      <c r="A1" s="12" t="s">
        <v>301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219</v>
      </c>
    </row>
    <row r="3" spans="1:26" x14ac:dyDescent="0.25">
      <c r="A3" t="s">
        <v>224</v>
      </c>
    </row>
    <row r="4" spans="1:26" x14ac:dyDescent="0.25">
      <c r="A4" t="s">
        <v>302</v>
      </c>
    </row>
    <row r="5" spans="1:26" x14ac:dyDescent="0.25">
      <c r="A5" t="s">
        <v>237</v>
      </c>
    </row>
    <row r="6" spans="1:26" x14ac:dyDescent="0.25">
      <c r="A6" t="s">
        <v>241</v>
      </c>
    </row>
    <row r="7" spans="1:26" x14ac:dyDescent="0.25">
      <c r="A7" t="s">
        <v>229</v>
      </c>
    </row>
    <row r="8" spans="1:26" x14ac:dyDescent="0.25">
      <c r="A8" t="s">
        <v>248</v>
      </c>
    </row>
    <row r="9" spans="1:26" x14ac:dyDescent="0.25">
      <c r="A9" t="s">
        <v>245</v>
      </c>
    </row>
    <row r="10" spans="1:26" x14ac:dyDescent="0.25">
      <c r="A10" t="s">
        <v>275</v>
      </c>
    </row>
    <row r="11" spans="1:26" x14ac:dyDescent="0.25">
      <c r="A11" t="s">
        <v>303</v>
      </c>
    </row>
    <row r="12" spans="1:26" x14ac:dyDescent="0.25">
      <c r="A12" t="s">
        <v>233</v>
      </c>
    </row>
    <row r="13" spans="1:26" x14ac:dyDescent="0.25">
      <c r="A13" t="s">
        <v>251</v>
      </c>
    </row>
    <row r="14" spans="1:26" x14ac:dyDescent="0.25">
      <c r="A14" t="s">
        <v>253</v>
      </c>
    </row>
    <row r="15" spans="1:26" x14ac:dyDescent="0.25">
      <c r="A15" t="s">
        <v>255</v>
      </c>
    </row>
    <row r="16" spans="1:26" x14ac:dyDescent="0.25">
      <c r="A16" t="s">
        <v>257</v>
      </c>
    </row>
    <row r="17" spans="1:1" x14ac:dyDescent="0.25">
      <c r="A17" t="s">
        <v>259</v>
      </c>
    </row>
    <row r="18" spans="1:1" x14ac:dyDescent="0.25">
      <c r="A18" t="s">
        <v>261</v>
      </c>
    </row>
    <row r="19" spans="1:1" x14ac:dyDescent="0.25">
      <c r="A19" t="s">
        <v>263</v>
      </c>
    </row>
    <row r="20" spans="1:1" x14ac:dyDescent="0.25">
      <c r="A20" t="s">
        <v>265</v>
      </c>
    </row>
    <row r="21" spans="1:1" x14ac:dyDescent="0.25">
      <c r="A21" t="s">
        <v>267</v>
      </c>
    </row>
    <row r="22" spans="1:1" x14ac:dyDescent="0.25">
      <c r="A22" t="s">
        <v>269</v>
      </c>
    </row>
    <row r="23" spans="1:1" x14ac:dyDescent="0.25">
      <c r="A23" t="s">
        <v>271</v>
      </c>
    </row>
    <row r="24" spans="1:1" x14ac:dyDescent="0.25"/>
    <row r="25" spans="1:1" x14ac:dyDescent="0.25"/>
    <row r="26" spans="1:1" x14ac:dyDescent="0.25"/>
    <row r="27" spans="1:1" x14ac:dyDescent="0.25"/>
    <row r="28" spans="1:1" x14ac:dyDescent="0.25"/>
    <row r="29" spans="1:1" x14ac:dyDescent="0.25"/>
    <row r="30" spans="1:1" x14ac:dyDescent="0.25"/>
    <row r="31" spans="1:1" x14ac:dyDescent="0.25"/>
    <row r="32" spans="1:1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">
    <cfRule type="expression" dxfId="24" priority="3">
      <formula>IF(A$1&lt;&gt;"", TRUE, FALSE)</formula>
    </cfRule>
  </conditionalFormatting>
  <conditionalFormatting sqref="A1:A101">
    <cfRule type="expression" dxfId="23" priority="2">
      <formula>IF(AND(A1&lt;&gt;"", A$1&lt;&gt;""), TRUE, FALSE)</formula>
    </cfRule>
  </conditionalFormatting>
  <conditionalFormatting sqref="B1:Z1">
    <cfRule type="expression" dxfId="22" priority="1">
      <formula>IF(B$1&lt;&gt;"",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C5EC-5455-4FCF-9177-66CA98A597C5}">
  <sheetPr codeName="Planilha17"/>
  <dimension ref="A1:AZ6"/>
  <sheetViews>
    <sheetView showGridLines="0" showRowColHeaders="0" topLeftCell="B1" zoomScale="80" zoomScaleNormal="80" workbookViewId="0">
      <pane ySplit="3" topLeftCell="A4" activePane="bottomLeft" state="frozen"/>
      <selection activeCell="B1" sqref="B1"/>
      <selection pane="bottomLeft"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1.21875" hidden="1" customWidth="1"/>
    <col min="2" max="2" width="34.6640625" style="9" bestFit="1" customWidth="1"/>
    <col min="3" max="3" width="9.5546875" style="8" hidden="1" customWidth="1"/>
    <col min="4" max="4" width="9.6640625" style="8" hidden="1" customWidth="1"/>
    <col min="5" max="5" width="14.44140625" style="10" bestFit="1" customWidth="1"/>
    <col min="6" max="6" width="24.6640625" style="10" bestFit="1" customWidth="1"/>
    <col min="7" max="7" width="17.6640625" style="10" bestFit="1" customWidth="1"/>
    <col min="8" max="8" width="11" style="11" bestFit="1" customWidth="1"/>
    <col min="9" max="9" width="11.109375" style="10" bestFit="1" customWidth="1"/>
    <col min="10" max="52" width="8.88671875" style="4" customWidth="1"/>
    <col min="53" max="16384" width="8.88671875" hidden="1"/>
  </cols>
  <sheetData>
    <row r="1" spans="1:52" ht="62" customHeight="1" x14ac:dyDescent="0.25">
      <c r="A1" t="s">
        <v>321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</row>
    <row r="2" spans="1:52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</row>
    <row r="3" spans="1:52" x14ac:dyDescent="0.25">
      <c r="A3" s="56" t="s">
        <v>16</v>
      </c>
      <c r="B3" s="56" t="s">
        <v>323</v>
      </c>
      <c r="C3" s="56" t="s">
        <v>1</v>
      </c>
      <c r="D3" s="56" t="s">
        <v>2</v>
      </c>
      <c r="E3" s="56" t="s">
        <v>3</v>
      </c>
      <c r="F3" s="56" t="s">
        <v>318</v>
      </c>
      <c r="G3" s="56" t="s">
        <v>319</v>
      </c>
      <c r="H3" s="56" t="s">
        <v>5</v>
      </c>
      <c r="I3" s="56" t="s">
        <v>320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x14ac:dyDescent="0.25">
      <c r="A4" s="1">
        <f>ROW(Investimentos[[#This Row],[Índice]])-ROW(Investimentos[[#Headers],[Índice]])</f>
        <v>1</v>
      </c>
      <c r="B4" s="9">
        <v>46037</v>
      </c>
      <c r="C4" s="8" t="str">
        <f>IFERROR(IF(Investimentos[[#This Row],[Data de Investimento/A Investir]]&lt;&gt;"", VLOOKUP(MONTH(Investimentos[[#This Row],[Data de Investimento/A Investir]]),tbMês[], 3,FALSE), ""), "")</f>
        <v>jan</v>
      </c>
      <c r="D4" s="8">
        <f>IFERROR(IF(Investimentos[[#This Row],[Data de Investimento/A Investir]]&lt;&gt;"",YEAR(Investimentos[[#This Row],[Data de Investimento/A Investir]]),""), "")</f>
        <v>2026</v>
      </c>
      <c r="E4" s="10" t="s">
        <v>350</v>
      </c>
      <c r="F4" s="10" t="s">
        <v>325</v>
      </c>
      <c r="G4" s="10" t="s">
        <v>305</v>
      </c>
      <c r="H4" s="11">
        <v>50</v>
      </c>
      <c r="I4" s="10" t="s">
        <v>237</v>
      </c>
    </row>
    <row r="5" spans="1:52" x14ac:dyDescent="0.25">
      <c r="A5" s="1">
        <f>ROW(Investimentos[[#This Row],[Índice]])-ROW(Investimentos[[#Headers],[Índice]])</f>
        <v>2</v>
      </c>
      <c r="B5" s="9">
        <v>46069</v>
      </c>
      <c r="C5" s="8" t="str">
        <f>IFERROR(IF(Investimentos[[#This Row],[Data de Investimento/A Investir]]&lt;&gt;"", VLOOKUP(MONTH(Investimentos[[#This Row],[Data de Investimento/A Investir]]),tbMês[], 3,FALSE), ""), "")</f>
        <v>fev</v>
      </c>
      <c r="D5" s="8">
        <f>IFERROR(IF(Investimentos[[#This Row],[Data de Investimento/A Investir]]&lt;&gt;"",YEAR(Investimentos[[#This Row],[Data de Investimento/A Investir]]),""), "")</f>
        <v>2026</v>
      </c>
      <c r="E5" s="10" t="s">
        <v>351</v>
      </c>
    </row>
    <row r="6" spans="1:52" x14ac:dyDescent="0.25">
      <c r="A6" s="55"/>
      <c r="B6" s="57"/>
      <c r="C6" s="58"/>
      <c r="D6" s="58"/>
      <c r="E6" s="59"/>
      <c r="F6" s="59"/>
      <c r="G6" s="59"/>
      <c r="H6" s="46"/>
      <c r="I6" s="59"/>
    </row>
  </sheetData>
  <sheetProtection formatCells="0" formatColumns="0" formatRows="0" insertRows="0" deleteRows="0" autoFilter="0"/>
  <dataValidations count="6">
    <dataValidation type="list" allowBlank="1" showInputMessage="1" showErrorMessage="1" errorTitle="Erro de Entrada de Dados" error="Escolha um tipo de investimento que esteja na lista suspensa." sqref="F4:F5" xr:uid="{3F0D6A4F-EA5F-4D73-A2D8-0CD80942966B}">
      <formula1>listaTiposdeInvestimentos</formula1>
    </dataValidation>
    <dataValidation type="list" allowBlank="1" showInputMessage="1" showErrorMessage="1" errorTitle="Erro de Entrada de Dados" error="Escolha o investimento com base no tipo de investimento na lista suspensa." sqref="G4:G5" xr:uid="{5D5EE180-3E2B-4A93-8F85-93489C348A5B}">
      <formula1>listaDependenteInvestimentos</formula1>
    </dataValidation>
    <dataValidation type="list" allowBlank="1" showInputMessage="1" showErrorMessage="1" errorTitle="Erro de Entrada de Dados" error="Escolha uma fonte retirada para investir que esteja na lista suspensa." sqref="I4:I5" xr:uid="{226B00EC-0479-4731-B150-61E2F5A782B1}">
      <formula1>listaDestinosFontes</formula1>
    </dataValidation>
    <dataValidation type="date" operator="greaterThanOrEqual" allowBlank="1" showInputMessage="1" showErrorMessage="1" errorTitle="Erro de Entrada de Dados" error="Digite uma data de investimento/a investir válida. Garanta que seja no formato &quot;dd/mm/aaaa&quot;." sqref="B4:B5" xr:uid="{367BA115-6BBE-4120-B9D6-AFF5C4E48CBE}">
      <formula1>1</formula1>
    </dataValidation>
    <dataValidation type="textLength" operator="greaterThanOrEqual" allowBlank="1" showInputMessage="1" showErrorMessage="1" sqref="E4:E5" xr:uid="{9DE9A3A5-F43D-4624-B6E8-3D00219A03EA}">
      <formula1>0</formula1>
    </dataValidation>
    <dataValidation type="decimal" operator="greaterThanOrEqual" allowBlank="1" showInputMessage="1" showErrorMessage="1" errorTitle="Erro de Entrada de Dados" error="Digite um valor decimal maior ou igual a 0." sqref="H4:H5" xr:uid="{783215FB-B8BD-4A4C-8BE8-D134E601A252}">
      <formula1>0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5B92-0B3E-4A83-A332-904F32901BB2}">
  <sheetPr codeName="Planilha18"/>
  <dimension ref="A1:Z101"/>
  <sheetViews>
    <sheetView showRowColHeaders="0" zoomScale="80" zoomScaleNormal="80" workbookViewId="0">
      <pane ySplit="1" topLeftCell="A2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1" width="26.6640625" bestFit="1" customWidth="1"/>
    <col min="2" max="2" width="26.88671875" bestFit="1" customWidth="1"/>
    <col min="3" max="26" width="9.21875" customWidth="1"/>
    <col min="27" max="16384" width="8.88671875" hidden="1"/>
  </cols>
  <sheetData>
    <row r="1" spans="1:26" x14ac:dyDescent="0.25">
      <c r="A1" s="12" t="s">
        <v>325</v>
      </c>
      <c r="B1" s="12" t="s">
        <v>304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A2" t="s">
        <v>305</v>
      </c>
      <c r="B2" t="s">
        <v>306</v>
      </c>
    </row>
    <row r="3" spans="1:26" x14ac:dyDescent="0.25">
      <c r="A3" t="s">
        <v>307</v>
      </c>
      <c r="B3" t="s">
        <v>308</v>
      </c>
    </row>
    <row r="4" spans="1:26" x14ac:dyDescent="0.25">
      <c r="A4" t="s">
        <v>309</v>
      </c>
    </row>
    <row r="5" spans="1:26" x14ac:dyDescent="0.25">
      <c r="A5" t="s">
        <v>310</v>
      </c>
    </row>
    <row r="6" spans="1:26" x14ac:dyDescent="0.25">
      <c r="A6" t="s">
        <v>311</v>
      </c>
    </row>
    <row r="7" spans="1:26" x14ac:dyDescent="0.25"/>
    <row r="8" spans="1:26" x14ac:dyDescent="0.25"/>
    <row r="9" spans="1:26" x14ac:dyDescent="0.25"/>
    <row r="10" spans="1:26" x14ac:dyDescent="0.25"/>
    <row r="11" spans="1:26" x14ac:dyDescent="0.25"/>
    <row r="12" spans="1:26" x14ac:dyDescent="0.25"/>
    <row r="13" spans="1:26" x14ac:dyDescent="0.25"/>
    <row r="14" spans="1:26" x14ac:dyDescent="0.25"/>
    <row r="15" spans="1:26" x14ac:dyDescent="0.25"/>
    <row r="16" spans="1:2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</sheetData>
  <conditionalFormatting sqref="A1:Z1">
    <cfRule type="expression" dxfId="10" priority="2">
      <formula>IF(A$1&lt;&gt;"", TRUE, FALSE)</formula>
    </cfRule>
  </conditionalFormatting>
  <conditionalFormatting sqref="A1:Z101">
    <cfRule type="expression" dxfId="9" priority="1">
      <formula>IF(AND(A1&lt;&gt;"", A$1&lt;&gt;""), TRUE, FALSE)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A8618-4D5B-4FA8-B28D-906602F31138}">
  <sheetPr codeName="Planilha21"/>
  <dimension ref="A1:C6"/>
  <sheetViews>
    <sheetView showRowColHeaders="0" zoomScale="80" zoomScaleNormal="80" workbookViewId="0">
      <pane ySplit="1" topLeftCell="A2" activePane="bottomLeft" state="frozen"/>
      <selection pane="bottomLeft" activeCell="A7" sqref="A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x14ac:dyDescent="0.25"/>
  <cols>
    <col min="1" max="1" width="12.109375" style="16" bestFit="1" customWidth="1"/>
    <col min="2" max="2" width="22.77734375" style="1" bestFit="1" customWidth="1"/>
    <col min="3" max="3" width="22.88671875" bestFit="1" customWidth="1"/>
    <col min="4" max="16384" width="8.88671875" hidden="1"/>
  </cols>
  <sheetData>
    <row r="1" spans="1:3" x14ac:dyDescent="0.25">
      <c r="A1" s="2" t="s">
        <v>347</v>
      </c>
      <c r="B1" s="2" t="s">
        <v>343</v>
      </c>
      <c r="C1" s="2" t="s">
        <v>399</v>
      </c>
    </row>
    <row r="2" spans="1:3" x14ac:dyDescent="0.25">
      <c r="A2" s="16" t="s">
        <v>241</v>
      </c>
      <c r="B2" s="1">
        <v>31</v>
      </c>
      <c r="C2" s="1">
        <v>10</v>
      </c>
    </row>
    <row r="3" spans="1:3" x14ac:dyDescent="0.25">
      <c r="A3" s="16" t="s">
        <v>259</v>
      </c>
      <c r="C3" s="1"/>
    </row>
    <row r="4" spans="1:3" x14ac:dyDescent="0.25">
      <c r="A4" s="16" t="s">
        <v>225</v>
      </c>
      <c r="B4" s="1">
        <v>15</v>
      </c>
      <c r="C4" s="1">
        <v>5</v>
      </c>
    </row>
    <row r="5" spans="1:3" x14ac:dyDescent="0.25">
      <c r="A5" s="16" t="s">
        <v>346</v>
      </c>
      <c r="B5" s="1">
        <v>10</v>
      </c>
      <c r="C5" s="1">
        <v>5</v>
      </c>
    </row>
    <row r="6" spans="1:3" x14ac:dyDescent="0.25">
      <c r="A6" s="16" t="s">
        <v>345</v>
      </c>
      <c r="C6" s="1"/>
    </row>
  </sheetData>
  <sheetProtection formatCells="0" formatColumns="0" formatRows="0" insertRows="0" deleteRows="0" autoFilter="0"/>
  <dataValidations count="1">
    <dataValidation type="whole" allowBlank="1" showInputMessage="1" showErrorMessage="1" errorTitle="Erro de Entrada de Dados" error="Digite um valor inteiro maior ou igual a 1 e menor ou igual a 31 (1 a 31)." sqref="B2:C6" xr:uid="{CF4AEA7A-C10F-4104-A487-E47C1642A0D6}">
      <formula1>1</formula1>
      <formula2>31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0305-53CA-429D-8A0F-55703713C69C}">
  <sheetPr codeName="Planilha24"/>
  <dimension ref="A1:S19"/>
  <sheetViews>
    <sheetView zoomScale="80" zoomScaleNormal="80" workbookViewId="0">
      <selection activeCell="E29" sqref="E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8.6640625" bestFit="1" customWidth="1"/>
    <col min="2" max="2" width="5.88671875" customWidth="1"/>
    <col min="3" max="3" width="17.5546875" bestFit="1" customWidth="1"/>
    <col min="4" max="4" width="27" bestFit="1" customWidth="1"/>
    <col min="5" max="5" width="16.6640625" bestFit="1" customWidth="1"/>
    <col min="6" max="6" width="22.109375" bestFit="1" customWidth="1"/>
    <col min="7" max="7" width="17.5546875" bestFit="1" customWidth="1"/>
    <col min="8" max="8" width="18.33203125" bestFit="1" customWidth="1"/>
    <col min="9" max="9" width="22.109375" bestFit="1" customWidth="1"/>
    <col min="10" max="10" width="17" bestFit="1" customWidth="1"/>
    <col min="11" max="11" width="18.33203125" bestFit="1" customWidth="1"/>
    <col min="12" max="12" width="22.109375" bestFit="1" customWidth="1"/>
    <col min="13" max="13" width="18.33203125" bestFit="1" customWidth="1"/>
    <col min="14" max="14" width="20.6640625" bestFit="1" customWidth="1"/>
    <col min="15" max="15" width="5.88671875" bestFit="1" customWidth="1"/>
    <col min="16" max="16" width="13.33203125" bestFit="1" customWidth="1"/>
    <col min="17" max="17" width="7.77734375" bestFit="1" customWidth="1"/>
    <col min="18" max="18" width="15.33203125" bestFit="1" customWidth="1"/>
    <col min="19" max="19" width="11.88671875" bestFit="1" customWidth="1"/>
  </cols>
  <sheetData>
    <row r="1" spans="1:19" x14ac:dyDescent="0.25">
      <c r="A1" t="str" cm="1">
        <f t="array" aca="1" ref="A1" ca="1">MID(CELL("nome.arquivo",Despesas!$A$1),         SEARCH("]",CELL("nome.arquivo",Despesas!$A$1))+1,25)</f>
        <v>Despesas</v>
      </c>
      <c r="C1" t="s">
        <v>16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12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20</v>
      </c>
      <c r="Q1" t="s">
        <v>11</v>
      </c>
      <c r="R1" t="s">
        <v>317</v>
      </c>
      <c r="S1" t="s">
        <v>326</v>
      </c>
    </row>
    <row r="3" spans="1:19" x14ac:dyDescent="0.25">
      <c r="A3" t="str" cm="1">
        <f t="array" aca="1" ref="A3" ca="1">MID(CELL("nome.arquivo",'Receitas'!$A$1),         SEARCH("]",CELL("nome.arquivo",'Receitas'!$A$1))+1,25)</f>
        <v>Receitas</v>
      </c>
      <c r="C3" t="s">
        <v>16</v>
      </c>
      <c r="D3" t="s">
        <v>322</v>
      </c>
      <c r="E3" t="s">
        <v>1</v>
      </c>
      <c r="F3" t="s">
        <v>2</v>
      </c>
      <c r="G3" t="s">
        <v>3</v>
      </c>
      <c r="H3" t="s">
        <v>314</v>
      </c>
      <c r="I3" t="s">
        <v>312</v>
      </c>
      <c r="J3" t="s">
        <v>5</v>
      </c>
      <c r="K3" t="s">
        <v>313</v>
      </c>
      <c r="L3" t="s">
        <v>352</v>
      </c>
    </row>
    <row r="5" spans="1:19" x14ac:dyDescent="0.25">
      <c r="A5" t="str" cm="1">
        <f t="array" aca="1" ref="A5" ca="1">MID(CELL("nome.arquivo",Investimentos!$A$1),         SEARCH("]",CELL("nome.arquivo",Investimentos!$A$1))+1,25)</f>
        <v>Investimentos</v>
      </c>
      <c r="C5" t="s">
        <v>16</v>
      </c>
      <c r="D5" t="s">
        <v>323</v>
      </c>
      <c r="E5" t="s">
        <v>1</v>
      </c>
      <c r="F5" t="s">
        <v>2</v>
      </c>
      <c r="G5" t="s">
        <v>3</v>
      </c>
      <c r="H5" t="s">
        <v>318</v>
      </c>
      <c r="I5" t="s">
        <v>319</v>
      </c>
      <c r="J5" t="s">
        <v>5</v>
      </c>
      <c r="K5" t="s">
        <v>320</v>
      </c>
    </row>
    <row r="11" spans="1:19" x14ac:dyDescent="0.25">
      <c r="A11" t="str" cm="1">
        <f t="array" aca="1" ref="A11" ca="1">MID(CELL("nome.arquivo",'Cartões'!$A$1),         SEARCH("]",CELL("nome.arquivo",'Cartões'!$A$1))+1,25)</f>
        <v>Cartões</v>
      </c>
      <c r="C11" t="s">
        <v>347</v>
      </c>
      <c r="D11" t="s">
        <v>343</v>
      </c>
      <c r="E11" t="s">
        <v>399</v>
      </c>
    </row>
    <row r="17" spans="1:13" x14ac:dyDescent="0.25">
      <c r="A17" t="str" cm="1">
        <f t="array" aca="1" ref="A17" ca="1">MID(CELL("nome.arquivo",DespesasFixas!$A$1),         SEARCH("]",CELL("nome.arquivo",DespesasFixas!$A$1))+1,25)</f>
        <v>DespesasFixas</v>
      </c>
      <c r="C17" t="s">
        <v>343</v>
      </c>
      <c r="D17" t="s">
        <v>3</v>
      </c>
      <c r="E17" t="s">
        <v>4</v>
      </c>
      <c r="F17" t="s">
        <v>12</v>
      </c>
      <c r="G17" t="s">
        <v>5</v>
      </c>
      <c r="H17" t="s">
        <v>6</v>
      </c>
      <c r="I17" t="s">
        <v>7</v>
      </c>
    </row>
    <row r="19" spans="1:13" x14ac:dyDescent="0.25">
      <c r="A19" t="str" cm="1">
        <f t="array" aca="1" ref="A19" ca="1">MID(CELL("nome.arquivo",DespesasVariáveis!$A$1),         SEARCH("]",CELL("nome.arquivo",DespesasVariáveis!$A$1))+1,25)</f>
        <v>DespesasVariáveis</v>
      </c>
      <c r="C19" t="s">
        <v>3</v>
      </c>
      <c r="D19" t="s">
        <v>337</v>
      </c>
      <c r="E19" t="s">
        <v>338</v>
      </c>
      <c r="F19" t="s">
        <v>339</v>
      </c>
      <c r="G19" t="s">
        <v>0</v>
      </c>
      <c r="H19" t="s">
        <v>340</v>
      </c>
      <c r="I19" t="s">
        <v>341</v>
      </c>
      <c r="J19" t="s">
        <v>342</v>
      </c>
      <c r="K19" t="s">
        <v>4</v>
      </c>
      <c r="L19" t="s">
        <v>12</v>
      </c>
      <c r="M19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E2D4E-04CC-4D19-A11F-AEE7EC1C6428}">
  <sheetPr codeName="Planilha25"/>
  <dimension ref="A1:AG101"/>
  <sheetViews>
    <sheetView zoomScale="80" zoomScaleNormal="80" workbookViewId="0">
      <selection activeCell="Q2" sqref="Q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16.5546875" bestFit="1" customWidth="1"/>
    <col min="2" max="13" width="15.6640625" customWidth="1"/>
    <col min="16" max="16" width="6.88671875" bestFit="1" customWidth="1"/>
    <col min="17" max="17" width="8.21875" bestFit="1" customWidth="1"/>
    <col min="18" max="18" width="8.77734375" bestFit="1" customWidth="1"/>
    <col min="19" max="19" width="13.33203125" bestFit="1" customWidth="1"/>
    <col min="20" max="20" width="8.88671875" customWidth="1"/>
    <col min="21" max="21" width="11.33203125" bestFit="1" customWidth="1"/>
    <col min="22" max="22" width="12.6640625" bestFit="1" customWidth="1"/>
    <col min="23" max="23" width="10.77734375" bestFit="1" customWidth="1"/>
    <col min="24" max="24" width="8.88671875" customWidth="1"/>
    <col min="25" max="25" width="16" bestFit="1" customWidth="1"/>
    <col min="26" max="31" width="8.88671875" customWidth="1"/>
    <col min="32" max="32" width="17.6640625" bestFit="1" customWidth="1"/>
    <col min="33" max="33" width="12" bestFit="1" customWidth="1"/>
    <col min="34" max="36" width="8.88671875" customWidth="1"/>
  </cols>
  <sheetData>
    <row r="1" spans="1:33" x14ac:dyDescent="0.25">
      <c r="B1" s="27" t="str" cm="1">
        <f t="array" ref="B1:M1">TRANSPOSE(tbMês[Mês])</f>
        <v>jan</v>
      </c>
      <c r="C1" s="27" t="str">
        <v>fev</v>
      </c>
      <c r="D1" s="27" t="str">
        <v>mar</v>
      </c>
      <c r="E1" s="27" t="str">
        <v>abr</v>
      </c>
      <c r="F1" s="27" t="str">
        <v>mai</v>
      </c>
      <c r="G1" s="27" t="str">
        <v>jun</v>
      </c>
      <c r="H1" s="27" t="str">
        <v>jul</v>
      </c>
      <c r="I1" s="27" t="str">
        <v>ago</v>
      </c>
      <c r="J1" s="27" t="str">
        <v>set</v>
      </c>
      <c r="K1" s="27" t="str">
        <v>out</v>
      </c>
      <c r="L1" s="27" t="str">
        <v>nov</v>
      </c>
      <c r="M1" s="27" t="str">
        <v>dez</v>
      </c>
      <c r="P1" s="28" t="s">
        <v>1</v>
      </c>
      <c r="Q1" t="s">
        <v>353</v>
      </c>
      <c r="R1" t="s">
        <v>354</v>
      </c>
      <c r="S1" t="s">
        <v>355</v>
      </c>
      <c r="AA1" s="7" t="s">
        <v>363</v>
      </c>
      <c r="AC1" s="27" t="s">
        <v>363</v>
      </c>
      <c r="AF1" t="s">
        <v>333</v>
      </c>
      <c r="AG1" s="30">
        <f ca="1">IFERROR(SUM($B2:$M2), 0)</f>
        <v>20000</v>
      </c>
    </row>
    <row r="2" spans="1:33" x14ac:dyDescent="0.25">
      <c r="A2" s="27" t="s">
        <v>353</v>
      </c>
      <c r="B2" s="30">
        <f ca="1">IFERROR(OFFSET($P$1,MATCH(B$1,$P$2:$P$16,0),MATCH($A2,$Q$1:$S$1,0)),0)</f>
        <v>0</v>
      </c>
      <c r="C2" s="30">
        <f t="shared" ref="C2:M2" ca="1" si="0">IFERROR(OFFSET($P$1,MATCH(C$1,$P$2:$P$16,0),MATCH($A2,$Q$1:$S$1,0)),0)</f>
        <v>0</v>
      </c>
      <c r="D2" s="30">
        <f t="shared" ca="1" si="0"/>
        <v>0</v>
      </c>
      <c r="E2" s="30">
        <f t="shared" ca="1" si="0"/>
        <v>20000</v>
      </c>
      <c r="F2" s="30">
        <f t="shared" ca="1" si="0"/>
        <v>0</v>
      </c>
      <c r="G2" s="30">
        <f t="shared" ca="1" si="0"/>
        <v>0</v>
      </c>
      <c r="H2" s="30">
        <f t="shared" ca="1" si="0"/>
        <v>0</v>
      </c>
      <c r="I2" s="30">
        <f t="shared" ca="1" si="0"/>
        <v>0</v>
      </c>
      <c r="J2" s="30">
        <f t="shared" ca="1" si="0"/>
        <v>0</v>
      </c>
      <c r="K2" s="30">
        <f t="shared" ca="1" si="0"/>
        <v>0</v>
      </c>
      <c r="L2" s="30">
        <f t="shared" ca="1" si="0"/>
        <v>0</v>
      </c>
      <c r="M2" s="30">
        <f t="shared" ca="1" si="0"/>
        <v>0</v>
      </c>
      <c r="P2" s="16" t="s">
        <v>359</v>
      </c>
      <c r="S2">
        <v>50</v>
      </c>
      <c r="AA2" cm="1">
        <f t="array" ref="AA2:AA4">IFERROR(_xlfn.UNIQUE(_xlfn._xlws.SORT(INT(_xlfn.VSTACK(_xlfn._xlws.FILTER(Despesas[Ano],(Despesas[Ano]&lt;&gt;"")*(Despesas[Ano]&lt;&gt;"(vazio)")),_xlfn._xlws.FILTER(Receitas[Ano],(Receitas[Ano]&lt;&gt;"")*(Receitas[Ano]&lt;&gt;"(vazio)")), _xlfn._xlws.FILTER(Investimentos[Ano],(Investimentos[Ano]&lt;&gt;"")*(Investimentos[Ano]&lt;&gt;"(vazio)")))))),"")</f>
        <v>2024</v>
      </c>
      <c r="AC2">
        <f t="shared" ref="AC2:AC33" ca="1" si="1">IF($AA2&lt;&gt;"",$AA2,IF(AND($AA$2="",ROW($AA$2)=2),YEAR(TODAY())+ROW($AA2)-2,LARGE($AA$2:$AA$101,1)+ROW($AA2)-COUNTA($AA$2:$AA$101)-1))</f>
        <v>2024</v>
      </c>
      <c r="AF2" t="s">
        <v>327</v>
      </c>
      <c r="AG2" s="30">
        <f t="shared" ref="AG2:AG4" ca="1" si="2">IFERROR(SUM($B3:$M3), 0)</f>
        <v>1300</v>
      </c>
    </row>
    <row r="3" spans="1:33" x14ac:dyDescent="0.25">
      <c r="A3" s="27" t="s">
        <v>354</v>
      </c>
      <c r="B3" s="30">
        <f t="shared" ref="B3:M4" ca="1" si="3">IFERROR(OFFSET($P$1,MATCH(B$1,$P$2:$P$16,0),MATCH($A3,$Q$1:$S$1,0)),0)</f>
        <v>0</v>
      </c>
      <c r="C3" s="30">
        <f t="shared" ca="1" si="3"/>
        <v>0</v>
      </c>
      <c r="D3" s="30">
        <f t="shared" ca="1" si="3"/>
        <v>0</v>
      </c>
      <c r="E3" s="30">
        <f t="shared" ca="1" si="3"/>
        <v>0</v>
      </c>
      <c r="F3" s="30">
        <f t="shared" ca="1" si="3"/>
        <v>675</v>
      </c>
      <c r="G3" s="30">
        <f t="shared" ca="1" si="3"/>
        <v>275</v>
      </c>
      <c r="H3" s="30">
        <f t="shared" ca="1" si="3"/>
        <v>125</v>
      </c>
      <c r="I3" s="30">
        <f t="shared" ca="1" si="3"/>
        <v>125</v>
      </c>
      <c r="J3" s="30">
        <f t="shared" ca="1" si="3"/>
        <v>100</v>
      </c>
      <c r="K3" s="30">
        <f t="shared" ca="1" si="3"/>
        <v>0</v>
      </c>
      <c r="L3" s="30">
        <f t="shared" ca="1" si="3"/>
        <v>0</v>
      </c>
      <c r="M3" s="30">
        <f t="shared" ca="1" si="3"/>
        <v>0</v>
      </c>
      <c r="P3" s="16" t="s">
        <v>358</v>
      </c>
      <c r="Q3">
        <v>20000</v>
      </c>
      <c r="AA3">
        <v>2025</v>
      </c>
      <c r="AC3">
        <f t="shared" ca="1" si="1"/>
        <v>2025</v>
      </c>
      <c r="AF3" t="s">
        <v>335</v>
      </c>
      <c r="AG3" s="30">
        <f t="shared" ca="1" si="2"/>
        <v>50</v>
      </c>
    </row>
    <row r="4" spans="1:33" x14ac:dyDescent="0.25">
      <c r="A4" s="27" t="s">
        <v>355</v>
      </c>
      <c r="B4" s="30">
        <f t="shared" ca="1" si="3"/>
        <v>50</v>
      </c>
      <c r="C4" s="30">
        <f t="shared" ca="1" si="3"/>
        <v>0</v>
      </c>
      <c r="D4" s="30">
        <f t="shared" ca="1" si="3"/>
        <v>0</v>
      </c>
      <c r="E4" s="30">
        <f t="shared" ca="1" si="3"/>
        <v>0</v>
      </c>
      <c r="F4" s="30">
        <f t="shared" ca="1" si="3"/>
        <v>0</v>
      </c>
      <c r="G4" s="30">
        <f t="shared" ca="1" si="3"/>
        <v>0</v>
      </c>
      <c r="H4" s="30">
        <f t="shared" ca="1" si="3"/>
        <v>0</v>
      </c>
      <c r="I4" s="30">
        <f t="shared" ca="1" si="3"/>
        <v>0</v>
      </c>
      <c r="J4" s="30">
        <f t="shared" ca="1" si="3"/>
        <v>0</v>
      </c>
      <c r="K4" s="30">
        <f t="shared" ca="1" si="3"/>
        <v>0</v>
      </c>
      <c r="L4" s="30">
        <f t="shared" ca="1" si="3"/>
        <v>0</v>
      </c>
      <c r="M4" s="30">
        <f t="shared" ca="1" si="3"/>
        <v>0</v>
      </c>
      <c r="P4" s="16" t="s">
        <v>361</v>
      </c>
      <c r="R4">
        <v>675</v>
      </c>
      <c r="AA4">
        <v>2026</v>
      </c>
      <c r="AC4">
        <f t="shared" ca="1" si="1"/>
        <v>2026</v>
      </c>
      <c r="AF4" t="s">
        <v>368</v>
      </c>
      <c r="AG4" s="30">
        <f t="shared" ca="1" si="2"/>
        <v>18650</v>
      </c>
    </row>
    <row r="5" spans="1:33" x14ac:dyDescent="0.25">
      <c r="A5" s="27" t="s">
        <v>356</v>
      </c>
      <c r="B5" s="30">
        <f ca="1">B$2-SUM(B$3:B$4)</f>
        <v>-50</v>
      </c>
      <c r="C5" s="30">
        <f t="shared" ref="C5:M5" ca="1" si="4">C$2-SUM(C$3:C$4)</f>
        <v>0</v>
      </c>
      <c r="D5" s="30">
        <f t="shared" ca="1" si="4"/>
        <v>0</v>
      </c>
      <c r="E5" s="30">
        <f t="shared" ca="1" si="4"/>
        <v>20000</v>
      </c>
      <c r="F5" s="30">
        <f t="shared" ca="1" si="4"/>
        <v>-675</v>
      </c>
      <c r="G5" s="30">
        <f t="shared" ca="1" si="4"/>
        <v>-275</v>
      </c>
      <c r="H5" s="30">
        <f t="shared" ca="1" si="4"/>
        <v>-125</v>
      </c>
      <c r="I5" s="30">
        <f t="shared" ca="1" si="4"/>
        <v>-125</v>
      </c>
      <c r="J5" s="30">
        <f t="shared" ca="1" si="4"/>
        <v>-100</v>
      </c>
      <c r="K5" s="30">
        <f t="shared" ca="1" si="4"/>
        <v>0</v>
      </c>
      <c r="L5" s="30">
        <f t="shared" ca="1" si="4"/>
        <v>0</v>
      </c>
      <c r="M5" s="30">
        <f t="shared" ca="1" si="4"/>
        <v>0</v>
      </c>
      <c r="P5" s="16" t="s">
        <v>360</v>
      </c>
      <c r="R5">
        <v>275</v>
      </c>
      <c r="AC5">
        <f t="shared" ca="1" si="1"/>
        <v>2027</v>
      </c>
    </row>
    <row r="6" spans="1:33" x14ac:dyDescent="0.25">
      <c r="P6" s="16" t="s">
        <v>387</v>
      </c>
      <c r="R6">
        <v>125</v>
      </c>
      <c r="AC6">
        <f t="shared" ca="1" si="1"/>
        <v>2028</v>
      </c>
    </row>
    <row r="7" spans="1:33" x14ac:dyDescent="0.25">
      <c r="A7" s="27" t="s">
        <v>357</v>
      </c>
      <c r="B7" s="30">
        <f ca="1">B5</f>
        <v>-50</v>
      </c>
      <c r="C7" s="29">
        <f ca="1">B$7+C5</f>
        <v>-50</v>
      </c>
      <c r="D7" s="29">
        <f t="shared" ref="D7:M7" ca="1" si="5">C$7+D5</f>
        <v>-50</v>
      </c>
      <c r="E7" s="29">
        <f t="shared" ca="1" si="5"/>
        <v>19950</v>
      </c>
      <c r="F7" s="29">
        <f t="shared" ca="1" si="5"/>
        <v>19275</v>
      </c>
      <c r="G7" s="29">
        <f t="shared" ca="1" si="5"/>
        <v>19000</v>
      </c>
      <c r="H7" s="29">
        <f t="shared" ca="1" si="5"/>
        <v>18875</v>
      </c>
      <c r="I7" s="29">
        <f t="shared" ca="1" si="5"/>
        <v>18750</v>
      </c>
      <c r="J7" s="29">
        <f t="shared" ca="1" si="5"/>
        <v>18650</v>
      </c>
      <c r="K7" s="29">
        <f t="shared" ca="1" si="5"/>
        <v>18650</v>
      </c>
      <c r="L7" s="29">
        <f t="shared" ca="1" si="5"/>
        <v>18650</v>
      </c>
      <c r="M7" s="29">
        <f t="shared" ca="1" si="5"/>
        <v>18650</v>
      </c>
      <c r="P7" s="16" t="s">
        <v>388</v>
      </c>
      <c r="R7">
        <v>125</v>
      </c>
      <c r="AC7">
        <f t="shared" ca="1" si="1"/>
        <v>2029</v>
      </c>
    </row>
    <row r="8" spans="1:33" x14ac:dyDescent="0.25">
      <c r="P8" s="16" t="s">
        <v>422</v>
      </c>
      <c r="R8">
        <v>100</v>
      </c>
      <c r="AC8">
        <f t="shared" ca="1" si="1"/>
        <v>2030</v>
      </c>
    </row>
    <row r="9" spans="1:33" x14ac:dyDescent="0.25">
      <c r="AC9">
        <f t="shared" ca="1" si="1"/>
        <v>2031</v>
      </c>
    </row>
    <row r="10" spans="1:33" x14ac:dyDescent="0.25">
      <c r="AC10">
        <f t="shared" ca="1" si="1"/>
        <v>2032</v>
      </c>
    </row>
    <row r="11" spans="1:33" x14ac:dyDescent="0.25">
      <c r="AC11">
        <f t="shared" ca="1" si="1"/>
        <v>2033</v>
      </c>
    </row>
    <row r="12" spans="1:33" x14ac:dyDescent="0.25">
      <c r="AC12">
        <f t="shared" ca="1" si="1"/>
        <v>2034</v>
      </c>
    </row>
    <row r="13" spans="1:33" x14ac:dyDescent="0.25">
      <c r="AC13">
        <f t="shared" ca="1" si="1"/>
        <v>2035</v>
      </c>
    </row>
    <row r="14" spans="1:33" x14ac:dyDescent="0.25">
      <c r="AC14">
        <f t="shared" ca="1" si="1"/>
        <v>2036</v>
      </c>
    </row>
    <row r="15" spans="1:33" x14ac:dyDescent="0.25">
      <c r="AC15">
        <f t="shared" ca="1" si="1"/>
        <v>2037</v>
      </c>
    </row>
    <row r="16" spans="1:33" x14ac:dyDescent="0.25">
      <c r="AC16">
        <f t="shared" ca="1" si="1"/>
        <v>2038</v>
      </c>
    </row>
    <row r="17" spans="29:29" x14ac:dyDescent="0.25">
      <c r="AC17">
        <f t="shared" ca="1" si="1"/>
        <v>2039</v>
      </c>
    </row>
    <row r="18" spans="29:29" x14ac:dyDescent="0.25">
      <c r="AC18">
        <f t="shared" ca="1" si="1"/>
        <v>2040</v>
      </c>
    </row>
    <row r="19" spans="29:29" x14ac:dyDescent="0.25">
      <c r="AC19">
        <f t="shared" ca="1" si="1"/>
        <v>2041</v>
      </c>
    </row>
    <row r="20" spans="29:29" x14ac:dyDescent="0.25">
      <c r="AC20">
        <f t="shared" ca="1" si="1"/>
        <v>2042</v>
      </c>
    </row>
    <row r="21" spans="29:29" x14ac:dyDescent="0.25">
      <c r="AC21">
        <f t="shared" ca="1" si="1"/>
        <v>2043</v>
      </c>
    </row>
    <row r="22" spans="29:29" x14ac:dyDescent="0.25">
      <c r="AC22">
        <f t="shared" ca="1" si="1"/>
        <v>2044</v>
      </c>
    </row>
    <row r="23" spans="29:29" x14ac:dyDescent="0.25">
      <c r="AC23">
        <f t="shared" ca="1" si="1"/>
        <v>2045</v>
      </c>
    </row>
    <row r="24" spans="29:29" x14ac:dyDescent="0.25">
      <c r="AC24">
        <f t="shared" ca="1" si="1"/>
        <v>2046</v>
      </c>
    </row>
    <row r="25" spans="29:29" x14ac:dyDescent="0.25">
      <c r="AC25">
        <f t="shared" ca="1" si="1"/>
        <v>2047</v>
      </c>
    </row>
    <row r="26" spans="29:29" x14ac:dyDescent="0.25">
      <c r="AC26">
        <f t="shared" ca="1" si="1"/>
        <v>2048</v>
      </c>
    </row>
    <row r="27" spans="29:29" x14ac:dyDescent="0.25">
      <c r="AC27">
        <f t="shared" ca="1" si="1"/>
        <v>2049</v>
      </c>
    </row>
    <row r="28" spans="29:29" x14ac:dyDescent="0.25">
      <c r="AC28">
        <f t="shared" ca="1" si="1"/>
        <v>2050</v>
      </c>
    </row>
    <row r="29" spans="29:29" x14ac:dyDescent="0.25">
      <c r="AC29">
        <f t="shared" ca="1" si="1"/>
        <v>2051</v>
      </c>
    </row>
    <row r="30" spans="29:29" x14ac:dyDescent="0.25">
      <c r="AC30">
        <f t="shared" ca="1" si="1"/>
        <v>2052</v>
      </c>
    </row>
    <row r="31" spans="29:29" x14ac:dyDescent="0.25">
      <c r="AC31">
        <f t="shared" ca="1" si="1"/>
        <v>2053</v>
      </c>
    </row>
    <row r="32" spans="29:29" x14ac:dyDescent="0.25">
      <c r="AC32">
        <f t="shared" ca="1" si="1"/>
        <v>2054</v>
      </c>
    </row>
    <row r="33" spans="29:29" x14ac:dyDescent="0.25">
      <c r="AC33">
        <f t="shared" ca="1" si="1"/>
        <v>2055</v>
      </c>
    </row>
    <row r="34" spans="29:29" x14ac:dyDescent="0.25">
      <c r="AC34">
        <f t="shared" ref="AC34:AC65" ca="1" si="6">IF($AA34&lt;&gt;"",$AA34,IF(AND($AA$2="",ROW($AA$2)=2),YEAR(TODAY())+ROW($AA34)-2,LARGE($AA$2:$AA$101,1)+ROW($AA34)-COUNTA($AA$2:$AA$101)-1))</f>
        <v>2056</v>
      </c>
    </row>
    <row r="35" spans="29:29" x14ac:dyDescent="0.25">
      <c r="AC35">
        <f t="shared" ca="1" si="6"/>
        <v>2057</v>
      </c>
    </row>
    <row r="36" spans="29:29" x14ac:dyDescent="0.25">
      <c r="AC36">
        <f t="shared" ca="1" si="6"/>
        <v>2058</v>
      </c>
    </row>
    <row r="37" spans="29:29" x14ac:dyDescent="0.25">
      <c r="AC37">
        <f t="shared" ca="1" si="6"/>
        <v>2059</v>
      </c>
    </row>
    <row r="38" spans="29:29" x14ac:dyDescent="0.25">
      <c r="AC38">
        <f t="shared" ca="1" si="6"/>
        <v>2060</v>
      </c>
    </row>
    <row r="39" spans="29:29" x14ac:dyDescent="0.25">
      <c r="AC39">
        <f t="shared" ca="1" si="6"/>
        <v>2061</v>
      </c>
    </row>
    <row r="40" spans="29:29" x14ac:dyDescent="0.25">
      <c r="AC40">
        <f t="shared" ca="1" si="6"/>
        <v>2062</v>
      </c>
    </row>
    <row r="41" spans="29:29" x14ac:dyDescent="0.25">
      <c r="AC41">
        <f t="shared" ca="1" si="6"/>
        <v>2063</v>
      </c>
    </row>
    <row r="42" spans="29:29" x14ac:dyDescent="0.25">
      <c r="AC42">
        <f t="shared" ca="1" si="6"/>
        <v>2064</v>
      </c>
    </row>
    <row r="43" spans="29:29" x14ac:dyDescent="0.25">
      <c r="AC43">
        <f t="shared" ca="1" si="6"/>
        <v>2065</v>
      </c>
    </row>
    <row r="44" spans="29:29" x14ac:dyDescent="0.25">
      <c r="AC44">
        <f t="shared" ca="1" si="6"/>
        <v>2066</v>
      </c>
    </row>
    <row r="45" spans="29:29" x14ac:dyDescent="0.25">
      <c r="AC45">
        <f t="shared" ca="1" si="6"/>
        <v>2067</v>
      </c>
    </row>
    <row r="46" spans="29:29" x14ac:dyDescent="0.25">
      <c r="AC46">
        <f t="shared" ca="1" si="6"/>
        <v>2068</v>
      </c>
    </row>
    <row r="47" spans="29:29" x14ac:dyDescent="0.25">
      <c r="AC47">
        <f t="shared" ca="1" si="6"/>
        <v>2069</v>
      </c>
    </row>
    <row r="48" spans="29:29" x14ac:dyDescent="0.25">
      <c r="AC48">
        <f t="shared" ca="1" si="6"/>
        <v>2070</v>
      </c>
    </row>
    <row r="49" spans="29:29" x14ac:dyDescent="0.25">
      <c r="AC49">
        <f t="shared" ca="1" si="6"/>
        <v>2071</v>
      </c>
    </row>
    <row r="50" spans="29:29" x14ac:dyDescent="0.25">
      <c r="AC50">
        <f t="shared" ca="1" si="6"/>
        <v>2072</v>
      </c>
    </row>
    <row r="51" spans="29:29" x14ac:dyDescent="0.25">
      <c r="AC51">
        <f t="shared" ca="1" si="6"/>
        <v>2073</v>
      </c>
    </row>
    <row r="52" spans="29:29" x14ac:dyDescent="0.25">
      <c r="AC52">
        <f t="shared" ca="1" si="6"/>
        <v>2074</v>
      </c>
    </row>
    <row r="53" spans="29:29" x14ac:dyDescent="0.25">
      <c r="AC53">
        <f t="shared" ca="1" si="6"/>
        <v>2075</v>
      </c>
    </row>
    <row r="54" spans="29:29" x14ac:dyDescent="0.25">
      <c r="AC54">
        <f t="shared" ca="1" si="6"/>
        <v>2076</v>
      </c>
    </row>
    <row r="55" spans="29:29" x14ac:dyDescent="0.25">
      <c r="AC55">
        <f t="shared" ca="1" si="6"/>
        <v>2077</v>
      </c>
    </row>
    <row r="56" spans="29:29" x14ac:dyDescent="0.25">
      <c r="AC56">
        <f t="shared" ca="1" si="6"/>
        <v>2078</v>
      </c>
    </row>
    <row r="57" spans="29:29" x14ac:dyDescent="0.25">
      <c r="AC57">
        <f t="shared" ca="1" si="6"/>
        <v>2079</v>
      </c>
    </row>
    <row r="58" spans="29:29" x14ac:dyDescent="0.25">
      <c r="AC58">
        <f t="shared" ca="1" si="6"/>
        <v>2080</v>
      </c>
    </row>
    <row r="59" spans="29:29" x14ac:dyDescent="0.25">
      <c r="AC59">
        <f t="shared" ca="1" si="6"/>
        <v>2081</v>
      </c>
    </row>
    <row r="60" spans="29:29" x14ac:dyDescent="0.25">
      <c r="AC60">
        <f t="shared" ca="1" si="6"/>
        <v>2082</v>
      </c>
    </row>
    <row r="61" spans="29:29" x14ac:dyDescent="0.25">
      <c r="AC61">
        <f t="shared" ca="1" si="6"/>
        <v>2083</v>
      </c>
    </row>
    <row r="62" spans="29:29" x14ac:dyDescent="0.25">
      <c r="AC62">
        <f t="shared" ca="1" si="6"/>
        <v>2084</v>
      </c>
    </row>
    <row r="63" spans="29:29" x14ac:dyDescent="0.25">
      <c r="AC63">
        <f t="shared" ca="1" si="6"/>
        <v>2085</v>
      </c>
    </row>
    <row r="64" spans="29:29" x14ac:dyDescent="0.25">
      <c r="AC64">
        <f t="shared" ca="1" si="6"/>
        <v>2086</v>
      </c>
    </row>
    <row r="65" spans="29:29" x14ac:dyDescent="0.25">
      <c r="AC65">
        <f t="shared" ca="1" si="6"/>
        <v>2087</v>
      </c>
    </row>
    <row r="66" spans="29:29" x14ac:dyDescent="0.25">
      <c r="AC66">
        <f t="shared" ref="AC66:AC101" ca="1" si="7">IF($AA66&lt;&gt;"",$AA66,IF(AND($AA$2="",ROW($AA$2)=2),YEAR(TODAY())+ROW($AA66)-2,LARGE($AA$2:$AA$101,1)+ROW($AA66)-COUNTA($AA$2:$AA$101)-1))</f>
        <v>2088</v>
      </c>
    </row>
    <row r="67" spans="29:29" x14ac:dyDescent="0.25">
      <c r="AC67">
        <f t="shared" ca="1" si="7"/>
        <v>2089</v>
      </c>
    </row>
    <row r="68" spans="29:29" x14ac:dyDescent="0.25">
      <c r="AC68">
        <f t="shared" ca="1" si="7"/>
        <v>2090</v>
      </c>
    </row>
    <row r="69" spans="29:29" x14ac:dyDescent="0.25">
      <c r="AC69">
        <f t="shared" ca="1" si="7"/>
        <v>2091</v>
      </c>
    </row>
    <row r="70" spans="29:29" x14ac:dyDescent="0.25">
      <c r="AC70">
        <f t="shared" ca="1" si="7"/>
        <v>2092</v>
      </c>
    </row>
    <row r="71" spans="29:29" x14ac:dyDescent="0.25">
      <c r="AC71">
        <f t="shared" ca="1" si="7"/>
        <v>2093</v>
      </c>
    </row>
    <row r="72" spans="29:29" x14ac:dyDescent="0.25">
      <c r="AC72">
        <f t="shared" ca="1" si="7"/>
        <v>2094</v>
      </c>
    </row>
    <row r="73" spans="29:29" x14ac:dyDescent="0.25">
      <c r="AC73">
        <f t="shared" ca="1" si="7"/>
        <v>2095</v>
      </c>
    </row>
    <row r="74" spans="29:29" x14ac:dyDescent="0.25">
      <c r="AC74">
        <f t="shared" ca="1" si="7"/>
        <v>2096</v>
      </c>
    </row>
    <row r="75" spans="29:29" x14ac:dyDescent="0.25">
      <c r="AC75">
        <f t="shared" ca="1" si="7"/>
        <v>2097</v>
      </c>
    </row>
    <row r="76" spans="29:29" x14ac:dyDescent="0.25">
      <c r="AC76">
        <f t="shared" ca="1" si="7"/>
        <v>2098</v>
      </c>
    </row>
    <row r="77" spans="29:29" x14ac:dyDescent="0.25">
      <c r="AC77">
        <f t="shared" ca="1" si="7"/>
        <v>2099</v>
      </c>
    </row>
    <row r="78" spans="29:29" x14ac:dyDescent="0.25">
      <c r="AC78">
        <f t="shared" ca="1" si="7"/>
        <v>2100</v>
      </c>
    </row>
    <row r="79" spans="29:29" x14ac:dyDescent="0.25">
      <c r="AC79">
        <f t="shared" ca="1" si="7"/>
        <v>2101</v>
      </c>
    </row>
    <row r="80" spans="29:29" x14ac:dyDescent="0.25">
      <c r="AC80">
        <f t="shared" ca="1" si="7"/>
        <v>2102</v>
      </c>
    </row>
    <row r="81" spans="29:29" x14ac:dyDescent="0.25">
      <c r="AC81">
        <f t="shared" ca="1" si="7"/>
        <v>2103</v>
      </c>
    </row>
    <row r="82" spans="29:29" x14ac:dyDescent="0.25">
      <c r="AC82">
        <f t="shared" ca="1" si="7"/>
        <v>2104</v>
      </c>
    </row>
    <row r="83" spans="29:29" x14ac:dyDescent="0.25">
      <c r="AC83">
        <f t="shared" ca="1" si="7"/>
        <v>2105</v>
      </c>
    </row>
    <row r="84" spans="29:29" x14ac:dyDescent="0.25">
      <c r="AC84">
        <f t="shared" ca="1" si="7"/>
        <v>2106</v>
      </c>
    </row>
    <row r="85" spans="29:29" x14ac:dyDescent="0.25">
      <c r="AC85">
        <f t="shared" ca="1" si="7"/>
        <v>2107</v>
      </c>
    </row>
    <row r="86" spans="29:29" x14ac:dyDescent="0.25">
      <c r="AC86">
        <f t="shared" ca="1" si="7"/>
        <v>2108</v>
      </c>
    </row>
    <row r="87" spans="29:29" x14ac:dyDescent="0.25">
      <c r="AC87">
        <f t="shared" ca="1" si="7"/>
        <v>2109</v>
      </c>
    </row>
    <row r="88" spans="29:29" x14ac:dyDescent="0.25">
      <c r="AC88">
        <f t="shared" ca="1" si="7"/>
        <v>2110</v>
      </c>
    </row>
    <row r="89" spans="29:29" x14ac:dyDescent="0.25">
      <c r="AC89">
        <f t="shared" ca="1" si="7"/>
        <v>2111</v>
      </c>
    </row>
    <row r="90" spans="29:29" x14ac:dyDescent="0.25">
      <c r="AC90">
        <f t="shared" ca="1" si="7"/>
        <v>2112</v>
      </c>
    </row>
    <row r="91" spans="29:29" x14ac:dyDescent="0.25">
      <c r="AC91">
        <f t="shared" ca="1" si="7"/>
        <v>2113</v>
      </c>
    </row>
    <row r="92" spans="29:29" x14ac:dyDescent="0.25">
      <c r="AC92">
        <f t="shared" ca="1" si="7"/>
        <v>2114</v>
      </c>
    </row>
    <row r="93" spans="29:29" x14ac:dyDescent="0.25">
      <c r="AC93">
        <f t="shared" ca="1" si="7"/>
        <v>2115</v>
      </c>
    </row>
    <row r="94" spans="29:29" x14ac:dyDescent="0.25">
      <c r="AC94">
        <f t="shared" ca="1" si="7"/>
        <v>2116</v>
      </c>
    </row>
    <row r="95" spans="29:29" x14ac:dyDescent="0.25">
      <c r="AC95">
        <f t="shared" ca="1" si="7"/>
        <v>2117</v>
      </c>
    </row>
    <row r="96" spans="29:29" x14ac:dyDescent="0.25">
      <c r="AC96">
        <f t="shared" ca="1" si="7"/>
        <v>2118</v>
      </c>
    </row>
    <row r="97" spans="29:29" x14ac:dyDescent="0.25">
      <c r="AC97">
        <f t="shared" ca="1" si="7"/>
        <v>2119</v>
      </c>
    </row>
    <row r="98" spans="29:29" x14ac:dyDescent="0.25">
      <c r="AC98">
        <f t="shared" ca="1" si="7"/>
        <v>2120</v>
      </c>
    </row>
    <row r="99" spans="29:29" x14ac:dyDescent="0.25">
      <c r="AC99">
        <f t="shared" ca="1" si="7"/>
        <v>2121</v>
      </c>
    </row>
    <row r="100" spans="29:29" x14ac:dyDescent="0.25">
      <c r="AC100">
        <f t="shared" ca="1" si="7"/>
        <v>2122</v>
      </c>
    </row>
    <row r="101" spans="29:29" x14ac:dyDescent="0.25">
      <c r="AC101">
        <f t="shared" ca="1" si="7"/>
        <v>2123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2592-C695-4C56-9517-7EFB19F2B94D}">
  <sheetPr codeName="Planilha26"/>
  <dimension ref="A1:BD13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21.33203125" bestFit="1" customWidth="1"/>
    <col min="5" max="5" width="11" bestFit="1" customWidth="1"/>
    <col min="7" max="7" width="19.6640625" bestFit="1" customWidth="1"/>
    <col min="8" max="8" width="21.33203125" bestFit="1" customWidth="1"/>
    <col min="10" max="10" width="6.33203125" bestFit="1" customWidth="1"/>
    <col min="11" max="11" width="16.6640625" bestFit="1" customWidth="1"/>
    <col min="12" max="12" width="9.44140625" bestFit="1" customWidth="1"/>
    <col min="14" max="14" width="11.44140625" bestFit="1" customWidth="1"/>
    <col min="15" max="15" width="10.109375" customWidth="1"/>
    <col min="17" max="17" width="22.77734375" bestFit="1" customWidth="1"/>
    <col min="18" max="18" width="21.33203125" bestFit="1" customWidth="1"/>
    <col min="20" max="20" width="6.33203125" bestFit="1" customWidth="1"/>
    <col min="21" max="21" width="20.44140625" bestFit="1" customWidth="1"/>
    <col min="22" max="22" width="9.44140625" bestFit="1" customWidth="1"/>
    <col min="24" max="24" width="11.44140625" bestFit="1" customWidth="1"/>
    <col min="25" max="25" width="10.109375" customWidth="1"/>
    <col min="27" max="27" width="11.6640625" bestFit="1" customWidth="1"/>
    <col min="28" max="28" width="21.33203125" bestFit="1" customWidth="1"/>
    <col min="30" max="30" width="11.6640625" bestFit="1" customWidth="1"/>
    <col min="31" max="31" width="11" bestFit="1" customWidth="1"/>
    <col min="34" max="34" width="22.77734375" bestFit="1" customWidth="1"/>
    <col min="36" max="36" width="15.5546875" bestFit="1" customWidth="1"/>
    <col min="37" max="37" width="11" bestFit="1" customWidth="1"/>
    <col min="40" max="40" width="11.6640625" bestFit="1" customWidth="1"/>
    <col min="41" max="41" width="16.44140625" bestFit="1" customWidth="1"/>
    <col min="44" max="44" width="18.33203125" bestFit="1" customWidth="1"/>
  </cols>
  <sheetData>
    <row r="1" spans="1:56" x14ac:dyDescent="0.25">
      <c r="A1" s="28" t="s">
        <v>1</v>
      </c>
      <c r="B1" t="s">
        <v>366</v>
      </c>
      <c r="D1" s="7" t="s">
        <v>1</v>
      </c>
      <c r="E1" s="7" t="s">
        <v>5</v>
      </c>
      <c r="G1" s="28" t="s">
        <v>4</v>
      </c>
      <c r="H1" t="s">
        <v>366</v>
      </c>
      <c r="J1" s="7" t="s">
        <v>16</v>
      </c>
      <c r="K1" s="7" t="s">
        <v>215</v>
      </c>
      <c r="L1" s="7" t="s">
        <v>5</v>
      </c>
      <c r="N1" s="27" t="s">
        <v>364</v>
      </c>
      <c r="O1" s="27" t="s">
        <v>365</v>
      </c>
      <c r="Q1" s="28" t="s">
        <v>216</v>
      </c>
      <c r="R1" t="s">
        <v>366</v>
      </c>
      <c r="T1" s="7" t="s">
        <v>16</v>
      </c>
      <c r="U1" s="7" t="s">
        <v>216</v>
      </c>
      <c r="V1" s="7" t="s">
        <v>5</v>
      </c>
      <c r="X1" s="27" t="s">
        <v>364</v>
      </c>
      <c r="Y1" s="27" t="s">
        <v>365</v>
      </c>
      <c r="AA1" s="31" t="s">
        <v>11</v>
      </c>
      <c r="AB1" t="s">
        <v>366</v>
      </c>
      <c r="AD1" s="7" t="s">
        <v>11</v>
      </c>
      <c r="AE1" s="7" t="s">
        <v>5</v>
      </c>
      <c r="AN1" s="28" t="s">
        <v>11</v>
      </c>
      <c r="AO1" t="s">
        <v>367</v>
      </c>
      <c r="AR1" t="str" cm="1">
        <f t="array" aca="1" ref="AR1" ca="1">IF($K$2&lt;&gt;"",OFFSET(dadosDashDespesas!$K$2,,,COUNTIF(dadosDashDespesas!$K$2:$K$7,"&lt;&gt;")-SUM((_xlfn.ISFORMULA(OFFSET(dadosDashDespesas!$K$2,,,COUNTA(dadosDashDespesas!$K$2:$K$7))))*(NOT(OFFSET(dadosDashDespesas!$K$2,,,COUNTA(dadosDashDespesas!$K$2:$K$7))&lt;&gt;"")))),"")</f>
        <v>Alimentação</v>
      </c>
      <c r="AW1" t="s">
        <v>369</v>
      </c>
      <c r="BD1" t="str" cm="1">
        <f t="array" aca="1" ref="BD1:BD2" ca="1">IF($U$2&lt;&gt;"", OFFSET(dadosDashDespesas!$U$2,,,COUNTIF(dadosDashDespesas!$U$2:$U$8,"&lt;&gt;")-SUM((_xlfn.ISFORMULA(OFFSET(dadosDashDespesas!$U$2,,,COUNTA(dadosDashDespesas!$U$2:$U$8))))*(NOT(OFFSET(dadosDashDespesas!$U$2,,,COUNTA(dadosDashDespesas!$U$2:$U$8))&lt;&gt;"")))),"")</f>
        <v>Cartão</v>
      </c>
    </row>
    <row r="2" spans="1:56" x14ac:dyDescent="0.25">
      <c r="A2" s="16" t="s">
        <v>361</v>
      </c>
      <c r="B2">
        <v>675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0</v>
      </c>
      <c r="G2" s="16" t="s">
        <v>362</v>
      </c>
      <c r="H2">
        <v>1050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Alimentação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250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362</v>
      </c>
      <c r="R2">
        <v>350</v>
      </c>
      <c r="T2">
        <v>1</v>
      </c>
      <c r="U2" t="str" cm="1">
        <f t="array" ref="U2">IF(AND(T2&lt;&gt;"",T2&gt;0), IFERROR(INDEX(_xlfn._xlws.FILTER($Q$2:$Q$30, (($Q$2:$Q$30)&lt;&gt;"")*(($Q$2:$Q$30)&lt;&gt;"(vazio)")),T2),""), "")</f>
        <v>Cartão</v>
      </c>
      <c r="V2" s="30" cm="1">
        <f t="array" aca="1" ref="V2:V3" ca="1">IFERROR(VLOOKUP(OFFSET($U$2,,,COUNTIF($U$2:$U$8,"&lt;&gt;")-SUM((_xlfn.ISFORMULA(OFFSET($U$2,,,COUNTA($U$2:$U$8))))*(NOT(OFFSET($U$2,,,COUNTA($U$2:$U$8))&lt;&gt;"")))),$Q$2:$R$30,2,FALSE),"")</f>
        <v>800</v>
      </c>
      <c r="X2" s="1" cm="1">
        <f t="array" aca="1" ref="X2" ca="1">COUNTIF($U$2:$U$8,"&lt;&gt;")-SUM((_xlfn.ISFORMULA(OFFSET($U$2,,,COUNTA($U$2:$U$8))))*(NOT(OFFSET($U$2,,,COUNTA($U$2:$U$8))&lt;&gt;"")))</f>
        <v>2</v>
      </c>
      <c r="Y2" s="1" cm="1">
        <f t="array" ref="Y2">COUNTA(_xlfn._xlws.FILTER($Q$2:$Q$30, (($Q$2:$Q$30)&lt;&gt;"")*(($Q$2:$Q$30)&lt;&gt;"(vazio)")))</f>
        <v>2</v>
      </c>
      <c r="AA2" s="16" t="s">
        <v>18</v>
      </c>
      <c r="AB2">
        <v>400</v>
      </c>
      <c r="AD2" t="str" cm="1">
        <f t="array" ref="AD2:AD3">IFERROR(_xlfn._xlws.FILTER($AA$2:$AA$7,(AA2:AA7&lt;&gt;"")*(AA2:AA7&lt;&gt;"(vazio)")),"")</f>
        <v>EM DÍVIDA</v>
      </c>
      <c r="AE2" s="30" cm="1">
        <f t="array" ref="AE2:AE3">IFERROR(IF($AD$2&lt;&gt;"",VLOOKUP(_xlfn._xlws.FILTER($AA$2:$AA$7,(AA2:AA7&lt;&gt;"")*(AA2:AA7&lt;&gt;"(vazio)")),$AA$2:$AB$7,2,FALSE), ""), "")</f>
        <v>400</v>
      </c>
      <c r="AH2" t="str" cm="1">
        <f t="array" aca="1" ref="AH2:AH3" ca="1">IFERROR(OFFSET($AD$2:$AD$5,,,COUNTA($AD$2:$AD$5)) &amp; ": " &amp; TEXT(VLOOKUP(_xlfn._xlws.FILTER($AA$2:$AA$7,(AA2:AA7&lt;&gt;"")*(AA2:AA7&lt;&gt;"(vazio)")),$AA$2:$AB$7,2,FALSE), "R$ ##.#00,00"), "")</f>
        <v>EM DÍVIDA: R$ 400,00</v>
      </c>
      <c r="AJ2" t="s">
        <v>327</v>
      </c>
      <c r="AK2" s="30">
        <f>IFERROR(SUM($E$2:$E$13), "—")</f>
        <v>1300</v>
      </c>
      <c r="AN2" s="16" t="s">
        <v>18</v>
      </c>
      <c r="AO2">
        <v>3</v>
      </c>
      <c r="AW2" s="32" t="s">
        <v>370</v>
      </c>
      <c r="BD2" t="str">
        <f ca="1"/>
        <v>Crédito</v>
      </c>
    </row>
    <row r="3" spans="1:56" x14ac:dyDescent="0.25">
      <c r="A3" s="16" t="s">
        <v>360</v>
      </c>
      <c r="B3">
        <v>275</v>
      </c>
      <c r="D3" t="str">
        <v>fev</v>
      </c>
      <c r="E3" s="30">
        <v>0</v>
      </c>
      <c r="G3" s="16" t="s">
        <v>23</v>
      </c>
      <c r="H3">
        <v>250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L3" s="30"/>
      <c r="Q3" s="16" t="s">
        <v>347</v>
      </c>
      <c r="R3">
        <v>800</v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IFERROR(INDEX(_xlfn._xlws.FILTER($Q$2:$Q$30, (($Q$2:$Q$30)&lt;&gt;"")*(($Q$2:$Q$30)&lt;&gt;"(vazio)")),T3),""), "")</f>
        <v>Crédito</v>
      </c>
      <c r="V3" s="30">
        <f ca="1"/>
        <v>150</v>
      </c>
      <c r="AA3" s="16" t="s">
        <v>19</v>
      </c>
      <c r="AB3">
        <v>900</v>
      </c>
      <c r="AD3" t="str">
        <v>PAGO</v>
      </c>
      <c r="AE3" s="30">
        <v>900</v>
      </c>
      <c r="AH3" t="str">
        <f ca="1"/>
        <v>PAGO: R$ 900,00</v>
      </c>
      <c r="AJ3" t="s">
        <v>344</v>
      </c>
      <c r="AK3" s="30">
        <f>IFERROR(SUMIF($AA$2:$AA$6,Listas!$F$2,$AB$2:$AB$6)+SUMIF($AA$2:$AA$6,Listas!$F$4,$AB$2:$AB$6), "—")</f>
        <v>400</v>
      </c>
      <c r="AN3" s="16" t="s">
        <v>19</v>
      </c>
      <c r="AO3">
        <v>6</v>
      </c>
    </row>
    <row r="4" spans="1:56" x14ac:dyDescent="0.25">
      <c r="A4" s="16" t="s">
        <v>387</v>
      </c>
      <c r="B4">
        <v>125</v>
      </c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L4" s="30"/>
      <c r="Q4" s="16" t="s">
        <v>218</v>
      </c>
      <c r="R4">
        <v>150</v>
      </c>
      <c r="T4">
        <v>3</v>
      </c>
      <c r="U4" t="str" cm="1">
        <f t="array" ref="U4">IF(AND(T4&lt;&gt;"",T4&gt;0), IFERROR(INDEX(_xlfn._xlws.FILTER($Q$2:$Q$30, (($Q$2:$Q$30)&lt;&gt;"")*(($Q$2:$Q$30)&lt;&gt;"(vazio)")),T4),""), "")</f>
        <v/>
      </c>
      <c r="V4" s="30"/>
      <c r="AE4" s="30"/>
      <c r="AJ4" t="s">
        <v>329</v>
      </c>
      <c r="AK4">
        <f>IFERROR(SUMIF($AN$2:$AN$8,Listas!$F$2,$AO$2:$AO$8), "—")</f>
        <v>0</v>
      </c>
    </row>
    <row r="5" spans="1:56" x14ac:dyDescent="0.25">
      <c r="A5" s="16" t="s">
        <v>388</v>
      </c>
      <c r="B5">
        <v>125</v>
      </c>
      <c r="D5" t="str">
        <v>abr</v>
      </c>
      <c r="E5" s="30">
        <v>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L5" s="30"/>
      <c r="T5">
        <v>4</v>
      </c>
      <c r="U5" t="str" cm="1">
        <f t="array" ref="U5">IF(AND(T5&lt;&gt;"",T5&gt;0), IFERROR(INDEX(_xlfn._xlws.FILTER($Q$2:$Q$30, (($Q$2:$Q$30)&lt;&gt;"")*(($Q$2:$Q$30)&lt;&gt;"(vazio)")),T5),""), "")</f>
        <v/>
      </c>
      <c r="V5" s="30"/>
      <c r="AE5" s="30"/>
      <c r="AJ5" t="s">
        <v>330</v>
      </c>
      <c r="AK5">
        <f>IFERROR(SUMIF($AN$2:$AN$8,Listas!$F$5,$AO$2:$AO$8), "—")</f>
        <v>6</v>
      </c>
    </row>
    <row r="6" spans="1:56" x14ac:dyDescent="0.25">
      <c r="A6" s="16" t="s">
        <v>422</v>
      </c>
      <c r="B6">
        <v>100</v>
      </c>
      <c r="D6" t="str">
        <v>mai</v>
      </c>
      <c r="E6" s="30">
        <v>675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L6" s="30"/>
      <c r="T6">
        <v>5</v>
      </c>
      <c r="U6" t="str" cm="1">
        <f t="array" ref="U6">IF(AND(T6&lt;&gt;"",T6&gt;0), IFERROR(INDEX(_xlfn._xlws.FILTER($Q$2:$Q$30, (($Q$2:$Q$30)&lt;&gt;"")*(($Q$2:$Q$30)&lt;&gt;"(vazio)")),T6),""), "")</f>
        <v/>
      </c>
      <c r="V6" s="30"/>
      <c r="AE6" s="30"/>
      <c r="AJ6" t="s">
        <v>331</v>
      </c>
      <c r="AK6">
        <f>IFERROR(SUMIF($AN$2:$AN$8,Listas!$F$3,$AO$2:$AO$8), "—")</f>
        <v>0</v>
      </c>
    </row>
    <row r="7" spans="1:56" x14ac:dyDescent="0.25">
      <c r="D7" t="str">
        <v>jun</v>
      </c>
      <c r="E7" s="30">
        <v>275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L7" s="30"/>
      <c r="T7">
        <v>6</v>
      </c>
      <c r="U7" t="str" cm="1">
        <f t="array" ref="U7">IF(AND(T7&lt;&gt;"",T7&gt;0), IFERROR(INDEX(_xlfn._xlws.FILTER($Q$2:$Q$30, (($Q$2:$Q$30)&lt;&gt;"")*(($Q$2:$Q$30)&lt;&gt;"(vazio)")),T7),""), "")</f>
        <v/>
      </c>
      <c r="V7" s="30"/>
      <c r="AE7" s="30"/>
      <c r="AJ7" t="s">
        <v>332</v>
      </c>
      <c r="AK7">
        <f>IFERROR(SUMIF($AN$2:$AN$8,Listas!$F$4,$AO$2:$AO$8), "—")</f>
        <v>3</v>
      </c>
    </row>
    <row r="8" spans="1:56" x14ac:dyDescent="0.25">
      <c r="D8" t="str">
        <v>jul</v>
      </c>
      <c r="E8" s="30">
        <v>125</v>
      </c>
      <c r="T8">
        <v>7</v>
      </c>
      <c r="U8" t="str" cm="1">
        <f t="array" ref="U8">IF(AND(T8&lt;&gt;"",T8&gt;0), IFERROR(INDEX(_xlfn._xlws.FILTER($Q$2:$Q$30, (($Q$2:$Q$30)&lt;&gt;"")*(($Q$2:$Q$30)&lt;&gt;"(vazio)")),T8),""), "")</f>
        <v/>
      </c>
      <c r="V8" s="30"/>
      <c r="AE8" s="30"/>
    </row>
    <row r="9" spans="1:56" x14ac:dyDescent="0.25">
      <c r="D9" t="str">
        <v>ago</v>
      </c>
      <c r="E9" s="30">
        <v>125</v>
      </c>
      <c r="AE9" s="30"/>
    </row>
    <row r="10" spans="1:56" x14ac:dyDescent="0.25">
      <c r="D10" t="str">
        <v>set</v>
      </c>
      <c r="E10" s="30">
        <v>100</v>
      </c>
      <c r="AE10" s="30"/>
    </row>
    <row r="11" spans="1:56" x14ac:dyDescent="0.25">
      <c r="D11" t="str">
        <v>out</v>
      </c>
      <c r="E11" s="30">
        <v>0</v>
      </c>
    </row>
    <row r="12" spans="1:56" x14ac:dyDescent="0.25">
      <c r="D12" t="str">
        <v>nov</v>
      </c>
      <c r="E12" s="30">
        <v>0</v>
      </c>
    </row>
    <row r="13" spans="1:56" x14ac:dyDescent="0.25">
      <c r="D13" t="str">
        <v>dez</v>
      </c>
      <c r="E13" s="3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D6497-5EFC-47CF-A060-4F2739A9D2E2}">
  <sheetPr codeName="Planilha27"/>
  <dimension ref="A1:AS16"/>
  <sheetViews>
    <sheetView topLeftCell="C1"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14" bestFit="1" customWidth="1"/>
    <col min="5" max="5" width="12" bestFit="1" customWidth="1"/>
    <col min="7" max="7" width="20.109375" bestFit="1" customWidth="1"/>
    <col min="8" max="8" width="14" bestFit="1" customWidth="1"/>
    <col min="10" max="10" width="6.33203125" bestFit="1" customWidth="1"/>
    <col min="11" max="11" width="20.109375" bestFit="1" customWidth="1"/>
    <col min="12" max="12" width="12" bestFit="1" customWidth="1"/>
    <col min="14" max="14" width="11.44140625" bestFit="1" customWidth="1"/>
    <col min="15" max="15" width="10.109375" customWidth="1"/>
    <col min="17" max="17" width="19.88671875" bestFit="1" customWidth="1"/>
    <col min="18" max="18" width="14" bestFit="1" customWidth="1"/>
    <col min="20" max="20" width="6.33203125" bestFit="1" customWidth="1"/>
    <col min="21" max="21" width="20.44140625" bestFit="1" customWidth="1"/>
    <col min="22" max="22" width="12" bestFit="1" customWidth="1"/>
    <col min="24" max="24" width="11.44140625" bestFit="1" customWidth="1"/>
    <col min="25" max="25" width="10.109375" customWidth="1"/>
    <col min="27" max="27" width="10" bestFit="1" customWidth="1"/>
    <col min="28" max="28" width="14" bestFit="1" customWidth="1"/>
    <col min="30" max="30" width="6.33203125" bestFit="1" customWidth="1"/>
    <col min="31" max="31" width="20.44140625" bestFit="1" customWidth="1"/>
    <col min="32" max="32" width="12" bestFit="1" customWidth="1"/>
    <col min="34" max="34" width="11.44140625" bestFit="1" customWidth="1"/>
    <col min="35" max="35" width="10.109375" customWidth="1"/>
    <col min="37" max="37" width="15.5546875" bestFit="1" customWidth="1"/>
    <col min="38" max="38" width="12" bestFit="1" customWidth="1"/>
    <col min="40" max="40" width="18.33203125" bestFit="1" customWidth="1"/>
    <col min="41" max="41" width="35.6640625" bestFit="1" customWidth="1"/>
  </cols>
  <sheetData>
    <row r="1" spans="1:45" x14ac:dyDescent="0.25">
      <c r="A1" s="28" t="s">
        <v>1</v>
      </c>
      <c r="B1" t="s">
        <v>372</v>
      </c>
      <c r="D1" s="7" t="s">
        <v>1</v>
      </c>
      <c r="E1" s="7" t="s">
        <v>5</v>
      </c>
      <c r="G1" s="28" t="s">
        <v>314</v>
      </c>
      <c r="H1" t="s">
        <v>372</v>
      </c>
      <c r="J1" s="7" t="s">
        <v>16</v>
      </c>
      <c r="K1" s="7" t="s">
        <v>215</v>
      </c>
      <c r="L1" s="7" t="s">
        <v>5</v>
      </c>
      <c r="N1" s="27" t="s">
        <v>364</v>
      </c>
      <c r="O1" s="27" t="s">
        <v>365</v>
      </c>
      <c r="Q1" s="28" t="s">
        <v>373</v>
      </c>
      <c r="R1" t="s">
        <v>372</v>
      </c>
      <c r="T1" s="7" t="s">
        <v>16</v>
      </c>
      <c r="U1" s="7" t="s">
        <v>373</v>
      </c>
      <c r="V1" s="7" t="s">
        <v>5</v>
      </c>
      <c r="X1" s="27" t="s">
        <v>364</v>
      </c>
      <c r="Y1" s="27" t="s">
        <v>365</v>
      </c>
      <c r="AA1" s="28" t="s">
        <v>312</v>
      </c>
      <c r="AB1" t="s">
        <v>372</v>
      </c>
      <c r="AD1" s="7" t="s">
        <v>16</v>
      </c>
      <c r="AE1" s="7" t="s">
        <v>312</v>
      </c>
      <c r="AF1" s="7" t="s">
        <v>5</v>
      </c>
      <c r="AH1" s="27" t="s">
        <v>364</v>
      </c>
      <c r="AI1" s="27" t="s">
        <v>365</v>
      </c>
      <c r="AN1" s="28" t="s">
        <v>371</v>
      </c>
      <c r="AO1" t="s">
        <v>376</v>
      </c>
    </row>
    <row r="2" spans="1:45" x14ac:dyDescent="0.25">
      <c r="A2" s="16" t="s">
        <v>358</v>
      </c>
      <c r="B2">
        <v>20000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0</v>
      </c>
      <c r="G2" s="16" t="s">
        <v>279</v>
      </c>
      <c r="H2">
        <v>20000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Receitas Convencionais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20000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237</v>
      </c>
      <c r="R2">
        <v>20000</v>
      </c>
      <c r="T2">
        <v>1</v>
      </c>
      <c r="U2" t="str" cm="1">
        <f t="array" ref="U2">IF(AND(T2&lt;&gt;"",T2&gt;0), IFERROR(INDEX(_xlfn._xlws.FILTER($Q$2:$Q$120, (($Q$2:$Q$120)&lt;&gt;"")*(($Q$2:$Q$120)&lt;&gt;"(vazio)")),T2),""), "")</f>
        <v>Bradesco</v>
      </c>
      <c r="V2" s="30" cm="1">
        <f t="array" aca="1" ref="V2" ca="1">IFERROR(VLOOKUP(OFFSET($U$2,,,COUNTIF($U$2:$U$8,"&lt;&gt;")-SUM((_xlfn.ISFORMULA(OFFSET($U$2,,,COUNTA($U$2:$U$8))))*(NOT(OFFSET($U$2,,,COUNTA($U$2:$U$8))&lt;&gt;"")))),$Q$2:$R$120,2,FALSE),"")</f>
        <v>20000</v>
      </c>
      <c r="X2" s="1" cm="1">
        <f t="array" aca="1" ref="X2" ca="1">COUNTIF($U$2:$U$8,"&lt;&gt;")-SUM((_xlfn.ISFORMULA(OFFSET($U$2,,,COUNTA($U$2:$U$8))))*(NOT(OFFSET($U$2,,,COUNTA($U$2:$U$8))&lt;&gt;"")))</f>
        <v>1</v>
      </c>
      <c r="Y2" s="1" cm="1">
        <f t="array" ref="Y2">COUNTA(_xlfn._xlws.FILTER($Q$2:$Q$120, (($Q$2:$Q$120)&lt;&gt;"")*(($Q$2:$Q$120)&lt;&gt;"(vazio)")))</f>
        <v>1</v>
      </c>
      <c r="AA2" s="16" t="s">
        <v>281</v>
      </c>
      <c r="AB2">
        <v>20000</v>
      </c>
      <c r="AD2">
        <v>1</v>
      </c>
      <c r="AE2" t="str" cm="1">
        <f t="array" ref="AE2">IF(AND(AD2&lt;&gt;"",AD2&gt;0), IFERROR(INDEX(_xlfn._xlws.FILTER($AA$2:$AA$30000, (($AA$2:$AA$30000)&lt;&gt;"")*(($AA$2:$AA$30000)&lt;&gt;"(vazio)")),AD2),""), "")</f>
        <v>Salário</v>
      </c>
      <c r="AF2" s="30" cm="1">
        <f t="array" aca="1" ref="AF2" ca="1">IFERROR(VLOOKUP(OFFSET($AE$2,,,COUNTIF($AE$2:$AE$8,"&lt;&gt;")-SUM((_xlfn.ISFORMULA(OFFSET($AE$2,,,COUNTA($AE$2:$AE$8))))*(NOT(OFFSET($AE$2,,,COUNTA($AE$2:$AE$8))&lt;&gt;"")))),$AA$2:$AB$30000,2,FALSE),"")</f>
        <v>20000</v>
      </c>
      <c r="AH2" s="1" cm="1">
        <f t="array" aca="1" ref="AH2" ca="1">COUNTIF($AE$2:$AE$8,"&lt;&gt;")-SUM((_xlfn.ISFORMULA(OFFSET($AE$2,,,COUNTA($AE$2:$AE$8))))*(NOT(OFFSET($AE$2,,,COUNTA($AE$2:$AE$8))&lt;&gt;"")))</f>
        <v>1</v>
      </c>
      <c r="AI2" s="1" cm="1">
        <f t="array" ref="AI2">COUNTA(_xlfn._xlws.FILTER($Q$2:$Q$30000, (($Q$2:$Q$30000)&lt;&gt;"")*(($Q$2:$Q$30000)&lt;&gt;"(vazio)")))</f>
        <v>1</v>
      </c>
      <c r="AK2" t="s">
        <v>333</v>
      </c>
      <c r="AL2" s="30">
        <f>IFERROR(SUM($E$2:$E$13), "—")</f>
        <v>20000</v>
      </c>
      <c r="AN2" s="16" t="s">
        <v>358</v>
      </c>
      <c r="AO2">
        <v>1</v>
      </c>
      <c r="AS2" s="32"/>
    </row>
    <row r="3" spans="1:45" x14ac:dyDescent="0.25">
      <c r="D3" t="str">
        <v>fev</v>
      </c>
      <c r="E3" s="30">
        <v>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IFERROR(INDEX(_xlfn._xlws.FILTER($Q$2:$Q$120, (($Q$2:$Q$120)&lt;&gt;"")*(($Q$2:$Q$120)&lt;&gt;"(vazio)")),T3),""), "")</f>
        <v/>
      </c>
      <c r="V3" s="30"/>
      <c r="AD3" cm="1">
        <f t="array" ref="AD3:AD8">IF(AND($AD$2&gt;0,$AD$2&lt;&gt;""),_xlfn.SEQUENCE(6)+AD2,"")</f>
        <v>2</v>
      </c>
      <c r="AE3" t="str" cm="1">
        <f t="array" ref="AE3">IF(AND(AD3&lt;&gt;"",AD3&gt;0), IFERROR(INDEX(_xlfn._xlws.FILTER($Q$2:$Q$30000, (($Q$2:$Q$30000)&lt;&gt;"")*(($Q$2:$Q$30000)&lt;&gt;"(vazio)")),AD3),""), "")</f>
        <v/>
      </c>
      <c r="AF3" s="30"/>
      <c r="AK3" t="s">
        <v>334</v>
      </c>
      <c r="AL3">
        <f>IFERROR(SUM($AO$2:$AO$15), "—")</f>
        <v>2</v>
      </c>
      <c r="AN3" s="16" t="s">
        <v>423</v>
      </c>
      <c r="AO3">
        <v>1</v>
      </c>
    </row>
    <row r="4" spans="1:45" x14ac:dyDescent="0.25"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T4">
        <v>3</v>
      </c>
      <c r="U4" t="str" cm="1">
        <f t="array" ref="U4">IF(AND(T4&lt;&gt;"",T4&gt;0), IFERROR(INDEX(_xlfn._xlws.FILTER($Q$2:$Q$120, (($Q$2:$Q$120)&lt;&gt;"")*(($Q$2:$Q$120)&lt;&gt;"(vazio)")),T4),""), "")</f>
        <v/>
      </c>
      <c r="AD4">
        <v>3</v>
      </c>
      <c r="AE4" t="str" cm="1">
        <f t="array" ref="AE4">IF(AND(AD4&lt;&gt;"",AD4&gt;0), IFERROR(INDEX(_xlfn._xlws.FILTER($Q$2:$Q$30000, (($Q$2:$Q$30000)&lt;&gt;"")*(($Q$2:$Q$30000)&lt;&gt;"(vazio)")),AD4),""), "")</f>
        <v/>
      </c>
    </row>
    <row r="5" spans="1:45" x14ac:dyDescent="0.25">
      <c r="D5" t="str">
        <v>abr</v>
      </c>
      <c r="E5" s="30">
        <v>20000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T5">
        <v>4</v>
      </c>
      <c r="U5" t="str" cm="1">
        <f t="array" ref="U5">IF(AND(T5&lt;&gt;"",T5&gt;0), IFERROR(INDEX(_xlfn._xlws.FILTER($Q$2:$Q$120, (($Q$2:$Q$120)&lt;&gt;"")*(($Q$2:$Q$120)&lt;&gt;"(vazio)")),T5),""), "")</f>
        <v/>
      </c>
      <c r="AD5">
        <v>4</v>
      </c>
      <c r="AE5" t="str" cm="1">
        <f t="array" ref="AE5">IF(AND(AD5&lt;&gt;"",AD5&gt;0), IFERROR(INDEX(_xlfn._xlws.FILTER($Q$2:$Q$30000, (($Q$2:$Q$30000)&lt;&gt;"")*(($Q$2:$Q$30000)&lt;&gt;"(vazio)")),AD5),""), "")</f>
        <v/>
      </c>
    </row>
    <row r="6" spans="1:45" x14ac:dyDescent="0.25">
      <c r="D6" t="str">
        <v>mai</v>
      </c>
      <c r="E6" s="30">
        <v>0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T6">
        <v>5</v>
      </c>
      <c r="U6" t="str" cm="1">
        <f t="array" ref="U6">IF(AND(T6&lt;&gt;"",T6&gt;0), IFERROR(INDEX(_xlfn._xlws.FILTER($Q$2:$Q$120, (($Q$2:$Q$120)&lt;&gt;"")*(($Q$2:$Q$120)&lt;&gt;"(vazio)")),T6),""), "")</f>
        <v/>
      </c>
      <c r="AD6">
        <v>5</v>
      </c>
      <c r="AE6" t="str" cm="1">
        <f t="array" ref="AE6">IF(AND(AD6&lt;&gt;"",AD6&gt;0), IFERROR(INDEX(_xlfn._xlws.FILTER($Q$2:$Q$30000, (($Q$2:$Q$30000)&lt;&gt;"")*(($Q$2:$Q$30000)&lt;&gt;"(vazio)")),AD6),""), "")</f>
        <v/>
      </c>
    </row>
    <row r="7" spans="1:45" x14ac:dyDescent="0.25">
      <c r="D7" t="str">
        <v>jun</v>
      </c>
      <c r="E7" s="30">
        <v>0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T7">
        <v>6</v>
      </c>
      <c r="U7" t="str" cm="1">
        <f t="array" ref="U7">IF(AND(T7&lt;&gt;"",T7&gt;0), IFERROR(INDEX(_xlfn._xlws.FILTER($Q$2:$Q$120, (($Q$2:$Q$120)&lt;&gt;"")*(($Q$2:$Q$120)&lt;&gt;"(vazio)")),T7),""), "")</f>
        <v/>
      </c>
      <c r="AD7">
        <v>6</v>
      </c>
      <c r="AE7" t="str" cm="1">
        <f t="array" ref="AE7">IF(AND(AD7&lt;&gt;"",AD7&gt;0), IFERROR(INDEX(_xlfn._xlws.FILTER($Q$2:$Q$30000, (($Q$2:$Q$30000)&lt;&gt;"")*(($Q$2:$Q$30000)&lt;&gt;"(vazio)")),AD7),""), "")</f>
        <v/>
      </c>
    </row>
    <row r="8" spans="1:45" x14ac:dyDescent="0.25">
      <c r="D8" t="str">
        <v>jul</v>
      </c>
      <c r="E8" s="30">
        <v>0</v>
      </c>
      <c r="T8">
        <v>7</v>
      </c>
      <c r="U8" t="str" cm="1">
        <f t="array" ref="U8">IF(AND(T8&lt;&gt;"",T8&gt;0), IFERROR(INDEX(_xlfn._xlws.FILTER($Q$2:$Q$120, (($Q$2:$Q$120)&lt;&gt;"")*(($Q$2:$Q$120)&lt;&gt;"(vazio)")),T8),""), "")</f>
        <v/>
      </c>
      <c r="AD8">
        <v>7</v>
      </c>
      <c r="AE8" t="str" cm="1">
        <f t="array" ref="AE8">IF(AND(AD8&lt;&gt;"",AD8&gt;0), IFERROR(INDEX(_xlfn._xlws.FILTER($Q$2:$Q$30000, (($Q$2:$Q$30000)&lt;&gt;"")*(($Q$2:$Q$30000)&lt;&gt;"(vazio)")),AD8),""), "")</f>
        <v/>
      </c>
    </row>
    <row r="9" spans="1:45" x14ac:dyDescent="0.25">
      <c r="D9" t="str">
        <v>ago</v>
      </c>
      <c r="E9" s="30">
        <v>0</v>
      </c>
    </row>
    <row r="10" spans="1:45" x14ac:dyDescent="0.25">
      <c r="D10" t="str">
        <v>set</v>
      </c>
      <c r="E10" s="30">
        <v>0</v>
      </c>
    </row>
    <row r="11" spans="1:45" x14ac:dyDescent="0.25">
      <c r="D11" t="str">
        <v>out</v>
      </c>
      <c r="E11" s="30">
        <v>0</v>
      </c>
    </row>
    <row r="12" spans="1:45" x14ac:dyDescent="0.25">
      <c r="D12" t="str">
        <v>nov</v>
      </c>
      <c r="E12" s="30">
        <v>0</v>
      </c>
    </row>
    <row r="13" spans="1:45" x14ac:dyDescent="0.25">
      <c r="D13" t="str">
        <v>dez</v>
      </c>
      <c r="E13" s="30">
        <v>0</v>
      </c>
    </row>
    <row r="14" spans="1:45" x14ac:dyDescent="0.25">
      <c r="E14" s="30"/>
    </row>
    <row r="15" spans="1:45" x14ac:dyDescent="0.25">
      <c r="E15" s="30"/>
    </row>
    <row r="16" spans="1:45" x14ac:dyDescent="0.25">
      <c r="E16" s="30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4B0C-58F1-40D9-AD04-7F994963FEA1}">
  <sheetPr codeName="Planilha28"/>
  <dimension ref="A1:BA15"/>
  <sheetViews>
    <sheetView topLeftCell="K1" zoomScale="80" zoomScaleNormal="80" workbookViewId="0">
      <selection activeCell="AA1" sqref="AA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25"/>
  <cols>
    <col min="1" max="1" width="6.88671875" bestFit="1" customWidth="1"/>
    <col min="2" max="2" width="14" bestFit="1" customWidth="1"/>
    <col min="5" max="5" width="12" bestFit="1" customWidth="1"/>
    <col min="7" max="7" width="24.6640625" bestFit="1" customWidth="1"/>
    <col min="8" max="8" width="14" bestFit="1" customWidth="1"/>
    <col min="10" max="10" width="6.33203125" bestFit="1" customWidth="1"/>
    <col min="11" max="11" width="24.6640625" bestFit="1" customWidth="1"/>
    <col min="12" max="12" width="12" bestFit="1" customWidth="1"/>
    <col min="14" max="14" width="11.44140625" bestFit="1" customWidth="1"/>
    <col min="15" max="15" width="10.109375" customWidth="1"/>
    <col min="17" max="17" width="23.21875" bestFit="1" customWidth="1"/>
    <col min="18" max="18" width="14" bestFit="1" customWidth="1"/>
    <col min="20" max="20" width="6.33203125" bestFit="1" customWidth="1"/>
    <col min="21" max="21" width="20.44140625" bestFit="1" customWidth="1"/>
    <col min="22" max="22" width="12" bestFit="1" customWidth="1"/>
    <col min="24" max="24" width="11.44140625" bestFit="1" customWidth="1"/>
    <col min="25" max="25" width="10.109375" customWidth="1"/>
    <col min="27" max="27" width="15" bestFit="1" customWidth="1"/>
    <col min="28" max="28" width="14" bestFit="1" customWidth="1"/>
    <col min="30" max="30" width="6.33203125" bestFit="1" customWidth="1"/>
    <col min="31" max="31" width="20.44140625" bestFit="1" customWidth="1"/>
    <col min="32" max="32" width="12" bestFit="1" customWidth="1"/>
    <col min="34" max="34" width="11.44140625" bestFit="1" customWidth="1"/>
    <col min="35" max="35" width="10.109375" customWidth="1"/>
    <col min="37" max="37" width="19.77734375" bestFit="1" customWidth="1"/>
    <col min="38" max="38" width="12" bestFit="1" customWidth="1"/>
    <col min="40" max="40" width="18.33203125" bestFit="1" customWidth="1"/>
    <col min="41" max="41" width="41.6640625" bestFit="1" customWidth="1"/>
  </cols>
  <sheetData>
    <row r="1" spans="1:53" x14ac:dyDescent="0.25">
      <c r="A1" s="28" t="s">
        <v>1</v>
      </c>
      <c r="B1" t="s">
        <v>372</v>
      </c>
      <c r="D1" s="7" t="s">
        <v>1</v>
      </c>
      <c r="E1" s="7" t="s">
        <v>5</v>
      </c>
      <c r="G1" s="28" t="s">
        <v>318</v>
      </c>
      <c r="H1" t="s">
        <v>372</v>
      </c>
      <c r="J1" s="7" t="s">
        <v>16</v>
      </c>
      <c r="K1" s="7" t="s">
        <v>324</v>
      </c>
      <c r="L1" s="7" t="s">
        <v>5</v>
      </c>
      <c r="N1" s="27" t="s">
        <v>364</v>
      </c>
      <c r="O1" s="27" t="s">
        <v>365</v>
      </c>
      <c r="Q1" s="28" t="s">
        <v>374</v>
      </c>
      <c r="R1" t="s">
        <v>372</v>
      </c>
      <c r="T1" s="7" t="s">
        <v>16</v>
      </c>
      <c r="U1" s="7" t="s">
        <v>374</v>
      </c>
      <c r="V1" s="7" t="s">
        <v>5</v>
      </c>
      <c r="X1" s="27" t="s">
        <v>364</v>
      </c>
      <c r="Y1" s="27" t="s">
        <v>365</v>
      </c>
      <c r="AA1" s="28" t="s">
        <v>319</v>
      </c>
      <c r="AB1" t="s">
        <v>372</v>
      </c>
      <c r="AD1" s="7" t="s">
        <v>16</v>
      </c>
      <c r="AE1" s="7" t="s">
        <v>319</v>
      </c>
      <c r="AF1" s="7" t="s">
        <v>5</v>
      </c>
      <c r="AH1" s="27" t="s">
        <v>364</v>
      </c>
      <c r="AI1" s="27" t="s">
        <v>365</v>
      </c>
      <c r="AN1" s="28" t="s">
        <v>371</v>
      </c>
      <c r="AO1" t="s">
        <v>379</v>
      </c>
      <c r="AX1" t="s">
        <v>378</v>
      </c>
      <c r="BA1" s="32" t="s">
        <v>375</v>
      </c>
    </row>
    <row r="2" spans="1:53" x14ac:dyDescent="0.25">
      <c r="A2" s="16" t="s">
        <v>359</v>
      </c>
      <c r="B2">
        <v>50</v>
      </c>
      <c r="D2" t="str" cm="1">
        <f t="array" ref="D2:D13">tbMês[Mês]</f>
        <v>jan</v>
      </c>
      <c r="E2" s="30" cm="1">
        <f t="array" ref="E2:E13">IFERROR(IF(tbMês[Mês]&lt;&gt;"",VLOOKUP(tbMês[Mês],$A$2:$B$14,2,FALSE), ""), 0)</f>
        <v>50</v>
      </c>
      <c r="G2" s="16" t="s">
        <v>325</v>
      </c>
      <c r="H2">
        <v>50</v>
      </c>
      <c r="J2">
        <v>1</v>
      </c>
      <c r="K2" t="str" cm="1">
        <f t="array" ref="K2">IF(AND($J2&lt;&gt;"",$J2&gt;0), IFERROR(INDEX(_xlfn._xlws.FILTER($G$2:$G$30, (($G$2:$G$30)&lt;&gt;"")*(($G$2:$G$30)&lt;&gt;"(vazio)")),$J2),""), "")</f>
        <v>Investimentos Convencionais</v>
      </c>
      <c r="L2" s="30" cm="1">
        <f t="array" aca="1" ref="L2" ca="1">IFERROR(VLOOKUP(OFFSET($K$2,,,COUNTIF($K$2:$K$7,"&lt;&gt;")-SUM((_xlfn.ISFORMULA(OFFSET($K$2,,,COUNTA($K$2:$K$7))))*(NOT(OFFSET($K$2,,,COUNTA($K$2:$K$7))&lt;&gt;"")))),$G$2:$H$30,2,FALSE),"")</f>
        <v>50</v>
      </c>
      <c r="N2" s="1" cm="1">
        <f t="array" aca="1" ref="N2" ca="1">COUNTIF($K$2:$K$7,"&lt;&gt;")-SUM((_xlfn.ISFORMULA(OFFSET($K$2,,,COUNTA($K$2:$K$7))))*(NOT(OFFSET($K$2,,,COUNTA($K$2:$K$7))&lt;&gt;"")))</f>
        <v>1</v>
      </c>
      <c r="O2" s="1" cm="1">
        <f t="array" ref="O2">COUNTA(_xlfn._xlws.FILTER($G$2:$G$30, (($G$2:$G$30)&lt;&gt;"")*(($G$2:$G$30)&lt;&gt;"(vazio)")))</f>
        <v>1</v>
      </c>
      <c r="Q2" s="16" t="s">
        <v>237</v>
      </c>
      <c r="R2">
        <v>50</v>
      </c>
      <c r="T2">
        <v>1</v>
      </c>
      <c r="U2" t="str" cm="1">
        <f t="array" ref="U2">IF(AND(T2&lt;&gt;"",T2&gt;0), IFERROR(INDEX(_xlfn._xlws.FILTER($Q$2:$Q$120, (($Q$2:$Q$120)&lt;&gt;"")*(($Q$2:$Q$120)&lt;&gt;"(vazio)")),T2),""), "")</f>
        <v>Bradesco</v>
      </c>
      <c r="V2" s="30" cm="1">
        <f t="array" aca="1" ref="V2" ca="1">IFERROR(VLOOKUP(OFFSET($U$2,,,COUNTIF($U$2:$U$8,"&lt;&gt;")-SUM((_xlfn.ISFORMULA(OFFSET($U$2,,,COUNTA($U$2:$U$8))))*(NOT(OFFSET($U$2,,,COUNTA($U$2:$U$8))&lt;&gt;"")))),$Q$2:$R$120,2,FALSE),"")</f>
        <v>50</v>
      </c>
      <c r="X2" s="1" cm="1">
        <f t="array" aca="1" ref="X2" ca="1">COUNTIF($U$2:$U$8,"&lt;&gt;")-SUM((_xlfn.ISFORMULA(OFFSET($U$2,,,COUNTA($U$2:$U$8))))*(NOT(OFFSET($U$2,,,COUNTA($U$2:$U$8))&lt;&gt;"")))</f>
        <v>1</v>
      </c>
      <c r="Y2" s="1" cm="1">
        <f t="array" ref="Y2">COUNTA(_xlfn._xlws.FILTER($Q$2:$Q$120, (($Q$2:$Q$120)&lt;&gt;"")*(($Q$2:$Q$120)&lt;&gt;"(vazio)")))</f>
        <v>1</v>
      </c>
      <c r="AA2" s="16" t="s">
        <v>305</v>
      </c>
      <c r="AB2">
        <v>50</v>
      </c>
      <c r="AD2">
        <v>1</v>
      </c>
      <c r="AE2" t="str" cm="1">
        <f t="array" ref="AE2">IF(AND(AD2&lt;&gt;"",AD2&gt;0), IFERROR(INDEX(_xlfn._xlws.FILTER($AA$2:$AA$30000, (($AA$2:$AA$30000)&lt;&gt;"")*(($AA$2:$AA$30000)&lt;&gt;"(vazio)")),AD2),""), "")</f>
        <v>Ações</v>
      </c>
      <c r="AF2" s="30" cm="1">
        <f t="array" aca="1" ref="AF2" ca="1">IFERROR(VLOOKUP(OFFSET($AE$2,,,COUNTIF($AE$2:$AE$8,"&lt;&gt;")-SUM((_xlfn.ISFORMULA(OFFSET($AE$2,,,COUNTA($AE$2:$AE$8))))*(NOT(OFFSET($AE$2,,,COUNTA($AE$2:$AE$8))&lt;&gt;"")))),$AA$2:$AB$30000,2,FALSE),"")</f>
        <v>50</v>
      </c>
      <c r="AH2" s="1" cm="1">
        <f t="array" aca="1" ref="AH2" ca="1">COUNTIF($AE$2:$AE$8,"&lt;&gt;")-SUM((_xlfn.ISFORMULA(OFFSET($AE$2,,,COUNTA($AE$2:$AE$8))))*(NOT(OFFSET($AE$2,,,COUNTA($AE$2:$AE$8))&lt;&gt;"")))</f>
        <v>1</v>
      </c>
      <c r="AI2" s="1" cm="1">
        <f t="array" ref="AI2">COUNTA(_xlfn._xlws.FILTER($Q$2:$Q$30000, (($Q$2:$Q$30000)&lt;&gt;"")*(($Q$2:$Q$30000)&lt;&gt;"(vazio)")))</f>
        <v>1</v>
      </c>
      <c r="AK2" t="s">
        <v>335</v>
      </c>
      <c r="AL2" s="30">
        <f>IFERROR(SUM($E$2:$E$13), "—")</f>
        <v>50</v>
      </c>
      <c r="AN2" s="16" t="s">
        <v>359</v>
      </c>
      <c r="AO2">
        <v>1</v>
      </c>
    </row>
    <row r="3" spans="1:53" x14ac:dyDescent="0.25">
      <c r="D3" t="str">
        <v>fev</v>
      </c>
      <c r="E3" s="30">
        <v>0</v>
      </c>
      <c r="J3" cm="1">
        <f t="array" ref="J3:J7">IF(AND($J$2&gt;0,$J$2&lt;&gt;""),_xlfn.SEQUENCE(5)+J2,"")</f>
        <v>2</v>
      </c>
      <c r="K3" t="str" cm="1">
        <f t="array" ref="K3">IF(AND($J3&lt;&gt;"",$J3&gt;0), IFERROR(INDEX(_xlfn._xlws.FILTER($G$2:$G$30, (($G$2:$G$30)&lt;&gt;"")*(($G$2:$G$30)&lt;&gt;"(vazio)")),$J3),""), "")</f>
        <v/>
      </c>
      <c r="T3" cm="1">
        <f t="array" ref="T3:T8">IF(AND($T$2&gt;0,$T$2&lt;&gt;""),_xlfn.SEQUENCE(6)+T2,"")</f>
        <v>2</v>
      </c>
      <c r="U3" t="str" cm="1">
        <f t="array" ref="U3">IF(AND(T3&lt;&gt;"",T3&gt;0), IFERROR(INDEX(_xlfn._xlws.FILTER($Q$2:$Q$120, (($Q$2:$Q$120)&lt;&gt;"")*(($Q$2:$Q$120)&lt;&gt;"(vazio)")),T3),""), "")</f>
        <v/>
      </c>
      <c r="V3" s="30"/>
      <c r="AD3" cm="1">
        <f t="array" ref="AD3:AD8">IF(AND($AD$2&gt;0,$AD$2&lt;&gt;""),_xlfn.SEQUENCE(6)+AD2,"")</f>
        <v>2</v>
      </c>
      <c r="AE3" t="str" cm="1">
        <f t="array" ref="AE3">IF(AND(AD3&lt;&gt;"",AD3&gt;0), IFERROR(INDEX(_xlfn._xlws.FILTER($AA$2:$AA$30000, (($AA$2:$AA$30000)&lt;&gt;"")*(($AA$2:$AA$30000)&lt;&gt;"(vazio)")),AD3),""), "")</f>
        <v/>
      </c>
      <c r="AF3" s="30"/>
      <c r="AK3" t="s">
        <v>336</v>
      </c>
      <c r="AL3">
        <f>IFERROR(SUM($AO$2:$AO$15), "—")</f>
        <v>2</v>
      </c>
      <c r="AN3" s="16" t="s">
        <v>412</v>
      </c>
      <c r="AO3">
        <v>1</v>
      </c>
      <c r="AX3" t="s">
        <v>377</v>
      </c>
    </row>
    <row r="4" spans="1:53" x14ac:dyDescent="0.25">
      <c r="D4" t="str">
        <v>mar</v>
      </c>
      <c r="E4" s="30">
        <v>0</v>
      </c>
      <c r="J4">
        <v>3</v>
      </c>
      <c r="K4" t="str" cm="1">
        <f t="array" ref="K4">IF(AND($J4&lt;&gt;"",$J4&gt;0), IFERROR(INDEX(_xlfn._xlws.FILTER($G$2:$G$30, (($G$2:$G$30)&lt;&gt;"")*(($G$2:$G$30)&lt;&gt;"(vazio)")),$J4),""), "")</f>
        <v/>
      </c>
      <c r="T4">
        <v>3</v>
      </c>
      <c r="U4" t="str" cm="1">
        <f t="array" ref="U4">IF(AND(T4&lt;&gt;"",T4&gt;0), IFERROR(INDEX(_xlfn._xlws.FILTER($Q$2:$Q$120, (($Q$2:$Q$120)&lt;&gt;"")*(($Q$2:$Q$120)&lt;&gt;"(vazio)")),T4),""), "")</f>
        <v/>
      </c>
      <c r="AD4">
        <v>3</v>
      </c>
      <c r="AE4" t="str" cm="1">
        <f t="array" ref="AE4">IF(AND(AD4&lt;&gt;"",AD4&gt;0), IFERROR(INDEX(_xlfn._xlws.FILTER($AA$2:$AA$30000, (($AA$2:$AA$30000)&lt;&gt;"")*(($AA$2:$AA$30000)&lt;&gt;"(vazio)")),AD4),""), "")</f>
        <v/>
      </c>
    </row>
    <row r="5" spans="1:53" x14ac:dyDescent="0.25">
      <c r="D5" t="str">
        <v>abr</v>
      </c>
      <c r="E5" s="30">
        <v>0</v>
      </c>
      <c r="J5">
        <v>4</v>
      </c>
      <c r="K5" t="str" cm="1">
        <f t="array" ref="K5">IF(AND($J5&lt;&gt;"",$J5&gt;0), IFERROR(INDEX(_xlfn._xlws.FILTER($G$2:$G$30, (($G$2:$G$30)&lt;&gt;"")*(($G$2:$G$30)&lt;&gt;"(vazio)")),$J5),""), "")</f>
        <v/>
      </c>
      <c r="T5">
        <v>4</v>
      </c>
      <c r="U5" t="str" cm="1">
        <f t="array" ref="U5">IF(AND(T5&lt;&gt;"",T5&gt;0), IFERROR(INDEX(_xlfn._xlws.FILTER($Q$2:$Q$120, (($Q$2:$Q$120)&lt;&gt;"")*(($Q$2:$Q$120)&lt;&gt;"(vazio)")),T5),""), "")</f>
        <v/>
      </c>
      <c r="AD5">
        <v>4</v>
      </c>
      <c r="AE5" t="str" cm="1">
        <f t="array" ref="AE5">IF(AND(AD5&lt;&gt;"",AD5&gt;0), IFERROR(INDEX(_xlfn._xlws.FILTER($AA$2:$AA$30000, (($AA$2:$AA$30000)&lt;&gt;"")*(($AA$2:$AA$30000)&lt;&gt;"(vazio)")),AD5),""), "")</f>
        <v/>
      </c>
    </row>
    <row r="6" spans="1:53" x14ac:dyDescent="0.25">
      <c r="D6" t="str">
        <v>mai</v>
      </c>
      <c r="E6" s="30">
        <v>0</v>
      </c>
      <c r="J6">
        <v>5</v>
      </c>
      <c r="K6" t="str" cm="1">
        <f t="array" ref="K6">IF(AND($J6&lt;&gt;"",$J6&gt;0), IFERROR(INDEX(_xlfn._xlws.FILTER($G$2:$G$30, (($G$2:$G$30)&lt;&gt;"")*(($G$2:$G$30)&lt;&gt;"(vazio)")),$J6),""), "")</f>
        <v/>
      </c>
      <c r="T6">
        <v>5</v>
      </c>
      <c r="U6" t="str" cm="1">
        <f t="array" ref="U6">IF(AND(T6&lt;&gt;"",T6&gt;0), IFERROR(INDEX(_xlfn._xlws.FILTER($Q$2:$Q$120, (($Q$2:$Q$120)&lt;&gt;"")*(($Q$2:$Q$120)&lt;&gt;"(vazio)")),T6),""), "")</f>
        <v/>
      </c>
      <c r="AD6">
        <v>5</v>
      </c>
      <c r="AE6" t="str" cm="1">
        <f t="array" ref="AE6">IF(AND(AD6&lt;&gt;"",AD6&gt;0), IFERROR(INDEX(_xlfn._xlws.FILTER($AA$2:$AA$30000, (($AA$2:$AA$30000)&lt;&gt;"")*(($AA$2:$AA$30000)&lt;&gt;"(vazio)")),AD6),""), "")</f>
        <v/>
      </c>
    </row>
    <row r="7" spans="1:53" x14ac:dyDescent="0.25">
      <c r="D7" t="str">
        <v>jun</v>
      </c>
      <c r="E7" s="30">
        <v>0</v>
      </c>
      <c r="J7">
        <v>6</v>
      </c>
      <c r="K7" t="str" cm="1">
        <f t="array" ref="K7">IF(AND($J7&lt;&gt;"",$J7&gt;0), IFERROR(INDEX(_xlfn._xlws.FILTER($G$2:$G$30, (($G$2:$G$30)&lt;&gt;"")*(($G$2:$G$30)&lt;&gt;"(vazio)")),$J7),""), "")</f>
        <v/>
      </c>
      <c r="T7">
        <v>6</v>
      </c>
      <c r="U7" t="str" cm="1">
        <f t="array" ref="U7">IF(AND(T7&lt;&gt;"",T7&gt;0), IFERROR(INDEX(_xlfn._xlws.FILTER($Q$2:$Q$120, (($Q$2:$Q$120)&lt;&gt;"")*(($Q$2:$Q$120)&lt;&gt;"(vazio)")),T7),""), "")</f>
        <v/>
      </c>
      <c r="AD7">
        <v>6</v>
      </c>
      <c r="AE7" t="str" cm="1">
        <f t="array" ref="AE7">IF(AND(AD7&lt;&gt;"",AD7&gt;0), IFERROR(INDEX(_xlfn._xlws.FILTER($AA$2:$AA$30000, (($AA$2:$AA$30000)&lt;&gt;"")*(($AA$2:$AA$30000)&lt;&gt;"(vazio)")),AD7),""), "")</f>
        <v/>
      </c>
    </row>
    <row r="8" spans="1:53" x14ac:dyDescent="0.25">
      <c r="D8" t="str">
        <v>jul</v>
      </c>
      <c r="E8" s="30">
        <v>0</v>
      </c>
      <c r="T8">
        <v>7</v>
      </c>
      <c r="U8" t="str" cm="1">
        <f t="array" ref="U8">IF(AND(T8&lt;&gt;"",T8&gt;0), IFERROR(INDEX(_xlfn._xlws.FILTER($Q$2:$Q$120, (($Q$2:$Q$120)&lt;&gt;"")*(($Q$2:$Q$120)&lt;&gt;"(vazio)")),T8),""), "")</f>
        <v/>
      </c>
      <c r="AD8">
        <v>7</v>
      </c>
      <c r="AE8" t="str" cm="1">
        <f t="array" ref="AE8">IF(AND(AD8&lt;&gt;"",AD8&gt;0), IFERROR(INDEX(_xlfn._xlws.FILTER($AA$2:$AA$30000, (($AA$2:$AA$30000)&lt;&gt;"")*(($AA$2:$AA$30000)&lt;&gt;"(vazio)")),AD8),""), "")</f>
        <v/>
      </c>
    </row>
    <row r="9" spans="1:53" x14ac:dyDescent="0.25">
      <c r="D9" t="str">
        <v>ago</v>
      </c>
      <c r="E9" s="30">
        <v>0</v>
      </c>
    </row>
    <row r="10" spans="1:53" x14ac:dyDescent="0.25">
      <c r="D10" t="str">
        <v>set</v>
      </c>
      <c r="E10" s="30">
        <v>0</v>
      </c>
    </row>
    <row r="11" spans="1:53" x14ac:dyDescent="0.25">
      <c r="D11" t="str">
        <v>out</v>
      </c>
      <c r="E11" s="30">
        <v>0</v>
      </c>
    </row>
    <row r="12" spans="1:53" x14ac:dyDescent="0.25">
      <c r="D12" t="str">
        <v>nov</v>
      </c>
      <c r="E12" s="30">
        <v>0</v>
      </c>
    </row>
    <row r="13" spans="1:53" x14ac:dyDescent="0.25">
      <c r="D13" t="str">
        <v>dez</v>
      </c>
      <c r="E13" s="30">
        <v>0</v>
      </c>
    </row>
    <row r="14" spans="1:53" x14ac:dyDescent="0.25">
      <c r="E14" s="30"/>
    </row>
    <row r="15" spans="1:53" x14ac:dyDescent="0.25">
      <c r="E15" s="30"/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17316-54F1-4858-9DDD-29143DAB6BCC}">
  <sheetPr codeName="Planilha29"/>
  <dimension ref="A1:AD41"/>
  <sheetViews>
    <sheetView showGridLines="0" showRowColHeaders="0" zoomScale="80" zoomScaleNormal="80" workbookViewId="0">
      <selection activeCell="AE1" sqref="AE1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B7248-A522-41F6-BD96-698D5B6A721C}">
  <sheetPr codeName="Planilha30">
    <pageSetUpPr fitToPage="1"/>
  </sheetPr>
  <dimension ref="A1:AD41"/>
  <sheetViews>
    <sheetView showGridLines="0" showRowColHeaders="0" zoomScale="80" zoomScaleNormal="80" workbookViewId="0">
      <selection activeCell="A42" sqref="A42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scale="50" fitToHeight="0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7171" r:id="rId4" name="SpinButton2">
          <controlPr locked="0" defaultSize="0" print="0" autoLine="0" linkedCell="dadosDashDespesas!T2" r:id="rId5">
            <anchor>
              <from>
                <xdr:col>20</xdr:col>
                <xdr:colOff>477078</xdr:colOff>
                <xdr:row>15</xdr:row>
                <xdr:rowOff>174929</xdr:rowOff>
              </from>
              <to>
                <xdr:col>21</xdr:col>
                <xdr:colOff>127221</xdr:colOff>
                <xdr:row>17</xdr:row>
                <xdr:rowOff>119270</xdr:rowOff>
              </to>
            </anchor>
          </controlPr>
        </control>
      </mc:Choice>
      <mc:Fallback>
        <control shapeId="7171" r:id="rId4" name="SpinButton2"/>
      </mc:Fallback>
    </mc:AlternateContent>
    <mc:AlternateContent xmlns:mc="http://schemas.openxmlformats.org/markup-compatibility/2006">
      <mc:Choice Requires="x14">
        <control shapeId="7170" r:id="rId6" name="SpinButton1">
          <controlPr locked="0" defaultSize="0" print="0" autoLine="0" linkedCell="dadosDashDespesas!J2" r:id="rId5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7170" r:id="rId6" name="SpinButton1"/>
      </mc:Fallback>
    </mc:AlternateContent>
  </control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9165-8F76-4964-9161-E1790DE5F5E7}">
  <sheetPr codeName="Planilha31"/>
  <dimension ref="A1:A41"/>
  <sheetViews>
    <sheetView showGridLines="0" showRowColHeaders="0" zoomScale="80" zoomScaleNormal="80" workbookViewId="0">
      <selection activeCell="AD1" sqref="AD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zeroHeight="1" x14ac:dyDescent="0.25"/>
  <cols>
    <col min="30" max="30" width="5.77734375" customWidth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8199" r:id="rId3" name="SpinButton3">
          <controlPr locked="0" defaultSize="0" autoLine="0" r:id="rId4">
            <anchor>
              <from>
                <xdr:col>20</xdr:col>
                <xdr:colOff>477078</xdr:colOff>
                <xdr:row>16</xdr:row>
                <xdr:rowOff>0</xdr:rowOff>
              </from>
              <to>
                <xdr:col>21</xdr:col>
                <xdr:colOff>135172</xdr:colOff>
                <xdr:row>17</xdr:row>
                <xdr:rowOff>127221</xdr:rowOff>
              </to>
            </anchor>
          </controlPr>
        </control>
      </mc:Choice>
      <mc:Fallback>
        <control shapeId="8199" r:id="rId3" name="SpinButton3"/>
      </mc:Fallback>
    </mc:AlternateContent>
    <mc:AlternateContent xmlns:mc="http://schemas.openxmlformats.org/markup-compatibility/2006">
      <mc:Choice Requires="x14">
        <control shapeId="8198" r:id="rId5" name="SpinButton2">
          <controlPr locked="0" defaultSize="0" autoLine="0" linkedCell="dadosDashReceitas!T2" r:id="rId4">
            <anchor>
              <from>
                <xdr:col>29</xdr:col>
                <xdr:colOff>7951</xdr:colOff>
                <xdr:row>16</xdr:row>
                <xdr:rowOff>0</xdr:rowOff>
              </from>
              <to>
                <xdr:col>29</xdr:col>
                <xdr:colOff>302150</xdr:colOff>
                <xdr:row>17</xdr:row>
                <xdr:rowOff>127221</xdr:rowOff>
              </to>
            </anchor>
          </controlPr>
        </control>
      </mc:Choice>
      <mc:Fallback>
        <control shapeId="8198" r:id="rId5" name="SpinButton2"/>
      </mc:Fallback>
    </mc:AlternateContent>
    <mc:AlternateContent xmlns:mc="http://schemas.openxmlformats.org/markup-compatibility/2006">
      <mc:Choice Requires="x14">
        <control shapeId="8197" r:id="rId6" name="SpinButton1">
          <controlPr locked="0" defaultSize="0" autoLine="0" linkedCell="dadosDashReceitas!J2" r:id="rId7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8197" r:id="rId6" name="Spin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9B1A7-985D-4C02-BA17-EFF7903530E6}">
  <sheetPr codeName="Planilha32"/>
  <dimension ref="A1:AD41"/>
  <sheetViews>
    <sheetView showGridLines="0" showRowColHeaders="0" zoomScale="80" zoomScaleNormal="80" workbookViewId="0">
      <selection activeCell="AE1" sqref="AE1:XFD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14.4" zeroHeight="1" x14ac:dyDescent="0.25"/>
  <cols>
    <col min="1" max="29" width="8.88671875" customWidth="1"/>
    <col min="30" max="30" width="5.77734375" customWidth="1"/>
    <col min="31" max="16384" width="8.88671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</sheetData>
  <sheetProtection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19" r:id="rId3" name="SpinButton3">
          <controlPr locked="0" defaultSize="0" autoLine="0" r:id="rId4">
            <anchor>
              <from>
                <xdr:col>20</xdr:col>
                <xdr:colOff>477078</xdr:colOff>
                <xdr:row>16</xdr:row>
                <xdr:rowOff>0</xdr:rowOff>
              </from>
              <to>
                <xdr:col>21</xdr:col>
                <xdr:colOff>135172</xdr:colOff>
                <xdr:row>17</xdr:row>
                <xdr:rowOff>127221</xdr:rowOff>
              </to>
            </anchor>
          </controlPr>
        </control>
      </mc:Choice>
      <mc:Fallback>
        <control shapeId="9219" r:id="rId3" name="SpinButton3"/>
      </mc:Fallback>
    </mc:AlternateContent>
    <mc:AlternateContent xmlns:mc="http://schemas.openxmlformats.org/markup-compatibility/2006">
      <mc:Choice Requires="x14">
        <control shapeId="9218" r:id="rId5" name="SpinButton2">
          <controlPr locked="0" defaultSize="0" autoLine="0" linkedCell="dadosDashInvestimentos!T2" r:id="rId4">
            <anchor>
              <from>
                <xdr:col>29</xdr:col>
                <xdr:colOff>7951</xdr:colOff>
                <xdr:row>16</xdr:row>
                <xdr:rowOff>0</xdr:rowOff>
              </from>
              <to>
                <xdr:col>29</xdr:col>
                <xdr:colOff>302150</xdr:colOff>
                <xdr:row>17</xdr:row>
                <xdr:rowOff>127221</xdr:rowOff>
              </to>
            </anchor>
          </controlPr>
        </control>
      </mc:Choice>
      <mc:Fallback>
        <control shapeId="9218" r:id="rId5" name="SpinButton2"/>
      </mc:Fallback>
    </mc:AlternateContent>
    <mc:AlternateContent xmlns:mc="http://schemas.openxmlformats.org/markup-compatibility/2006">
      <mc:Choice Requires="x14">
        <control shapeId="9217" r:id="rId6" name="SpinButton1">
          <controlPr locked="0" defaultSize="0" autoLine="0" linkedCell="dadosDashInvestimentos!J2" r:id="rId7">
            <anchor>
              <from>
                <xdr:col>12</xdr:col>
                <xdr:colOff>63610</xdr:colOff>
                <xdr:row>16</xdr:row>
                <xdr:rowOff>0</xdr:rowOff>
              </from>
              <to>
                <xdr:col>12</xdr:col>
                <xdr:colOff>349857</xdr:colOff>
                <xdr:row>17</xdr:row>
                <xdr:rowOff>127221</xdr:rowOff>
              </to>
            </anchor>
          </controlPr>
        </control>
      </mc:Choice>
      <mc:Fallback>
        <control shapeId="9217" r:id="rId6" name="SpinButton1"/>
      </mc:Fallback>
    </mc:AlternateContent>
  </control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imageInvestimento" Type="http://schemas.openxmlformats.org/officeDocument/2006/relationships/image" Target="images/54a1a6ad-801a-4399-998f-e24adee9d51d.png"/><Relationship Id="irPara" Type="http://schemas.openxmlformats.org/officeDocument/2006/relationships/image" Target="images/fa6e187d-fca6-4ff1-9756-f9fcc1fd6ffd.png"/><Relationship Id="despesasFixas" Type="http://schemas.openxmlformats.org/officeDocument/2006/relationships/image" Target="images/7020d471-51a3-4439-869e-b2f5ac798401.png"/><Relationship Id="obterDadosMenu" Type="http://schemas.openxmlformats.org/officeDocument/2006/relationships/image" Target="images/445f7bdd-829b-42d1-8988-9c087b591ad5.png"/><Relationship Id="limparFiltro" Type="http://schemas.openxmlformats.org/officeDocument/2006/relationships/image" Target="images/1d765168-e3f4-431a-ab62-01271b7455d7.png"/><Relationship Id="imageDespesa" Type="http://schemas.openxmlformats.org/officeDocument/2006/relationships/image" Target="images/38e266c4-db32-41b4-a057-f5ffc748e012.png"/><Relationship Id="imageDashboard" Type="http://schemas.openxmlformats.org/officeDocument/2006/relationships/image" Target="images/ae2f71cc-d1fe-4298-98fb-56bc8b4ed7c0.png"/><Relationship Id="imageMenus" Type="http://schemas.openxmlformats.org/officeDocument/2006/relationships/image" Target="images/e83e9120-8cde-4a83-aec7-0e84fa33d6ef.png"/><Relationship Id="adicionarLinhas" Type="http://schemas.openxmlformats.org/officeDocument/2006/relationships/image" Target="images/56ae7ce3-95cf-42bd-b5d9-b997bd1d2317.png"/><Relationship Id="despesasVariaveis" Type="http://schemas.openxmlformats.org/officeDocument/2006/relationships/image" Target="images/c2444f87-603f-4f50-bbdd-d85c4912e4bb.png"/><Relationship Id="excluirLinhas" Type="http://schemas.openxmlformats.org/officeDocument/2006/relationships/image" Target="images/d3e8eea8-1e31-491a-9afe-9a56f284ae7a.png"/><Relationship Id="salvar" Type="http://schemas.openxmlformats.org/officeDocument/2006/relationships/image" Target="images/fdcf734c-d411-4d6c-985f-dea1981b44dd.png"/><Relationship Id="trazerDespesas" Type="http://schemas.openxmlformats.org/officeDocument/2006/relationships/image" Target="images/c52a6b0d-8c35-410c-8249-30526a719c5a.png"/><Relationship Id="imageReceita" Type="http://schemas.openxmlformats.org/officeDocument/2006/relationships/image" Target="images/8c896b89-33ed-464a-a34e-4f5ba7259a3c.png"/></Relationships>
</file>

<file path=customUI/customUI14.xml><?xml version="1.0" encoding="utf-8"?>
<customUI xmlns="http://schemas.microsoft.com/office/2009/07/customui" onLoad="RibbonOnLoad">
  <commands>
    <command idMso="SortClear" onAction="onActionSortClear" getEnabled="getEnabledGeneral"/>
    <command idMso="SortDialog" getEnabled="getEnabledGeneral"/>
    <command idMso="SortAscendingExcel" getEnabled="getEnabledGeneral"/>
    <command idMso="SortDescendingExcel" getEnabled="getEnabledGeneral"/>
  </commands>
  <ribbon startFromScratch="true">
    <tabs>
      <!-- Aba Geral -->
      <tab id="tabGeral" label="Geral" insertBeforeMso="TabHome">
        <!-- Grupo de Menus -->
        <group id="geralMenus" label="Menus">
          <!-- Menu Principal -->
          <menu id="mainMenu" label="Menus" size="large" itemSize="normal" image="imageMenus" screentip="Menus" supertip="Selecione o menu dentre as opções disponíveis para fazer o que deseja!">
            <!-- Despesas -->
            <menu id="despesasMenu" label="Menus de Despesas" image="imageDespesa" screentip="Menus de Despesas" supertip="Selecione algum menu referente aos cadastros de despesas.">
              <button id="registroDespesasGeral" getLabel="getLabelMenu" onAction="onActionSelectMenu" getScreentip="getScreentipMenu" getSupertip="getSupertipMenu"/>
              <button id="registroDespesasFixas" getLabel="getLabelMenu" onAction="onActionSelectMenu" getScreentip="getScreentipMenu" getSupertip="getSupertipMenu"/>
              <button id="registroDespesasVariaveis" getLabel="getLabelMenu" onAction="onActionSelectMenu" getScreentip="getScreentipMenu" getSupertip="getSupertipMenu"/>
              <button id="cadastroTiposDespesas" getLabel="getLabelMenu" onAction="onActionSelectMenu" getScreentip="getScreentipMenu" getSupertip="getSupertipMenu"/>
              <button id="cadastroFormasPagamento" getLabel="getLabelMenu" onAction="onActionSelectMenu" getScreentip="getScreentipMenu" getSupertip="getSupertipMenu"/>
              <button id="cadastroCartoes" getLabel="getLabelMenu" onAction="onActionSelectMenu" getScreentip="getScreentipMenu" getSupertip="getSupertipMenu"/>
            </menu>
            <!-- /Despesas -->
            <!-- Receitas -->
            <menu id="receitasMenu" label="Menus de Receitas" image="imageReceita" screentip="Menus de Receitas" supertip="Selecione algum menu referente aos cadastros de receitas.">
              <button id="registroReceitas" getLabel="getLabelMenu" onAction="onActionSelectMenu" getScreentip="getScreentipMenu" getSupertip="getSupertipMenu"/>
              <button id="cadastroTiposReceitas" getLabel="getLabelMenu" onAction="onActionSelectMenu" getScreentip="getScreentipMenu" getSupertip="getSupertipMenu"/>
              <button id="cadastroDestinosReceitas" getLabel="getLabelMenu" onAction="onActionSelectMenu" getScreentip="getScreentipMenu" getSupertip="getSupertipMenu"/>
            </menu>
            <!-- /Receitas -->
            <!-- Investimentos -->
            <menu id="investimentosMenu" label="Menus de Investimentos" image="imageInvestimento" screentip="Menus de Investimentos" supertip="Selecione algum menu referente aos cadastros de investimentos.">
              <button id="registroInvestimentos" getLabel="getLabelMenu" onAction="onActionSelectMenu" getScreentip="getScreentipMenu" getSupertip="getSupertipMenu"/>
              <button id="cadastroTiposInvestimentos" getLabel="getLabelMenu" onAction="onActionSelectMenu" getScreentip="getScreentipMenu" getSupertip="getSupertipMenu"/>
              <button id="cadastroFontesInvestimentos" getLabel="getLabelMenu" onAction="onActionSelectMenu" getScreentip="getScreentipMenu" getSupertip="getSupertipMenu"/>
            </menu>
            <!-- /Investimentos -->
            <!-- Dashboards -->
            <menu id="dashboardsMenu" label="Dashboards de ..." image="imageDashboard" screentip="Menus de Dashboards" supertip="Selecione algum menu referente aos dashboards.">
              <button id="resumoDashboard" getLabel="getLabelMenu" onAction="onActionSelectMenu" getScreentip="getScreentipMenu" getSupertip="getSupertipMenu"/>
              <button id="dashboardDespesas" getLabel="getLabelMenu" onAction="onActionSelectMenu" getScreentip="getScreentipMenu" getSupertip="getSupertipMenu"/>
              <button id="dashboardReceitas" getLabel="getLabelMenu" onAction="onActionSelectMenu" getScreentip="getScreentipMenu" getSupertip="getSupertipMenu"/>
              <button id="dashboardInvestimentos" getLabel="getLabelMenu" onAction="onActionSelectMenu" getScreentip="getScreentipMenu" getSupertip="getSupertipMenu"/>
            </menu>
            <!-- /Dashboards -->
          </menu>
        </group>
        <!-- /Grupo de Menus -->
        <!-- Grupo de Edições -->
        <!-- Excluir Linhas -->
        <group id="geralEdicoes" label="Edições">
          <menu id="excluirLinhas" size="normal" itemSize="normal" label="Excluir linhas" image="excluirLinhas" screentip="Excluir Dados" getSupertip="getSupertipEdition" getEnabled="getEnabledGeneral">
            <menuSeparator id="menuSeparatorExcluir1" title="Excluir linhas"/>
            <button id="limparLinhas" label="Excluir linhas em branco" onAction="onActionClearRows" image="limparLinhas" screentip="Excluir Linhas em Branco" getSupertip="getSupertipEdition"/>
            <button id="excluirLinhaAtual" label="Excluir linha atual" onAction="onActionDeleteCurrentRow" image="excluirLinhaAtual" screentip="Excluir a Linha Selecionada" getSupertip="getSupertipEdition" getEnabled="getEnabledGeneral"/>
            <button id="excluirLinhasSelecionadas" label="Excluir as linhas selecionadas" onAction="onActionDeleteSelectedRows" image="excluirLinhasSelecionadas" screentip="Excluir as Linhas Selecionadas" getSupertip="getSupertipEdition"/>
            <menuSeparator id="menuSeparatorExcluir2" title="Excluir tabela"/>
            <button id="excluirTodaTabela" label="Excluir todas as linhas" onAction="onActionDeleteEntireTable" image="excluirTodaTabela" getScreentip="getScreentipEdition" getSupertip="getSupertipEdition"/>
          </menu>
          <!-- /Excluir Linhas -->
          <!-- Adicionar Linhas -->
          <menu id="adicionarLinhas" size="normal" itemSize="normal" label="Adicionar linhas" image="adicionarLinhas" screentip="Adicionar Linhas" getSupertip="getSupertipEdition" getEnabled="getEnabledGeneral">
            <menuSeparator id="menuSeparatorAdicionar1" title="Adicionar linha no final da tabela"/>
            <button id="adicionarUmaLinha" label="Adicionar uma nova linha" onAction="onActionAddOneRow" image="adicionarUmaLinha" screentip="Adicionar uma Nova Linha" getSupertip="getSupertipEdition"/>
            <button id="adicionarNovasLinhas" label="Adicionar novas linhas" onAction="onActionAddNewRows" image="adicionarNovasLinhas" screentip="Adicionar Novas Linhas" getSupertip="getSupertipEdition"/>
            <menuSeparator id="menuSeparatorAdicionar2" title="Inserir linha com referência"/>
            <button id="inserirUmaLinhaAcima" label="Inserir linha acima" onAction="onActionInsertOneRowAbove" image="inserirUmaLinhaAcima" screentip="Inserir uma Nova Linha Acima" getSupertip="getSupertipEdition" getEnabled="getEnabledGeneral"/>
            <button id="inserirUmaLinhaAbaixo" label="Inserir linha abaixo" onAction="onActionInsertOneRowBelow" image="inserirUmaLinhaAbaixo" screentip="Inserir uma Nova Linha Abaixo" getSupertip="getSupertipEdition" getEnabled="getEnabledGeneral"/>
          </menu>
          <!-- /Adicionar Linhas -->
          <!-- /Ir Para -->
          <menu id="irPara" size="normal" itemSize="normal" label="Ir para" image="irPara" screentip="Ir Para" getSupertip="getSupertipEdition" getEnabled="getEnabledGeneral">
            <button id="irParaInicio" label="Ir para o início da tabela" onAction="onActionGoToHome" image="irParaInicio" screentip="Ir para o Início da Tabela" getSupertip="getSupertipEdition" getEnabled="getEnabledGeneral"/>
            <button id="irParaFim" label="Ir para o fim da tabela" onAction="onActionGoToEnd" image="irParaFim" screentip="Ir para o Fim da Tabela" getSupertip="getSupertipEdition" getEnabled="getEnabledGeneral"/>
          </menu>
          <!-- /Ir Para -->
        </group>
        <!-- /Grupo de Edições -->
        <!-- Grupo Classificar -->
        <group id="geralClassificar" label="Classificar">
          <button idMso="SortDialog" size="large"/>
          <button idMso="SortAscendingExcel" size="normal"/>
          <button idMso="SortDescendingExcel" size="normal"/>
          <button idMso="SortClear" size="normal"/>
        </group>
        <!-- /Grupo Classificar -->
        <!-- Grupo Configurações -->
        <group id="geralConfiguracoes" label="Configurações">
          <checkBox id="habilitarLinhaAutomatica" label="Habilitar Linha Automática" screentip="Habilitar Linha Automática" supertip="Obriga o preenchimento de todas as colunas obrigatórias da tabela atual para que outra linha apareça." onAction="onActionCheckSettings" getPressed="getPressedAutomaticRow" getEnabled="getEnabledGeneral"/>
          <checkBox id="verificarDuplicatas" label="Verificar Duplicatas" screentip="Verificar Duplicatas" supertip="Verifica se a linha atual tem alguma duplicata." onAction="onActionCheckSettings" getPressed="getPressedAutomaticRow" getEnabled="getEnabledGeneral"/>
          <checkBox id="ajusteAutomaticoLargura" label="Ajuste Automático de Largura" screentip="Ajuste Automático de Largura" supertip="Ajusta automaticamente a largura das tabelas." onAction="onActionCheckSettings" getPressed="getPressedAutomaticRow" getEnabled="getEnabledGeneral"/>
          <checkBox id="barraFormula" label="Barra de Fórmula" screentip="Barra de Fórmula" supertip="Exibe a barra superior para que você possa ver e editar os dados das células." onAction="onActionCheckSettings" getPressed="getPressedAutomaticRow" getEnabled="getEnabledGeneral"/>
          <checkBox id="barraRolagemVertical" label="Barra de Rolagem Vertical" screentip="Barra de Rolagem Vertical" supertip="Exibe a barra de rolagem vertical para que você possa descer e subir mais tranquilamente." onAction="onActionCheckSettings" getPressed="getPressedAutomaticRow" getEnabled="getEnabledGeneral"/>
          <checkBox id="barraRolagemHorizontal" label="Barra de Rolagem Horizontal" screentip="Barra de Rolagem Horizontal" supertip="Exibe a barra de rolagem horizontal para que você possa ir para os lados da tela." onAction="onActionCheckSettings" getPressed="getPressedAutomaticRow" getEnabled="getEnabledGeneral"/>
        </group>
        <!-- /Grupo Configurações -->
        <!-- Grupo Zoom -->
        <group id="geralZoom" label="Zoom">
          <box id="boxGeralZoom1" boxStyle="vertical">
            <labelControl id="labelZoom" label=" Zoom:"/>
            <box id="boxGeralZoom2" boxStyle="horizontal">
              <button id="zoomOut" imageMso="OutlineCollapse" onAction="onActionZoomOut" getEnabled="getEnabledGeneral" screentip="Reduzir Zoom" supertip="Reduza o zoom (até 70%)."/>
              <editBox id="zoomValue" maxLength="4" sizeString="1000%" onChange="onChangeZoomValue" getText="getTextZoom" getEnabled="getEnabledGeneral" screentip="Zoom" supertip="Aplique o zoom ideal para você (70% a 150%)."/>
              <button id="zoomIn" imageMso="OutlineExpand" onAction="onActionZoomIn" getEnabled="getEnabledGeneral" screentip="Aumentar Zoom" supertip="Aumente o zoom (até 150%)."/>
            </box>
          </box>
        </group>
        <!-- /Grupo Zoom -->
        <!-- Grupo Obter Dados -->
        <group id="geralObterDados" label="Obter Dados">
          <menu id="obterDadosMenu" size="large" itemSize="normal" label="Trazer Dados" image="obterDadosMenu" screentip="Trazer Dados" supertip="Traga os dados de uma planilha para as tabelas marcadas.">
            <!-- Botão principal -->
            <button id="obterDados" label="Trazer Dados" onAction="onActionBringData" image="obterDadosMenu" screentip="Trazer Dados" supertip="Traga os dados de uma planilha para as tabelas marcadas."/>
            <!-- Tabelas para trazer os dados -->
            <menuSeparator id="menuSeparatorObterDados1" title="Tabelas Para Trazer Dados"/>
            <checkBox id="selecionadoDespesas" label="Despesas" onAction="onActionSelectedDataBring" getPressed="getPressedSelectedDataBring"/>
            <checkBox id="selecionadoDespesasFixas" label="Despesas Fixas" onAction="onActionSelectedDataBring" getPressed="getPressedSelectedDataBring"/>
            <checkBox id="selecionadoDespesasParceladas" label="Despesas Parceladas" onAction="onActionSelectedDataBring" getPressed="getPressedSelectedDataBring"/>
            <checkBox id="selecionadoCartoes" label="Cartões" onAction="onActionSelectedDataBring" getPressed="getPressedSelectedDataBring"/>
            <checkBox id="selecionadoReceitas" label="Receitas" onAction="onActionSelectedDataBring" getPressed="getPressedSelectedDataBring"/>
            <checkBox id="selecionadoInvestimentos" label="Investimentos" onAction="onActionSelectedDataBring" getPressed="getPressedSelectedDataBring"/>
          </menu>
        </group>
        <!-- /Grupo Obter Dados -->
        <!-- Grupo Salvar -->
        <group id="geralSalvar" label="Salvar">
          <button id="salvar" label="Salvar" size="large" onAction="onActionSave" image="salvar" screentip="Salvar" supertip="Salva as alterações realizadas."/>
        </group>
        <!-- /Grupo Salvar -->
      </tab>
      <!-- /Aba Geral -->
      <!-- Aba Despesas -->
      <tab id="tabDespesas" label="Despesas" insertBeforeMso="TabHome" getVisible="getVisibleTab">
        <!-- Grupo Menus -->
        <group id="apenasMenusDespesas" label="Menus">
          <!-- Despesas -->
          <menu id="MenuDespesas" size="large" itemSize="normal" label="Menus de Despesas" image="imageDespesa" screentip="Menus de Despesas" supertip="Selecione algum menu referente aos cadastros de despesas.">
            <button id="registroDespesasGeral_tab2" getLabel="getLabelMenu" onAction="onActionSelectMenu" getScreentip="getScreentipMenu" getSupertip="getSupertipMenu"/>
            <button id="registroDespesasFixas_tab2" getLabel="getLabelMenu" onAction="onActionSelectMenu" getScreentip="getScreentipMenu" getSupertip="getSupertipMenu"/>
            <button id="registroDespesasVariaveis_tab2" getLabel="getLabelMenu" onAction="onActionSelectMenu" getScreentip="getScreentipMenu" getSupertip="getSupertipMenu"/>
            <button id="cadastroTiposDespesas_tab2" getLabel="getLabelMenu" onAction="onActionSelectMenu" getScreentip="getScreentipMenu" getSupertip="getSupertipMenu"/>
            <button id="cadastroFormasPagamento_tab2" getLabel="getLabelMenu" onAction="onActionSelectMenu" getScreentip="getScreentipMenu" getSupertip="getSupertipMenu"/>
            <button id="cadastroCartoes_tab2" getLabel="getLabelMenu" onAction="onActionSelectMenu" getScreentip="getScreentipMenu" getSupertip="getSupertipMenu"/>
          </menu>
          <!-- /Despesas -->
        </group>
        <!-- /Grupo Menus -->
        <!-- Grupo Filtros -->
        <group id="filtrosDespesas" label="Filtros" getVisible="getVisibleGroup">
          <comboBox id="despesa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Situação" getLabel="getLabelFilters" sizeString="LARGURA_SITUAÇÃO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1" getVisible="getVisibleSeparatorFilters"/>
          <comboBox id="despesa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TipoDespes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DetalhamentoDespes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2" getVisible="getVisibleSeparatorFilters"/>
          <comboBox id="despesasFiltrosFormaPaga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CategoriaPaga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despesasFiltrosReceitaUsad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DespesasFiltros3" getVisible="getVisibleSeparatorFilters"/>
          <editBox id="despesasFiltrosDataVencimento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despesasFiltrosDataVencimento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DespesasFiltros4" getVisible="getVisibleSeparatorFilters"/>
          <editBox id="despesasFiltrosDiaVencimentoInicio" getLabel="getLabelFilters" sizeString="031" maxLength="2" getScreentip="getScreentipFilters" getSupertip="getSupertipFilters" onChange="onChangeFilters" getEnabled="getEnabledFilters" getVisible="getVisibleFilters" getText="getTextFilters"/>
          <editBox id="despesasFiltrosDiaVencimentoFim" getLabel="getLabelFilters" sizeString="031" maxLength="2" getScreentip="getScreentipFilters" getSupertip="getSupertipFilters" onChange="onChangeFilters" getEnabled="getEnabledFilters" getVisible="getVisibleFilters" getText="getTextFilters"/>
          <separator id="separadorDespesasFiltros5" getVisible="getVisibleSeparatorFilters"/>
          <editBox id="despesasFiltrosDiaFechamentoInicio" getLabel="getLabelFilters" sizeString="031" maxLength="2" getScreentip="getScreentipFilters" getSupertip="getSupertipFilters" onChange="onChangeFilters" getEnabled="getEnabledFilters" getVisible="getVisibleFilters" getText="getTextFilters"/>
          <editBox id="despesasFiltrosDiaFechamentoFim" getLabel="getLabelFilters" sizeString="031" maxLength="2" getScreentip="getScreentipFilters" getSupertip="getSupertipFilters" onChange="onChangeFilters" getEnabled="getEnabledFilters" getVisible="getVisibleFilters" getText="getTextFilters"/>
          <separator id="separadorDespesasFiltros6" getVisible="getVisibleSeparatorFilters"/>
          <button id="despesasFiltrosLimpar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DespesasFiltros7" getVisible="getVisibleSeparatorFilters"/>
          <checkBox id="classificarOrdemCrescente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  <!-- Grupo Trazer Despesas -->
        <group id="trazerDespesas" label="Trazer Despesas" getVisible="getVisibleGroup">
          <menu id="trazerDadosDespesas" label="Trazer Despesas" size="large" itemSize="large" image="trazerDespesas">
            <button id="trazerDespesasFixo" label="Despesas Fixas" onAction="onActionBringExpenses" image="despesasFixas" screentip="Trazer Despesas Fixas" supertip="Traz as despesas fixas para a tabela de despesas gerais." getEnabled="getEnabledBringExpenses"/>
            <button id="trazerDespesasVariavel" label="Despesas Parceladas" onAction="onActionBringExpenses" image="despesasVariaveis" screentip="Trazer Despesas Parceladas" supertip="Traz as despesas parceladas para a tabela de despesas gerais." getEnabled="getEnabledBringExpenses"/>
          </menu>
        </group>
        <!-- /Grupo Trazer Despesas -->
      </tab>
      <!-- /Aba Despesas -->
      <!-- Aba Receitas -->
      <tab id="tabReceitas" label="Receitas" insertBeforeMso="TabHome" getVisible="getVisibleTab">
        <!-- Grupo Menus -->
        <group id="apenasMenusReceitas" label="Menus">
          <!-- Receitas -->
          <menu id="MenuReceitas" size="large" itemSize="normal" label="Menus de Receitas" image="imageReceita" screentip="Menus de Receitas" supertip="Selecione algum menu referente aos cadastros de receitas.">
            <button id="registroReceitas_tab2" getLabel="getLabelMenu" onAction="onActionSelectMenu" getScreentip="getScreentipMenu" getSupertip="getSupertipMenu"/>
            <button id="cadastroTiposReceitas_tab2" getLabel="getLabelMenu" onAction="onActionSelectMenu" getScreentip="getScreentipMenu" getSupertip="getSupertipMenu"/>
            <button id="cadastroDestinosReceitas_tab2" getLabel="getLabelMenu" onAction="onActionSelectMenu" getScreentip="getScreentipMenu" getSupertip="getSupertipMenu"/>
          </menu>
          <!-- /Receitas -->
        </group>
        <!-- /Grupo Menus -->
        <!-- Grupo Filtros -->
        <group id="filtrosReceitas" label="Filtros" getVisible="getVisibleGroup">
          <comboBox id="receita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ReceitasFiltros1"/>
          <comboBox id="receitasFiltrosTipoReceit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Receita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receitasFiltrosDestin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ReceitasFiltros2"/>
          <editBox id="receitasFiltrosDataRecebida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receitasFiltrosDataRecebida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ReceitasFiltros3"/>
          <button id="despesasFiltrosLimpar_tab2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ReceitasFiltros4"/>
          <checkBox id="classificarOrdemCrescente_tab2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_tab2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_tab2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</tab>
      <!-- /Aba Receitas -->
      <!-- Aba Investimentos -->
      <tab id="tabInvestimentos" label="Investimentos" insertBeforeMso="TabHome" getVisible="getVisibleTab">
        <!-- Grupo Menus -->
        <group id="apenasMenusInvestimentos" label="Menus">
          <!-- Investimentos -->
          <menu id="MenuInvestimentos" size="large" itemSize="normal" label="Menus de Investimentos" image="imageInvestimento" screentip="Menus de Investimentos" supertip="Selecione algum menu referente aos cadastros de investimentos.">
            <button id="registroInvestimentos_tab2" getLabel="getLabelMenu" onAction="onActionSelectMenu" getScreentip="getScreentipMenu" getSupertip="getSupertipMenu"/>
            <button id="cadastroTiposInvestimentos_tab2" getLabel="getLabelMenu" onAction="onActionSelectMenu" getScreentip="getScreentipMenu" getSupertip="getSupertipMenu"/>
            <button id="cadastroFontesInvestimentos_tab2" getLabel="getLabelMenu" onAction="onActionSelectMenu" getScreentip="getScreentipMenu" getSupertip="getSupertipMenu"/>
          </menu>
          <!-- /Investimentos -->
        </group>
        <!-- /Grupo Menus -->
        <!-- Grupo Filtros -->
        <group id="filtrosInvestimentos" label="Filtros" getVisible="getVisibleGroup">
          <comboBox id="investimentosFiltrosAno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Mês" getLabel="getLabelFilters" sizeString="20250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Descriçã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InvestimentosFiltros1"/>
          <comboBox id="investimentosFiltrosTipoInvesti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Investimento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comboBox id="investimentosFiltrosFonte" getLabel="getLabelFilters" sizeString="MINHA_MAX_LARGURA_STRING" getScreentip="getScreentipFilters" getSupertip="getSupertipFilters" getItemCount="getItemCountFilters" getItemLabel="getItemLabelFilters" invalidateContentOnDrop="true" onChange="onChangeFilters" getEnabled="getEnabledFilters" getVisible="getVisibleFilters" getText="getTextFilters"/>
          <separator id="separadorInvestimentosFiltros2"/>
          <editBox id="investimentosFiltrosDataInvestimentoInicio" getLabel="getLabelFilters" sizeString="01/01/202500" maxLength="10" getScreentip="getScreentipFilters" getSupertip="getSupertipFilters" onChange="onChangeFilters" getEnabled="getEnabledFilters" getVisible="getVisibleFilters" getText="getTextFilters"/>
          <editBox id="investimentosFiltrosDataInvestimentoFim" getLabel="getLabelFilters" sizeString="01/01/202500" maxLength="10" getScreentip="getScreentipFilters" getSupertip="getSupertipFilters" onChange="onChangeFilters" getEnabled="getEnabledFilters" getVisible="getVisibleFilters" getText="getTextFilters"/>
          <separator id="separadorInvestimentosFiltros3"/>
          <button id="despesasFiltrosLimpar_tab3" label="Limpar Filtros" showLabel="false" size="large" onAction="onActionClearFiltersSettings" image="limparFiltro" screentip="Limpar Todos os Filtros" getSupertip="getSupertipFilters" getEnabled="getEnabledFilters" getVisible="getVisibleFilters"/>
          <separator id="separadorInvestimentosFiltros4"/>
          <checkBox id="classificarOrdemCrescente_tab3" label="Classificar Ordem Crescente" onAction="onActionFiltersSettings" screentip="Classificar em Ordem Crescente" getSupertip="getSupertipFilters" getEnabled="getEnabledFilters" getPressed="getPressedSortFilters" getVisible="getVisibleFilters"/>
          <checkBox id="classificarOrdemDecrescente_tab3" label="Classificar Ordem Decrescente" onAction="onActionFiltersSettings" screentip="Classificar em Ordem Decrescente" getSupertip="getSupertipFilters" getEnabled="getEnabledFilters" getPressed="getPressedSortFilters" getVisible="getVisibleFilters"/>
          <checkBox id="filtrosDependentes_tab3" label="Filtros Dependentes" onAction="onActionFiltersSettings" screentip="Filtros Dependentes" getSupertip="getSupertipFilters" getEnabled="getEnabledFilters" getPressed="getPressedSortFilters" getVisible="getVisibleFilters"/>
        </group>
        <!-- /Grupo Filtros -->
      </tab>
      <!-- /Aba Investimentos -->
    </tabs>
    <qat>
      <sharedControls>
        <control idMso="AutoSaveSwitch"/>
        <control idMso="FileSave"/>
        <control idMso="FileSaveAs" visible="false"/>
        <control idMso="Undo"/>
        <control idMso="Redo"/>
      </sharedControls>
    </qat>
    <contextualTabs>
      <tabSet idMso="TabSetTableToolsExcel">
        <tab idMso="TabTableToolsDesignExcel">
          <group id="GroupTablePropertiesNew" label="Opções de Estilo de Tabela" insertBeforeMso="GroupTableStylesExcel" visible="true">
            <checkBox idMso="TableStyleBandedRows"/>
            <checkBox idMso="TableStyleFilterButton"/>
          </group>
          <group idMso="GroupTableStylesExcel" visible="true"/>
          <group idMso="GroupTableStyleOptions" visible="false"/>
          <group idMso="GroupTableProperties" visible="false"/>
          <group idMso="GroupTableTools" visible="false"/>
          <group idMso="GroupTableExternalData" visible="false"/>
        </tab>
      </tabSet>
      <tabSet idMso="TabSetSmartArtTools">
        <tab idMso="TabSmartArtToolsDesign" visible="false"/>
        <tab idMso="TabSmartArtToolsFormat" visible="false"/>
      </tabSet>
      <tabSet idMso="TabSetChartTools">
        <tab idMso="TabChartToolsDesign" visible="false"/>
        <tab idMso="TabChartToolsLayout" visible="false"/>
        <tab idMso="TabChartToolsFormat" visible="false"/>
      </tabSet>
      <tabSet idMso="TabSetDrawingTools">
        <tab idMso="TabDrawingToolsFormat">
          <group idMso="GroupShapesChart" visible="false"/>
          <group idMso="GroupShapes" visible="false"/>
          <group idMso="GroupArrangeWith3DEditor" visible="false"/>
          <group idMso="GroupSize" visible="false"/>
          <group idMso="GroupAltText" visible="false"/>
          <group idMso="GroupChartCurrentSelection" visible="false"/>
        </tab>
      </tabSet>
      <tabSet idMso="TabSetPictureTools">
        <tab idMso="TabPictureToolsFormat" visible="false"/>
      </tabSet>
      <tabSet idMso="TabSetHeaderAndFooterTools">
        <tab idMso="TabHeaderAndFooterToolsDesign" visible="false"/>
      </tabSet>
      <tabSet idMso="TabSetInkTools">
        <tab idMso="TabInkToolsPens" visible="false"/>
      </tabSet>
      <tabSet idMso="TabSetSparkline">
        <tab idMso="TabSparklineDesign" visible="false"/>
      </tabSet>
      <tabSet idMso="TabSetSlicerTools">
        <tab idMso="TabSlicerDesign">
          <group idMso="GroupSlicerOptions" visible="false"/>
          <group idMso="GroupArrange" visible="false"/>
          <group idMso="GroupSize" visible="false"/>
        </tab>
      </tabSet>
      <tabSet idMso="TabSetEquationTools">
        <tab idMso="TabEquationToolsDesign" visible="false"/>
      </tabSet>
      <tabSet idMso="TabSetPivotTableTools" visible="false"/>
      <tabSet idMso="TabSetPivotChartTools" visible="false"/>
      <tabSet idMso="TabSetEquationTools" visible="false"/>
      <tabSet idMso="TabSetHeaderAndFooterTools" visible="false"/>
      <tabSet idMso="TabSetTimeSlicerTools" visible="false"/>
      <tabSet idMso="TabSetPowerQuerySearch" visible="false"/>
      <tabSet idMso="TabSetPowerQueryEdit" visible="false"/>
    </contextualTabs>
  </ribbon>
  <backstage>
    <button idMso="FileSave" visible="true"/>
    <button idMso="FileSaveAs" visible="false"/>
    <button idMso="FileOpen" visible="false"/>
    <button idMso="FileClose" visible="true"/>
    <button idMso="ApplicationOptionsDialog" visible="true"/>
    <button idMso="FileExit" visible="false"/>
    <button idMso="HistoryTab" visible="false"/>
    <button idMso="OfficeFeedback" visible="false"/>
    <button idMso="ShareDocument" visible="false"/>
    <tab idMso="OfficeFeedback" visible="false"/>
    <tab idMso="TabInfo" visible="false"/>
    <tab idMso="TabRecent" visible="false"/>
    <tab idMso="TabNew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  <tab idMso="Publish2Tab" visible="false"/>
    <tab idMso="TabOfficeFeedback" visible="false"/>
    <tab idMso="PlaceTabHome" visible="false"/>
    <tab idMso="TabBackgroundRemoval" visible="false"/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2A72570-236D-44CE-93E4-2EFBD915BD5A}">
  <ds:schemaRefs/>
</ds:datastoreItem>
</file>

<file path=customXml/itemProps2.xml><?xml version="1.0" encoding="utf-8"?>
<ds:datastoreItem xmlns:ds="http://schemas.openxmlformats.org/officeDocument/2006/customXml" ds:itemID="{9E2C56A2-DEDE-420A-B504-844DE674BB77}">
  <ds:schemaRefs/>
</ds:datastoreItem>
</file>

<file path=customXml/itemProps3.xml><?xml version="1.0" encoding="utf-8"?>
<ds:datastoreItem xmlns:ds="http://schemas.openxmlformats.org/officeDocument/2006/customXml" ds:itemID="{5AE1ADD2-09F4-4234-96F1-5CE5CE48AD5D}">
  <ds:schemaRefs/>
</ds:datastoreItem>
</file>

<file path=customXml/itemProps4.xml><?xml version="1.0" encoding="utf-8"?>
<ds:datastoreItem xmlns:ds="http://schemas.openxmlformats.org/officeDocument/2006/customXml" ds:itemID="{06394369-6951-4DAF-9FC5-484F03C628C3}">
  <ds:schemaRefs/>
</ds:datastoreItem>
</file>

<file path=customXml/itemProps5.xml><?xml version="1.0" encoding="utf-8"?>
<ds:datastoreItem xmlns:ds="http://schemas.openxmlformats.org/officeDocument/2006/customXml" ds:itemID="{07B7278C-E19E-4BB1-AFAA-CC7EE15C1EAB}">
  <ds:schemaRefs/>
</ds:datastoreItem>
</file>

<file path=customXml/itemProps6.xml><?xml version="1.0" encoding="utf-8"?>
<ds:datastoreItem xmlns:ds="http://schemas.openxmlformats.org/officeDocument/2006/customXml" ds:itemID="{CE14DEB4-0DB9-4C2E-BF6E-9AAEB076D5D8}">
  <ds:schemaRefs/>
</ds:datastoreItem>
</file>

<file path=customXml/itemProps7.xml><?xml version="1.0" encoding="utf-8"?>
<ds:datastoreItem xmlns:ds="http://schemas.openxmlformats.org/officeDocument/2006/customXml" ds:itemID="{65B01EEA-8F30-4C3E-8C48-C98E695C7D66}">
  <ds:schemaRefs/>
</ds:datastoreItem>
</file>

<file path=customXml/itemProps8.xml><?xml version="1.0" encoding="utf-8"?>
<ds:datastoreItem xmlns:ds="http://schemas.openxmlformats.org/officeDocument/2006/customXml" ds:itemID="{BC2D7655-8B91-468D-817E-43C45673FF38}">
  <ds:schemaRefs/>
</ds:datastoreItem>
</file>

<file path=customXml/itemProps9.xml><?xml version="1.0" encoding="utf-8"?>
<ds:datastoreItem xmlns:ds="http://schemas.openxmlformats.org/officeDocument/2006/customXml" ds:itemID="{42A92D07-3F1E-47CE-B91C-A85FAB6F29B0}">
  <ds:schemaRefs/>
</ds:datastoreItem>
</file>

<file path=customXml/itemProps10.xml><?xml version="1.0" encoding="utf-8"?>
<ds:datastoreItem xmlns:ds="http://schemas.openxmlformats.org/officeDocument/2006/customXml" ds:itemID="{DC0DC593-902B-4C42-A79C-2C768408689B}">
  <ds:schemaRefs/>
</ds:datastoreItem>
</file>

<file path=customXml/itemProps11.xml><?xml version="1.0" encoding="utf-8"?>
<ds:datastoreItem xmlns:ds="http://schemas.openxmlformats.org/officeDocument/2006/customXml" ds:itemID="{E018BDF4-8482-43A1-BB8A-4AE971C0EB03}">
  <ds:schemaRefs/>
</ds:datastoreItem>
</file>

<file path=customXml/itemProps12.xml><?xml version="1.0" encoding="utf-8"?>
<ds:datastoreItem xmlns:ds="http://schemas.openxmlformats.org/officeDocument/2006/customXml" ds:itemID="{BDB4E385-9B2A-4287-AD37-4D6A5E72C1EE}">
  <ds:schemaRefs/>
</ds:datastoreItem>
</file>

<file path=customXml/itemProps13.xml><?xml version="1.0" encoding="utf-8"?>
<ds:datastoreItem xmlns:ds="http://schemas.openxmlformats.org/officeDocument/2006/customXml" ds:itemID="{683F3A2A-3393-4BB7-94CA-A884F7748734}">
  <ds:schemaRefs/>
</ds:datastoreItem>
</file>

<file path=customXml/itemProps14.xml><?xml version="1.0" encoding="utf-8"?>
<ds:datastoreItem xmlns:ds="http://schemas.openxmlformats.org/officeDocument/2006/customXml" ds:itemID="{69B1CD0B-4052-464B-AAA9-5605C9F84AE8}">
  <ds:schemaRefs/>
</ds:datastoreItem>
</file>

<file path=customXml/itemProps15.xml><?xml version="1.0" encoding="utf-8"?>
<ds:datastoreItem xmlns:ds="http://schemas.openxmlformats.org/officeDocument/2006/customXml" ds:itemID="{499D7F8D-92D2-4807-84EB-B2743213D749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8C80D676-3E51-4A27-B39C-B3A8E7E79521}">
  <ds:schemaRefs/>
</ds:datastoreItem>
</file>

<file path=customXml/itemProps17.xml><?xml version="1.0" encoding="utf-8"?>
<ds:datastoreItem xmlns:ds="http://schemas.openxmlformats.org/officeDocument/2006/customXml" ds:itemID="{69F34C77-5FCA-4D63-B5F7-FA31A46AD4C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Intervalos Nomeados</vt:lpstr>
      </vt:variant>
      <vt:variant>
        <vt:i4>4</vt:i4>
      </vt:variant>
    </vt:vector>
  </HeadingPairs>
  <TitlesOfParts>
    <vt:vector size="27" baseType="lpstr">
      <vt:lpstr>Listas</vt:lpstr>
      <vt:lpstr>Filtros</vt:lpstr>
      <vt:lpstr>Despesas</vt:lpstr>
      <vt:lpstr>TiposdeDespesas</vt:lpstr>
      <vt:lpstr>FormasdePagamento</vt:lpstr>
      <vt:lpstr>DespesasFixas</vt:lpstr>
      <vt:lpstr>DespesasVariáveis</vt:lpstr>
      <vt:lpstr>tabelaVariáveis</vt:lpstr>
      <vt:lpstr>Receitas</vt:lpstr>
      <vt:lpstr>TiposdeReceitas</vt:lpstr>
      <vt:lpstr>DestinoFontes</vt:lpstr>
      <vt:lpstr>Investimentos</vt:lpstr>
      <vt:lpstr>TiposdeInvestimentos</vt:lpstr>
      <vt:lpstr>Cartões</vt:lpstr>
      <vt:lpstr>Restaurar</vt:lpstr>
      <vt:lpstr>dadosDashResumo</vt:lpstr>
      <vt:lpstr>dadosDashDespesas</vt:lpstr>
      <vt:lpstr>dadosDashReceitas</vt:lpstr>
      <vt:lpstr>dadosDashInvestimentos</vt:lpstr>
      <vt:lpstr>dashResumo</vt:lpstr>
      <vt:lpstr>dashDespesas</vt:lpstr>
      <vt:lpstr>dashReceitas</vt:lpstr>
      <vt:lpstr>dashInvestimentos</vt:lpstr>
      <vt:lpstr>cabecalhoFormasdePagameto</vt:lpstr>
      <vt:lpstr>cabecalhoTiposdeDespesas</vt:lpstr>
      <vt:lpstr>cabecalhoTiposdeInvestimentos</vt:lpstr>
      <vt:lpstr>cabecalhoTiposdeReceitas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ISAC SOARES BARRETO</dc:creator>
  <cp:lastModifiedBy>ISAC SOARES BARRETO</cp:lastModifiedBy>
  <cp:lastPrinted>2025-09-05T04:26:25Z</cp:lastPrinted>
  <dcterms:created xsi:type="dcterms:W3CDTF">2025-04-04T22:34:46Z</dcterms:created>
  <dcterms:modified xsi:type="dcterms:W3CDTF">2025-09-10T05:24:37Z</dcterms:modified>
</cp:coreProperties>
</file>