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120" yWindow="60" windowWidth="15255" windowHeight="7950" activeTab="7"/>
  </bookViews>
  <sheets>
    <sheet name="Q1-4" sheetId="5" r:id="rId1"/>
    <sheet name="Q5" sheetId="2" r:id="rId2"/>
    <sheet name="Q6" sheetId="3" r:id="rId3"/>
    <sheet name="Q7" sheetId="4" r:id="rId4"/>
    <sheet name="Q8" sheetId="6" r:id="rId5"/>
    <sheet name="Q9" sheetId="7" r:id="rId6"/>
    <sheet name="Sheet2" sheetId="9" r:id="rId7"/>
    <sheet name="Sheet3" sheetId="10" r:id="rId8"/>
  </sheets>
  <calcPr calcId="125725"/>
</workbook>
</file>

<file path=xl/calcChain.xml><?xml version="1.0" encoding="utf-8"?>
<calcChain xmlns="http://schemas.openxmlformats.org/spreadsheetml/2006/main">
  <c r="K41" i="7"/>
  <c r="L41"/>
  <c r="M41"/>
  <c r="J41"/>
  <c r="K40"/>
  <c r="L40"/>
  <c r="M40"/>
  <c r="J40"/>
  <c r="K39"/>
  <c r="L39"/>
  <c r="M39"/>
  <c r="J39"/>
  <c r="K38"/>
  <c r="L38"/>
  <c r="M38"/>
  <c r="J38"/>
  <c r="K37"/>
  <c r="L37"/>
  <c r="M37"/>
  <c r="J37"/>
  <c r="L36"/>
  <c r="M36"/>
  <c r="K36"/>
  <c r="L35"/>
  <c r="M35"/>
  <c r="K35"/>
  <c r="L34"/>
  <c r="M34"/>
  <c r="K34"/>
  <c r="K31"/>
  <c r="L31"/>
  <c r="M31"/>
  <c r="J31"/>
  <c r="K30"/>
  <c r="L30"/>
  <c r="M30"/>
  <c r="J30"/>
  <c r="K29"/>
  <c r="L29"/>
  <c r="M29"/>
  <c r="J29"/>
  <c r="K25"/>
  <c r="L25"/>
  <c r="M25"/>
  <c r="J25"/>
  <c r="J14"/>
  <c r="K14"/>
  <c r="L14"/>
  <c r="M14"/>
  <c r="I14"/>
  <c r="J13"/>
  <c r="K13"/>
  <c r="L13"/>
  <c r="M13"/>
  <c r="I13"/>
  <c r="F21" i="4"/>
  <c r="F19"/>
  <c r="H17"/>
  <c r="G15"/>
  <c r="G10"/>
  <c r="G9"/>
  <c r="G8"/>
  <c r="G7"/>
  <c r="G6"/>
  <c r="G5"/>
  <c r="C40" i="9"/>
  <c r="D40"/>
  <c r="E40"/>
  <c r="F40"/>
  <c r="B40"/>
  <c r="C39"/>
  <c r="D39"/>
  <c r="E39"/>
  <c r="F39"/>
  <c r="B39"/>
  <c r="C38"/>
  <c r="D38"/>
  <c r="E38"/>
  <c r="F38"/>
  <c r="B38"/>
  <c r="C37"/>
  <c r="D37"/>
  <c r="E37"/>
  <c r="F37"/>
  <c r="B37"/>
  <c r="C36"/>
  <c r="D36"/>
  <c r="E36"/>
  <c r="F36"/>
  <c r="B36"/>
  <c r="C35"/>
  <c r="D35"/>
  <c r="E35"/>
  <c r="F35"/>
  <c r="B35"/>
  <c r="C34"/>
  <c r="D34"/>
  <c r="E34"/>
  <c r="F34"/>
  <c r="B34"/>
  <c r="K13"/>
  <c r="L13"/>
  <c r="M13"/>
  <c r="J13"/>
  <c r="K5"/>
  <c r="L5"/>
  <c r="M5"/>
  <c r="K8"/>
  <c r="L8"/>
  <c r="M8"/>
  <c r="J8"/>
  <c r="K7"/>
  <c r="L7"/>
  <c r="M7"/>
  <c r="J7"/>
  <c r="K6"/>
  <c r="L6"/>
  <c r="M6"/>
  <c r="J6"/>
  <c r="J5"/>
  <c r="J16" i="7"/>
  <c r="K16"/>
  <c r="L16"/>
  <c r="M16"/>
  <c r="I16"/>
  <c r="J15"/>
  <c r="K15"/>
  <c r="L15"/>
  <c r="M15"/>
  <c r="I15"/>
  <c r="K33"/>
  <c r="L33"/>
  <c r="M33"/>
  <c r="J33"/>
  <c r="J34"/>
  <c r="J35"/>
  <c r="J36"/>
  <c r="K22"/>
  <c r="L22"/>
  <c r="M22"/>
  <c r="J22"/>
  <c r="K21"/>
  <c r="L21"/>
  <c r="M21"/>
  <c r="J21"/>
  <c r="H12" i="5"/>
  <c r="D9"/>
  <c r="G13" i="3"/>
  <c r="F11"/>
  <c r="E9"/>
  <c r="E6"/>
  <c r="I13"/>
  <c r="I12"/>
  <c r="I11"/>
  <c r="I9"/>
  <c r="I7"/>
  <c r="C18"/>
  <c r="D17"/>
  <c r="E8" i="2"/>
  <c r="H10"/>
  <c r="H8"/>
  <c r="E5"/>
</calcChain>
</file>

<file path=xl/sharedStrings.xml><?xml version="1.0" encoding="utf-8"?>
<sst xmlns="http://schemas.openxmlformats.org/spreadsheetml/2006/main" count="297" uniqueCount="173">
  <si>
    <r>
      <t>5.</t>
    </r>
    <r>
      <rPr>
        <sz val="12"/>
        <color theme="1"/>
        <rFont val="Calibri"/>
        <family val="2"/>
        <scheme val="minor"/>
      </rPr>
      <t xml:space="preserve"> A firm has PBIT of Rs. 80000, interest charges of Rs. 8000, taxes of Rs. 30,000, total assets of Rs. 5,00,000 and total liabilities of Rs. 3,00,000. What is its interest coverage and return on equity?</t>
    </r>
  </si>
  <si>
    <r>
      <t>7.</t>
    </r>
    <r>
      <rPr>
        <sz val="12"/>
        <color theme="1"/>
        <rFont val="Calibri"/>
        <family val="2"/>
        <scheme val="minor"/>
      </rPr>
      <t xml:space="preserve"> The following figures relate to trading activities of Hind Traders Limited for the year ended 30</t>
    </r>
    <r>
      <rPr>
        <vertAlign val="superscript"/>
        <sz val="12"/>
        <color theme="1"/>
        <rFont val="Calibri"/>
        <family val="2"/>
        <scheme val="minor"/>
      </rPr>
      <t>th</t>
    </r>
    <r>
      <rPr>
        <sz val="12"/>
        <color theme="1"/>
        <rFont val="Calibri"/>
        <family val="2"/>
        <scheme val="minor"/>
      </rPr>
      <t xml:space="preserve"> June, 20X1:</t>
    </r>
  </si>
  <si>
    <t>Rs.</t>
  </si>
  <si>
    <t>Sales</t>
  </si>
  <si>
    <t>Administrative Expenses</t>
  </si>
  <si>
    <t>Purchase</t>
  </si>
  <si>
    <t>Salaries</t>
  </si>
  <si>
    <t>Opening Stock</t>
  </si>
  <si>
    <t>Rent</t>
  </si>
  <si>
    <t>Closing Stock</t>
  </si>
  <si>
    <t>Stationery, Postage etc.</t>
  </si>
  <si>
    <t>Sales Return</t>
  </si>
  <si>
    <t>Depreciation</t>
  </si>
  <si>
    <t>Selling and Distribution Expenses</t>
  </si>
  <si>
    <t>Other Charges</t>
  </si>
  <si>
    <t>Provision for taxation</t>
  </si>
  <si>
    <t xml:space="preserve">Advertising </t>
  </si>
  <si>
    <t>Non-operating income</t>
  </si>
  <si>
    <t>Travelling</t>
  </si>
  <si>
    <t>Dividend on shares</t>
  </si>
  <si>
    <t>Non-operating expenses</t>
  </si>
  <si>
    <t>Profit on sale of shares</t>
  </si>
  <si>
    <t>Loss on sale of assets</t>
  </si>
  <si>
    <t>You are required: (1) rearrange the above figures in a form suitable for analysis, (2) show separately the following ratios: gross profit margin ratio, operating expenses ratio, stock turnover ratio.</t>
  </si>
  <si>
    <t>Liabilities</t>
  </si>
  <si>
    <t>Assets</t>
  </si>
  <si>
    <t>Current debt</t>
  </si>
  <si>
    <t>Cash</t>
  </si>
  <si>
    <t xml:space="preserve">Long-term debt </t>
  </si>
  <si>
    <t>Inventory</t>
  </si>
  <si>
    <t>Total debt</t>
  </si>
  <si>
    <t>Total current assets</t>
  </si>
  <si>
    <t>Owners’ equity</t>
  </si>
  <si>
    <t>Fixed assets</t>
  </si>
  <si>
    <t>Total capital</t>
  </si>
  <si>
    <t>Total assets</t>
  </si>
  <si>
    <r>
      <t xml:space="preserve"> </t>
    </r>
    <r>
      <rPr>
        <b/>
        <sz val="12"/>
        <color theme="1"/>
        <rFont val="Calibri"/>
        <family val="2"/>
        <scheme val="minor"/>
      </rPr>
      <t>9.</t>
    </r>
    <r>
      <rPr>
        <sz val="12"/>
        <color theme="1"/>
        <rFont val="Calibri"/>
        <family val="2"/>
        <scheme val="minor"/>
      </rPr>
      <t xml:space="preserve"> The summary of the balance sheets and the profit and loss accounts from 19X1 to 19X5 for Jagan Limited is given below. During this period, the company undertook a major expansion programme. You are required to calculate important ratios for the five years and assess the financial health of the company. Also, explain the implications of the development of the financial health of the company for the shareholders.</t>
    </r>
  </si>
  <si>
    <t xml:space="preserve">                                                         Balance sheets                                            (Rs. ‘000)</t>
  </si>
  <si>
    <t>Liabilities and Equity</t>
  </si>
  <si>
    <t>Creditors</t>
  </si>
  <si>
    <t>Debentures</t>
  </si>
  <si>
    <t>Share capital</t>
  </si>
  <si>
    <t>Reserves</t>
  </si>
  <si>
    <t>Total</t>
  </si>
  <si>
    <t>Debtors</t>
  </si>
  <si>
    <t>Stock</t>
  </si>
  <si>
    <t xml:space="preserve">                  Profit and Loss Accounts (Summary)                                            (Rs. ‘000)</t>
  </si>
  <si>
    <t>19X1</t>
  </si>
  <si>
    <t>19X2</t>
  </si>
  <si>
    <t>19X3</t>
  </si>
  <si>
    <t>19X4</t>
  </si>
  <si>
    <t>19X5</t>
  </si>
  <si>
    <t>Cost of goods sold</t>
  </si>
  <si>
    <t>Gross profit</t>
  </si>
  <si>
    <t>Operating expenses</t>
  </si>
  <si>
    <t>EBIT</t>
  </si>
  <si>
    <t>Interest</t>
  </si>
  <si>
    <t>PBT</t>
  </si>
  <si>
    <t>Tax</t>
  </si>
  <si>
    <t>Net profit</t>
  </si>
  <si>
    <t>No. of shares</t>
  </si>
  <si>
    <t>P/E ratio</t>
  </si>
  <si>
    <t>Interest coverage ratio : PBIT/Interest charges</t>
  </si>
  <si>
    <t>times</t>
  </si>
  <si>
    <t>Return on equity: PAT/Shareholder's funds</t>
  </si>
  <si>
    <t>PBIT</t>
  </si>
  <si>
    <t>Less: Interest charges</t>
  </si>
  <si>
    <t>Less: Taxes</t>
  </si>
  <si>
    <t>PAT</t>
  </si>
  <si>
    <r>
      <t>6.</t>
    </r>
    <r>
      <rPr>
        <sz val="12"/>
        <color theme="1"/>
        <rFont val="Calibri"/>
        <family val="2"/>
        <scheme val="minor"/>
      </rPr>
      <t xml:space="preserve"> A company has made plans for next year. It is estimated that the company will employ total assets of Rs. 8,00,000, 50% of the assets being financed by borrowed capital at an interest cost of 8% per annum. The direct cost for the year are estimated at Rs. 4,80,000 and all other operating expenses are estimated at Rs. 80,000. The goods will be sold to customer at 150% of the direct costs. Tax rate is assumed to be 50%. You are required to calculate: (i) NPM, (ii) ROA, (iii) Asset t/o, and (iv) Return on Owners’ Equity</t>
    </r>
  </si>
  <si>
    <t>i)</t>
  </si>
  <si>
    <t>NPM=PAT/Sales*100</t>
  </si>
  <si>
    <t xml:space="preserve">ii) </t>
  </si>
  <si>
    <t>ROA = EBIT/Total assets</t>
  </si>
  <si>
    <t xml:space="preserve">iii) </t>
  </si>
  <si>
    <t>Asset T/o ratio= Sales/ Total assets</t>
  </si>
  <si>
    <t xml:space="preserve">iv) </t>
  </si>
  <si>
    <t>Return on equity(ROE) = PAT/Shareholder's funds</t>
  </si>
  <si>
    <t>Sales (150% of 480000)</t>
  </si>
  <si>
    <t>Less: direct cost</t>
  </si>
  <si>
    <t>Gross Profit</t>
  </si>
  <si>
    <t>Less; operating expenses</t>
  </si>
  <si>
    <t xml:space="preserve">EBIT or operating profit </t>
  </si>
  <si>
    <t>Less: Interest (8%of 400000)</t>
  </si>
  <si>
    <t>EBT</t>
  </si>
  <si>
    <t>Less: Tax @ 50% of EBT</t>
  </si>
  <si>
    <t>Rs</t>
  </si>
  <si>
    <t>Particulars</t>
  </si>
  <si>
    <r>
      <t>1.</t>
    </r>
    <r>
      <rPr>
        <sz val="12"/>
        <color theme="1"/>
        <rFont val="Calibri"/>
        <family val="2"/>
        <scheme val="minor"/>
      </rPr>
      <t xml:space="preserve"> A firm’s sales are Rs. 450000, cost of goods sold is Rs. 240000 and inventory is Rs. 90000. What is its inventory turnover? Also, calculate the firm’s gross margin.</t>
    </r>
  </si>
  <si>
    <r>
      <t>2.</t>
    </r>
    <r>
      <rPr>
        <sz val="12"/>
        <color theme="1"/>
        <rFont val="Calibri"/>
        <family val="2"/>
        <scheme val="minor"/>
      </rPr>
      <t xml:space="preserve"> The only current assets possessed by a firm are: cash Rs. 105000, inventories Rs. 560000 and debtors Rs. 420000. If the current ratio for the firm is 2:1, determine its current liabilities. Also, calculate the firm’s quick ratio.</t>
    </r>
  </si>
  <si>
    <r>
      <t xml:space="preserve">3. </t>
    </r>
    <r>
      <rPr>
        <sz val="12"/>
        <color theme="1"/>
        <rFont val="Calibri"/>
        <family val="2"/>
        <scheme val="minor"/>
      </rPr>
      <t>A company has an inventory of Rs. 180000, debtors of Rs. 115000 and an inventory turnover of 6. The gross profit margin of the company is 10% and its credit sales are 20% of the total sales. Calculate the average collection period. (Assume a 360-days year).</t>
    </r>
  </si>
  <si>
    <r>
      <t>4.</t>
    </r>
    <r>
      <rPr>
        <sz val="12"/>
        <color theme="1"/>
        <rFont val="Calibri"/>
        <family val="2"/>
        <scheme val="minor"/>
      </rPr>
      <t xml:space="preserve"> A company has the shareholders’ equity of Rs. 250000, total assets is 160% of shareholders’ equity, while the asset turnover is 4. If the company has an inventory turnover of 5, determine the amount of inventory.</t>
    </r>
  </si>
  <si>
    <r>
      <t>8.</t>
    </r>
    <r>
      <rPr>
        <sz val="12"/>
        <color theme="1"/>
        <rFont val="Calibri"/>
        <family val="2"/>
        <scheme val="minor"/>
      </rPr>
      <t xml:space="preserve"> Assume that a firm has owners’ equity of Rs. 1,00,000. The ratios of the firm are: current debt to total debt 0.40, total debt to owners’ equity 0.60, fixed assets to owners’ equity 0.60, total assets turnover is 2 times, and inventory turnover is 8 times.Complete the following Balance Sheet using the information given above:</t>
    </r>
  </si>
  <si>
    <t>Less: Sales return</t>
  </si>
  <si>
    <t>Net sales</t>
  </si>
  <si>
    <t xml:space="preserve">Less: COGS </t>
  </si>
  <si>
    <t>Less: operating expenses</t>
  </si>
  <si>
    <t>Operating profit</t>
  </si>
  <si>
    <t>Add/Less Non operating surplus or deficit</t>
  </si>
  <si>
    <t>Less: Interest</t>
  </si>
  <si>
    <t>Less: Prov for taxation</t>
  </si>
  <si>
    <t>Gross Profit margin ratio: GP/Sales*100</t>
  </si>
  <si>
    <t>Operating expenses ratio: operating expenses/sales*100</t>
  </si>
  <si>
    <t>Inventory  or stock turnover ratio: COGS/Avg. Inv or stock</t>
  </si>
  <si>
    <t>current debt/total debt = 0.4</t>
  </si>
  <si>
    <t>Total Debt /owner's equity = 0.6</t>
  </si>
  <si>
    <t>Inventory turnover=cogs/inventory=8</t>
  </si>
  <si>
    <t>Solution 4</t>
  </si>
  <si>
    <t>Shareholder's equity= 250000</t>
  </si>
  <si>
    <t>Total assets = 160% of 250000=</t>
  </si>
  <si>
    <t>Total assets turnover = COGS or Sales/Total Assets=</t>
  </si>
  <si>
    <t>cogs/400000=4</t>
  </si>
  <si>
    <t>Inventory turnover ratio= COGS/Inventory=5</t>
  </si>
  <si>
    <t>Inventory = COGS/5=</t>
  </si>
  <si>
    <t>Income statement</t>
  </si>
  <si>
    <t>Shareholder's funds = Total assets - Liabilities =200000</t>
  </si>
  <si>
    <t>Total assets: 800000</t>
  </si>
  <si>
    <t>Total Debt: 400000</t>
  </si>
  <si>
    <t xml:space="preserve">Interest charges: </t>
  </si>
  <si>
    <t xml:space="preserve">Sales: </t>
  </si>
  <si>
    <t>COGS=1600000</t>
  </si>
  <si>
    <t>Shareholder's funds=400000</t>
  </si>
  <si>
    <t>ROA</t>
  </si>
  <si>
    <t>Inv TO</t>
  </si>
  <si>
    <t>GPM</t>
  </si>
  <si>
    <t>Earning yield</t>
  </si>
  <si>
    <t>drs. TO</t>
  </si>
  <si>
    <t>15</t>
  </si>
  <si>
    <t>18</t>
  </si>
  <si>
    <t>ICR</t>
  </si>
  <si>
    <t>1.79</t>
  </si>
  <si>
    <t>1.6</t>
  </si>
  <si>
    <t>Debt/Equity</t>
  </si>
  <si>
    <t>Debt /Assets</t>
  </si>
  <si>
    <t>Total Assets TO</t>
  </si>
  <si>
    <t>ROE</t>
  </si>
  <si>
    <t>Index Analysis</t>
  </si>
  <si>
    <t>Comparative analysis</t>
  </si>
  <si>
    <t>EPS</t>
  </si>
  <si>
    <t>Current ratio</t>
  </si>
  <si>
    <t>Quick ratio</t>
  </si>
  <si>
    <t>19X1 is base year</t>
  </si>
  <si>
    <t>Comparative Statement</t>
  </si>
  <si>
    <t>Ratio value</t>
  </si>
  <si>
    <t>Quick Ratio</t>
  </si>
  <si>
    <t>Debt to Equity</t>
  </si>
  <si>
    <t>Interest coverage ratio</t>
  </si>
  <si>
    <t>Current Ratio</t>
  </si>
  <si>
    <t>Total asset turnover=cogs/Total assets= 2 times</t>
  </si>
  <si>
    <t>TD/100000=0.6; TD=0.6*100000=60000</t>
  </si>
  <si>
    <t>CD/60000=0.4; CD=0.4*60000=24000</t>
  </si>
  <si>
    <t>cogs/160000=2 or cogs=320000</t>
  </si>
  <si>
    <t>320000/inv=8; Inv= 320000/8 = 40000</t>
  </si>
  <si>
    <t xml:space="preserve">Solution                                                                                   </t>
  </si>
  <si>
    <t>Inventory turnover Ratio = COGS/Avg. Inventory; ITR=240000/90000= 2.67 times         Gross Margin ratio = (Sales-COGS)/Sales*100; Gross margin= (450000-240000)/450000*100; Gross margin = 46.67%</t>
  </si>
  <si>
    <t>Current Assets = Cash+Inventories+Debtors = 105000+560000+420000= 1085000; Current Ratio = CA/CL = 2/1; CL = CA/2 = 1085000/2= 542500;                                        Quick Ratio =( CA-Inv)/CL; QR= (1085000-560000)/542500=0.97</t>
  </si>
  <si>
    <t>Inventory Turnover= COGS/Inventory; 6=COGS/180000; COGS=1080000                           Sales-COGS/Sales*100=10; Sales=1200000; Credit sales = .2*sales =240000                         Average collection Period= No. of days in a year/Drs. Turnover Ratio                                            ACP= 360/(240000/420000); ACP= 360/2.09; ACP= 172.25 days</t>
  </si>
  <si>
    <t>INCOME STATEMENT</t>
  </si>
  <si>
    <t>particulars</t>
  </si>
  <si>
    <t>Less: Sales Return</t>
  </si>
  <si>
    <t>Net Sales</t>
  </si>
  <si>
    <t>Less: Cost of Goods Sold</t>
  </si>
  <si>
    <t>Cogs= Op. Stock+Net Purchases+Direct Exp-Cl. Stock</t>
  </si>
  <si>
    <t>Less: Operating Expenses</t>
  </si>
  <si>
    <t>Operating Profit</t>
  </si>
  <si>
    <t>Add: Non operating Income &amp; Less: Non op Expenses</t>
  </si>
  <si>
    <t>Earning Before Interest and Tax (EBIT)</t>
  </si>
  <si>
    <t>Less: Tax (calculated as a %age of EBT)</t>
  </si>
  <si>
    <t>PAT or EAT</t>
  </si>
  <si>
    <t>Less: Prefernce Dividend</t>
  </si>
  <si>
    <t>Income available to Equity Shareholders</t>
  </si>
  <si>
    <t>Less: Equity Divend</t>
  </si>
  <si>
    <t>Retained Earnings</t>
  </si>
</sst>
</file>

<file path=xl/styles.xml><?xml version="1.0" encoding="utf-8"?>
<styleSheet xmlns="http://schemas.openxmlformats.org/spreadsheetml/2006/main">
  <fonts count="8">
    <font>
      <sz val="11"/>
      <color theme="1"/>
      <name val="Calibri"/>
      <family val="2"/>
      <scheme val="minor"/>
    </font>
    <font>
      <b/>
      <sz val="11"/>
      <color theme="1"/>
      <name val="Calibri"/>
      <family val="2"/>
      <scheme val="minor"/>
    </font>
    <font>
      <b/>
      <sz val="12"/>
      <color theme="1"/>
      <name val="Calibri"/>
      <family val="2"/>
      <scheme val="minor"/>
    </font>
    <font>
      <sz val="12"/>
      <color theme="1"/>
      <name val="Calibri"/>
      <family val="2"/>
      <scheme val="minor"/>
    </font>
    <font>
      <vertAlign val="superscript"/>
      <sz val="12"/>
      <color theme="1"/>
      <name val="Calibri"/>
      <family val="2"/>
      <scheme val="minor"/>
    </font>
    <font>
      <b/>
      <i/>
      <sz val="12"/>
      <color theme="1"/>
      <name val="Calibri"/>
      <family val="2"/>
      <scheme val="minor"/>
    </font>
    <font>
      <i/>
      <sz val="12"/>
      <color theme="1"/>
      <name val="Calibri"/>
      <family val="2"/>
      <scheme val="minor"/>
    </font>
    <font>
      <sz val="16"/>
      <color theme="1"/>
      <name val="Calibri"/>
      <family val="2"/>
      <scheme val="minor"/>
    </font>
  </fonts>
  <fills count="3">
    <fill>
      <patternFill patternType="none"/>
    </fill>
    <fill>
      <patternFill patternType="gray125"/>
    </fill>
    <fill>
      <patternFill patternType="solid">
        <fgColor rgb="FFFFFF00"/>
        <bgColor indexed="64"/>
      </patternFill>
    </fill>
  </fills>
  <borders count="9">
    <border>
      <left/>
      <right/>
      <top/>
      <bottom/>
      <diagonal/>
    </border>
    <border>
      <left/>
      <right/>
      <top style="medium">
        <color indexed="64"/>
      </top>
      <bottom style="medium">
        <color indexed="64"/>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59">
    <xf numFmtId="0" fontId="0" fillId="0" borderId="0" xfId="0"/>
    <xf numFmtId="0" fontId="2" fillId="0" borderId="0" xfId="0" applyFont="1"/>
    <xf numFmtId="0" fontId="3" fillId="0" borderId="0" xfId="0" applyFont="1"/>
    <xf numFmtId="0" fontId="3" fillId="0" borderId="1" xfId="0" applyFont="1" applyBorder="1" applyAlignment="1">
      <alignment vertical="top" wrapText="1"/>
    </xf>
    <xf numFmtId="0" fontId="3" fillId="0" borderId="1" xfId="0" applyFont="1" applyBorder="1" applyAlignment="1">
      <alignment horizontal="right" vertical="top" wrapText="1"/>
    </xf>
    <xf numFmtId="0" fontId="3" fillId="0" borderId="0" xfId="0" applyFont="1" applyAlignment="1">
      <alignment vertical="top" wrapText="1"/>
    </xf>
    <xf numFmtId="3" fontId="3" fillId="0" borderId="0" xfId="0" applyNumberFormat="1" applyFont="1" applyAlignment="1">
      <alignment horizontal="right" vertical="top" wrapText="1"/>
    </xf>
    <xf numFmtId="0" fontId="5" fillId="0" borderId="0" xfId="0" applyFont="1" applyAlignment="1">
      <alignment vertical="top" wrapText="1"/>
    </xf>
    <xf numFmtId="0" fontId="3" fillId="0" borderId="0" xfId="0" applyFont="1" applyAlignment="1">
      <alignment horizontal="right" vertical="top" wrapText="1"/>
    </xf>
    <xf numFmtId="0" fontId="3" fillId="0" borderId="2" xfId="0" applyFont="1" applyBorder="1" applyAlignment="1">
      <alignment vertical="top" wrapText="1"/>
    </xf>
    <xf numFmtId="3" fontId="3" fillId="0" borderId="2" xfId="0" applyNumberFormat="1" applyFont="1" applyBorder="1" applyAlignment="1">
      <alignment horizontal="right" vertical="top" wrapText="1"/>
    </xf>
    <xf numFmtId="0" fontId="3" fillId="0" borderId="2" xfId="0" applyFont="1" applyBorder="1" applyAlignment="1">
      <alignment horizontal="right" vertical="top" wrapText="1"/>
    </xf>
    <xf numFmtId="0" fontId="2" fillId="0" borderId="0" xfId="0" applyFont="1" applyAlignment="1">
      <alignment vertical="top" wrapText="1"/>
    </xf>
    <xf numFmtId="0" fontId="0" fillId="0" borderId="3" xfId="0" applyBorder="1"/>
    <xf numFmtId="9" fontId="0" fillId="0" borderId="0" xfId="0" applyNumberFormat="1"/>
    <xf numFmtId="0" fontId="1" fillId="0" borderId="3" xfId="0" applyFont="1" applyBorder="1"/>
    <xf numFmtId="0" fontId="1" fillId="0" borderId="0" xfId="0" applyFont="1"/>
    <xf numFmtId="10" fontId="0" fillId="0" borderId="0" xfId="0" applyNumberFormat="1"/>
    <xf numFmtId="0" fontId="2" fillId="0" borderId="3" xfId="0" applyFont="1" applyBorder="1" applyAlignment="1">
      <alignment vertical="top" wrapText="1"/>
    </xf>
    <xf numFmtId="0" fontId="3" fillId="0" borderId="3" xfId="0" applyFont="1" applyBorder="1" applyAlignment="1">
      <alignment vertical="top" wrapText="1"/>
    </xf>
    <xf numFmtId="0" fontId="0" fillId="0" borderId="0" xfId="0" applyAlignment="1"/>
    <xf numFmtId="0" fontId="0" fillId="0" borderId="3" xfId="0" applyBorder="1" applyAlignment="1">
      <alignment wrapText="1"/>
    </xf>
    <xf numFmtId="0" fontId="0" fillId="0" borderId="4" xfId="0" applyFill="1" applyBorder="1"/>
    <xf numFmtId="0" fontId="0" fillId="0" borderId="3" xfId="0" applyFill="1" applyBorder="1"/>
    <xf numFmtId="0" fontId="0" fillId="0" borderId="3" xfId="0" applyBorder="1" applyAlignment="1"/>
    <xf numFmtId="0" fontId="3" fillId="0" borderId="0" xfId="0" applyFont="1" applyFill="1" applyBorder="1" applyAlignment="1">
      <alignment vertical="top" wrapText="1"/>
    </xf>
    <xf numFmtId="0" fontId="3" fillId="0" borderId="3" xfId="0" applyFont="1" applyBorder="1" applyAlignment="1">
      <alignment horizontal="right" vertical="top" wrapText="1"/>
    </xf>
    <xf numFmtId="10" fontId="0" fillId="0" borderId="3" xfId="0" applyNumberFormat="1" applyBorder="1"/>
    <xf numFmtId="9" fontId="0" fillId="0" borderId="3" xfId="0" applyNumberFormat="1" applyBorder="1"/>
    <xf numFmtId="49" fontId="0" fillId="0" borderId="3" xfId="0" applyNumberFormat="1" applyBorder="1"/>
    <xf numFmtId="0" fontId="3" fillId="0" borderId="3" xfId="0" applyFont="1" applyFill="1" applyBorder="1" applyAlignment="1">
      <alignment horizontal="right" vertical="top" wrapText="1"/>
    </xf>
    <xf numFmtId="10" fontId="0" fillId="0" borderId="3" xfId="0" applyNumberFormat="1" applyBorder="1" applyAlignment="1">
      <alignment wrapText="1"/>
    </xf>
    <xf numFmtId="1" fontId="0" fillId="0" borderId="3" xfId="0" applyNumberFormat="1" applyBorder="1"/>
    <xf numFmtId="0" fontId="3" fillId="2" borderId="3" xfId="0" applyFont="1" applyFill="1" applyBorder="1" applyAlignment="1">
      <alignment vertical="top" wrapText="1"/>
    </xf>
    <xf numFmtId="0" fontId="3" fillId="2" borderId="3" xfId="0" applyFont="1" applyFill="1" applyBorder="1" applyAlignment="1">
      <alignment horizontal="right" vertical="top" wrapText="1"/>
    </xf>
    <xf numFmtId="1" fontId="0" fillId="2" borderId="3" xfId="0" applyNumberFormat="1" applyFill="1" applyBorder="1"/>
    <xf numFmtId="0" fontId="2" fillId="0" borderId="3" xfId="0" applyFont="1" applyBorder="1" applyAlignment="1">
      <alignment horizontal="right" vertical="top" wrapText="1"/>
    </xf>
    <xf numFmtId="2" fontId="0" fillId="0" borderId="0" xfId="0" applyNumberFormat="1"/>
    <xf numFmtId="0" fontId="0" fillId="0" borderId="0" xfId="0" applyBorder="1"/>
    <xf numFmtId="0" fontId="6" fillId="0" borderId="3" xfId="0" applyFont="1" applyBorder="1" applyAlignment="1">
      <alignment vertical="top" wrapText="1"/>
    </xf>
    <xf numFmtId="0" fontId="3" fillId="0" borderId="3" xfId="0" applyFont="1" applyBorder="1"/>
    <xf numFmtId="0" fontId="1" fillId="0" borderId="0" xfId="0" applyFont="1" applyAlignment="1">
      <alignment horizontal="center" vertical="top" wrapText="1"/>
    </xf>
    <xf numFmtId="0" fontId="0" fillId="0" borderId="0" xfId="0" applyAlignment="1">
      <alignment horizontal="center" vertical="top" wrapText="1"/>
    </xf>
    <xf numFmtId="0" fontId="0" fillId="0" borderId="0" xfId="0" applyAlignment="1">
      <alignment wrapText="1"/>
    </xf>
    <xf numFmtId="0" fontId="2" fillId="0" borderId="0" xfId="0" applyFont="1" applyAlignment="1">
      <alignment wrapText="1"/>
    </xf>
    <xf numFmtId="0" fontId="5" fillId="0" borderId="0" xfId="0" applyFont="1" applyAlignment="1">
      <alignment vertical="top" wrapText="1"/>
    </xf>
    <xf numFmtId="0" fontId="3" fillId="0" borderId="0" xfId="0" applyFont="1" applyAlignment="1">
      <alignment wrapText="1"/>
    </xf>
    <xf numFmtId="0" fontId="2" fillId="0" borderId="3" xfId="0" applyFont="1" applyBorder="1" applyAlignment="1">
      <alignment wrapText="1"/>
    </xf>
    <xf numFmtId="0" fontId="0" fillId="0" borderId="3" xfId="0" applyBorder="1" applyAlignment="1">
      <alignment wrapText="1"/>
    </xf>
    <xf numFmtId="0" fontId="0" fillId="0" borderId="8" xfId="0" applyBorder="1" applyAlignment="1">
      <alignment wrapText="1"/>
    </xf>
    <xf numFmtId="0" fontId="2" fillId="0" borderId="3" xfId="0" applyFont="1" applyBorder="1" applyAlignment="1">
      <alignment vertical="top" wrapText="1"/>
    </xf>
    <xf numFmtId="0" fontId="1" fillId="0" borderId="0" xfId="0" applyFont="1" applyAlignment="1">
      <alignment horizontal="center" wrapText="1"/>
    </xf>
    <xf numFmtId="0" fontId="1" fillId="0" borderId="5" xfId="0" applyFont="1" applyBorder="1" applyAlignment="1">
      <alignment horizontal="center" wrapText="1"/>
    </xf>
    <xf numFmtId="0" fontId="1" fillId="0" borderId="6" xfId="0" applyFont="1" applyBorder="1" applyAlignment="1">
      <alignment horizontal="center" wrapText="1"/>
    </xf>
    <xf numFmtId="0" fontId="1" fillId="0" borderId="7" xfId="0" applyFont="1" applyBorder="1" applyAlignment="1">
      <alignment horizontal="center" wrapText="1"/>
    </xf>
    <xf numFmtId="0" fontId="1" fillId="0" borderId="3" xfId="0" applyFont="1" applyBorder="1" applyAlignment="1">
      <alignment horizontal="center" wrapText="1"/>
    </xf>
    <xf numFmtId="0" fontId="2" fillId="0" borderId="1" xfId="0" applyFont="1" applyBorder="1" applyAlignment="1">
      <alignment vertical="top" wrapText="1"/>
    </xf>
    <xf numFmtId="0" fontId="7" fillId="0" borderId="3" xfId="0" applyFont="1" applyBorder="1" applyAlignment="1">
      <alignment horizontal="center"/>
    </xf>
    <xf numFmtId="0" fontId="7" fillId="0" borderId="3" xfId="0" applyFont="1" applyBorder="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dimension ref="A1:T12"/>
  <sheetViews>
    <sheetView workbookViewId="0">
      <selection activeCell="S15" sqref="S15"/>
    </sheetView>
  </sheetViews>
  <sheetFormatPr defaultRowHeight="15"/>
  <cols>
    <col min="2" max="2" width="10.5703125" customWidth="1"/>
    <col min="4" max="4" width="10" customWidth="1"/>
  </cols>
  <sheetData>
    <row r="1" spans="1:20">
      <c r="M1" s="41" t="s">
        <v>153</v>
      </c>
      <c r="N1" s="42"/>
      <c r="O1" s="42"/>
      <c r="P1" s="42"/>
      <c r="Q1" s="42"/>
      <c r="R1" s="42"/>
      <c r="S1" s="42"/>
      <c r="T1" s="42"/>
    </row>
    <row r="2" spans="1:20" ht="39" customHeight="1">
      <c r="A2" s="44" t="s">
        <v>88</v>
      </c>
      <c r="B2" s="43"/>
      <c r="C2" s="43"/>
      <c r="D2" s="43"/>
      <c r="E2" s="43"/>
      <c r="F2" s="43"/>
      <c r="G2" s="43"/>
      <c r="H2" s="43"/>
      <c r="I2" s="43"/>
      <c r="J2" s="43"/>
      <c r="K2" s="43"/>
      <c r="L2" s="43"/>
      <c r="M2" s="43" t="s">
        <v>154</v>
      </c>
      <c r="N2" s="43"/>
      <c r="O2" s="43"/>
      <c r="P2" s="43"/>
      <c r="Q2" s="43"/>
      <c r="R2" s="43"/>
      <c r="S2" s="43"/>
      <c r="T2" s="43"/>
    </row>
    <row r="3" spans="1:20" ht="48" customHeight="1">
      <c r="A3" s="44" t="s">
        <v>89</v>
      </c>
      <c r="B3" s="43"/>
      <c r="C3" s="43"/>
      <c r="D3" s="43"/>
      <c r="E3" s="43"/>
      <c r="F3" s="43"/>
      <c r="G3" s="43"/>
      <c r="H3" s="43"/>
      <c r="I3" s="43"/>
      <c r="J3" s="43"/>
      <c r="K3" s="43"/>
      <c r="L3" s="43"/>
      <c r="M3" s="43" t="s">
        <v>155</v>
      </c>
      <c r="N3" s="43"/>
      <c r="O3" s="43"/>
      <c r="P3" s="43"/>
      <c r="Q3" s="43"/>
      <c r="R3" s="43"/>
      <c r="S3" s="43"/>
      <c r="T3" s="43"/>
    </row>
    <row r="4" spans="1:20" ht="75" customHeight="1">
      <c r="A4" s="44" t="s">
        <v>90</v>
      </c>
      <c r="B4" s="43"/>
      <c r="C4" s="43"/>
      <c r="D4" s="43"/>
      <c r="E4" s="43"/>
      <c r="F4" s="43"/>
      <c r="G4" s="43"/>
      <c r="H4" s="43"/>
      <c r="I4" s="43"/>
      <c r="J4" s="43"/>
      <c r="K4" s="43"/>
      <c r="L4" s="43"/>
      <c r="M4" s="43" t="s">
        <v>156</v>
      </c>
      <c r="N4" s="43"/>
      <c r="O4" s="43"/>
      <c r="P4" s="43"/>
      <c r="Q4" s="43"/>
      <c r="R4" s="43"/>
      <c r="S4" s="43"/>
      <c r="T4" s="43"/>
    </row>
    <row r="5" spans="1:20" ht="36.75" customHeight="1">
      <c r="A5" s="44" t="s">
        <v>91</v>
      </c>
      <c r="B5" s="43"/>
      <c r="C5" s="43"/>
      <c r="D5" s="43"/>
      <c r="E5" s="43"/>
      <c r="F5" s="43"/>
      <c r="G5" s="43"/>
      <c r="H5" s="43"/>
      <c r="I5" s="43"/>
      <c r="J5" s="43"/>
      <c r="K5" s="43"/>
      <c r="L5" s="43"/>
    </row>
    <row r="7" spans="1:20">
      <c r="D7" s="16" t="s">
        <v>107</v>
      </c>
    </row>
    <row r="8" spans="1:20">
      <c r="A8" t="s">
        <v>108</v>
      </c>
    </row>
    <row r="9" spans="1:20">
      <c r="A9" t="s">
        <v>109</v>
      </c>
      <c r="D9">
        <f>160/100*250000</f>
        <v>400000</v>
      </c>
    </row>
    <row r="10" spans="1:20">
      <c r="A10" t="s">
        <v>110</v>
      </c>
      <c r="F10" t="s">
        <v>111</v>
      </c>
      <c r="I10" s="17"/>
    </row>
    <row r="11" spans="1:20">
      <c r="A11" t="s">
        <v>120</v>
      </c>
    </row>
    <row r="12" spans="1:20">
      <c r="A12" t="s">
        <v>112</v>
      </c>
      <c r="F12" t="s">
        <v>113</v>
      </c>
      <c r="H12">
        <f>1600000/5</f>
        <v>320000</v>
      </c>
    </row>
  </sheetData>
  <mergeCells count="8">
    <mergeCell ref="A5:L5"/>
    <mergeCell ref="M1:T1"/>
    <mergeCell ref="M3:T3"/>
    <mergeCell ref="M4:T4"/>
    <mergeCell ref="M2:T2"/>
    <mergeCell ref="A2:L2"/>
    <mergeCell ref="A3:L3"/>
    <mergeCell ref="A4:L4"/>
  </mergeCells>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dimension ref="A1:H10"/>
  <sheetViews>
    <sheetView workbookViewId="0">
      <selection sqref="A1:H3"/>
    </sheetView>
  </sheetViews>
  <sheetFormatPr defaultRowHeight="15"/>
  <cols>
    <col min="3" max="3" width="13.28515625" customWidth="1"/>
    <col min="7" max="7" width="22" customWidth="1"/>
  </cols>
  <sheetData>
    <row r="1" spans="1:8">
      <c r="A1" s="44" t="s">
        <v>0</v>
      </c>
      <c r="B1" s="43"/>
      <c r="C1" s="43"/>
      <c r="D1" s="43"/>
      <c r="E1" s="43"/>
      <c r="F1" s="43"/>
      <c r="G1" s="43"/>
      <c r="H1" s="43"/>
    </row>
    <row r="2" spans="1:8">
      <c r="A2" s="43"/>
      <c r="B2" s="43"/>
      <c r="C2" s="43"/>
      <c r="D2" s="43"/>
      <c r="E2" s="43"/>
      <c r="F2" s="43"/>
      <c r="G2" s="43"/>
      <c r="H2" s="43"/>
    </row>
    <row r="3" spans="1:8">
      <c r="A3" s="43"/>
      <c r="B3" s="43"/>
      <c r="C3" s="43"/>
      <c r="D3" s="43"/>
      <c r="E3" s="43"/>
      <c r="F3" s="43"/>
      <c r="G3" s="43"/>
      <c r="H3" s="43"/>
    </row>
    <row r="5" spans="1:8">
      <c r="A5" t="s">
        <v>62</v>
      </c>
      <c r="E5">
        <f>80000/8000</f>
        <v>10</v>
      </c>
      <c r="F5" t="s">
        <v>63</v>
      </c>
      <c r="G5" s="16" t="s">
        <v>114</v>
      </c>
      <c r="H5" s="16" t="s">
        <v>2</v>
      </c>
    </row>
    <row r="6" spans="1:8">
      <c r="G6" t="s">
        <v>65</v>
      </c>
      <c r="H6">
        <v>80000</v>
      </c>
    </row>
    <row r="7" spans="1:8">
      <c r="G7" t="s">
        <v>66</v>
      </c>
      <c r="H7">
        <v>8000</v>
      </c>
    </row>
    <row r="8" spans="1:8">
      <c r="A8" t="s">
        <v>64</v>
      </c>
      <c r="E8">
        <f>42000/200000</f>
        <v>0.21</v>
      </c>
      <c r="F8" s="14">
        <v>0.21</v>
      </c>
      <c r="G8" t="s">
        <v>57</v>
      </c>
      <c r="H8">
        <f>80000-8000</f>
        <v>72000</v>
      </c>
    </row>
    <row r="9" spans="1:8">
      <c r="G9" t="s">
        <v>67</v>
      </c>
      <c r="H9">
        <v>30000</v>
      </c>
    </row>
    <row r="10" spans="1:8">
      <c r="A10" t="s">
        <v>115</v>
      </c>
      <c r="G10" t="s">
        <v>68</v>
      </c>
      <c r="H10">
        <f>72000-30000</f>
        <v>42000</v>
      </c>
    </row>
  </sheetData>
  <mergeCells count="1">
    <mergeCell ref="A1:H3"/>
  </mergeCells>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dimension ref="A1:I18"/>
  <sheetViews>
    <sheetView workbookViewId="0">
      <selection activeCell="G14" sqref="G14"/>
    </sheetView>
  </sheetViews>
  <sheetFormatPr defaultRowHeight="15"/>
  <cols>
    <col min="8" max="8" width="36.28515625" customWidth="1"/>
  </cols>
  <sheetData>
    <row r="1" spans="1:9">
      <c r="A1" s="44" t="s">
        <v>69</v>
      </c>
      <c r="B1" s="43"/>
      <c r="C1" s="43"/>
      <c r="D1" s="43"/>
      <c r="E1" s="43"/>
      <c r="F1" s="43"/>
      <c r="G1" s="43"/>
    </row>
    <row r="2" spans="1:9">
      <c r="A2" s="43"/>
      <c r="B2" s="43"/>
      <c r="C2" s="43"/>
      <c r="D2" s="43"/>
      <c r="E2" s="43"/>
      <c r="F2" s="43"/>
      <c r="G2" s="43"/>
    </row>
    <row r="3" spans="1:9" ht="20.25" customHeight="1">
      <c r="A3" s="43"/>
      <c r="B3" s="43"/>
      <c r="C3" s="43"/>
      <c r="D3" s="43"/>
      <c r="E3" s="43"/>
      <c r="F3" s="43"/>
      <c r="G3" s="43"/>
    </row>
    <row r="4" spans="1:9" ht="92.25" customHeight="1">
      <c r="A4" s="43"/>
      <c r="B4" s="43"/>
      <c r="C4" s="43"/>
      <c r="D4" s="43"/>
      <c r="E4" s="43"/>
      <c r="F4" s="43"/>
      <c r="G4" s="43"/>
      <c r="H4" s="15" t="s">
        <v>87</v>
      </c>
      <c r="I4" s="15" t="s">
        <v>86</v>
      </c>
    </row>
    <row r="5" spans="1:9">
      <c r="H5" s="13" t="s">
        <v>78</v>
      </c>
      <c r="I5" s="13">
        <v>720000</v>
      </c>
    </row>
    <row r="6" spans="1:9">
      <c r="A6" t="s">
        <v>70</v>
      </c>
      <c r="B6" t="s">
        <v>71</v>
      </c>
      <c r="E6">
        <f>64000/720000*100</f>
        <v>8.8888888888888893</v>
      </c>
      <c r="F6" s="17">
        <v>8.8900000000000007E-2</v>
      </c>
      <c r="H6" s="13" t="s">
        <v>79</v>
      </c>
      <c r="I6" s="13">
        <v>480000</v>
      </c>
    </row>
    <row r="7" spans="1:9">
      <c r="H7" s="13" t="s">
        <v>80</v>
      </c>
      <c r="I7" s="13">
        <f>720000-480000</f>
        <v>240000</v>
      </c>
    </row>
    <row r="8" spans="1:9">
      <c r="H8" s="13" t="s">
        <v>81</v>
      </c>
      <c r="I8" s="13">
        <v>80000</v>
      </c>
    </row>
    <row r="9" spans="1:9">
      <c r="A9" t="s">
        <v>72</v>
      </c>
      <c r="B9" t="s">
        <v>73</v>
      </c>
      <c r="E9">
        <f>160000/800000</f>
        <v>0.2</v>
      </c>
      <c r="F9" s="14">
        <v>0.2</v>
      </c>
      <c r="H9" s="13" t="s">
        <v>82</v>
      </c>
      <c r="I9" s="13">
        <f>240000-80000</f>
        <v>160000</v>
      </c>
    </row>
    <row r="10" spans="1:9">
      <c r="H10" s="13" t="s">
        <v>83</v>
      </c>
      <c r="I10" s="13">
        <v>32000</v>
      </c>
    </row>
    <row r="11" spans="1:9">
      <c r="A11" t="s">
        <v>74</v>
      </c>
      <c r="B11" t="s">
        <v>75</v>
      </c>
      <c r="F11">
        <f>720000/800000</f>
        <v>0.9</v>
      </c>
      <c r="G11" t="s">
        <v>63</v>
      </c>
      <c r="H11" s="13" t="s">
        <v>84</v>
      </c>
      <c r="I11" s="13">
        <f>160000-32000</f>
        <v>128000</v>
      </c>
    </row>
    <row r="12" spans="1:9">
      <c r="H12" s="13" t="s">
        <v>85</v>
      </c>
      <c r="I12" s="13">
        <f>50/100*128000</f>
        <v>64000</v>
      </c>
    </row>
    <row r="13" spans="1:9">
      <c r="A13" t="s">
        <v>76</v>
      </c>
      <c r="B13" t="s">
        <v>77</v>
      </c>
      <c r="G13">
        <f>64000/400000</f>
        <v>0.16</v>
      </c>
      <c r="H13" s="13" t="s">
        <v>68</v>
      </c>
      <c r="I13" s="13">
        <f>128000-64000</f>
        <v>64000</v>
      </c>
    </row>
    <row r="14" spans="1:9">
      <c r="F14" s="14"/>
      <c r="G14" s="14">
        <v>0.16</v>
      </c>
    </row>
    <row r="15" spans="1:9">
      <c r="B15" t="s">
        <v>116</v>
      </c>
    </row>
    <row r="16" spans="1:9">
      <c r="B16" t="s">
        <v>117</v>
      </c>
      <c r="D16" t="s">
        <v>121</v>
      </c>
    </row>
    <row r="17" spans="2:4">
      <c r="B17" t="s">
        <v>118</v>
      </c>
      <c r="D17">
        <f>8/100*400000</f>
        <v>32000</v>
      </c>
    </row>
    <row r="18" spans="2:4">
      <c r="B18" t="s">
        <v>119</v>
      </c>
      <c r="C18">
        <f>150/100*480000</f>
        <v>720000</v>
      </c>
    </row>
  </sheetData>
  <mergeCells count="1">
    <mergeCell ref="A1:G4"/>
  </mergeCell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21"/>
  <sheetViews>
    <sheetView topLeftCell="A2" workbookViewId="0">
      <selection activeCell="F22" sqref="F22"/>
    </sheetView>
  </sheetViews>
  <sheetFormatPr defaultRowHeight="15"/>
  <cols>
    <col min="1" max="1" width="22.85546875" customWidth="1"/>
    <col min="2" max="2" width="11.28515625" customWidth="1"/>
    <col min="3" max="3" width="26" customWidth="1"/>
    <col min="6" max="6" width="30.140625" customWidth="1"/>
  </cols>
  <sheetData>
    <row r="1" spans="1:11" ht="18.75" thickBot="1">
      <c r="A1" s="1" t="s">
        <v>1</v>
      </c>
    </row>
    <row r="2" spans="1:11" ht="16.5" thickBot="1">
      <c r="A2" s="3"/>
      <c r="B2" s="4" t="s">
        <v>2</v>
      </c>
      <c r="C2" s="3"/>
      <c r="D2" s="4" t="s">
        <v>2</v>
      </c>
      <c r="F2" s="15" t="s">
        <v>87</v>
      </c>
      <c r="G2" s="15" t="s">
        <v>2</v>
      </c>
    </row>
    <row r="3" spans="1:11" ht="15.75">
      <c r="A3" s="5" t="s">
        <v>3</v>
      </c>
      <c r="B3" s="6">
        <v>1500000</v>
      </c>
      <c r="C3" s="7" t="s">
        <v>4</v>
      </c>
      <c r="D3" s="8"/>
      <c r="F3" s="13" t="s">
        <v>3</v>
      </c>
      <c r="G3" s="13">
        <v>1500000</v>
      </c>
    </row>
    <row r="4" spans="1:11" ht="15.75">
      <c r="A4" s="5" t="s">
        <v>5</v>
      </c>
      <c r="B4" s="6">
        <v>966750</v>
      </c>
      <c r="C4" s="5" t="s">
        <v>6</v>
      </c>
      <c r="D4" s="6">
        <v>81000</v>
      </c>
      <c r="F4" s="13" t="s">
        <v>93</v>
      </c>
      <c r="G4" s="13">
        <v>60000</v>
      </c>
    </row>
    <row r="5" spans="1:11" ht="15.75">
      <c r="A5" s="5" t="s">
        <v>7</v>
      </c>
      <c r="B5" s="6">
        <v>228750</v>
      </c>
      <c r="C5" s="5" t="s">
        <v>8</v>
      </c>
      <c r="D5" s="6">
        <v>8100</v>
      </c>
      <c r="F5" s="13" t="s">
        <v>94</v>
      </c>
      <c r="G5" s="13">
        <f>1500000-60000</f>
        <v>1440000</v>
      </c>
    </row>
    <row r="6" spans="1:11" ht="21" customHeight="1">
      <c r="A6" s="5" t="s">
        <v>9</v>
      </c>
      <c r="B6" s="6">
        <v>295500</v>
      </c>
      <c r="C6" s="5" t="s">
        <v>10</v>
      </c>
      <c r="D6" s="6">
        <v>7500</v>
      </c>
      <c r="F6" s="13" t="s">
        <v>95</v>
      </c>
      <c r="G6" s="13">
        <f>228750+966750+0-295500</f>
        <v>900000</v>
      </c>
    </row>
    <row r="7" spans="1:11" ht="15.75">
      <c r="A7" s="5" t="s">
        <v>11</v>
      </c>
      <c r="B7" s="6">
        <v>60000</v>
      </c>
      <c r="C7" s="5" t="s">
        <v>12</v>
      </c>
      <c r="D7" s="6">
        <v>27900</v>
      </c>
      <c r="F7" s="13" t="s">
        <v>80</v>
      </c>
      <c r="G7" s="13">
        <f>1440000-900000</f>
        <v>540000</v>
      </c>
    </row>
    <row r="8" spans="1:11" ht="15.75">
      <c r="A8" s="45" t="s">
        <v>13</v>
      </c>
      <c r="B8" s="45"/>
      <c r="C8" s="5" t="s">
        <v>14</v>
      </c>
      <c r="D8" s="6">
        <v>49500</v>
      </c>
      <c r="F8" s="13" t="s">
        <v>96</v>
      </c>
      <c r="G8" s="13">
        <f>45900+14100+6000+81000+8100+7500+27900+49500</f>
        <v>240000</v>
      </c>
    </row>
    <row r="9" spans="1:11" ht="12.75" customHeight="1">
      <c r="A9" s="5" t="s">
        <v>6</v>
      </c>
      <c r="B9" s="6">
        <v>45900</v>
      </c>
      <c r="C9" s="5" t="s">
        <v>15</v>
      </c>
      <c r="D9" s="6">
        <v>120000</v>
      </c>
      <c r="F9" s="13" t="s">
        <v>97</v>
      </c>
      <c r="G9" s="13">
        <f>540000-240000</f>
        <v>300000</v>
      </c>
    </row>
    <row r="10" spans="1:11" ht="36" customHeight="1">
      <c r="A10" s="5" t="s">
        <v>16</v>
      </c>
      <c r="B10" s="6">
        <v>14100</v>
      </c>
      <c r="C10" s="7" t="s">
        <v>17</v>
      </c>
      <c r="D10" s="8"/>
      <c r="F10" s="21" t="s">
        <v>98</v>
      </c>
      <c r="G10" s="13">
        <f>27000+9000-12000</f>
        <v>24000</v>
      </c>
    </row>
    <row r="11" spans="1:11" ht="15.75">
      <c r="A11" s="5" t="s">
        <v>18</v>
      </c>
      <c r="B11" s="6">
        <v>6000</v>
      </c>
      <c r="C11" s="5" t="s">
        <v>19</v>
      </c>
      <c r="D11" s="6">
        <v>27000</v>
      </c>
      <c r="F11" s="23" t="s">
        <v>55</v>
      </c>
      <c r="G11" s="13">
        <v>324000</v>
      </c>
    </row>
    <row r="12" spans="1:11" ht="15.75">
      <c r="A12" s="45" t="s">
        <v>20</v>
      </c>
      <c r="B12" s="45"/>
      <c r="C12" s="5" t="s">
        <v>21</v>
      </c>
      <c r="D12" s="6">
        <v>9000</v>
      </c>
      <c r="F12" s="13" t="s">
        <v>99</v>
      </c>
      <c r="G12" s="13">
        <v>0</v>
      </c>
    </row>
    <row r="13" spans="1:11" ht="16.5" thickBot="1">
      <c r="A13" s="9" t="s">
        <v>22</v>
      </c>
      <c r="B13" s="10">
        <v>12000</v>
      </c>
      <c r="C13" s="9"/>
      <c r="D13" s="11"/>
      <c r="F13" s="13" t="s">
        <v>84</v>
      </c>
      <c r="G13" s="13">
        <v>324000</v>
      </c>
    </row>
    <row r="14" spans="1:11">
      <c r="A14" s="46" t="s">
        <v>23</v>
      </c>
      <c r="B14" s="43"/>
      <c r="C14" s="43"/>
      <c r="D14" s="43"/>
      <c r="E14" s="20"/>
      <c r="F14" s="24" t="s">
        <v>100</v>
      </c>
      <c r="G14" s="24">
        <v>120000</v>
      </c>
      <c r="H14" s="20"/>
      <c r="I14" s="20"/>
      <c r="J14" s="20"/>
      <c r="K14" s="20"/>
    </row>
    <row r="15" spans="1:11" ht="19.5" customHeight="1">
      <c r="A15" s="43"/>
      <c r="B15" s="43"/>
      <c r="C15" s="43"/>
      <c r="D15" s="43"/>
      <c r="E15" s="20"/>
      <c r="F15" s="24" t="s">
        <v>68</v>
      </c>
      <c r="G15" s="24">
        <f>324000-120000</f>
        <v>204000</v>
      </c>
      <c r="H15" s="20"/>
      <c r="I15" s="20"/>
      <c r="J15" s="20"/>
      <c r="K15" s="20"/>
    </row>
    <row r="16" spans="1:11" ht="22.5" customHeight="1">
      <c r="A16" s="43"/>
      <c r="B16" s="43"/>
      <c r="C16" s="43"/>
      <c r="D16" s="43"/>
      <c r="F16" s="13"/>
      <c r="G16" s="13"/>
    </row>
    <row r="17" spans="6:9">
      <c r="F17" s="22" t="s">
        <v>101</v>
      </c>
      <c r="H17">
        <f>540000/1440000*100</f>
        <v>37.5</v>
      </c>
      <c r="I17" s="17">
        <v>0.375</v>
      </c>
    </row>
    <row r="18" spans="6:9">
      <c r="F18" s="22" t="s">
        <v>102</v>
      </c>
    </row>
    <row r="19" spans="6:9">
      <c r="F19">
        <f>240000/1440000*100</f>
        <v>16.666666666666664</v>
      </c>
      <c r="G19" s="17">
        <v>0.16669999999999999</v>
      </c>
      <c r="H19" s="17"/>
    </row>
    <row r="20" spans="6:9">
      <c r="F20" t="s">
        <v>103</v>
      </c>
    </row>
    <row r="21" spans="6:9">
      <c r="F21" s="37">
        <f>900000/(228750+295500/2)</f>
        <v>2.3904382470119523</v>
      </c>
      <c r="G21" t="s">
        <v>63</v>
      </c>
    </row>
  </sheetData>
  <mergeCells count="3">
    <mergeCell ref="A8:B8"/>
    <mergeCell ref="A12:B12"/>
    <mergeCell ref="A14:D16"/>
  </mergeCells>
  <pageMargins left="0.7" right="0.7" top="0.75" bottom="0.75" header="0.3" footer="0.3"/>
  <pageSetup orientation="portrait" horizontalDpi="300" verticalDpi="300" r:id="rId1"/>
</worksheet>
</file>

<file path=xl/worksheets/sheet5.xml><?xml version="1.0" encoding="utf-8"?>
<worksheet xmlns="http://schemas.openxmlformats.org/spreadsheetml/2006/main" xmlns:r="http://schemas.openxmlformats.org/officeDocument/2006/relationships">
  <dimension ref="A1:J12"/>
  <sheetViews>
    <sheetView topLeftCell="A10" workbookViewId="0">
      <selection activeCell="G12" sqref="G12"/>
    </sheetView>
  </sheetViews>
  <sheetFormatPr defaultRowHeight="15"/>
  <cols>
    <col min="1" max="1" width="26.42578125" customWidth="1"/>
    <col min="3" max="3" width="24.85546875" customWidth="1"/>
    <col min="4" max="4" width="11.42578125" customWidth="1"/>
  </cols>
  <sheetData>
    <row r="1" spans="1:10" ht="64.5" customHeight="1">
      <c r="A1" s="47" t="s">
        <v>92</v>
      </c>
      <c r="B1" s="48"/>
      <c r="C1" s="48"/>
      <c r="D1" s="48"/>
      <c r="E1" s="49"/>
      <c r="F1" s="49"/>
      <c r="G1" s="49"/>
      <c r="H1" s="49"/>
      <c r="I1" s="49"/>
      <c r="J1" s="49"/>
    </row>
    <row r="2" spans="1:10" ht="15.75">
      <c r="A2" s="18" t="s">
        <v>24</v>
      </c>
      <c r="B2" s="18" t="s">
        <v>2</v>
      </c>
      <c r="C2" s="18" t="s">
        <v>25</v>
      </c>
      <c r="D2" s="18" t="s">
        <v>2</v>
      </c>
      <c r="E2" s="38"/>
      <c r="F2" s="38"/>
      <c r="G2" s="38"/>
      <c r="H2" s="38"/>
      <c r="I2" s="38"/>
      <c r="J2" s="38"/>
    </row>
    <row r="3" spans="1:10" ht="15.75">
      <c r="A3" s="19" t="s">
        <v>26</v>
      </c>
      <c r="B3" s="19">
        <v>24000</v>
      </c>
      <c r="C3" s="19" t="s">
        <v>27</v>
      </c>
      <c r="D3" s="19">
        <v>60000</v>
      </c>
      <c r="E3" s="38"/>
      <c r="F3" s="38"/>
      <c r="G3" s="38"/>
      <c r="H3" s="38"/>
      <c r="I3" s="38"/>
      <c r="J3" s="38"/>
    </row>
    <row r="4" spans="1:10" ht="15.75">
      <c r="A4" s="19" t="s">
        <v>28</v>
      </c>
      <c r="B4" s="19">
        <v>36000</v>
      </c>
      <c r="C4" s="19" t="s">
        <v>29</v>
      </c>
      <c r="D4" s="19">
        <v>40000</v>
      </c>
      <c r="E4" s="38"/>
      <c r="F4" s="38"/>
      <c r="G4" s="38"/>
      <c r="H4" s="38"/>
      <c r="I4" s="38"/>
      <c r="J4" s="38"/>
    </row>
    <row r="5" spans="1:10" ht="15.75">
      <c r="A5" s="19" t="s">
        <v>30</v>
      </c>
      <c r="B5" s="39">
        <v>60000</v>
      </c>
      <c r="C5" s="19" t="s">
        <v>31</v>
      </c>
      <c r="D5" s="39">
        <v>100000</v>
      </c>
      <c r="E5" s="38"/>
      <c r="F5" s="38"/>
      <c r="G5" s="38"/>
      <c r="H5" s="38"/>
      <c r="I5" s="38"/>
      <c r="J5" s="38"/>
    </row>
    <row r="6" spans="1:10" ht="15.75">
      <c r="A6" s="19" t="s">
        <v>32</v>
      </c>
      <c r="B6" s="19">
        <v>100000</v>
      </c>
      <c r="C6" s="19" t="s">
        <v>33</v>
      </c>
      <c r="D6" s="19">
        <v>60000</v>
      </c>
      <c r="E6" s="38"/>
      <c r="F6" s="38"/>
      <c r="G6" s="38"/>
      <c r="H6" s="38"/>
      <c r="I6" s="38"/>
      <c r="J6" s="38"/>
    </row>
    <row r="7" spans="1:10" ht="15.75">
      <c r="A7" s="19" t="s">
        <v>34</v>
      </c>
      <c r="B7" s="19">
        <v>160000</v>
      </c>
      <c r="C7" s="19" t="s">
        <v>35</v>
      </c>
      <c r="D7" s="19">
        <v>160000</v>
      </c>
      <c r="E7" s="38"/>
      <c r="F7" s="38"/>
      <c r="G7" s="38"/>
      <c r="H7" s="38"/>
      <c r="I7" s="38"/>
      <c r="J7" s="38"/>
    </row>
    <row r="8" spans="1:10" ht="15.75">
      <c r="A8" s="2"/>
    </row>
    <row r="9" spans="1:10" ht="31.5">
      <c r="A9" s="25" t="s">
        <v>104</v>
      </c>
      <c r="C9" s="25" t="s">
        <v>150</v>
      </c>
      <c r="D9" s="25"/>
    </row>
    <row r="10" spans="1:10" ht="31.5">
      <c r="A10" s="25" t="s">
        <v>105</v>
      </c>
      <c r="B10" s="25"/>
      <c r="C10" s="25" t="s">
        <v>149</v>
      </c>
    </row>
    <row r="11" spans="1:10" ht="47.25">
      <c r="A11" s="25" t="s">
        <v>148</v>
      </c>
      <c r="C11" s="25" t="s">
        <v>151</v>
      </c>
      <c r="D11" s="25"/>
    </row>
    <row r="12" spans="1:10" ht="31.5">
      <c r="A12" s="25" t="s">
        <v>106</v>
      </c>
      <c r="C12" s="25" t="s">
        <v>152</v>
      </c>
    </row>
  </sheetData>
  <mergeCells count="1">
    <mergeCell ref="A1:J1"/>
  </mergeCells>
  <pageMargins left="0.7" right="0.7" top="0.75" bottom="0.75" header="0.3" footer="0.3"/>
  <pageSetup orientation="portrait" horizontalDpi="300" verticalDpi="300" r:id="rId1"/>
</worksheet>
</file>

<file path=xl/worksheets/sheet6.xml><?xml version="1.0" encoding="utf-8"?>
<worksheet xmlns="http://schemas.openxmlformats.org/spreadsheetml/2006/main" xmlns:r="http://schemas.openxmlformats.org/officeDocument/2006/relationships">
  <dimension ref="A1:M41"/>
  <sheetViews>
    <sheetView workbookViewId="0">
      <selection activeCell="P9" sqref="P9"/>
    </sheetView>
  </sheetViews>
  <sheetFormatPr defaultRowHeight="15"/>
  <cols>
    <col min="1" max="1" width="22.28515625" customWidth="1"/>
    <col min="8" max="8" width="15.140625" customWidth="1"/>
  </cols>
  <sheetData>
    <row r="1" spans="1:13" ht="84" customHeight="1">
      <c r="A1" s="46" t="s">
        <v>36</v>
      </c>
      <c r="B1" s="43"/>
      <c r="C1" s="43"/>
      <c r="D1" s="43"/>
      <c r="E1" s="43"/>
      <c r="F1" s="43"/>
      <c r="G1" s="43"/>
      <c r="H1" s="43"/>
      <c r="I1" s="43"/>
    </row>
    <row r="2" spans="1:13" ht="31.5" customHeight="1">
      <c r="A2" s="50" t="s">
        <v>37</v>
      </c>
      <c r="B2" s="50"/>
      <c r="C2" s="50"/>
      <c r="D2" s="50"/>
      <c r="E2" s="50"/>
      <c r="F2" s="50"/>
      <c r="H2" s="52" t="s">
        <v>137</v>
      </c>
      <c r="I2" s="53"/>
      <c r="J2" s="53"/>
      <c r="K2" s="53"/>
      <c r="L2" s="53"/>
      <c r="M2" s="54"/>
    </row>
    <row r="3" spans="1:13" ht="15.75">
      <c r="A3" s="19"/>
      <c r="B3" s="26" t="s">
        <v>47</v>
      </c>
      <c r="C3" s="26" t="s">
        <v>48</v>
      </c>
      <c r="D3" s="26" t="s">
        <v>49</v>
      </c>
      <c r="E3" s="26" t="s">
        <v>50</v>
      </c>
      <c r="F3" s="26" t="s">
        <v>51</v>
      </c>
      <c r="H3" s="13"/>
      <c r="I3" s="36" t="s">
        <v>47</v>
      </c>
      <c r="J3" s="36" t="s">
        <v>48</v>
      </c>
      <c r="K3" s="36" t="s">
        <v>49</v>
      </c>
      <c r="L3" s="36" t="s">
        <v>50</v>
      </c>
      <c r="M3" s="36" t="s">
        <v>51</v>
      </c>
    </row>
    <row r="4" spans="1:13" ht="15.75">
      <c r="A4" s="18" t="s">
        <v>38</v>
      </c>
      <c r="B4" s="26"/>
      <c r="C4" s="26"/>
      <c r="D4" s="26"/>
      <c r="E4" s="26"/>
      <c r="F4" s="26"/>
      <c r="H4" s="13" t="s">
        <v>122</v>
      </c>
      <c r="I4" s="27">
        <v>0.1167</v>
      </c>
      <c r="J4" s="27">
        <v>0.1111</v>
      </c>
      <c r="K4" s="28">
        <v>0.1</v>
      </c>
      <c r="L4" s="27">
        <v>9.2999999999999999E-2</v>
      </c>
      <c r="M4" s="27">
        <v>8.8900000000000007E-2</v>
      </c>
    </row>
    <row r="5" spans="1:13" ht="15.75">
      <c r="A5" s="19" t="s">
        <v>39</v>
      </c>
      <c r="B5" s="26">
        <v>25</v>
      </c>
      <c r="C5" s="26">
        <v>25</v>
      </c>
      <c r="D5" s="26">
        <v>25</v>
      </c>
      <c r="E5" s="26">
        <v>25</v>
      </c>
      <c r="F5" s="26">
        <v>25</v>
      </c>
      <c r="H5" s="13" t="s">
        <v>123</v>
      </c>
      <c r="I5" s="26">
        <v>0.25</v>
      </c>
      <c r="J5" s="26">
        <v>0.23</v>
      </c>
      <c r="K5" s="26">
        <v>0.22</v>
      </c>
      <c r="L5" s="26">
        <v>0.21</v>
      </c>
      <c r="M5" s="26">
        <v>0.21</v>
      </c>
    </row>
    <row r="6" spans="1:13" ht="15.75">
      <c r="A6" s="19" t="s">
        <v>40</v>
      </c>
      <c r="B6" s="26">
        <v>250</v>
      </c>
      <c r="C6" s="26">
        <v>1000</v>
      </c>
      <c r="D6" s="26">
        <v>1750</v>
      </c>
      <c r="E6" s="26">
        <v>2500</v>
      </c>
      <c r="F6" s="26">
        <v>3250</v>
      </c>
      <c r="H6" s="13" t="s">
        <v>124</v>
      </c>
      <c r="I6" s="27">
        <v>0.66669999999999996</v>
      </c>
      <c r="J6" s="27">
        <v>0.66669999999999996</v>
      </c>
      <c r="K6" s="27">
        <v>0.66669999999999996</v>
      </c>
      <c r="L6" s="27">
        <v>0.66669999999999996</v>
      </c>
      <c r="M6" s="27">
        <v>0.66669999999999996</v>
      </c>
    </row>
    <row r="7" spans="1:13" ht="15.75">
      <c r="A7" s="19" t="s">
        <v>41</v>
      </c>
      <c r="B7" s="26">
        <v>1000</v>
      </c>
      <c r="C7" s="26">
        <v>1000</v>
      </c>
      <c r="D7" s="26">
        <v>1000</v>
      </c>
      <c r="E7" s="26">
        <v>1000</v>
      </c>
      <c r="F7" s="26">
        <v>1000</v>
      </c>
      <c r="H7" s="13" t="s">
        <v>125</v>
      </c>
      <c r="I7" s="28">
        <v>0.2</v>
      </c>
      <c r="J7" s="28">
        <v>0.2</v>
      </c>
      <c r="K7" s="28">
        <v>0.25</v>
      </c>
      <c r="L7" s="27">
        <v>0.28570000000000001</v>
      </c>
      <c r="M7" s="27">
        <v>0.28570000000000001</v>
      </c>
    </row>
    <row r="8" spans="1:13" ht="15.75">
      <c r="A8" s="19" t="s">
        <v>42</v>
      </c>
      <c r="B8" s="26">
        <v>225</v>
      </c>
      <c r="C8" s="26">
        <v>225</v>
      </c>
      <c r="D8" s="26">
        <v>225</v>
      </c>
      <c r="E8" s="26">
        <v>225</v>
      </c>
      <c r="F8" s="26">
        <v>225</v>
      </c>
      <c r="H8" s="13" t="s">
        <v>126</v>
      </c>
      <c r="I8" s="26">
        <v>6</v>
      </c>
      <c r="J8" s="26">
        <v>9</v>
      </c>
      <c r="K8" s="26">
        <v>12</v>
      </c>
      <c r="L8" s="29" t="s">
        <v>127</v>
      </c>
      <c r="M8" s="29" t="s">
        <v>128</v>
      </c>
    </row>
    <row r="9" spans="1:13" ht="15.75">
      <c r="A9" s="19" t="s">
        <v>43</v>
      </c>
      <c r="B9" s="26">
        <v>1500</v>
      </c>
      <c r="C9" s="26">
        <v>2250</v>
      </c>
      <c r="D9" s="26">
        <v>3000</v>
      </c>
      <c r="E9" s="26">
        <v>3750</v>
      </c>
      <c r="F9" s="26">
        <v>4500</v>
      </c>
      <c r="H9" s="13" t="s">
        <v>129</v>
      </c>
      <c r="I9" s="26">
        <v>11.66</v>
      </c>
      <c r="J9" s="26">
        <v>3.7</v>
      </c>
      <c r="K9" s="26">
        <v>2.35</v>
      </c>
      <c r="L9" s="29" t="s">
        <v>130</v>
      </c>
      <c r="M9" s="29" t="s">
        <v>131</v>
      </c>
    </row>
    <row r="10" spans="1:13" ht="15.75">
      <c r="A10" s="18" t="s">
        <v>25</v>
      </c>
      <c r="B10" s="26"/>
      <c r="C10" s="26"/>
      <c r="D10" s="26"/>
      <c r="E10" s="26"/>
      <c r="F10" s="26"/>
      <c r="H10" s="13" t="s">
        <v>132</v>
      </c>
      <c r="I10" s="26">
        <v>0.2</v>
      </c>
      <c r="J10" s="26">
        <v>0.8</v>
      </c>
      <c r="K10" s="26">
        <v>1.4</v>
      </c>
      <c r="L10" s="26">
        <v>2.04</v>
      </c>
      <c r="M10" s="26">
        <v>2.65</v>
      </c>
    </row>
    <row r="11" spans="1:13" ht="15.75">
      <c r="A11" s="19" t="s">
        <v>27</v>
      </c>
      <c r="B11" s="26">
        <v>50</v>
      </c>
      <c r="C11" s="26">
        <v>50</v>
      </c>
      <c r="D11" s="26">
        <v>50</v>
      </c>
      <c r="E11" s="26">
        <v>50</v>
      </c>
      <c r="F11" s="26">
        <v>50</v>
      </c>
      <c r="H11" s="13" t="s">
        <v>133</v>
      </c>
      <c r="I11" s="26">
        <v>0.16</v>
      </c>
      <c r="J11" s="26">
        <v>0.49</v>
      </c>
      <c r="K11" s="26">
        <v>0.57999999999999996</v>
      </c>
      <c r="L11" s="26">
        <v>0.67</v>
      </c>
      <c r="M11" s="26">
        <v>0.72</v>
      </c>
    </row>
    <row r="12" spans="1:13" ht="15.75">
      <c r="A12" s="19" t="s">
        <v>44</v>
      </c>
      <c r="B12" s="26">
        <v>50</v>
      </c>
      <c r="C12" s="26">
        <v>50</v>
      </c>
      <c r="D12" s="26">
        <v>50</v>
      </c>
      <c r="E12" s="26">
        <v>50</v>
      </c>
      <c r="F12" s="26">
        <v>50</v>
      </c>
      <c r="H12" s="13" t="s">
        <v>134</v>
      </c>
      <c r="I12" s="26">
        <v>0.2</v>
      </c>
      <c r="J12" s="26">
        <v>0.2</v>
      </c>
      <c r="K12" s="26">
        <v>0.2</v>
      </c>
      <c r="L12" s="26">
        <v>0.2</v>
      </c>
      <c r="M12" s="26">
        <v>0.2</v>
      </c>
    </row>
    <row r="13" spans="1:13" ht="15.75">
      <c r="A13" s="19" t="s">
        <v>45</v>
      </c>
      <c r="B13" s="26">
        <v>400</v>
      </c>
      <c r="C13" s="26">
        <v>650</v>
      </c>
      <c r="D13" s="26">
        <v>900</v>
      </c>
      <c r="E13" s="26">
        <v>1150</v>
      </c>
      <c r="F13" s="26">
        <v>1400</v>
      </c>
      <c r="H13" s="13" t="s">
        <v>135</v>
      </c>
      <c r="I13" s="13">
        <f>B27/1225*100</f>
        <v>7.5469387755102053</v>
      </c>
      <c r="J13" s="13">
        <f t="shared" ref="J13:M13" si="0">C27/1225*100</f>
        <v>8.7469387755102055</v>
      </c>
      <c r="K13" s="13">
        <f t="shared" si="0"/>
        <v>8.0775510204081638</v>
      </c>
      <c r="L13" s="13">
        <f t="shared" si="0"/>
        <v>7.33469387755102</v>
      </c>
      <c r="M13" s="13">
        <f t="shared" si="0"/>
        <v>6.277551020408163</v>
      </c>
    </row>
    <row r="14" spans="1:13" ht="15.75">
      <c r="A14" s="19" t="s">
        <v>33</v>
      </c>
      <c r="B14" s="26">
        <v>1000</v>
      </c>
      <c r="C14" s="26">
        <v>1500</v>
      </c>
      <c r="D14" s="26">
        <v>2000</v>
      </c>
      <c r="E14" s="26">
        <v>2500</v>
      </c>
      <c r="F14" s="26">
        <v>3000</v>
      </c>
      <c r="H14" s="13" t="s">
        <v>138</v>
      </c>
      <c r="I14" s="13">
        <f>B27/100</f>
        <v>0.92449999999999999</v>
      </c>
      <c r="J14" s="13">
        <f t="shared" ref="J14:M14" si="1">C27/100</f>
        <v>1.0715000000000001</v>
      </c>
      <c r="K14" s="13">
        <f t="shared" si="1"/>
        <v>0.98950000000000005</v>
      </c>
      <c r="L14" s="13">
        <f t="shared" si="1"/>
        <v>0.89849999999999997</v>
      </c>
      <c r="M14" s="13">
        <f t="shared" si="1"/>
        <v>0.76900000000000002</v>
      </c>
    </row>
    <row r="15" spans="1:13" ht="15.75">
      <c r="A15" s="19" t="s">
        <v>43</v>
      </c>
      <c r="B15" s="26">
        <v>1500</v>
      </c>
      <c r="C15" s="26">
        <v>2250</v>
      </c>
      <c r="D15" s="26">
        <v>3000</v>
      </c>
      <c r="E15" s="26">
        <v>3750</v>
      </c>
      <c r="F15" s="26">
        <v>4500</v>
      </c>
      <c r="H15" s="23" t="s">
        <v>139</v>
      </c>
      <c r="I15" s="13">
        <f>(B11+B12+B13)/B5</f>
        <v>20</v>
      </c>
      <c r="J15" s="13">
        <f t="shared" ref="J15:M15" si="2">(C11+C12+C13)/C5</f>
        <v>30</v>
      </c>
      <c r="K15" s="13">
        <f t="shared" si="2"/>
        <v>40</v>
      </c>
      <c r="L15" s="13">
        <f t="shared" si="2"/>
        <v>50</v>
      </c>
      <c r="M15" s="13">
        <f t="shared" si="2"/>
        <v>60</v>
      </c>
    </row>
    <row r="16" spans="1:13" ht="15.75">
      <c r="A16" s="40"/>
      <c r="B16" s="13"/>
      <c r="C16" s="13"/>
      <c r="D16" s="13"/>
      <c r="E16" s="13"/>
      <c r="F16" s="13"/>
      <c r="H16" s="23" t="s">
        <v>140</v>
      </c>
      <c r="I16" s="13">
        <f>(B11+B12)/B5</f>
        <v>4</v>
      </c>
      <c r="J16" s="13">
        <f t="shared" ref="J16:M16" si="3">(C11+C12)/C5</f>
        <v>4</v>
      </c>
      <c r="K16" s="13">
        <f t="shared" si="3"/>
        <v>4</v>
      </c>
      <c r="L16" s="13">
        <f t="shared" si="3"/>
        <v>4</v>
      </c>
      <c r="M16" s="13">
        <f t="shared" si="3"/>
        <v>4</v>
      </c>
    </row>
    <row r="17" spans="1:13" ht="31.5" customHeight="1">
      <c r="A17" s="50" t="s">
        <v>46</v>
      </c>
      <c r="B17" s="50"/>
      <c r="C17" s="50"/>
      <c r="D17" s="50"/>
      <c r="E17" s="50"/>
      <c r="F17" s="50"/>
    </row>
    <row r="18" spans="1:13" ht="15.75">
      <c r="A18" s="19"/>
      <c r="B18" s="26" t="s">
        <v>47</v>
      </c>
      <c r="C18" s="26" t="s">
        <v>48</v>
      </c>
      <c r="D18" s="26" t="s">
        <v>49</v>
      </c>
      <c r="E18" s="26" t="s">
        <v>50</v>
      </c>
      <c r="F18" s="26" t="s">
        <v>51</v>
      </c>
    </row>
    <row r="19" spans="1:13" ht="15.75">
      <c r="A19" s="19" t="s">
        <v>3</v>
      </c>
      <c r="B19" s="26">
        <v>300</v>
      </c>
      <c r="C19" s="26">
        <v>450</v>
      </c>
      <c r="D19" s="26">
        <v>600</v>
      </c>
      <c r="E19" s="26">
        <v>750</v>
      </c>
      <c r="F19" s="26">
        <v>900</v>
      </c>
      <c r="H19" s="51" t="s">
        <v>136</v>
      </c>
      <c r="I19" s="51"/>
      <c r="J19" s="51"/>
      <c r="K19" s="51"/>
      <c r="L19" s="51"/>
      <c r="M19" s="51"/>
    </row>
    <row r="20" spans="1:13" ht="31.5">
      <c r="A20" s="19" t="s">
        <v>52</v>
      </c>
      <c r="B20" s="26">
        <v>100</v>
      </c>
      <c r="C20" s="26">
        <v>150</v>
      </c>
      <c r="D20" s="26">
        <v>200</v>
      </c>
      <c r="E20" s="26">
        <v>250</v>
      </c>
      <c r="F20" s="26">
        <v>300</v>
      </c>
      <c r="H20" s="18" t="s">
        <v>38</v>
      </c>
      <c r="I20" s="26" t="s">
        <v>47</v>
      </c>
      <c r="J20" s="26" t="s">
        <v>48</v>
      </c>
      <c r="K20" s="26" t="s">
        <v>49</v>
      </c>
      <c r="L20" s="26" t="s">
        <v>50</v>
      </c>
      <c r="M20" s="26" t="s">
        <v>51</v>
      </c>
    </row>
    <row r="21" spans="1:13" ht="15.75">
      <c r="A21" s="19" t="s">
        <v>53</v>
      </c>
      <c r="B21" s="26">
        <v>200</v>
      </c>
      <c r="C21" s="26">
        <v>300</v>
      </c>
      <c r="D21" s="26">
        <v>400</v>
      </c>
      <c r="E21" s="26">
        <v>500</v>
      </c>
      <c r="F21" s="26">
        <v>600</v>
      </c>
      <c r="H21" s="19" t="s">
        <v>39</v>
      </c>
      <c r="I21" s="13">
        <v>100</v>
      </c>
      <c r="J21" s="13">
        <f>C5/25*100</f>
        <v>100</v>
      </c>
      <c r="K21" s="13">
        <f>D5/25*100</f>
        <v>100</v>
      </c>
      <c r="L21" s="13">
        <f>E5/25*100</f>
        <v>100</v>
      </c>
      <c r="M21" s="13">
        <f>F5/25*100</f>
        <v>100</v>
      </c>
    </row>
    <row r="22" spans="1:13" ht="15.75">
      <c r="A22" s="19" t="s">
        <v>54</v>
      </c>
      <c r="B22" s="26">
        <v>25</v>
      </c>
      <c r="C22" s="26">
        <v>50</v>
      </c>
      <c r="D22" s="26">
        <v>100</v>
      </c>
      <c r="E22" s="26">
        <v>150</v>
      </c>
      <c r="F22" s="26">
        <v>200</v>
      </c>
      <c r="H22" s="19" t="s">
        <v>40</v>
      </c>
      <c r="I22" s="13">
        <v>100</v>
      </c>
      <c r="J22" s="13">
        <f>C6/250*100</f>
        <v>400</v>
      </c>
      <c r="K22" s="13">
        <f>D6/250*100</f>
        <v>700</v>
      </c>
      <c r="L22" s="13">
        <f>E6/250*100</f>
        <v>1000</v>
      </c>
      <c r="M22" s="13">
        <f>F6/250*100</f>
        <v>1300</v>
      </c>
    </row>
    <row r="23" spans="1:13" ht="15.75">
      <c r="A23" s="19" t="s">
        <v>55</v>
      </c>
      <c r="B23" s="26">
        <v>175</v>
      </c>
      <c r="C23" s="26">
        <v>250</v>
      </c>
      <c r="D23" s="26">
        <v>300</v>
      </c>
      <c r="E23" s="26">
        <v>350</v>
      </c>
      <c r="F23" s="26">
        <v>400</v>
      </c>
      <c r="H23" s="19" t="s">
        <v>41</v>
      </c>
      <c r="I23" s="13">
        <v>100</v>
      </c>
      <c r="J23" s="13">
        <v>100</v>
      </c>
      <c r="K23" s="13">
        <v>100</v>
      </c>
      <c r="L23" s="13">
        <v>100</v>
      </c>
      <c r="M23" s="13">
        <v>100</v>
      </c>
    </row>
    <row r="24" spans="1:13" ht="15.75">
      <c r="A24" s="19" t="s">
        <v>56</v>
      </c>
      <c r="B24" s="26">
        <v>15</v>
      </c>
      <c r="C24" s="26">
        <v>67.5</v>
      </c>
      <c r="D24" s="26">
        <v>127.5</v>
      </c>
      <c r="E24" s="26">
        <v>195</v>
      </c>
      <c r="F24" s="26">
        <v>270</v>
      </c>
      <c r="H24" s="19" t="s">
        <v>42</v>
      </c>
      <c r="I24" s="13">
        <v>100</v>
      </c>
      <c r="J24" s="13">
        <v>100</v>
      </c>
      <c r="K24" s="13">
        <v>100</v>
      </c>
      <c r="L24" s="13">
        <v>100</v>
      </c>
      <c r="M24" s="13">
        <v>100</v>
      </c>
    </row>
    <row r="25" spans="1:13" ht="15.75">
      <c r="A25" s="19" t="s">
        <v>57</v>
      </c>
      <c r="B25" s="26">
        <v>160</v>
      </c>
      <c r="C25" s="26">
        <v>182.5</v>
      </c>
      <c r="D25" s="26">
        <v>172.5</v>
      </c>
      <c r="E25" s="26">
        <v>155</v>
      </c>
      <c r="F25" s="26">
        <v>130</v>
      </c>
      <c r="H25" s="19" t="s">
        <v>43</v>
      </c>
      <c r="I25" s="13">
        <v>100</v>
      </c>
      <c r="J25" s="13">
        <f>C9/1500*100</f>
        <v>150</v>
      </c>
      <c r="K25" s="13">
        <f t="shared" ref="K25:M25" si="4">D9/1500*100</f>
        <v>200</v>
      </c>
      <c r="L25" s="13">
        <f t="shared" si="4"/>
        <v>250</v>
      </c>
      <c r="M25" s="13">
        <f t="shared" si="4"/>
        <v>300</v>
      </c>
    </row>
    <row r="26" spans="1:13" ht="15.75">
      <c r="A26" s="19" t="s">
        <v>58</v>
      </c>
      <c r="B26" s="26">
        <v>67.55</v>
      </c>
      <c r="C26" s="26">
        <v>75.349999999999994</v>
      </c>
      <c r="D26" s="26">
        <v>73.55</v>
      </c>
      <c r="E26" s="26">
        <v>65.150000000000006</v>
      </c>
      <c r="F26" s="26">
        <v>53.1</v>
      </c>
      <c r="H26" s="18" t="s">
        <v>25</v>
      </c>
      <c r="I26" s="13"/>
      <c r="J26" s="13"/>
      <c r="K26" s="13"/>
      <c r="L26" s="13"/>
      <c r="M26" s="13"/>
    </row>
    <row r="27" spans="1:13" ht="15.75">
      <c r="A27" s="19" t="s">
        <v>59</v>
      </c>
      <c r="B27" s="26">
        <v>92.45</v>
      </c>
      <c r="C27" s="26">
        <v>107.15</v>
      </c>
      <c r="D27" s="26">
        <v>98.95</v>
      </c>
      <c r="E27" s="26">
        <v>89.85</v>
      </c>
      <c r="F27" s="26">
        <v>76.900000000000006</v>
      </c>
      <c r="H27" s="19" t="s">
        <v>27</v>
      </c>
      <c r="I27" s="13">
        <v>100</v>
      </c>
      <c r="J27" s="13">
        <v>100</v>
      </c>
      <c r="K27" s="13">
        <v>100</v>
      </c>
      <c r="L27" s="13">
        <v>100</v>
      </c>
      <c r="M27" s="13">
        <v>100</v>
      </c>
    </row>
    <row r="28" spans="1:13" ht="15.75">
      <c r="A28" s="19" t="s">
        <v>60</v>
      </c>
      <c r="B28" s="26">
        <v>100</v>
      </c>
      <c r="C28" s="26">
        <v>100</v>
      </c>
      <c r="D28" s="26">
        <v>100</v>
      </c>
      <c r="E28" s="26">
        <v>100</v>
      </c>
      <c r="F28" s="26">
        <v>100</v>
      </c>
      <c r="H28" s="19" t="s">
        <v>44</v>
      </c>
      <c r="I28" s="13">
        <v>100</v>
      </c>
      <c r="J28" s="13">
        <v>100</v>
      </c>
      <c r="K28" s="13">
        <v>100</v>
      </c>
      <c r="L28" s="13">
        <v>100</v>
      </c>
      <c r="M28" s="13">
        <v>100</v>
      </c>
    </row>
    <row r="29" spans="1:13" ht="15.75">
      <c r="A29" s="19" t="s">
        <v>61</v>
      </c>
      <c r="B29" s="26">
        <v>5</v>
      </c>
      <c r="C29" s="26">
        <v>5</v>
      </c>
      <c r="D29" s="26">
        <v>4</v>
      </c>
      <c r="E29" s="26">
        <v>3.5</v>
      </c>
      <c r="F29" s="26">
        <v>3.5</v>
      </c>
      <c r="H29" s="19" t="s">
        <v>45</v>
      </c>
      <c r="I29" s="13">
        <v>100</v>
      </c>
      <c r="J29" s="13">
        <f>C13/400*100</f>
        <v>162.5</v>
      </c>
      <c r="K29" s="13">
        <f t="shared" ref="K29:M29" si="5">D13/400*100</f>
        <v>225</v>
      </c>
      <c r="L29" s="13">
        <f t="shared" si="5"/>
        <v>287.5</v>
      </c>
      <c r="M29" s="13">
        <f t="shared" si="5"/>
        <v>350</v>
      </c>
    </row>
    <row r="30" spans="1:13" ht="15.75">
      <c r="H30" s="19" t="s">
        <v>33</v>
      </c>
      <c r="I30" s="13">
        <v>100</v>
      </c>
      <c r="J30" s="13">
        <f>C14/1000*100</f>
        <v>150</v>
      </c>
      <c r="K30" s="13">
        <f t="shared" ref="K30:M30" si="6">D14/1000*100</f>
        <v>200</v>
      </c>
      <c r="L30" s="13">
        <f t="shared" si="6"/>
        <v>250</v>
      </c>
      <c r="M30" s="13">
        <f t="shared" si="6"/>
        <v>300</v>
      </c>
    </row>
    <row r="31" spans="1:13" ht="15.75">
      <c r="H31" s="19" t="s">
        <v>43</v>
      </c>
      <c r="I31" s="13">
        <v>100</v>
      </c>
      <c r="J31" s="13">
        <f>C15/1500*100</f>
        <v>150</v>
      </c>
      <c r="K31" s="13">
        <f t="shared" ref="K31:M31" si="7">D15/1500*100</f>
        <v>200</v>
      </c>
      <c r="L31" s="13">
        <f t="shared" si="7"/>
        <v>250</v>
      </c>
      <c r="M31" s="13">
        <f t="shared" si="7"/>
        <v>300</v>
      </c>
    </row>
    <row r="32" spans="1:13">
      <c r="H32" s="13"/>
      <c r="I32" s="13"/>
      <c r="J32" s="13"/>
      <c r="K32" s="13"/>
      <c r="L32" s="13"/>
      <c r="M32" s="13"/>
    </row>
    <row r="33" spans="8:13" ht="15.75">
      <c r="H33" s="19" t="s">
        <v>3</v>
      </c>
      <c r="I33" s="30">
        <v>100</v>
      </c>
      <c r="J33" s="13">
        <f>C19/300*100</f>
        <v>150</v>
      </c>
      <c r="K33" s="13">
        <f>D19/300*100</f>
        <v>200</v>
      </c>
      <c r="L33" s="13">
        <f>E19/300*100</f>
        <v>250</v>
      </c>
      <c r="M33" s="13">
        <f>F19/300*100</f>
        <v>300</v>
      </c>
    </row>
    <row r="34" spans="8:13" ht="31.5">
      <c r="H34" s="19" t="s">
        <v>52</v>
      </c>
      <c r="I34" s="30">
        <v>100</v>
      </c>
      <c r="J34" s="13">
        <f t="shared" ref="J34:J36" si="8">C20/B20*100</f>
        <v>150</v>
      </c>
      <c r="K34" s="13">
        <f>D20/100*100</f>
        <v>200</v>
      </c>
      <c r="L34" s="13">
        <f t="shared" ref="L34:M34" si="9">E20/100*100</f>
        <v>250</v>
      </c>
      <c r="M34" s="13">
        <f t="shared" si="9"/>
        <v>300</v>
      </c>
    </row>
    <row r="35" spans="8:13" ht="15.75">
      <c r="H35" s="19" t="s">
        <v>53</v>
      </c>
      <c r="I35" s="30">
        <v>100</v>
      </c>
      <c r="J35" s="13">
        <f t="shared" si="8"/>
        <v>150</v>
      </c>
      <c r="K35" s="13">
        <f>C21/200*100</f>
        <v>150</v>
      </c>
      <c r="L35" s="13">
        <f t="shared" ref="L35:M35" si="10">D21/200*100</f>
        <v>200</v>
      </c>
      <c r="M35" s="13">
        <f t="shared" si="10"/>
        <v>250</v>
      </c>
    </row>
    <row r="36" spans="8:13" ht="31.5">
      <c r="H36" s="19" t="s">
        <v>54</v>
      </c>
      <c r="I36" s="30">
        <v>100</v>
      </c>
      <c r="J36" s="13">
        <f t="shared" si="8"/>
        <v>200</v>
      </c>
      <c r="K36" s="13">
        <f>D22/25*100</f>
        <v>400</v>
      </c>
      <c r="L36" s="13">
        <f t="shared" ref="L36:M36" si="11">E22/25*100</f>
        <v>600</v>
      </c>
      <c r="M36" s="13">
        <f t="shared" si="11"/>
        <v>800</v>
      </c>
    </row>
    <row r="37" spans="8:13" ht="15.75">
      <c r="H37" s="19" t="s">
        <v>55</v>
      </c>
      <c r="I37" s="30">
        <v>100</v>
      </c>
      <c r="J37" s="13">
        <f>C23/175*100</f>
        <v>142.85714285714286</v>
      </c>
      <c r="K37" s="13">
        <f t="shared" ref="K37:M37" si="12">D23/175*100</f>
        <v>171.42857142857142</v>
      </c>
      <c r="L37" s="13">
        <f t="shared" si="12"/>
        <v>200</v>
      </c>
      <c r="M37" s="13">
        <f t="shared" si="12"/>
        <v>228.57142857142856</v>
      </c>
    </row>
    <row r="38" spans="8:13" ht="15.75">
      <c r="H38" s="19" t="s">
        <v>56</v>
      </c>
      <c r="I38" s="30">
        <v>100</v>
      </c>
      <c r="J38" s="13">
        <f>C24/15*100</f>
        <v>450</v>
      </c>
      <c r="K38" s="13">
        <f t="shared" ref="K38:M38" si="13">D24/15*100</f>
        <v>850</v>
      </c>
      <c r="L38" s="13">
        <f t="shared" si="13"/>
        <v>1300</v>
      </c>
      <c r="M38" s="13">
        <f t="shared" si="13"/>
        <v>1800</v>
      </c>
    </row>
    <row r="39" spans="8:13" ht="15.75">
      <c r="H39" s="19" t="s">
        <v>57</v>
      </c>
      <c r="I39" s="30">
        <v>100</v>
      </c>
      <c r="J39" s="13">
        <f>C25/160*100</f>
        <v>114.0625</v>
      </c>
      <c r="K39" s="13">
        <f t="shared" ref="K39:M39" si="14">D25/160*100</f>
        <v>107.8125</v>
      </c>
      <c r="L39" s="13">
        <f t="shared" si="14"/>
        <v>96.875</v>
      </c>
      <c r="M39" s="13">
        <f t="shared" si="14"/>
        <v>81.25</v>
      </c>
    </row>
    <row r="40" spans="8:13" ht="15.75">
      <c r="H40" s="19" t="s">
        <v>58</v>
      </c>
      <c r="I40" s="30">
        <v>100</v>
      </c>
      <c r="J40" s="13">
        <f>C26/67.55*100</f>
        <v>111.54700222057734</v>
      </c>
      <c r="K40" s="13">
        <f t="shared" ref="K40:M40" si="15">D26/67.55*100</f>
        <v>108.88230940044411</v>
      </c>
      <c r="L40" s="13">
        <f t="shared" si="15"/>
        <v>96.447076239822366</v>
      </c>
      <c r="M40" s="13">
        <f t="shared" si="15"/>
        <v>78.608438193930425</v>
      </c>
    </row>
    <row r="41" spans="8:13" ht="15.75">
      <c r="H41" s="19" t="s">
        <v>59</v>
      </c>
      <c r="I41" s="30">
        <v>100</v>
      </c>
      <c r="J41" s="13">
        <f>C27/92.45*100</f>
        <v>115.90048674959436</v>
      </c>
      <c r="K41" s="13">
        <f t="shared" ref="K41:M41" si="16">D27/92.45*100</f>
        <v>107.03082747431043</v>
      </c>
      <c r="L41" s="13">
        <f t="shared" si="16"/>
        <v>97.187669010275812</v>
      </c>
      <c r="M41" s="13">
        <f t="shared" si="16"/>
        <v>83.180097349918881</v>
      </c>
    </row>
  </sheetData>
  <mergeCells count="5">
    <mergeCell ref="A2:F2"/>
    <mergeCell ref="A17:F17"/>
    <mergeCell ref="A1:I1"/>
    <mergeCell ref="H19:M19"/>
    <mergeCell ref="H2:M2"/>
  </mergeCells>
  <pageMargins left="0.7" right="0.7" top="0.75" bottom="0.75" header="0.3" footer="0.3"/>
  <pageSetup orientation="portrait" horizontalDpi="300" verticalDpi="300" r:id="rId1"/>
</worksheet>
</file>

<file path=xl/worksheets/sheet7.xml><?xml version="1.0" encoding="utf-8"?>
<worksheet xmlns="http://schemas.openxmlformats.org/spreadsheetml/2006/main" xmlns:r="http://schemas.openxmlformats.org/officeDocument/2006/relationships">
  <dimension ref="A1:M41"/>
  <sheetViews>
    <sheetView workbookViewId="0">
      <selection activeCell="B34" sqref="B34:F35"/>
    </sheetView>
  </sheetViews>
  <sheetFormatPr defaultRowHeight="15"/>
  <cols>
    <col min="1" max="1" width="22.28515625" customWidth="1"/>
    <col min="8" max="8" width="15.140625" customWidth="1"/>
    <col min="10" max="10" width="10.140625" bestFit="1" customWidth="1"/>
    <col min="11" max="11" width="9.5703125" customWidth="1"/>
  </cols>
  <sheetData>
    <row r="1" spans="1:13" ht="84" customHeight="1" thickBot="1">
      <c r="A1" s="46" t="s">
        <v>36</v>
      </c>
      <c r="B1" s="43"/>
      <c r="C1" s="43"/>
      <c r="D1" s="43"/>
      <c r="E1" s="43"/>
      <c r="F1" s="43"/>
      <c r="G1" s="43"/>
      <c r="H1" s="43"/>
      <c r="I1" s="43"/>
      <c r="J1" s="43"/>
      <c r="K1" s="43"/>
      <c r="L1" s="43"/>
      <c r="M1" s="43"/>
    </row>
    <row r="2" spans="1:13" ht="31.5" customHeight="1" thickBot="1">
      <c r="A2" s="56" t="s">
        <v>37</v>
      </c>
      <c r="B2" s="56"/>
      <c r="C2" s="56"/>
      <c r="D2" s="56"/>
      <c r="E2" s="56"/>
      <c r="F2" s="56"/>
      <c r="H2" s="52" t="s">
        <v>136</v>
      </c>
      <c r="I2" s="53"/>
      <c r="J2" s="53"/>
      <c r="K2" s="53"/>
      <c r="L2" s="53"/>
      <c r="M2" s="54"/>
    </row>
    <row r="3" spans="1:13" ht="15.75">
      <c r="A3" s="5"/>
      <c r="B3" s="8" t="s">
        <v>47</v>
      </c>
      <c r="C3" s="8" t="s">
        <v>48</v>
      </c>
      <c r="D3" s="8" t="s">
        <v>49</v>
      </c>
      <c r="E3" s="8" t="s">
        <v>50</v>
      </c>
      <c r="F3" s="8" t="s">
        <v>51</v>
      </c>
      <c r="H3" s="13"/>
      <c r="I3" s="8" t="s">
        <v>47</v>
      </c>
      <c r="J3" s="8" t="s">
        <v>48</v>
      </c>
      <c r="K3" s="8" t="s">
        <v>49</v>
      </c>
      <c r="L3" s="8" t="s">
        <v>50</v>
      </c>
      <c r="M3" s="8" t="s">
        <v>51</v>
      </c>
    </row>
    <row r="4" spans="1:13" ht="45">
      <c r="A4" s="12" t="s">
        <v>38</v>
      </c>
      <c r="B4" s="8"/>
      <c r="C4" s="8"/>
      <c r="D4" s="8"/>
      <c r="E4" s="8"/>
      <c r="F4" s="8"/>
      <c r="H4" s="18" t="s">
        <v>38</v>
      </c>
      <c r="I4" s="31" t="s">
        <v>141</v>
      </c>
      <c r="J4" s="27"/>
      <c r="K4" s="28"/>
      <c r="L4" s="27"/>
      <c r="M4" s="27"/>
    </row>
    <row r="5" spans="1:13" ht="15.75">
      <c r="A5" s="5" t="s">
        <v>39</v>
      </c>
      <c r="B5" s="8">
        <v>25</v>
      </c>
      <c r="C5" s="8">
        <v>25</v>
      </c>
      <c r="D5" s="8">
        <v>25</v>
      </c>
      <c r="E5" s="8">
        <v>25</v>
      </c>
      <c r="F5" s="8">
        <v>25</v>
      </c>
      <c r="H5" s="19" t="s">
        <v>39</v>
      </c>
      <c r="I5" s="26">
        <v>100</v>
      </c>
      <c r="J5" s="26">
        <f>C5/25*100</f>
        <v>100</v>
      </c>
      <c r="K5" s="26">
        <f t="shared" ref="K5:M5" si="0">D5/25*100</f>
        <v>100</v>
      </c>
      <c r="L5" s="26">
        <f t="shared" si="0"/>
        <v>100</v>
      </c>
      <c r="M5" s="26">
        <f t="shared" si="0"/>
        <v>100</v>
      </c>
    </row>
    <row r="6" spans="1:13" ht="15.75">
      <c r="A6" s="5" t="s">
        <v>40</v>
      </c>
      <c r="B6" s="8">
        <v>250</v>
      </c>
      <c r="C6" s="8">
        <v>1000</v>
      </c>
      <c r="D6" s="8">
        <v>1750</v>
      </c>
      <c r="E6" s="8">
        <v>2500</v>
      </c>
      <c r="F6" s="8">
        <v>3250</v>
      </c>
      <c r="H6" s="33" t="s">
        <v>40</v>
      </c>
      <c r="I6" s="34">
        <v>100</v>
      </c>
      <c r="J6" s="35">
        <f>C6/250*100</f>
        <v>400</v>
      </c>
      <c r="K6" s="35">
        <f t="shared" ref="K6:M6" si="1">D6/250*100</f>
        <v>700</v>
      </c>
      <c r="L6" s="35">
        <f t="shared" si="1"/>
        <v>1000</v>
      </c>
      <c r="M6" s="35">
        <f t="shared" si="1"/>
        <v>1300</v>
      </c>
    </row>
    <row r="7" spans="1:13" ht="15.75">
      <c r="A7" s="5" t="s">
        <v>41</v>
      </c>
      <c r="B7" s="8">
        <v>1000</v>
      </c>
      <c r="C7" s="8">
        <v>1000</v>
      </c>
      <c r="D7" s="8">
        <v>1000</v>
      </c>
      <c r="E7" s="8">
        <v>1000</v>
      </c>
      <c r="F7" s="8">
        <v>1000</v>
      </c>
      <c r="H7" s="19" t="s">
        <v>41</v>
      </c>
      <c r="I7" s="26">
        <v>100</v>
      </c>
      <c r="J7" s="32">
        <f>C7/1000*100</f>
        <v>100</v>
      </c>
      <c r="K7" s="32">
        <f t="shared" ref="K7:M7" si="2">D7/1000*100</f>
        <v>100</v>
      </c>
      <c r="L7" s="32">
        <f t="shared" si="2"/>
        <v>100</v>
      </c>
      <c r="M7" s="32">
        <f t="shared" si="2"/>
        <v>100</v>
      </c>
    </row>
    <row r="8" spans="1:13" ht="15.75">
      <c r="A8" s="5" t="s">
        <v>42</v>
      </c>
      <c r="B8" s="8">
        <v>225</v>
      </c>
      <c r="C8" s="8">
        <v>225</v>
      </c>
      <c r="D8" s="8">
        <v>225</v>
      </c>
      <c r="E8" s="8">
        <v>225</v>
      </c>
      <c r="F8" s="8">
        <v>225</v>
      </c>
      <c r="H8" s="19" t="s">
        <v>42</v>
      </c>
      <c r="I8" s="26">
        <v>100</v>
      </c>
      <c r="J8" s="26">
        <f>C8/225*100</f>
        <v>100</v>
      </c>
      <c r="K8" s="26">
        <f t="shared" ref="K8:M8" si="3">D8/225*100</f>
        <v>100</v>
      </c>
      <c r="L8" s="26">
        <f t="shared" si="3"/>
        <v>100</v>
      </c>
      <c r="M8" s="26">
        <f t="shared" si="3"/>
        <v>100</v>
      </c>
    </row>
    <row r="9" spans="1:13" ht="15.75">
      <c r="A9" s="5" t="s">
        <v>43</v>
      </c>
      <c r="B9" s="8">
        <v>1500</v>
      </c>
      <c r="C9" s="8">
        <v>2250</v>
      </c>
      <c r="D9" s="8">
        <v>3000</v>
      </c>
      <c r="E9" s="8">
        <v>3750</v>
      </c>
      <c r="F9" s="8">
        <v>4500</v>
      </c>
      <c r="H9" s="19" t="s">
        <v>43</v>
      </c>
      <c r="I9" s="26">
        <v>100</v>
      </c>
      <c r="J9" s="26"/>
      <c r="K9" s="26"/>
      <c r="L9" s="29"/>
      <c r="M9" s="29"/>
    </row>
    <row r="10" spans="1:13" ht="15.75">
      <c r="A10" s="12" t="s">
        <v>25</v>
      </c>
      <c r="B10" s="8"/>
      <c r="C10" s="8"/>
      <c r="D10" s="8"/>
      <c r="E10" s="8"/>
      <c r="F10" s="8"/>
      <c r="H10" s="18" t="s">
        <v>25</v>
      </c>
      <c r="I10" s="26">
        <v>100</v>
      </c>
      <c r="J10" s="26"/>
      <c r="K10" s="26"/>
      <c r="L10" s="26"/>
      <c r="M10" s="26"/>
    </row>
    <row r="11" spans="1:13" ht="15.75">
      <c r="A11" s="5" t="s">
        <v>27</v>
      </c>
      <c r="B11" s="8">
        <v>50</v>
      </c>
      <c r="C11" s="8">
        <v>50</v>
      </c>
      <c r="D11" s="8">
        <v>50</v>
      </c>
      <c r="E11" s="8">
        <v>50</v>
      </c>
      <c r="F11" s="8">
        <v>50</v>
      </c>
      <c r="H11" s="19" t="s">
        <v>27</v>
      </c>
      <c r="I11" s="26">
        <v>100</v>
      </c>
      <c r="J11" s="26"/>
      <c r="K11" s="26"/>
      <c r="L11" s="26"/>
      <c r="M11" s="26"/>
    </row>
    <row r="12" spans="1:13" ht="15.75">
      <c r="A12" s="5" t="s">
        <v>44</v>
      </c>
      <c r="B12" s="8">
        <v>50</v>
      </c>
      <c r="C12" s="8">
        <v>50</v>
      </c>
      <c r="D12" s="8">
        <v>50</v>
      </c>
      <c r="E12" s="8">
        <v>50</v>
      </c>
      <c r="F12" s="8">
        <v>50</v>
      </c>
      <c r="H12" s="19" t="s">
        <v>44</v>
      </c>
      <c r="I12" s="26">
        <v>100</v>
      </c>
      <c r="J12" s="26"/>
      <c r="K12" s="26"/>
      <c r="L12" s="26"/>
      <c r="M12" s="26"/>
    </row>
    <row r="13" spans="1:13" ht="15.75">
      <c r="A13" s="5" t="s">
        <v>45</v>
      </c>
      <c r="B13" s="8">
        <v>400</v>
      </c>
      <c r="C13" s="8">
        <v>650</v>
      </c>
      <c r="D13" s="8">
        <v>900</v>
      </c>
      <c r="E13" s="8">
        <v>1150</v>
      </c>
      <c r="F13" s="8">
        <v>1400</v>
      </c>
      <c r="H13" s="19" t="s">
        <v>45</v>
      </c>
      <c r="I13" s="26">
        <v>100</v>
      </c>
      <c r="J13" s="13">
        <f>C13/400*100</f>
        <v>162.5</v>
      </c>
      <c r="K13" s="13">
        <f t="shared" ref="K13:M13" si="4">D13/400*100</f>
        <v>225</v>
      </c>
      <c r="L13" s="13">
        <f t="shared" si="4"/>
        <v>287.5</v>
      </c>
      <c r="M13" s="13">
        <f t="shared" si="4"/>
        <v>350</v>
      </c>
    </row>
    <row r="14" spans="1:13" ht="15.75">
      <c r="A14" s="5" t="s">
        <v>33</v>
      </c>
      <c r="B14" s="8">
        <v>1000</v>
      </c>
      <c r="C14" s="8">
        <v>1500</v>
      </c>
      <c r="D14" s="8">
        <v>2000</v>
      </c>
      <c r="E14" s="8">
        <v>2500</v>
      </c>
      <c r="F14" s="8">
        <v>3000</v>
      </c>
      <c r="H14" s="19" t="s">
        <v>33</v>
      </c>
      <c r="I14" s="26">
        <v>100</v>
      </c>
      <c r="J14" s="13"/>
      <c r="K14" s="13"/>
      <c r="L14" s="13"/>
      <c r="M14" s="13"/>
    </row>
    <row r="15" spans="1:13" ht="16.5" thickBot="1">
      <c r="A15" s="9" t="s">
        <v>43</v>
      </c>
      <c r="B15" s="11">
        <v>1500</v>
      </c>
      <c r="C15" s="11">
        <v>2250</v>
      </c>
      <c r="D15" s="11">
        <v>3000</v>
      </c>
      <c r="E15" s="11">
        <v>3750</v>
      </c>
      <c r="F15" s="11">
        <v>4500</v>
      </c>
      <c r="H15" s="19" t="s">
        <v>43</v>
      </c>
      <c r="I15" s="26">
        <v>100</v>
      </c>
      <c r="J15" s="13"/>
      <c r="K15" s="13"/>
      <c r="L15" s="13"/>
      <c r="M15" s="13"/>
    </row>
    <row r="16" spans="1:13" ht="16.5" thickBot="1">
      <c r="A16" s="2"/>
      <c r="H16" s="23"/>
      <c r="I16" s="13"/>
      <c r="J16" s="13"/>
      <c r="K16" s="13"/>
      <c r="L16" s="13"/>
      <c r="M16" s="13"/>
    </row>
    <row r="17" spans="1:13" ht="31.5" customHeight="1" thickBot="1">
      <c r="A17" s="56" t="s">
        <v>46</v>
      </c>
      <c r="B17" s="56"/>
      <c r="C17" s="56"/>
      <c r="D17" s="56"/>
      <c r="E17" s="56"/>
      <c r="F17" s="56"/>
    </row>
    <row r="18" spans="1:13" ht="15.75">
      <c r="A18" s="5"/>
      <c r="B18" s="8" t="s">
        <v>47</v>
      </c>
      <c r="C18" s="8" t="s">
        <v>48</v>
      </c>
      <c r="D18" s="8" t="s">
        <v>49</v>
      </c>
      <c r="E18" s="8" t="s">
        <v>50</v>
      </c>
      <c r="F18" s="8" t="s">
        <v>51</v>
      </c>
    </row>
    <row r="19" spans="1:13" ht="15.75">
      <c r="A19" s="5" t="s">
        <v>3</v>
      </c>
      <c r="B19" s="8">
        <v>300</v>
      </c>
      <c r="C19" s="8">
        <v>450</v>
      </c>
      <c r="D19" s="8">
        <v>600</v>
      </c>
      <c r="E19" s="8">
        <v>750</v>
      </c>
      <c r="F19" s="8">
        <v>900</v>
      </c>
      <c r="H19" s="51"/>
      <c r="I19" s="51"/>
      <c r="J19" s="51"/>
      <c r="K19" s="51"/>
      <c r="L19" s="51"/>
      <c r="M19" s="51"/>
    </row>
    <row r="20" spans="1:13" ht="15.75">
      <c r="A20" s="5" t="s">
        <v>52</v>
      </c>
      <c r="B20" s="8">
        <v>100</v>
      </c>
      <c r="C20" s="8">
        <v>150</v>
      </c>
      <c r="D20" s="8">
        <v>200</v>
      </c>
      <c r="E20" s="8">
        <v>250</v>
      </c>
      <c r="F20" s="8">
        <v>300</v>
      </c>
      <c r="H20" s="18"/>
      <c r="I20" s="26"/>
      <c r="J20" s="26"/>
      <c r="K20" s="26"/>
      <c r="L20" s="26"/>
      <c r="M20" s="26"/>
    </row>
    <row r="21" spans="1:13" ht="15.75">
      <c r="A21" s="5" t="s">
        <v>53</v>
      </c>
      <c r="B21" s="8">
        <v>200</v>
      </c>
      <c r="C21" s="8">
        <v>300</v>
      </c>
      <c r="D21" s="8">
        <v>400</v>
      </c>
      <c r="E21" s="8">
        <v>500</v>
      </c>
      <c r="F21" s="8">
        <v>600</v>
      </c>
      <c r="H21" s="19"/>
      <c r="I21" s="13"/>
      <c r="J21" s="13"/>
      <c r="K21" s="13"/>
      <c r="L21" s="13"/>
      <c r="M21" s="13"/>
    </row>
    <row r="22" spans="1:13" ht="15.75">
      <c r="A22" s="5" t="s">
        <v>54</v>
      </c>
      <c r="B22" s="8">
        <v>25</v>
      </c>
      <c r="C22" s="8">
        <v>50</v>
      </c>
      <c r="D22" s="8">
        <v>100</v>
      </c>
      <c r="E22" s="8">
        <v>150</v>
      </c>
      <c r="F22" s="8">
        <v>200</v>
      </c>
      <c r="H22" s="19"/>
      <c r="I22" s="13"/>
      <c r="J22" s="13"/>
      <c r="K22" s="13"/>
      <c r="L22" s="13"/>
      <c r="M22" s="13"/>
    </row>
    <row r="23" spans="1:13" ht="15.75">
      <c r="A23" s="5" t="s">
        <v>55</v>
      </c>
      <c r="B23" s="8">
        <v>175</v>
      </c>
      <c r="C23" s="8">
        <v>250</v>
      </c>
      <c r="D23" s="8">
        <v>300</v>
      </c>
      <c r="E23" s="8">
        <v>350</v>
      </c>
      <c r="F23" s="8">
        <v>400</v>
      </c>
      <c r="H23" s="19"/>
      <c r="I23" s="13"/>
      <c r="J23" s="13"/>
      <c r="K23" s="13"/>
      <c r="L23" s="13"/>
      <c r="M23" s="13"/>
    </row>
    <row r="24" spans="1:13" ht="15.75">
      <c r="A24" s="5" t="s">
        <v>56</v>
      </c>
      <c r="B24" s="8">
        <v>15</v>
      </c>
      <c r="C24" s="8">
        <v>67.5</v>
      </c>
      <c r="D24" s="8">
        <v>127.5</v>
      </c>
      <c r="E24" s="8">
        <v>195</v>
      </c>
      <c r="F24" s="8">
        <v>270</v>
      </c>
      <c r="H24" s="19"/>
      <c r="I24" s="13"/>
      <c r="J24" s="13"/>
      <c r="K24" s="13"/>
      <c r="L24" s="13"/>
      <c r="M24" s="13"/>
    </row>
    <row r="25" spans="1:13" ht="15.75">
      <c r="A25" s="5" t="s">
        <v>57</v>
      </c>
      <c r="B25" s="8">
        <v>160</v>
      </c>
      <c r="C25" s="8">
        <v>182.5</v>
      </c>
      <c r="D25" s="8">
        <v>172.5</v>
      </c>
      <c r="E25" s="8">
        <v>155</v>
      </c>
      <c r="F25" s="8">
        <v>130</v>
      </c>
      <c r="H25" s="19"/>
      <c r="I25" s="13"/>
      <c r="J25" s="13"/>
      <c r="K25" s="13"/>
      <c r="L25" s="13"/>
      <c r="M25" s="13"/>
    </row>
    <row r="26" spans="1:13" ht="15.75">
      <c r="A26" s="5" t="s">
        <v>58</v>
      </c>
      <c r="B26" s="8">
        <v>67.55</v>
      </c>
      <c r="C26" s="8">
        <v>75.349999999999994</v>
      </c>
      <c r="D26" s="8">
        <v>73.55</v>
      </c>
      <c r="E26" s="8">
        <v>65.150000000000006</v>
      </c>
      <c r="F26" s="8">
        <v>53.1</v>
      </c>
      <c r="H26" s="18"/>
      <c r="I26" s="13"/>
      <c r="J26" s="13"/>
      <c r="K26" s="13"/>
      <c r="L26" s="13"/>
      <c r="M26" s="13"/>
    </row>
    <row r="27" spans="1:13" ht="15.75">
      <c r="A27" s="5" t="s">
        <v>59</v>
      </c>
      <c r="B27" s="8">
        <v>92.45</v>
      </c>
      <c r="C27" s="8">
        <v>107.15</v>
      </c>
      <c r="D27" s="8">
        <v>98.95</v>
      </c>
      <c r="E27" s="8">
        <v>89.85</v>
      </c>
      <c r="F27" s="8">
        <v>76.900000000000006</v>
      </c>
      <c r="H27" s="19"/>
      <c r="I27" s="13"/>
      <c r="J27" s="13"/>
      <c r="K27" s="13"/>
      <c r="L27" s="13"/>
      <c r="M27" s="13"/>
    </row>
    <row r="28" spans="1:13" ht="15.75">
      <c r="A28" s="5" t="s">
        <v>60</v>
      </c>
      <c r="B28" s="8">
        <v>100</v>
      </c>
      <c r="C28" s="8">
        <v>100</v>
      </c>
      <c r="D28" s="8">
        <v>100</v>
      </c>
      <c r="E28" s="8">
        <v>100</v>
      </c>
      <c r="F28" s="8">
        <v>100</v>
      </c>
      <c r="H28" s="19"/>
      <c r="I28" s="13"/>
      <c r="J28" s="13"/>
      <c r="K28" s="13"/>
      <c r="L28" s="13"/>
      <c r="M28" s="13"/>
    </row>
    <row r="29" spans="1:13" ht="16.5" thickBot="1">
      <c r="A29" s="9" t="s">
        <v>61</v>
      </c>
      <c r="B29" s="11">
        <v>5</v>
      </c>
      <c r="C29" s="11">
        <v>5</v>
      </c>
      <c r="D29" s="11">
        <v>4</v>
      </c>
      <c r="E29" s="11">
        <v>3.5</v>
      </c>
      <c r="F29" s="11">
        <v>3.5</v>
      </c>
      <c r="H29" s="19"/>
      <c r="I29" s="13"/>
      <c r="J29" s="13"/>
      <c r="K29" s="13"/>
      <c r="L29" s="13"/>
      <c r="M29" s="13"/>
    </row>
    <row r="30" spans="1:13" ht="15.75">
      <c r="H30" s="19"/>
      <c r="I30" s="13"/>
      <c r="J30" s="13"/>
      <c r="K30" s="13"/>
      <c r="L30" s="13"/>
      <c r="M30" s="13"/>
    </row>
    <row r="31" spans="1:13" ht="15.75">
      <c r="H31" s="19"/>
      <c r="I31" s="13"/>
      <c r="J31" s="13"/>
      <c r="K31" s="13"/>
      <c r="L31" s="13"/>
      <c r="M31" s="13"/>
    </row>
    <row r="32" spans="1:13">
      <c r="A32" s="55" t="s">
        <v>142</v>
      </c>
      <c r="B32" s="55"/>
      <c r="C32" s="55"/>
      <c r="D32" s="55"/>
      <c r="E32" s="55"/>
      <c r="F32" s="55"/>
      <c r="H32" s="13"/>
      <c r="I32" s="13"/>
      <c r="J32" s="13"/>
      <c r="K32" s="13"/>
      <c r="L32" s="13"/>
      <c r="M32" s="13"/>
    </row>
    <row r="33" spans="1:13" ht="15.75">
      <c r="A33" s="15" t="s">
        <v>143</v>
      </c>
      <c r="B33" s="36" t="s">
        <v>47</v>
      </c>
      <c r="C33" s="36" t="s">
        <v>48</v>
      </c>
      <c r="D33" s="36" t="s">
        <v>49</v>
      </c>
      <c r="E33" s="36" t="s">
        <v>50</v>
      </c>
      <c r="F33" s="36" t="s">
        <v>51</v>
      </c>
      <c r="H33" s="19"/>
      <c r="I33" s="30"/>
      <c r="J33" s="13"/>
      <c r="K33" s="13"/>
      <c r="L33" s="13"/>
      <c r="M33" s="13"/>
    </row>
    <row r="34" spans="1:13" ht="15.75">
      <c r="A34" s="13" t="s">
        <v>147</v>
      </c>
      <c r="B34" s="13">
        <f>(B11+B12+B13)/B5</f>
        <v>20</v>
      </c>
      <c r="C34" s="13">
        <f t="shared" ref="C34:F34" si="5">(C11+C12+C13)/C5</f>
        <v>30</v>
      </c>
      <c r="D34" s="13">
        <f t="shared" si="5"/>
        <v>40</v>
      </c>
      <c r="E34" s="13">
        <f t="shared" si="5"/>
        <v>50</v>
      </c>
      <c r="F34" s="13">
        <f t="shared" si="5"/>
        <v>60</v>
      </c>
      <c r="H34" s="19"/>
      <c r="I34" s="30"/>
      <c r="J34" s="13"/>
      <c r="K34" s="13"/>
      <c r="L34" s="13"/>
      <c r="M34" s="13"/>
    </row>
    <row r="35" spans="1:13" ht="15.75">
      <c r="A35" s="13" t="s">
        <v>144</v>
      </c>
      <c r="B35" s="13">
        <f>(B11+B12)/B5</f>
        <v>4</v>
      </c>
      <c r="C35" s="13">
        <f t="shared" ref="C35:F35" si="6">(C11+C12)/C5</f>
        <v>4</v>
      </c>
      <c r="D35" s="13">
        <f t="shared" si="6"/>
        <v>4</v>
      </c>
      <c r="E35" s="13">
        <f t="shared" si="6"/>
        <v>4</v>
      </c>
      <c r="F35" s="13">
        <f t="shared" si="6"/>
        <v>4</v>
      </c>
      <c r="H35" s="19"/>
      <c r="I35" s="30"/>
      <c r="J35" s="13"/>
      <c r="K35" s="13"/>
      <c r="L35" s="13"/>
      <c r="M35" s="13"/>
    </row>
    <row r="36" spans="1:13" ht="15.75">
      <c r="A36" s="13" t="s">
        <v>145</v>
      </c>
      <c r="B36" s="13">
        <f>B6/(B7+B8)</f>
        <v>0.20408163265306123</v>
      </c>
      <c r="C36" s="13">
        <f t="shared" ref="C36:F36" si="7">C6/(C7+C8)</f>
        <v>0.81632653061224492</v>
      </c>
      <c r="D36" s="13">
        <f t="shared" si="7"/>
        <v>1.4285714285714286</v>
      </c>
      <c r="E36" s="13">
        <f t="shared" si="7"/>
        <v>2.0408163265306123</v>
      </c>
      <c r="F36" s="13">
        <f t="shared" si="7"/>
        <v>2.6530612244897958</v>
      </c>
      <c r="H36" s="19"/>
      <c r="I36" s="30"/>
      <c r="J36" s="13"/>
      <c r="K36" s="13"/>
      <c r="L36" s="13"/>
      <c r="M36" s="13"/>
    </row>
    <row r="37" spans="1:13" ht="15.75">
      <c r="A37" s="13" t="s">
        <v>146</v>
      </c>
      <c r="B37" s="13">
        <f>B23/B24</f>
        <v>11.666666666666666</v>
      </c>
      <c r="C37" s="13">
        <f t="shared" ref="C37:F37" si="8">C23/C24</f>
        <v>3.7037037037037037</v>
      </c>
      <c r="D37" s="13">
        <f t="shared" si="8"/>
        <v>2.3529411764705883</v>
      </c>
      <c r="E37" s="13">
        <f t="shared" si="8"/>
        <v>1.7948717948717949</v>
      </c>
      <c r="F37" s="13">
        <f t="shared" si="8"/>
        <v>1.4814814814814814</v>
      </c>
      <c r="H37" s="19"/>
      <c r="I37" s="30"/>
      <c r="J37" s="13"/>
      <c r="K37" s="13"/>
      <c r="L37" s="13"/>
      <c r="M37" s="13"/>
    </row>
    <row r="38" spans="1:13" ht="15.75">
      <c r="A38" s="13" t="s">
        <v>122</v>
      </c>
      <c r="B38" s="13">
        <f>B23/B15*100</f>
        <v>11.666666666666666</v>
      </c>
      <c r="C38" s="13">
        <f t="shared" ref="C38:F38" si="9">C23/C15*100</f>
        <v>11.111111111111111</v>
      </c>
      <c r="D38" s="13">
        <f t="shared" si="9"/>
        <v>10</v>
      </c>
      <c r="E38" s="13">
        <f t="shared" si="9"/>
        <v>9.3333333333333339</v>
      </c>
      <c r="F38" s="13">
        <f t="shared" si="9"/>
        <v>8.8888888888888893</v>
      </c>
      <c r="H38" s="19"/>
      <c r="I38" s="30"/>
      <c r="J38" s="13"/>
      <c r="K38" s="13"/>
      <c r="L38" s="13"/>
      <c r="M38" s="13"/>
    </row>
    <row r="39" spans="1:13" ht="15.75">
      <c r="A39" s="13" t="s">
        <v>135</v>
      </c>
      <c r="B39" s="13">
        <f>B27/(B7+B8)*100</f>
        <v>7.5469387755102053</v>
      </c>
      <c r="C39" s="13">
        <f t="shared" ref="C39:F39" si="10">C27/(C7+C8)*100</f>
        <v>8.7469387755102055</v>
      </c>
      <c r="D39" s="13">
        <f t="shared" si="10"/>
        <v>8.0775510204081638</v>
      </c>
      <c r="E39" s="13">
        <f t="shared" si="10"/>
        <v>7.33469387755102</v>
      </c>
      <c r="F39" s="13">
        <f t="shared" si="10"/>
        <v>6.277551020408163</v>
      </c>
      <c r="H39" s="19"/>
      <c r="I39" s="30"/>
      <c r="J39" s="13"/>
      <c r="K39" s="13"/>
      <c r="L39" s="13"/>
      <c r="M39" s="13"/>
    </row>
    <row r="40" spans="1:13" ht="15.75">
      <c r="A40" s="13" t="s">
        <v>138</v>
      </c>
      <c r="B40" s="13">
        <f>B27/100</f>
        <v>0.92449999999999999</v>
      </c>
      <c r="C40" s="13">
        <f t="shared" ref="C40:F40" si="11">C27/100</f>
        <v>1.0715000000000001</v>
      </c>
      <c r="D40" s="13">
        <f t="shared" si="11"/>
        <v>0.98950000000000005</v>
      </c>
      <c r="E40" s="13">
        <f t="shared" si="11"/>
        <v>0.89849999999999997</v>
      </c>
      <c r="F40" s="13">
        <f t="shared" si="11"/>
        <v>0.76900000000000002</v>
      </c>
      <c r="H40" s="19"/>
      <c r="I40" s="30"/>
      <c r="J40" s="13"/>
      <c r="K40" s="13"/>
      <c r="L40" s="13"/>
      <c r="M40" s="13"/>
    </row>
    <row r="41" spans="1:13" ht="15.75">
      <c r="H41" s="19"/>
      <c r="I41" s="30"/>
      <c r="J41" s="13"/>
      <c r="K41" s="13"/>
      <c r="L41" s="13"/>
      <c r="M41" s="13"/>
    </row>
  </sheetData>
  <mergeCells count="6">
    <mergeCell ref="A1:M1"/>
    <mergeCell ref="A32:F32"/>
    <mergeCell ref="A2:F2"/>
    <mergeCell ref="H2:M2"/>
    <mergeCell ref="A17:F17"/>
    <mergeCell ref="H19:M19"/>
  </mergeCells>
  <pageMargins left="0.7" right="0.7" top="0.75" bottom="0.75" header="0.3" footer="0.3"/>
  <pageSetup orientation="portrait" horizontalDpi="300" verticalDpi="300" r:id="rId1"/>
</worksheet>
</file>

<file path=xl/worksheets/sheet8.xml><?xml version="1.0" encoding="utf-8"?>
<worksheet xmlns="http://schemas.openxmlformats.org/spreadsheetml/2006/main" xmlns:r="http://schemas.openxmlformats.org/officeDocument/2006/relationships">
  <dimension ref="A1:B22"/>
  <sheetViews>
    <sheetView tabSelected="1" topLeftCell="A10" workbookViewId="0">
      <selection activeCell="H6" sqref="H6"/>
    </sheetView>
  </sheetViews>
  <sheetFormatPr defaultRowHeight="15"/>
  <cols>
    <col min="1" max="1" width="65.140625" customWidth="1"/>
    <col min="2" max="2" width="30.28515625" customWidth="1"/>
  </cols>
  <sheetData>
    <row r="1" spans="1:2">
      <c r="A1" s="55" t="s">
        <v>157</v>
      </c>
      <c r="B1" s="55"/>
    </row>
    <row r="2" spans="1:2" ht="21">
      <c r="A2" s="57" t="s">
        <v>158</v>
      </c>
      <c r="B2" s="57" t="s">
        <v>2</v>
      </c>
    </row>
    <row r="3" spans="1:2" ht="21">
      <c r="A3" s="58" t="s">
        <v>3</v>
      </c>
      <c r="B3" s="58"/>
    </row>
    <row r="4" spans="1:2" ht="21">
      <c r="A4" s="58" t="s">
        <v>159</v>
      </c>
      <c r="B4" s="58"/>
    </row>
    <row r="5" spans="1:2" ht="21">
      <c r="A5" s="58" t="s">
        <v>160</v>
      </c>
      <c r="B5" s="58"/>
    </row>
    <row r="6" spans="1:2" ht="21">
      <c r="A6" s="58" t="s">
        <v>161</v>
      </c>
      <c r="B6" s="58"/>
    </row>
    <row r="7" spans="1:2" ht="21">
      <c r="A7" s="58" t="s">
        <v>162</v>
      </c>
      <c r="B7" s="58"/>
    </row>
    <row r="8" spans="1:2" ht="21">
      <c r="A8" s="58" t="s">
        <v>80</v>
      </c>
      <c r="B8" s="58"/>
    </row>
    <row r="9" spans="1:2" ht="21">
      <c r="A9" s="58" t="s">
        <v>163</v>
      </c>
      <c r="B9" s="58"/>
    </row>
    <row r="10" spans="1:2" ht="21">
      <c r="A10" s="58" t="s">
        <v>164</v>
      </c>
      <c r="B10" s="58"/>
    </row>
    <row r="11" spans="1:2" ht="21">
      <c r="A11" s="58" t="s">
        <v>165</v>
      </c>
      <c r="B11" s="58"/>
    </row>
    <row r="12" spans="1:2" ht="21">
      <c r="A12" s="58" t="s">
        <v>166</v>
      </c>
      <c r="B12" s="58"/>
    </row>
    <row r="13" spans="1:2" ht="21">
      <c r="A13" s="58" t="s">
        <v>99</v>
      </c>
      <c r="B13" s="58"/>
    </row>
    <row r="14" spans="1:2" ht="21">
      <c r="A14" s="58" t="s">
        <v>84</v>
      </c>
      <c r="B14" s="58"/>
    </row>
    <row r="15" spans="1:2" ht="21">
      <c r="A15" s="58" t="s">
        <v>167</v>
      </c>
      <c r="B15" s="58"/>
    </row>
    <row r="16" spans="1:2" ht="21">
      <c r="A16" s="58" t="s">
        <v>168</v>
      </c>
      <c r="B16" s="58"/>
    </row>
    <row r="17" spans="1:2" ht="21">
      <c r="A17" s="58" t="s">
        <v>169</v>
      </c>
      <c r="B17" s="58"/>
    </row>
    <row r="18" spans="1:2" ht="21">
      <c r="A18" s="58" t="s">
        <v>170</v>
      </c>
      <c r="B18" s="58"/>
    </row>
    <row r="19" spans="1:2" ht="21">
      <c r="A19" s="58" t="s">
        <v>171</v>
      </c>
      <c r="B19" s="58"/>
    </row>
    <row r="20" spans="1:2" ht="21">
      <c r="A20" s="58" t="s">
        <v>172</v>
      </c>
      <c r="B20" s="58"/>
    </row>
    <row r="21" spans="1:2" ht="21">
      <c r="A21" s="58"/>
      <c r="B21" s="58"/>
    </row>
    <row r="22" spans="1:2">
      <c r="A22" s="13"/>
      <c r="B22" s="13"/>
    </row>
  </sheetData>
  <mergeCells count="1">
    <mergeCell ref="A1:B1"/>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Q1-4</vt:lpstr>
      <vt:lpstr>Q5</vt:lpstr>
      <vt:lpstr>Q6</vt:lpstr>
      <vt:lpstr>Q7</vt:lpstr>
      <vt:lpstr>Q8</vt:lpstr>
      <vt:lpstr>Q9</vt:lpstr>
      <vt:lpstr>Sheet2</vt:lpstr>
      <vt:lpstr>Sheet3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CL10</dc:creator>
  <cp:lastModifiedBy>triambica.gautam</cp:lastModifiedBy>
  <dcterms:created xsi:type="dcterms:W3CDTF">2021-03-17T06:35:09Z</dcterms:created>
  <dcterms:modified xsi:type="dcterms:W3CDTF">2023-03-24T08:25:14Z</dcterms:modified>
</cp:coreProperties>
</file>