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EE0DFAC7-E2D9-4E34-B405-AA54CCF12F5A}" xr6:coauthVersionLast="46" xr6:coauthVersionMax="46" xr10:uidLastSave="{00000000-0000-0000-0000-000000000000}"/>
  <bookViews>
    <workbookView xWindow="5100" yWindow="156" windowWidth="17772" windowHeight="12276" activeTab="1" xr2:uid="{00000000-000D-0000-FFFF-FFFF00000000}"/>
  </bookViews>
  <sheets>
    <sheet name="2018" sheetId="2" r:id="rId1"/>
    <sheet name="2019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E18" i="1" s="1"/>
  <c r="L8" i="1"/>
  <c r="L9" i="1"/>
  <c r="E20" i="1" s="1"/>
  <c r="L10" i="1"/>
  <c r="E21" i="1" s="1"/>
  <c r="L2" i="1"/>
  <c r="E13" i="1" s="1"/>
  <c r="K3" i="1"/>
  <c r="K4" i="1"/>
  <c r="K5" i="1"/>
  <c r="K6" i="1"/>
  <c r="K7" i="1"/>
  <c r="C18" i="1" s="1"/>
  <c r="K8" i="1"/>
  <c r="K9" i="1"/>
  <c r="C20" i="1" s="1"/>
  <c r="K10" i="1"/>
  <c r="C21" i="1" s="1"/>
  <c r="K2" i="1"/>
  <c r="C13" i="1" s="1"/>
  <c r="J10" i="1"/>
  <c r="L3" i="2"/>
  <c r="L4" i="2"/>
  <c r="L5" i="2"/>
  <c r="L6" i="2"/>
  <c r="L7" i="2"/>
  <c r="L8" i="2"/>
  <c r="L9" i="2"/>
  <c r="L2" i="2"/>
  <c r="K3" i="2"/>
  <c r="K4" i="2"/>
  <c r="K5" i="2"/>
  <c r="K6" i="2"/>
  <c r="K7" i="2"/>
  <c r="K8" i="2"/>
  <c r="C19" i="2" s="1"/>
  <c r="K9" i="2"/>
  <c r="K2" i="2"/>
  <c r="J3" i="2"/>
  <c r="J4" i="2"/>
  <c r="J5" i="2"/>
  <c r="J6" i="2"/>
  <c r="J7" i="2"/>
  <c r="J8" i="2"/>
  <c r="J9" i="2"/>
  <c r="J2" i="2"/>
  <c r="D20" i="2"/>
  <c r="D14" i="2"/>
  <c r="E14" i="2" s="1"/>
  <c r="D15" i="2"/>
  <c r="D16" i="2"/>
  <c r="D17" i="2"/>
  <c r="D18" i="2"/>
  <c r="E18" i="2" s="1"/>
  <c r="D19" i="2"/>
  <c r="D13" i="2"/>
  <c r="B14" i="2"/>
  <c r="B15" i="2"/>
  <c r="B16" i="2"/>
  <c r="B17" i="2"/>
  <c r="B18" i="2"/>
  <c r="C18" i="2" s="1"/>
  <c r="B19" i="2"/>
  <c r="B20" i="2"/>
  <c r="B13" i="2"/>
  <c r="E40" i="2"/>
  <c r="C41" i="2"/>
  <c r="B41" i="2"/>
  <c r="B40" i="2"/>
  <c r="C40" i="2" s="1"/>
  <c r="E17" i="2"/>
  <c r="E19" i="2"/>
  <c r="C14" i="2"/>
  <c r="C16" i="2"/>
  <c r="C17" i="2"/>
  <c r="E16" i="2"/>
  <c r="E15" i="2"/>
  <c r="C24" i="2"/>
  <c r="C25" i="2" s="1"/>
  <c r="C15" i="2"/>
  <c r="C26" i="1"/>
  <c r="C25" i="1"/>
  <c r="D21" i="1"/>
  <c r="B21" i="1"/>
  <c r="E14" i="1"/>
  <c r="E15" i="1"/>
  <c r="E16" i="1"/>
  <c r="E17" i="1"/>
  <c r="E19" i="1"/>
  <c r="D14" i="1"/>
  <c r="D15" i="1"/>
  <c r="D16" i="1"/>
  <c r="D17" i="1"/>
  <c r="D18" i="1"/>
  <c r="D19" i="1"/>
  <c r="D20" i="1"/>
  <c r="D13" i="1"/>
  <c r="B13" i="1"/>
  <c r="C14" i="1"/>
  <c r="C15" i="1"/>
  <c r="C16" i="1"/>
  <c r="C17" i="1"/>
  <c r="C19" i="1"/>
  <c r="B14" i="1"/>
  <c r="B15" i="1"/>
  <c r="B16" i="1"/>
  <c r="B17" i="1"/>
  <c r="B18" i="1"/>
  <c r="B19" i="1"/>
  <c r="B20" i="1"/>
  <c r="E22" i="1" l="1"/>
  <c r="E23" i="1" s="1"/>
  <c r="C22" i="1"/>
  <c r="C23" i="1" s="1"/>
  <c r="E20" i="2"/>
  <c r="E13" i="2"/>
  <c r="C20" i="2"/>
  <c r="C13" i="2"/>
  <c r="C21" i="2" s="1"/>
  <c r="C22" i="2" s="1"/>
  <c r="E21" i="2"/>
  <c r="E22" i="2" s="1"/>
  <c r="F24" i="2" s="1"/>
  <c r="F25" i="2" s="1"/>
</calcChain>
</file>

<file path=xl/sharedStrings.xml><?xml version="1.0" encoding="utf-8"?>
<sst xmlns="http://schemas.openxmlformats.org/spreadsheetml/2006/main" count="53" uniqueCount="33">
  <si>
    <t xml:space="preserve">Public sector </t>
  </si>
  <si>
    <t xml:space="preserve">Private sector </t>
  </si>
  <si>
    <t>Year</t>
  </si>
  <si>
    <t xml:space="preserve">Infranix </t>
  </si>
  <si>
    <t xml:space="preserve">Daptacel </t>
  </si>
  <si>
    <t xml:space="preserve">Year </t>
  </si>
  <si>
    <t xml:space="preserve">Births </t>
  </si>
  <si>
    <t xml:space="preserve">Expected Doses per child </t>
  </si>
  <si>
    <t>Total demand</t>
  </si>
  <si>
    <t xml:space="preserve">Private Sector </t>
  </si>
  <si>
    <t>a_priv=</t>
    <phoneticPr fontId="1" type="noConversion"/>
  </si>
  <si>
    <t>a_pub=</t>
    <phoneticPr fontId="1" type="noConversion"/>
  </si>
  <si>
    <t>2019</t>
    <phoneticPr fontId="1" type="noConversion"/>
  </si>
  <si>
    <t>b=</t>
    <phoneticPr fontId="1" type="noConversion"/>
  </si>
  <si>
    <t>c=</t>
    <phoneticPr fontId="1" type="noConversion"/>
  </si>
  <si>
    <t>a_pub</t>
    <phoneticPr fontId="1" type="noConversion"/>
  </si>
  <si>
    <t>a_priv</t>
    <phoneticPr fontId="1" type="noConversion"/>
  </si>
  <si>
    <t>b</t>
    <phoneticPr fontId="1" type="noConversion"/>
  </si>
  <si>
    <t>c</t>
    <phoneticPr fontId="1" type="noConversion"/>
  </si>
  <si>
    <t>p_priv</t>
    <phoneticPr fontId="1" type="noConversion"/>
  </si>
  <si>
    <t>q_priv</t>
    <phoneticPr fontId="1" type="noConversion"/>
  </si>
  <si>
    <t>P_i</t>
    <phoneticPr fontId="1" type="noConversion"/>
  </si>
  <si>
    <t>P_inf</t>
    <phoneticPr fontId="1" type="noConversion"/>
  </si>
  <si>
    <t>P_dap</t>
    <phoneticPr fontId="1" type="noConversion"/>
  </si>
  <si>
    <t>public</t>
    <phoneticPr fontId="1" type="noConversion"/>
  </si>
  <si>
    <t>private</t>
    <phoneticPr fontId="1" type="noConversion"/>
  </si>
  <si>
    <t>quantity</t>
    <phoneticPr fontId="1" type="noConversion"/>
  </si>
  <si>
    <t>price</t>
    <phoneticPr fontId="1" type="noConversion"/>
  </si>
  <si>
    <t>inf</t>
    <phoneticPr fontId="1" type="noConversion"/>
  </si>
  <si>
    <t>dap</t>
    <phoneticPr fontId="1" type="noConversion"/>
  </si>
  <si>
    <t>income</t>
    <phoneticPr fontId="1" type="noConversion"/>
  </si>
  <si>
    <t>income-P_i</t>
    <phoneticPr fontId="1" type="noConversion"/>
  </si>
  <si>
    <t>d_i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</si>
</sst>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4" borderId="0" xfId="0" applyFont="1" applyFill="1" applyAlignment="1"/>
    <xf numFmtId="46" fontId="0" fillId="4" borderId="0" xfId="0" quotePrefix="1" applyNumberFormat="1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workbookViewId="0">
      <selection activeCell="A22" sqref="A22"/>
    </sheetView>
  </sheetViews>
  <sheetFormatPr defaultRowHeight="14.4"/>
  <cols>
    <col min="2" max="2" width="9.5546875" bestFit="1" customWidth="1"/>
    <col min="3" max="3" width="11.6640625" bestFit="1" customWidth="1"/>
    <col min="4" max="4" width="9.5546875" bestFit="1" customWidth="1"/>
    <col min="5" max="5" width="11.6640625" bestFit="1" customWidth="1"/>
    <col min="10" max="10" width="13.33203125" customWidth="1"/>
    <col min="11" max="11" width="12.33203125" customWidth="1"/>
    <col min="12" max="12" width="11.6640625" customWidth="1"/>
  </cols>
  <sheetData>
    <row r="1" spans="1:14">
      <c r="A1" s="1"/>
      <c r="B1" s="1" t="s">
        <v>0</v>
      </c>
      <c r="C1" s="1"/>
      <c r="D1" s="1" t="s">
        <v>1</v>
      </c>
      <c r="E1" s="1"/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9</v>
      </c>
    </row>
    <row r="2" spans="1:14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G2" s="1">
        <v>2010</v>
      </c>
      <c r="H2" s="1">
        <v>3999000</v>
      </c>
      <c r="I2" s="1">
        <v>1.6895</v>
      </c>
      <c r="J2" s="1">
        <f>H2*I2</f>
        <v>6756310.5</v>
      </c>
      <c r="K2" s="1">
        <f>J2*0.57</f>
        <v>3851096.9849999999</v>
      </c>
      <c r="L2" s="1">
        <f>J2*0.43</f>
        <v>2905213.5150000001</v>
      </c>
      <c r="N2" s="1"/>
    </row>
    <row r="3" spans="1:14">
      <c r="A3" s="1">
        <v>2010</v>
      </c>
      <c r="B3" s="1">
        <v>13.75</v>
      </c>
      <c r="C3" s="1">
        <v>13.75</v>
      </c>
      <c r="D3" s="1">
        <v>21.2</v>
      </c>
      <c r="E3" s="1">
        <v>23.75</v>
      </c>
      <c r="G3" s="1">
        <v>2011</v>
      </c>
      <c r="H3" s="1">
        <v>3954000</v>
      </c>
      <c r="I3" s="1">
        <v>1.2104999999999999</v>
      </c>
      <c r="J3" s="1">
        <f t="shared" ref="J3:J9" si="0">H3*I3</f>
        <v>4786317</v>
      </c>
      <c r="K3" s="1">
        <f t="shared" ref="K3:K9" si="1">J3*0.57</f>
        <v>2728200.69</v>
      </c>
      <c r="L3" s="1">
        <f t="shared" ref="L3:L9" si="2">J3*0.43</f>
        <v>2058116.31</v>
      </c>
      <c r="N3" s="1"/>
    </row>
    <row r="4" spans="1:14">
      <c r="A4" s="1">
        <v>2011</v>
      </c>
      <c r="B4" s="1">
        <v>14.51</v>
      </c>
      <c r="C4" s="1">
        <v>13.25</v>
      </c>
      <c r="D4" s="1">
        <v>21.2</v>
      </c>
      <c r="E4" s="1">
        <v>24.4</v>
      </c>
      <c r="G4" s="1">
        <v>2012</v>
      </c>
      <c r="H4" s="1">
        <v>3953000</v>
      </c>
      <c r="I4" s="1">
        <v>1.0167999999999999</v>
      </c>
      <c r="J4" s="1">
        <f t="shared" si="0"/>
        <v>4019410.4</v>
      </c>
      <c r="K4" s="1">
        <f t="shared" si="1"/>
        <v>2291063.9279999998</v>
      </c>
      <c r="L4" s="1">
        <f t="shared" si="2"/>
        <v>1728346.4719999998</v>
      </c>
      <c r="N4" s="1"/>
    </row>
    <row r="5" spans="1:14">
      <c r="A5" s="1">
        <v>2012</v>
      </c>
      <c r="B5" s="1">
        <v>15.35</v>
      </c>
      <c r="C5" s="1">
        <v>15</v>
      </c>
      <c r="D5" s="1">
        <v>21.2</v>
      </c>
      <c r="E5" s="1">
        <v>25.29</v>
      </c>
      <c r="G5" s="1">
        <v>2013</v>
      </c>
      <c r="H5" s="1">
        <v>3932000</v>
      </c>
      <c r="I5" s="1">
        <v>1.0665</v>
      </c>
      <c r="J5" s="1">
        <f t="shared" si="0"/>
        <v>4193478</v>
      </c>
      <c r="K5" s="1">
        <f t="shared" si="1"/>
        <v>2390282.46</v>
      </c>
      <c r="L5" s="1">
        <f t="shared" si="2"/>
        <v>1803195.54</v>
      </c>
      <c r="N5" s="1"/>
    </row>
    <row r="6" spans="1:14">
      <c r="A6" s="1">
        <v>2013</v>
      </c>
      <c r="B6" s="1">
        <v>15.76</v>
      </c>
      <c r="C6" s="1">
        <v>15.38</v>
      </c>
      <c r="D6" s="1">
        <v>21.2</v>
      </c>
      <c r="E6" s="1">
        <v>25.98</v>
      </c>
      <c r="G6" s="1">
        <v>2014</v>
      </c>
      <c r="H6" s="1">
        <v>3988000</v>
      </c>
      <c r="I6" s="1">
        <v>1.2115</v>
      </c>
      <c r="J6" s="1">
        <f t="shared" si="0"/>
        <v>4831462</v>
      </c>
      <c r="K6" s="1">
        <f t="shared" si="1"/>
        <v>2753933.34</v>
      </c>
      <c r="L6" s="1">
        <f t="shared" si="2"/>
        <v>2077528.66</v>
      </c>
    </row>
    <row r="7" spans="1:14">
      <c r="A7" s="1">
        <v>2014</v>
      </c>
      <c r="B7" s="1">
        <v>15.76</v>
      </c>
      <c r="C7" s="1">
        <v>15.38</v>
      </c>
      <c r="D7" s="1">
        <v>21.2</v>
      </c>
      <c r="E7" s="1">
        <v>25.98</v>
      </c>
      <c r="G7" s="1">
        <v>2015</v>
      </c>
      <c r="H7" s="1">
        <v>3978000</v>
      </c>
      <c r="I7" s="1">
        <v>1.3342000000000001</v>
      </c>
      <c r="J7" s="1">
        <f t="shared" si="0"/>
        <v>5307447.6000000006</v>
      </c>
      <c r="K7" s="1">
        <f t="shared" si="1"/>
        <v>3025245.1320000002</v>
      </c>
      <c r="L7" s="1">
        <f t="shared" si="2"/>
        <v>2282202.4680000003</v>
      </c>
    </row>
    <row r="8" spans="1:14">
      <c r="A8" s="1">
        <v>2015</v>
      </c>
      <c r="B8" s="1">
        <v>16.149999999999999</v>
      </c>
      <c r="C8" s="1">
        <v>16.04</v>
      </c>
      <c r="D8" s="1">
        <v>21.2</v>
      </c>
      <c r="E8" s="1">
        <v>27.17</v>
      </c>
      <c r="G8" s="1">
        <v>2016</v>
      </c>
      <c r="H8" s="1">
        <v>3946000</v>
      </c>
      <c r="I8" s="1">
        <v>1.1131</v>
      </c>
      <c r="J8" s="1">
        <f t="shared" si="0"/>
        <v>4392292.5999999996</v>
      </c>
      <c r="K8" s="1">
        <f t="shared" si="1"/>
        <v>2503606.7819999997</v>
      </c>
      <c r="L8" s="1">
        <f t="shared" si="2"/>
        <v>1888685.8179999997</v>
      </c>
    </row>
    <row r="9" spans="1:14">
      <c r="A9" s="1">
        <v>2016</v>
      </c>
      <c r="B9" s="1">
        <v>16.850000000000001</v>
      </c>
      <c r="C9" s="1">
        <v>16.73</v>
      </c>
      <c r="D9" s="1">
        <v>22.4</v>
      </c>
      <c r="E9" s="1">
        <v>28.41</v>
      </c>
      <c r="G9" s="1">
        <v>2017</v>
      </c>
      <c r="H9" s="1">
        <v>3853000</v>
      </c>
      <c r="I9" s="1">
        <v>1.0469999999999999</v>
      </c>
      <c r="J9" s="1">
        <f t="shared" si="0"/>
        <v>4034090.9999999995</v>
      </c>
      <c r="K9" s="1">
        <f t="shared" si="1"/>
        <v>2299431.8699999996</v>
      </c>
      <c r="L9" s="1">
        <f t="shared" si="2"/>
        <v>1734659.13</v>
      </c>
    </row>
    <row r="10" spans="1:14">
      <c r="A10" s="1">
        <v>2017</v>
      </c>
      <c r="B10" s="1">
        <v>17.73</v>
      </c>
      <c r="C10" s="1">
        <v>17.16</v>
      </c>
      <c r="D10" s="1">
        <v>22.4</v>
      </c>
      <c r="E10" s="1">
        <v>29.2</v>
      </c>
    </row>
    <row r="11" spans="1:14">
      <c r="A11" s="1"/>
      <c r="B11" s="1"/>
      <c r="C11" s="1"/>
      <c r="D11" s="1"/>
      <c r="E11" s="1"/>
    </row>
    <row r="13" spans="1:14">
      <c r="B13">
        <f>(B3+C3)/(2+2*0.25)*10^5</f>
        <v>1100000</v>
      </c>
      <c r="C13">
        <f>0.5*K2+B13</f>
        <v>3025548.4924999997</v>
      </c>
      <c r="D13">
        <f>(D3+E3)/(2+2*0.25)*10^5</f>
        <v>1798000</v>
      </c>
      <c r="E13">
        <f>0.5*L2+D13</f>
        <v>3250606.7575000003</v>
      </c>
    </row>
    <row r="14" spans="1:14">
      <c r="B14">
        <f t="shared" ref="B14:B20" si="3">(B4+C4)/(2+2*0.25)*10^5</f>
        <v>1110400</v>
      </c>
      <c r="C14">
        <f t="shared" ref="C14:C20" si="4">0.5*K3+B14</f>
        <v>2474500.3449999997</v>
      </c>
      <c r="D14">
        <f t="shared" ref="D14:D20" si="5">(D4+E4)/(2+2*0.25)*10^5</f>
        <v>1823999.9999999998</v>
      </c>
      <c r="E14">
        <f t="shared" ref="E14:E20" si="6">0.5*L3+D14</f>
        <v>2853058.1549999998</v>
      </c>
    </row>
    <row r="15" spans="1:14">
      <c r="B15">
        <f t="shared" si="3"/>
        <v>1214000</v>
      </c>
      <c r="C15">
        <f t="shared" si="4"/>
        <v>2359531.9639999997</v>
      </c>
      <c r="D15">
        <f t="shared" si="5"/>
        <v>1859599.9999999998</v>
      </c>
      <c r="E15">
        <f t="shared" si="6"/>
        <v>2723773.2359999996</v>
      </c>
    </row>
    <row r="16" spans="1:14">
      <c r="B16">
        <f t="shared" si="3"/>
        <v>1245600</v>
      </c>
      <c r="C16">
        <f t="shared" si="4"/>
        <v>2440741.23</v>
      </c>
      <c r="D16">
        <f t="shared" si="5"/>
        <v>1887200</v>
      </c>
      <c r="E16">
        <f t="shared" si="6"/>
        <v>2788797.77</v>
      </c>
    </row>
    <row r="17" spans="1:6">
      <c r="B17">
        <f t="shared" si="3"/>
        <v>1245600</v>
      </c>
      <c r="C17">
        <f t="shared" si="4"/>
        <v>2622566.67</v>
      </c>
      <c r="D17">
        <f t="shared" si="5"/>
        <v>1887200</v>
      </c>
      <c r="E17">
        <f t="shared" si="6"/>
        <v>2925964.33</v>
      </c>
    </row>
    <row r="18" spans="1:6">
      <c r="B18">
        <f t="shared" si="3"/>
        <v>1287600</v>
      </c>
      <c r="C18">
        <f t="shared" si="4"/>
        <v>2800222.5660000001</v>
      </c>
      <c r="D18">
        <f t="shared" si="5"/>
        <v>1934800.0000000002</v>
      </c>
      <c r="E18">
        <f t="shared" si="6"/>
        <v>3075901.2340000002</v>
      </c>
    </row>
    <row r="19" spans="1:6">
      <c r="B19">
        <f t="shared" si="3"/>
        <v>1343199.9999999998</v>
      </c>
      <c r="C19">
        <f t="shared" si="4"/>
        <v>2595003.3909999998</v>
      </c>
      <c r="D19">
        <f t="shared" si="5"/>
        <v>2032400.0000000002</v>
      </c>
      <c r="E19">
        <f t="shared" si="6"/>
        <v>2976742.909</v>
      </c>
    </row>
    <row r="20" spans="1:6">
      <c r="B20">
        <f t="shared" si="3"/>
        <v>1395600</v>
      </c>
      <c r="C20">
        <f t="shared" si="4"/>
        <v>2545315.9349999996</v>
      </c>
      <c r="D20">
        <f t="shared" si="5"/>
        <v>2063999.9999999998</v>
      </c>
      <c r="E20">
        <f t="shared" si="6"/>
        <v>2931329.5649999995</v>
      </c>
    </row>
    <row r="21" spans="1:6">
      <c r="C21">
        <f>SUM(C13:C20)</f>
        <v>20863430.593499996</v>
      </c>
      <c r="E21">
        <f>SUM(E13:E20)</f>
        <v>23526173.956499994</v>
      </c>
    </row>
    <row r="22" spans="1:6">
      <c r="A22" s="9">
        <v>2018</v>
      </c>
      <c r="B22" s="3" t="s">
        <v>15</v>
      </c>
      <c r="C22" s="6">
        <f>C21/8</f>
        <v>2607928.8241874995</v>
      </c>
      <c r="D22" s="3" t="s">
        <v>16</v>
      </c>
      <c r="E22" s="6">
        <f>E21/8</f>
        <v>2940771.7445624992</v>
      </c>
    </row>
    <row r="24" spans="1:6">
      <c r="B24" t="s">
        <v>17</v>
      </c>
      <c r="C24">
        <f>10^5/((1+0.25)*(1-0.25))</f>
        <v>106666.66666666667</v>
      </c>
      <c r="E24" s="6" t="s">
        <v>19</v>
      </c>
      <c r="F24" s="6">
        <f>E22/(2*C24-C25)</f>
        <v>15.754134345870529</v>
      </c>
    </row>
    <row r="25" spans="1:6">
      <c r="B25" t="s">
        <v>18</v>
      </c>
      <c r="C25">
        <f>C24*0.25</f>
        <v>26666.666666666668</v>
      </c>
      <c r="E25" s="6" t="s">
        <v>20</v>
      </c>
      <c r="F25" s="6">
        <f>C24*F24</f>
        <v>1680440.9968928564</v>
      </c>
    </row>
    <row r="31" spans="1:6">
      <c r="A31" t="s">
        <v>21</v>
      </c>
      <c r="B31" t="s">
        <v>22</v>
      </c>
      <c r="C31" t="s">
        <v>23</v>
      </c>
    </row>
    <row r="32" spans="1:6">
      <c r="B32">
        <v>39800000</v>
      </c>
      <c r="C32">
        <v>45100000</v>
      </c>
    </row>
    <row r="34" spans="1:5">
      <c r="B34" s="5" t="s">
        <v>26</v>
      </c>
      <c r="C34" s="5"/>
      <c r="D34" s="5" t="s">
        <v>27</v>
      </c>
      <c r="E34" s="5"/>
    </row>
    <row r="35" spans="1:5">
      <c r="B35" t="s">
        <v>28</v>
      </c>
      <c r="C35" t="s">
        <v>29</v>
      </c>
      <c r="D35" t="s">
        <v>28</v>
      </c>
      <c r="E35" t="s">
        <v>29</v>
      </c>
    </row>
    <row r="36" spans="1:5">
      <c r="A36" t="s">
        <v>24</v>
      </c>
      <c r="B36" s="4">
        <v>846732</v>
      </c>
      <c r="C36" s="4">
        <v>2202070</v>
      </c>
      <c r="D36" s="4">
        <v>18.62</v>
      </c>
      <c r="E36" s="4">
        <v>8.4549400000000006</v>
      </c>
    </row>
    <row r="37" spans="1:5">
      <c r="A37" t="s">
        <v>25</v>
      </c>
      <c r="B37" s="4">
        <v>1680690</v>
      </c>
      <c r="C37" s="4">
        <v>1680690</v>
      </c>
      <c r="D37" s="4">
        <v>15.756399999999999</v>
      </c>
      <c r="E37" s="4">
        <v>15.756399999999999</v>
      </c>
    </row>
    <row r="38" spans="1:5">
      <c r="B38" s="4"/>
      <c r="C38" s="4"/>
      <c r="D38" s="4"/>
      <c r="E38" s="4"/>
    </row>
    <row r="39" spans="1:5">
      <c r="B39" t="s">
        <v>30</v>
      </c>
      <c r="C39" t="s">
        <v>31</v>
      </c>
      <c r="E39" t="s">
        <v>32</v>
      </c>
    </row>
    <row r="40" spans="1:5">
      <c r="A40" t="s">
        <v>28</v>
      </c>
      <c r="B40">
        <f>B36*D36+B37*D37</f>
        <v>42247773.755999997</v>
      </c>
      <c r="C40">
        <f>B40-B32</f>
        <v>2447773.7559999973</v>
      </c>
      <c r="E40">
        <f>C40/(B36+B37)</f>
        <v>0.96848636911445629</v>
      </c>
    </row>
    <row r="41" spans="1:5">
      <c r="A41" t="s">
        <v>29</v>
      </c>
      <c r="B41">
        <f>C36*E36+C37*E37</f>
        <v>45099993.641800001</v>
      </c>
      <c r="C41">
        <f>B41-C32</f>
        <v>-6.3581999987363815</v>
      </c>
      <c r="E41">
        <v>0</v>
      </c>
    </row>
  </sheetData>
  <mergeCells count="2">
    <mergeCell ref="B34:C34"/>
    <mergeCell ref="D34:E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G24" sqref="G24"/>
    </sheetView>
  </sheetViews>
  <sheetFormatPr defaultRowHeight="14.4"/>
  <cols>
    <col min="1" max="1" width="9.44140625" customWidth="1"/>
    <col min="3" max="3" width="11.6640625" bestFit="1" customWidth="1"/>
    <col min="5" max="5" width="11.6640625" bestFit="1" customWidth="1"/>
    <col min="9" max="9" width="15.21875" customWidth="1"/>
    <col min="10" max="10" width="14.21875" customWidth="1"/>
    <col min="11" max="11" width="18.77734375" customWidth="1"/>
  </cols>
  <sheetData>
    <row r="1" spans="1:12">
      <c r="A1" s="1"/>
      <c r="B1" s="1" t="s">
        <v>0</v>
      </c>
      <c r="C1" s="1"/>
      <c r="D1" s="1" t="s">
        <v>1</v>
      </c>
      <c r="E1" s="1"/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9</v>
      </c>
    </row>
    <row r="2" spans="1:12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G2" s="1">
        <v>2010</v>
      </c>
      <c r="H2" s="1">
        <v>3999000</v>
      </c>
      <c r="I2" s="1">
        <v>1.6895</v>
      </c>
      <c r="J2" s="1">
        <v>6756310.5</v>
      </c>
      <c r="K2" s="1">
        <f>J2*0.57</f>
        <v>3851096.9849999999</v>
      </c>
      <c r="L2" s="1">
        <f>J2*0.43</f>
        <v>2905213.5150000001</v>
      </c>
    </row>
    <row r="3" spans="1:12">
      <c r="A3" s="1">
        <v>2010</v>
      </c>
      <c r="B3" s="1">
        <v>13.75</v>
      </c>
      <c r="C3" s="1">
        <v>13.75</v>
      </c>
      <c r="D3" s="1">
        <v>21.2</v>
      </c>
      <c r="E3" s="1">
        <v>23.75</v>
      </c>
      <c r="G3" s="1">
        <v>2011</v>
      </c>
      <c r="H3" s="1">
        <v>3954000</v>
      </c>
      <c r="I3" s="1">
        <v>1.2104999999999999</v>
      </c>
      <c r="J3" s="1">
        <v>4786317</v>
      </c>
      <c r="K3" s="1">
        <f t="shared" ref="K3:K10" si="0">J3*0.57</f>
        <v>2728200.69</v>
      </c>
      <c r="L3" s="1">
        <f t="shared" ref="L3:L10" si="1">J3*0.43</f>
        <v>2058116.31</v>
      </c>
    </row>
    <row r="4" spans="1:12">
      <c r="A4" s="1">
        <v>2011</v>
      </c>
      <c r="B4" s="1">
        <v>14.51</v>
      </c>
      <c r="C4" s="1">
        <v>13.25</v>
      </c>
      <c r="D4" s="1">
        <v>21.2</v>
      </c>
      <c r="E4" s="1">
        <v>24.4</v>
      </c>
      <c r="G4" s="1">
        <v>2012</v>
      </c>
      <c r="H4" s="1">
        <v>3953000</v>
      </c>
      <c r="I4" s="1">
        <v>1.0167999999999999</v>
      </c>
      <c r="J4" s="1">
        <v>4019410.4</v>
      </c>
      <c r="K4" s="1">
        <f t="shared" si="0"/>
        <v>2291063.9279999998</v>
      </c>
      <c r="L4" s="1">
        <f t="shared" si="1"/>
        <v>1728346.4719999998</v>
      </c>
    </row>
    <row r="5" spans="1:12">
      <c r="A5" s="1">
        <v>2012</v>
      </c>
      <c r="B5" s="1">
        <v>15.35</v>
      </c>
      <c r="C5" s="1">
        <v>15</v>
      </c>
      <c r="D5" s="1">
        <v>21.2</v>
      </c>
      <c r="E5" s="1">
        <v>25.29</v>
      </c>
      <c r="G5" s="1">
        <v>2013</v>
      </c>
      <c r="H5" s="1">
        <v>3932000</v>
      </c>
      <c r="I5" s="1">
        <v>1.0665</v>
      </c>
      <c r="J5" s="1">
        <v>4193478</v>
      </c>
      <c r="K5" s="1">
        <f t="shared" si="0"/>
        <v>2390282.46</v>
      </c>
      <c r="L5" s="1">
        <f t="shared" si="1"/>
        <v>1803195.54</v>
      </c>
    </row>
    <row r="6" spans="1:12">
      <c r="A6" s="1">
        <v>2013</v>
      </c>
      <c r="B6" s="1">
        <v>15.76</v>
      </c>
      <c r="C6" s="1">
        <v>15.38</v>
      </c>
      <c r="D6" s="1">
        <v>21.2</v>
      </c>
      <c r="E6" s="1">
        <v>25.98</v>
      </c>
      <c r="G6" s="1">
        <v>2014</v>
      </c>
      <c r="H6" s="1">
        <v>3988000</v>
      </c>
      <c r="I6" s="1">
        <v>1.2115</v>
      </c>
      <c r="J6" s="1">
        <v>4831462</v>
      </c>
      <c r="K6" s="1">
        <f t="shared" si="0"/>
        <v>2753933.34</v>
      </c>
      <c r="L6" s="1">
        <f t="shared" si="1"/>
        <v>2077528.66</v>
      </c>
    </row>
    <row r="7" spans="1:12">
      <c r="A7" s="1">
        <v>2014</v>
      </c>
      <c r="B7" s="1">
        <v>15.76</v>
      </c>
      <c r="C7" s="1">
        <v>15.38</v>
      </c>
      <c r="D7" s="1">
        <v>21.2</v>
      </c>
      <c r="E7" s="1">
        <v>25.98</v>
      </c>
      <c r="G7" s="1">
        <v>2015</v>
      </c>
      <c r="H7" s="1">
        <v>3978000</v>
      </c>
      <c r="I7" s="1">
        <v>1.3342000000000001</v>
      </c>
      <c r="J7" s="1">
        <v>5307447.5999999996</v>
      </c>
      <c r="K7" s="1">
        <f t="shared" si="0"/>
        <v>3025245.1319999998</v>
      </c>
      <c r="L7" s="1">
        <f t="shared" si="1"/>
        <v>2282202.4679999999</v>
      </c>
    </row>
    <row r="8" spans="1:12">
      <c r="A8" s="1">
        <v>2015</v>
      </c>
      <c r="B8" s="1">
        <v>16.149999999999999</v>
      </c>
      <c r="C8" s="1">
        <v>16.04</v>
      </c>
      <c r="D8" s="1">
        <v>21.2</v>
      </c>
      <c r="E8" s="1">
        <v>27.17</v>
      </c>
      <c r="G8" s="1">
        <v>2016</v>
      </c>
      <c r="H8" s="1">
        <v>3946000</v>
      </c>
      <c r="I8" s="1">
        <v>1.1131</v>
      </c>
      <c r="J8" s="1">
        <v>4392292.5999999996</v>
      </c>
      <c r="K8" s="1">
        <f t="shared" si="0"/>
        <v>2503606.7819999997</v>
      </c>
      <c r="L8" s="1">
        <f t="shared" si="1"/>
        <v>1888685.8179999997</v>
      </c>
    </row>
    <row r="9" spans="1:12">
      <c r="A9" s="1">
        <v>2016</v>
      </c>
      <c r="B9" s="1">
        <v>16.850000000000001</v>
      </c>
      <c r="C9" s="1">
        <v>16.73</v>
      </c>
      <c r="D9" s="1">
        <v>22.4</v>
      </c>
      <c r="E9" s="1">
        <v>28.41</v>
      </c>
      <c r="G9" s="1">
        <v>2017</v>
      </c>
      <c r="H9" s="1">
        <v>3853000</v>
      </c>
      <c r="I9" s="1">
        <v>1.0469999999999999</v>
      </c>
      <c r="J9" s="1">
        <v>4034091</v>
      </c>
      <c r="K9" s="1">
        <f t="shared" si="0"/>
        <v>2299431.8699999996</v>
      </c>
      <c r="L9" s="1">
        <f t="shared" si="1"/>
        <v>1734659.13</v>
      </c>
    </row>
    <row r="10" spans="1:12">
      <c r="A10" s="1">
        <v>2017</v>
      </c>
      <c r="B10" s="1">
        <v>17.73</v>
      </c>
      <c r="C10" s="1">
        <v>17.16</v>
      </c>
      <c r="D10" s="1">
        <v>22.4</v>
      </c>
      <c r="E10" s="1">
        <v>29.2</v>
      </c>
      <c r="G10" s="7">
        <v>2018</v>
      </c>
      <c r="H10" s="7">
        <v>3791000</v>
      </c>
      <c r="I10" s="2">
        <v>0.99550000000000005</v>
      </c>
      <c r="J10" s="2">
        <f>H10*I10</f>
        <v>3773940.5</v>
      </c>
      <c r="K10" s="7">
        <f t="shared" si="0"/>
        <v>2151146.085</v>
      </c>
      <c r="L10" s="7">
        <f t="shared" si="1"/>
        <v>1622794.415</v>
      </c>
    </row>
    <row r="11" spans="1:12">
      <c r="A11" s="1">
        <v>2018</v>
      </c>
      <c r="B11" s="1">
        <v>18.190000000000001</v>
      </c>
      <c r="C11" s="1">
        <v>17.61</v>
      </c>
      <c r="D11" s="1">
        <v>24.05</v>
      </c>
      <c r="E11" s="1">
        <v>30</v>
      </c>
    </row>
    <row r="13" spans="1:12">
      <c r="B13">
        <f>(B3+C3)/(2+2*0.25)*10^5</f>
        <v>1100000</v>
      </c>
      <c r="C13">
        <f t="shared" ref="C13:C19" si="2">0.5*K2+B13</f>
        <v>3025548.4924999997</v>
      </c>
      <c r="D13">
        <f>(D3+E3)/(2+2*0.25)*10^5</f>
        <v>1798000</v>
      </c>
      <c r="E13">
        <f>0.5*L2+D13</f>
        <v>3250606.7575000003</v>
      </c>
    </row>
    <row r="14" spans="1:12">
      <c r="B14">
        <f t="shared" ref="B14:B20" si="3">(B4+C4)/(2+2*0.25)*10^5</f>
        <v>1110400</v>
      </c>
      <c r="C14">
        <f t="shared" si="2"/>
        <v>2474500.3449999997</v>
      </c>
      <c r="D14">
        <f t="shared" ref="D14:D21" si="4">(D4+E4)/(2+2*0.25)*10^5</f>
        <v>1823999.9999999998</v>
      </c>
      <c r="E14">
        <f t="shared" ref="E14:E21" si="5">0.5*L3+D14</f>
        <v>2853058.1549999998</v>
      </c>
    </row>
    <row r="15" spans="1:12">
      <c r="B15">
        <f t="shared" si="3"/>
        <v>1214000</v>
      </c>
      <c r="C15">
        <f t="shared" si="2"/>
        <v>2359531.9639999997</v>
      </c>
      <c r="D15">
        <f t="shared" si="4"/>
        <v>1859599.9999999998</v>
      </c>
      <c r="E15">
        <f t="shared" si="5"/>
        <v>2723773.2359999996</v>
      </c>
    </row>
    <row r="16" spans="1:12">
      <c r="B16">
        <f t="shared" si="3"/>
        <v>1245600</v>
      </c>
      <c r="C16">
        <f t="shared" si="2"/>
        <v>2440741.23</v>
      </c>
      <c r="D16">
        <f t="shared" si="4"/>
        <v>1887200</v>
      </c>
      <c r="E16">
        <f t="shared" si="5"/>
        <v>2788797.77</v>
      </c>
    </row>
    <row r="17" spans="1:5">
      <c r="B17">
        <f t="shared" si="3"/>
        <v>1245600</v>
      </c>
      <c r="C17">
        <f t="shared" si="2"/>
        <v>2622566.67</v>
      </c>
      <c r="D17">
        <f t="shared" si="4"/>
        <v>1887200</v>
      </c>
      <c r="E17">
        <f t="shared" si="5"/>
        <v>2925964.33</v>
      </c>
    </row>
    <row r="18" spans="1:5">
      <c r="B18">
        <f t="shared" si="3"/>
        <v>1287600</v>
      </c>
      <c r="C18">
        <f t="shared" si="2"/>
        <v>2800222.5659999996</v>
      </c>
      <c r="D18">
        <f t="shared" si="4"/>
        <v>1934800.0000000002</v>
      </c>
      <c r="E18">
        <f t="shared" si="5"/>
        <v>3075901.2340000002</v>
      </c>
    </row>
    <row r="19" spans="1:5">
      <c r="B19">
        <f t="shared" si="3"/>
        <v>1343199.9999999998</v>
      </c>
      <c r="C19">
        <f t="shared" si="2"/>
        <v>2595003.3909999998</v>
      </c>
      <c r="D19">
        <f t="shared" si="4"/>
        <v>2032400.0000000002</v>
      </c>
      <c r="E19">
        <f t="shared" si="5"/>
        <v>2976742.909</v>
      </c>
    </row>
    <row r="20" spans="1:5">
      <c r="B20">
        <f t="shared" si="3"/>
        <v>1395600</v>
      </c>
      <c r="C20">
        <f>0.5*K9+B20</f>
        <v>2545315.9349999996</v>
      </c>
      <c r="D20">
        <f t="shared" si="4"/>
        <v>2063999.9999999998</v>
      </c>
      <c r="E20">
        <f t="shared" si="5"/>
        <v>2931329.5649999995</v>
      </c>
    </row>
    <row r="21" spans="1:5">
      <c r="B21">
        <f>(B11+C11)/(2+2*0.25)*10^5</f>
        <v>1431999.9999999998</v>
      </c>
      <c r="C21">
        <f>0.5*K10+B21</f>
        <v>2507573.0424999995</v>
      </c>
      <c r="D21">
        <f t="shared" si="4"/>
        <v>2161999.9999999995</v>
      </c>
      <c r="E21">
        <f t="shared" si="5"/>
        <v>2973397.2074999996</v>
      </c>
    </row>
    <row r="22" spans="1:5">
      <c r="C22">
        <f>SUM(C13:C21)</f>
        <v>23371003.635999996</v>
      </c>
      <c r="E22">
        <f>SUM(E13:E21)</f>
        <v>26499571.163999993</v>
      </c>
    </row>
    <row r="23" spans="1:5">
      <c r="A23" s="8" t="s">
        <v>12</v>
      </c>
      <c r="B23" s="3" t="s">
        <v>11</v>
      </c>
      <c r="C23">
        <f>C22/9</f>
        <v>2596778.1817777772</v>
      </c>
      <c r="D23" s="3" t="s">
        <v>10</v>
      </c>
      <c r="E23">
        <f>E22/9</f>
        <v>2944396.7959999992</v>
      </c>
    </row>
    <row r="25" spans="1:5">
      <c r="B25" t="s">
        <v>13</v>
      </c>
      <c r="C25">
        <f>10^5/((1+0.25)*(1-0.25))</f>
        <v>106666.66666666667</v>
      </c>
    </row>
    <row r="26" spans="1:5">
      <c r="B26" t="s">
        <v>14</v>
      </c>
      <c r="C26">
        <f>C25*0.25</f>
        <v>26666.666666666668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DC48B044AC76459470B080143497E6" ma:contentTypeVersion="2" ma:contentTypeDescription="Create a new document." ma:contentTypeScope="" ma:versionID="590292732dd8872d16bcd46783559566">
  <xsd:schema xmlns:xsd="http://www.w3.org/2001/XMLSchema" xmlns:xs="http://www.w3.org/2001/XMLSchema" xmlns:p="http://schemas.microsoft.com/office/2006/metadata/properties" xmlns:ns2="96fc2c40-91da-4db2-83ab-7ac704ec5cff" targetNamespace="http://schemas.microsoft.com/office/2006/metadata/properties" ma:root="true" ma:fieldsID="f0a50db93e85b47ee879ee546a7aca21" ns2:_="">
    <xsd:import namespace="96fc2c40-91da-4db2-83ab-7ac704ec5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c2c40-91da-4db2-83ab-7ac704ec5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7A4366-FB8A-4394-9B91-6752EFCB6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fc2c40-91da-4db2-83ab-7ac704ec5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AF7800-C853-45B2-BC17-ED15FDEC84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67C278-F26A-4D10-8468-66255AD429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2021-02-20T15:17:53Z</dcterms:created>
  <dcterms:modified xsi:type="dcterms:W3CDTF">2021-03-26T11:58:17Z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0x01010032DC48B044AC76459470B080143497E6</vt:lpwstr>
  </property>
</Properties>
</file>