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30CE8A70-3CDB-4EB1-A2CF-C3A20EAED0F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2018" sheetId="2" r:id="rId1"/>
    <sheet name="2019" sheetId="1" r:id="rId2"/>
  </sheets>
  <calcPr calcId="181029"/>
</workbook>
</file>

<file path=xl/calcChain.xml><?xml version="1.0" encoding="utf-8"?>
<calcChain xmlns="http://schemas.openxmlformats.org/spreadsheetml/2006/main">
  <c r="B14" i="1" l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C20" i="1" s="1"/>
  <c r="K9" i="1"/>
  <c r="K2" i="1"/>
  <c r="C14" i="1" s="1"/>
  <c r="J10" i="1"/>
  <c r="L10" i="1" s="1"/>
  <c r="E22" i="1" s="1"/>
  <c r="L3" i="2"/>
  <c r="L4" i="2"/>
  <c r="L5" i="2"/>
  <c r="L6" i="2"/>
  <c r="L7" i="2"/>
  <c r="L8" i="2"/>
  <c r="L9" i="2"/>
  <c r="L2" i="2"/>
  <c r="K3" i="2"/>
  <c r="K4" i="2"/>
  <c r="K5" i="2"/>
  <c r="K6" i="2"/>
  <c r="K7" i="2"/>
  <c r="K8" i="2"/>
  <c r="C19" i="2" s="1"/>
  <c r="K9" i="2"/>
  <c r="K2" i="2"/>
  <c r="J3" i="2"/>
  <c r="J4" i="2"/>
  <c r="J5" i="2"/>
  <c r="J6" i="2"/>
  <c r="J7" i="2"/>
  <c r="J8" i="2"/>
  <c r="J9" i="2"/>
  <c r="J2" i="2"/>
  <c r="D20" i="2"/>
  <c r="D14" i="2"/>
  <c r="E14" i="2" s="1"/>
  <c r="D15" i="2"/>
  <c r="D16" i="2"/>
  <c r="D17" i="2"/>
  <c r="D18" i="2"/>
  <c r="E18" i="2" s="1"/>
  <c r="D19" i="2"/>
  <c r="D13" i="2"/>
  <c r="B14" i="2"/>
  <c r="B15" i="2"/>
  <c r="B16" i="2"/>
  <c r="B17" i="2"/>
  <c r="B18" i="2"/>
  <c r="C18" i="2" s="1"/>
  <c r="B19" i="2"/>
  <c r="B20" i="2"/>
  <c r="B13" i="2"/>
  <c r="E17" i="2"/>
  <c r="E19" i="2"/>
  <c r="C14" i="2"/>
  <c r="C16" i="2"/>
  <c r="C17" i="2"/>
  <c r="E16" i="2"/>
  <c r="E15" i="2"/>
  <c r="C24" i="2"/>
  <c r="C25" i="2" s="1"/>
  <c r="C15" i="2"/>
  <c r="C26" i="1"/>
  <c r="C27" i="1" s="1"/>
  <c r="D22" i="1"/>
  <c r="B22" i="1"/>
  <c r="E17" i="1"/>
  <c r="D15" i="1"/>
  <c r="E15" i="1" s="1"/>
  <c r="D16" i="1"/>
  <c r="E16" i="1" s="1"/>
  <c r="D17" i="1"/>
  <c r="D18" i="1"/>
  <c r="E18" i="1" s="1"/>
  <c r="D19" i="1"/>
  <c r="D20" i="1"/>
  <c r="E20" i="1" s="1"/>
  <c r="D21" i="1"/>
  <c r="D14" i="1"/>
  <c r="C16" i="1"/>
  <c r="B15" i="1"/>
  <c r="C15" i="1" s="1"/>
  <c r="B16" i="1"/>
  <c r="B17" i="1"/>
  <c r="C17" i="1" s="1"/>
  <c r="B18" i="1"/>
  <c r="C18" i="1" s="1"/>
  <c r="B19" i="1"/>
  <c r="B20" i="1"/>
  <c r="B21" i="1"/>
  <c r="C19" i="1" l="1"/>
  <c r="E19" i="1"/>
  <c r="K10" i="1"/>
  <c r="C22" i="1" s="1"/>
  <c r="E14" i="1"/>
  <c r="E23" i="1" s="1"/>
  <c r="E24" i="1" s="1"/>
  <c r="C21" i="1"/>
  <c r="E21" i="1"/>
  <c r="C23" i="1"/>
  <c r="C24" i="1" s="1"/>
  <c r="E20" i="2"/>
  <c r="E13" i="2"/>
  <c r="C20" i="2"/>
  <c r="C13" i="2"/>
  <c r="C21" i="2" s="1"/>
  <c r="C22" i="2" s="1"/>
  <c r="E21" i="2"/>
  <c r="E22" i="2" s="1"/>
  <c r="F24" i="2" s="1"/>
  <c r="F25" i="2" s="1"/>
</calcChain>
</file>

<file path=xl/sharedStrings.xml><?xml version="1.0" encoding="utf-8"?>
<sst xmlns="http://schemas.openxmlformats.org/spreadsheetml/2006/main" count="39" uniqueCount="24">
  <si>
    <t xml:space="preserve">Public sector </t>
  </si>
  <si>
    <t xml:space="preserve">Private sector </t>
  </si>
  <si>
    <t>Year</t>
  </si>
  <si>
    <t xml:space="preserve">Infranix </t>
  </si>
  <si>
    <t xml:space="preserve">Daptacel </t>
  </si>
  <si>
    <t xml:space="preserve">Year </t>
  </si>
  <si>
    <t xml:space="preserve">Births </t>
  </si>
  <si>
    <t xml:space="preserve">Expected Doses per child </t>
  </si>
  <si>
    <t>Total demand</t>
  </si>
  <si>
    <t xml:space="preserve">Private Sector </t>
  </si>
  <si>
    <t>a_priv=</t>
    <phoneticPr fontId="1" type="noConversion"/>
  </si>
  <si>
    <t>a_pub=</t>
    <phoneticPr fontId="1" type="noConversion"/>
  </si>
  <si>
    <t>2019</t>
    <phoneticPr fontId="1" type="noConversion"/>
  </si>
  <si>
    <t>b=</t>
    <phoneticPr fontId="1" type="noConversion"/>
  </si>
  <si>
    <t>c=</t>
    <phoneticPr fontId="1" type="noConversion"/>
  </si>
  <si>
    <t>a_pub</t>
    <phoneticPr fontId="1" type="noConversion"/>
  </si>
  <si>
    <t>a_priv</t>
    <phoneticPr fontId="1" type="noConversion"/>
  </si>
  <si>
    <t>b</t>
    <phoneticPr fontId="1" type="noConversion"/>
  </si>
  <si>
    <t>c</t>
    <phoneticPr fontId="1" type="noConversion"/>
  </si>
  <si>
    <t>p_priv</t>
    <phoneticPr fontId="1" type="noConversion"/>
  </si>
  <si>
    <t>q_priv</t>
    <phoneticPr fontId="1" type="noConversion"/>
  </si>
  <si>
    <t>Public sector price</t>
  </si>
  <si>
    <t>Private sector price</t>
  </si>
  <si>
    <t>Estimation of parameters a, b 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</si>
</sst>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2" borderId="0" xfId="0" applyFont="1" applyFill="1" applyAlignment="1"/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2" fillId="4" borderId="0" xfId="0" applyFont="1" applyFill="1" applyAlignment="1"/>
    <xf numFmtId="46" fontId="0" fillId="4" borderId="0" xfId="0" quotePrefix="1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opLeftCell="A4" workbookViewId="0">
      <selection activeCell="A12" sqref="A12:L12"/>
    </sheetView>
  </sheetViews>
  <sheetFormatPr defaultRowHeight="15"/>
  <cols>
    <col min="2" max="2" width="9.5703125" bestFit="1" customWidth="1"/>
    <col min="3" max="3" width="11.7109375" bestFit="1" customWidth="1"/>
    <col min="4" max="4" width="9.5703125" bestFit="1" customWidth="1"/>
    <col min="5" max="5" width="11.7109375" bestFit="1" customWidth="1"/>
    <col min="10" max="10" width="13.28515625" customWidth="1"/>
    <col min="11" max="11" width="12.28515625" customWidth="1"/>
    <col min="12" max="12" width="11.7109375" customWidth="1"/>
  </cols>
  <sheetData>
    <row r="1" spans="1:14">
      <c r="A1" s="1"/>
      <c r="B1" s="1" t="s">
        <v>21</v>
      </c>
      <c r="C1" s="1"/>
      <c r="D1" s="1" t="s">
        <v>22</v>
      </c>
      <c r="E1" s="1"/>
      <c r="G1" s="1" t="s">
        <v>5</v>
      </c>
      <c r="H1" s="1" t="s">
        <v>6</v>
      </c>
      <c r="I1" s="1" t="s">
        <v>7</v>
      </c>
      <c r="J1" s="1" t="s">
        <v>8</v>
      </c>
      <c r="K1" s="1" t="s">
        <v>0</v>
      </c>
      <c r="L1" s="1" t="s">
        <v>9</v>
      </c>
    </row>
    <row r="2" spans="1:14">
      <c r="A2" s="1" t="s">
        <v>2</v>
      </c>
      <c r="B2" s="1" t="s">
        <v>3</v>
      </c>
      <c r="C2" s="1" t="s">
        <v>4</v>
      </c>
      <c r="D2" s="1" t="s">
        <v>3</v>
      </c>
      <c r="E2" s="1" t="s">
        <v>4</v>
      </c>
      <c r="G2" s="1">
        <v>2010</v>
      </c>
      <c r="H2" s="1">
        <v>3999000</v>
      </c>
      <c r="I2" s="1">
        <v>1.6895</v>
      </c>
      <c r="J2" s="1">
        <f>H2*I2</f>
        <v>6756310.5</v>
      </c>
      <c r="K2" s="1">
        <f>J2*0.57</f>
        <v>3851096.9849999999</v>
      </c>
      <c r="L2" s="1">
        <f>J2*0.43</f>
        <v>2905213.5150000001</v>
      </c>
      <c r="N2" s="1"/>
    </row>
    <row r="3" spans="1:14">
      <c r="A3" s="1">
        <v>2010</v>
      </c>
      <c r="B3" s="1">
        <v>13.75</v>
      </c>
      <c r="C3" s="1">
        <v>13.75</v>
      </c>
      <c r="D3" s="1">
        <v>21.2</v>
      </c>
      <c r="E3" s="1">
        <v>23.75</v>
      </c>
      <c r="G3" s="1">
        <v>2011</v>
      </c>
      <c r="H3" s="1">
        <v>3954000</v>
      </c>
      <c r="I3" s="1">
        <v>1.2104999999999999</v>
      </c>
      <c r="J3" s="1">
        <f t="shared" ref="J3:J9" si="0">H3*I3</f>
        <v>4786317</v>
      </c>
      <c r="K3" s="1">
        <f t="shared" ref="K3:K9" si="1">J3*0.57</f>
        <v>2728200.69</v>
      </c>
      <c r="L3" s="1">
        <f t="shared" ref="L3:L9" si="2">J3*0.43</f>
        <v>2058116.31</v>
      </c>
      <c r="N3" s="1"/>
    </row>
    <row r="4" spans="1:14">
      <c r="A4" s="1">
        <v>2011</v>
      </c>
      <c r="B4" s="1">
        <v>14.51</v>
      </c>
      <c r="C4" s="1">
        <v>13.25</v>
      </c>
      <c r="D4" s="1">
        <v>21.2</v>
      </c>
      <c r="E4" s="1">
        <v>24.4</v>
      </c>
      <c r="G4" s="1">
        <v>2012</v>
      </c>
      <c r="H4" s="1">
        <v>3953000</v>
      </c>
      <c r="I4" s="1">
        <v>1.0167999999999999</v>
      </c>
      <c r="J4" s="1">
        <f t="shared" si="0"/>
        <v>4019410.4</v>
      </c>
      <c r="K4" s="1">
        <f t="shared" si="1"/>
        <v>2291063.9279999998</v>
      </c>
      <c r="L4" s="1">
        <f t="shared" si="2"/>
        <v>1728346.4719999998</v>
      </c>
      <c r="N4" s="1"/>
    </row>
    <row r="5" spans="1:14">
      <c r="A5" s="1">
        <v>2012</v>
      </c>
      <c r="B5" s="1">
        <v>15.35</v>
      </c>
      <c r="C5" s="1">
        <v>15</v>
      </c>
      <c r="D5" s="1">
        <v>21.2</v>
      </c>
      <c r="E5" s="1">
        <v>25.29</v>
      </c>
      <c r="G5" s="1">
        <v>2013</v>
      </c>
      <c r="H5" s="1">
        <v>3932000</v>
      </c>
      <c r="I5" s="1">
        <v>1.0665</v>
      </c>
      <c r="J5" s="1">
        <f t="shared" si="0"/>
        <v>4193478</v>
      </c>
      <c r="K5" s="1">
        <f t="shared" si="1"/>
        <v>2390282.46</v>
      </c>
      <c r="L5" s="1">
        <f t="shared" si="2"/>
        <v>1803195.54</v>
      </c>
      <c r="N5" s="1"/>
    </row>
    <row r="6" spans="1:14">
      <c r="A6" s="1">
        <v>2013</v>
      </c>
      <c r="B6" s="1">
        <v>15.76</v>
      </c>
      <c r="C6" s="1">
        <v>15.38</v>
      </c>
      <c r="D6" s="1">
        <v>21.2</v>
      </c>
      <c r="E6" s="1">
        <v>25.98</v>
      </c>
      <c r="G6" s="1">
        <v>2014</v>
      </c>
      <c r="H6" s="1">
        <v>3988000</v>
      </c>
      <c r="I6" s="1">
        <v>1.2115</v>
      </c>
      <c r="J6" s="1">
        <f t="shared" si="0"/>
        <v>4831462</v>
      </c>
      <c r="K6" s="1">
        <f t="shared" si="1"/>
        <v>2753933.34</v>
      </c>
      <c r="L6" s="1">
        <f t="shared" si="2"/>
        <v>2077528.66</v>
      </c>
    </row>
    <row r="7" spans="1:14">
      <c r="A7" s="1">
        <v>2014</v>
      </c>
      <c r="B7" s="1">
        <v>15.76</v>
      </c>
      <c r="C7" s="1">
        <v>15.38</v>
      </c>
      <c r="D7" s="1">
        <v>21.2</v>
      </c>
      <c r="E7" s="1">
        <v>25.98</v>
      </c>
      <c r="G7" s="1">
        <v>2015</v>
      </c>
      <c r="H7" s="1">
        <v>3978000</v>
      </c>
      <c r="I7" s="1">
        <v>1.3342000000000001</v>
      </c>
      <c r="J7" s="1">
        <f t="shared" si="0"/>
        <v>5307447.6000000006</v>
      </c>
      <c r="K7" s="1">
        <f t="shared" si="1"/>
        <v>3025245.1320000002</v>
      </c>
      <c r="L7" s="1">
        <f t="shared" si="2"/>
        <v>2282202.4680000003</v>
      </c>
    </row>
    <row r="8" spans="1:14">
      <c r="A8" s="1">
        <v>2015</v>
      </c>
      <c r="B8" s="1">
        <v>16.149999999999999</v>
      </c>
      <c r="C8" s="1">
        <v>16.04</v>
      </c>
      <c r="D8" s="1">
        <v>21.2</v>
      </c>
      <c r="E8" s="1">
        <v>27.17</v>
      </c>
      <c r="G8" s="1">
        <v>2016</v>
      </c>
      <c r="H8" s="1">
        <v>3946000</v>
      </c>
      <c r="I8" s="1">
        <v>1.1131</v>
      </c>
      <c r="J8" s="1">
        <f t="shared" si="0"/>
        <v>4392292.5999999996</v>
      </c>
      <c r="K8" s="1">
        <f t="shared" si="1"/>
        <v>2503606.7819999997</v>
      </c>
      <c r="L8" s="1">
        <f t="shared" si="2"/>
        <v>1888685.8179999997</v>
      </c>
    </row>
    <row r="9" spans="1:14">
      <c r="A9" s="1">
        <v>2016</v>
      </c>
      <c r="B9" s="1">
        <v>16.850000000000001</v>
      </c>
      <c r="C9" s="1">
        <v>16.73</v>
      </c>
      <c r="D9" s="1">
        <v>22.4</v>
      </c>
      <c r="E9" s="1">
        <v>28.41</v>
      </c>
      <c r="G9" s="1">
        <v>2017</v>
      </c>
      <c r="H9" s="1">
        <v>3853000</v>
      </c>
      <c r="I9" s="1">
        <v>1.0469999999999999</v>
      </c>
      <c r="J9" s="1">
        <f t="shared" si="0"/>
        <v>4034090.9999999995</v>
      </c>
      <c r="K9" s="1">
        <f t="shared" si="1"/>
        <v>2299431.8699999996</v>
      </c>
      <c r="L9" s="1">
        <f t="shared" si="2"/>
        <v>1734659.13</v>
      </c>
    </row>
    <row r="10" spans="1:14">
      <c r="A10" s="1">
        <v>2017</v>
      </c>
      <c r="B10" s="1">
        <v>17.73</v>
      </c>
      <c r="C10" s="1">
        <v>17.16</v>
      </c>
      <c r="D10" s="1">
        <v>22.4</v>
      </c>
      <c r="E10" s="1">
        <v>29.2</v>
      </c>
    </row>
    <row r="11" spans="1:14">
      <c r="A11" s="1"/>
      <c r="B11" s="1"/>
      <c r="C11" s="1"/>
      <c r="D11" s="1"/>
      <c r="E11" s="1"/>
    </row>
    <row r="12" spans="1:14">
      <c r="A12" s="10" t="s">
        <v>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4">
      <c r="B13">
        <f>(B3+C3)/(2+2*0.25)*10^5</f>
        <v>1100000</v>
      </c>
      <c r="C13">
        <f>0.5*K2+B13</f>
        <v>3025548.4924999997</v>
      </c>
      <c r="D13">
        <f>(D3+E3)/(2+2*0.25)*10^5</f>
        <v>1798000</v>
      </c>
      <c r="E13">
        <f>0.5*L2+D13</f>
        <v>3250606.7575000003</v>
      </c>
    </row>
    <row r="14" spans="1:14">
      <c r="B14">
        <f t="shared" ref="B14:B20" si="3">(B4+C4)/(2+2*0.25)*10^5</f>
        <v>1110400</v>
      </c>
      <c r="C14">
        <f t="shared" ref="C14:C20" si="4">0.5*K3+B14</f>
        <v>2474500.3449999997</v>
      </c>
      <c r="D14">
        <f t="shared" ref="D14:D20" si="5">(D4+E4)/(2+2*0.25)*10^5</f>
        <v>1823999.9999999998</v>
      </c>
      <c r="E14">
        <f t="shared" ref="E14:E20" si="6">0.5*L3+D14</f>
        <v>2853058.1549999998</v>
      </c>
    </row>
    <row r="15" spans="1:14">
      <c r="B15">
        <f t="shared" si="3"/>
        <v>1214000</v>
      </c>
      <c r="C15">
        <f t="shared" si="4"/>
        <v>2359531.9639999997</v>
      </c>
      <c r="D15">
        <f t="shared" si="5"/>
        <v>1859599.9999999998</v>
      </c>
      <c r="E15">
        <f t="shared" si="6"/>
        <v>2723773.2359999996</v>
      </c>
    </row>
    <row r="16" spans="1:14">
      <c r="B16">
        <f t="shared" si="3"/>
        <v>1245600</v>
      </c>
      <c r="C16">
        <f t="shared" si="4"/>
        <v>2440741.23</v>
      </c>
      <c r="D16">
        <f t="shared" si="5"/>
        <v>1887200</v>
      </c>
      <c r="E16">
        <f t="shared" si="6"/>
        <v>2788797.77</v>
      </c>
    </row>
    <row r="17" spans="1:6">
      <c r="B17">
        <f t="shared" si="3"/>
        <v>1245600</v>
      </c>
      <c r="C17">
        <f t="shared" si="4"/>
        <v>2622566.67</v>
      </c>
      <c r="D17">
        <f t="shared" si="5"/>
        <v>1887200</v>
      </c>
      <c r="E17">
        <f t="shared" si="6"/>
        <v>2925964.33</v>
      </c>
    </row>
    <row r="18" spans="1:6">
      <c r="B18">
        <f t="shared" si="3"/>
        <v>1287600</v>
      </c>
      <c r="C18">
        <f t="shared" si="4"/>
        <v>2800222.5660000001</v>
      </c>
      <c r="D18">
        <f t="shared" si="5"/>
        <v>1934800.0000000002</v>
      </c>
      <c r="E18">
        <f t="shared" si="6"/>
        <v>3075901.2340000002</v>
      </c>
    </row>
    <row r="19" spans="1:6">
      <c r="B19">
        <f t="shared" si="3"/>
        <v>1343199.9999999998</v>
      </c>
      <c r="C19">
        <f t="shared" si="4"/>
        <v>2595003.3909999998</v>
      </c>
      <c r="D19">
        <f t="shared" si="5"/>
        <v>2032400.0000000002</v>
      </c>
      <c r="E19">
        <f t="shared" si="6"/>
        <v>2976742.909</v>
      </c>
    </row>
    <row r="20" spans="1:6">
      <c r="B20">
        <f t="shared" si="3"/>
        <v>1395600</v>
      </c>
      <c r="C20">
        <f t="shared" si="4"/>
        <v>2545315.9349999996</v>
      </c>
      <c r="D20">
        <f t="shared" si="5"/>
        <v>2063999.9999999998</v>
      </c>
      <c r="E20">
        <f t="shared" si="6"/>
        <v>2931329.5649999995</v>
      </c>
    </row>
    <row r="21" spans="1:6">
      <c r="C21">
        <f>SUM(C13:C20)</f>
        <v>20863430.593499996</v>
      </c>
      <c r="E21">
        <f>SUM(E13:E20)</f>
        <v>23526173.956499994</v>
      </c>
    </row>
    <row r="22" spans="1:6">
      <c r="A22" s="8">
        <v>2018</v>
      </c>
      <c r="B22" s="3" t="s">
        <v>15</v>
      </c>
      <c r="C22" s="5">
        <f>C21/8</f>
        <v>2607928.8241874995</v>
      </c>
      <c r="D22" s="3" t="s">
        <v>16</v>
      </c>
      <c r="E22" s="5">
        <f>E21/8</f>
        <v>2940771.7445624992</v>
      </c>
    </row>
    <row r="24" spans="1:6">
      <c r="B24" t="s">
        <v>17</v>
      </c>
      <c r="C24">
        <f>10^5/((1+0.25)*(1-0.25))</f>
        <v>106666.66666666667</v>
      </c>
      <c r="E24" s="5" t="s">
        <v>19</v>
      </c>
      <c r="F24" s="5">
        <f>E22/(2*C24-C25)</f>
        <v>15.754134345870529</v>
      </c>
    </row>
    <row r="25" spans="1:6">
      <c r="B25" t="s">
        <v>18</v>
      </c>
      <c r="C25">
        <f>C24*0.25</f>
        <v>26666.666666666668</v>
      </c>
      <c r="E25" s="5" t="s">
        <v>20</v>
      </c>
      <c r="F25" s="5">
        <f>C24*F24</f>
        <v>1680440.9968928564</v>
      </c>
    </row>
    <row r="34" spans="2:5">
      <c r="B34" s="9"/>
      <c r="C34" s="9"/>
      <c r="D34" s="9"/>
      <c r="E34" s="9"/>
    </row>
    <row r="36" spans="2:5">
      <c r="B36" s="4"/>
      <c r="C36" s="4"/>
      <c r="D36" s="4"/>
      <c r="E36" s="4"/>
    </row>
    <row r="37" spans="2:5">
      <c r="B37" s="4"/>
      <c r="C37" s="4"/>
      <c r="D37" s="4"/>
      <c r="E37" s="4"/>
    </row>
    <row r="38" spans="2:5">
      <c r="B38" s="4"/>
      <c r="C38" s="4"/>
      <c r="D38" s="4"/>
      <c r="E38" s="4"/>
    </row>
  </sheetData>
  <mergeCells count="1">
    <mergeCell ref="A12:L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I19" sqref="I18:I19"/>
    </sheetView>
  </sheetViews>
  <sheetFormatPr defaultRowHeight="15"/>
  <cols>
    <col min="1" max="1" width="9.42578125" customWidth="1"/>
    <col min="3" max="3" width="11.7109375" bestFit="1" customWidth="1"/>
    <col min="5" max="5" width="11.7109375" bestFit="1" customWidth="1"/>
    <col min="9" max="9" width="15.28515625" customWidth="1"/>
    <col min="10" max="10" width="14.28515625" customWidth="1"/>
    <col min="11" max="11" width="18.7109375" customWidth="1"/>
  </cols>
  <sheetData>
    <row r="1" spans="1:12">
      <c r="A1" s="1"/>
      <c r="B1" s="1" t="s">
        <v>0</v>
      </c>
      <c r="C1" s="1"/>
      <c r="D1" s="1" t="s">
        <v>1</v>
      </c>
      <c r="E1" s="1"/>
      <c r="G1" s="1" t="s">
        <v>5</v>
      </c>
      <c r="H1" s="1" t="s">
        <v>6</v>
      </c>
      <c r="I1" s="1" t="s">
        <v>7</v>
      </c>
      <c r="J1" s="1" t="s">
        <v>8</v>
      </c>
      <c r="K1" s="1" t="s">
        <v>0</v>
      </c>
      <c r="L1" s="1" t="s">
        <v>9</v>
      </c>
    </row>
    <row r="2" spans="1:12">
      <c r="A2" s="1" t="s">
        <v>2</v>
      </c>
      <c r="B2" s="1" t="s">
        <v>3</v>
      </c>
      <c r="C2" s="1" t="s">
        <v>4</v>
      </c>
      <c r="D2" s="1" t="s">
        <v>3</v>
      </c>
      <c r="E2" s="1" t="s">
        <v>4</v>
      </c>
      <c r="G2" s="1">
        <v>2010</v>
      </c>
      <c r="H2" s="1">
        <v>3999000</v>
      </c>
      <c r="I2" s="1">
        <v>1.6895</v>
      </c>
      <c r="J2" s="1">
        <v>6756310.5</v>
      </c>
      <c r="K2" s="1">
        <f>J2*0.57</f>
        <v>3851096.9849999999</v>
      </c>
      <c r="L2" s="1">
        <f>J2*0.43</f>
        <v>2905213.5150000001</v>
      </c>
    </row>
    <row r="3" spans="1:12">
      <c r="A3" s="1">
        <v>2010</v>
      </c>
      <c r="B3" s="1">
        <v>13.75</v>
      </c>
      <c r="C3" s="1">
        <v>13.75</v>
      </c>
      <c r="D3" s="1">
        <v>21.2</v>
      </c>
      <c r="E3" s="1">
        <v>23.75</v>
      </c>
      <c r="G3" s="1">
        <v>2011</v>
      </c>
      <c r="H3" s="1">
        <v>3954000</v>
      </c>
      <c r="I3" s="1">
        <v>1.2104999999999999</v>
      </c>
      <c r="J3" s="1">
        <v>4786317</v>
      </c>
      <c r="K3" s="1">
        <f t="shared" ref="K3:K10" si="0">J3*0.57</f>
        <v>2728200.69</v>
      </c>
      <c r="L3" s="1">
        <f t="shared" ref="L3:L10" si="1">J3*0.43</f>
        <v>2058116.31</v>
      </c>
    </row>
    <row r="4" spans="1:12">
      <c r="A4" s="1">
        <v>2011</v>
      </c>
      <c r="B4" s="1">
        <v>14.51</v>
      </c>
      <c r="C4" s="1">
        <v>13.25</v>
      </c>
      <c r="D4" s="1">
        <v>21.2</v>
      </c>
      <c r="E4" s="1">
        <v>24.4</v>
      </c>
      <c r="G4" s="1">
        <v>2012</v>
      </c>
      <c r="H4" s="1">
        <v>3953000</v>
      </c>
      <c r="I4" s="1">
        <v>1.0167999999999999</v>
      </c>
      <c r="J4" s="1">
        <v>4019410.4</v>
      </c>
      <c r="K4" s="1">
        <f t="shared" si="0"/>
        <v>2291063.9279999998</v>
      </c>
      <c r="L4" s="1">
        <f t="shared" si="1"/>
        <v>1728346.4719999998</v>
      </c>
    </row>
    <row r="5" spans="1:12">
      <c r="A5" s="1">
        <v>2012</v>
      </c>
      <c r="B5" s="1">
        <v>15.35</v>
      </c>
      <c r="C5" s="1">
        <v>15</v>
      </c>
      <c r="D5" s="1">
        <v>21.2</v>
      </c>
      <c r="E5" s="1">
        <v>25.29</v>
      </c>
      <c r="G5" s="1">
        <v>2013</v>
      </c>
      <c r="H5" s="1">
        <v>3932000</v>
      </c>
      <c r="I5" s="1">
        <v>1.0665</v>
      </c>
      <c r="J5" s="1">
        <v>4193478</v>
      </c>
      <c r="K5" s="1">
        <f t="shared" si="0"/>
        <v>2390282.46</v>
      </c>
      <c r="L5" s="1">
        <f t="shared" si="1"/>
        <v>1803195.54</v>
      </c>
    </row>
    <row r="6" spans="1:12">
      <c r="A6" s="1">
        <v>2013</v>
      </c>
      <c r="B6" s="1">
        <v>15.76</v>
      </c>
      <c r="C6" s="1">
        <v>15.38</v>
      </c>
      <c r="D6" s="1">
        <v>21.2</v>
      </c>
      <c r="E6" s="1">
        <v>25.98</v>
      </c>
      <c r="G6" s="1">
        <v>2014</v>
      </c>
      <c r="H6" s="1">
        <v>3988000</v>
      </c>
      <c r="I6" s="1">
        <v>1.2115</v>
      </c>
      <c r="J6" s="1">
        <v>4831462</v>
      </c>
      <c r="K6" s="1">
        <f t="shared" si="0"/>
        <v>2753933.34</v>
      </c>
      <c r="L6" s="1">
        <f t="shared" si="1"/>
        <v>2077528.66</v>
      </c>
    </row>
    <row r="7" spans="1:12">
      <c r="A7" s="1">
        <v>2014</v>
      </c>
      <c r="B7" s="1">
        <v>15.76</v>
      </c>
      <c r="C7" s="1">
        <v>15.38</v>
      </c>
      <c r="D7" s="1">
        <v>21.2</v>
      </c>
      <c r="E7" s="1">
        <v>25.98</v>
      </c>
      <c r="G7" s="1">
        <v>2015</v>
      </c>
      <c r="H7" s="1">
        <v>3978000</v>
      </c>
      <c r="I7" s="1">
        <v>1.3342000000000001</v>
      </c>
      <c r="J7" s="1">
        <v>5307447.5999999996</v>
      </c>
      <c r="K7" s="1">
        <f t="shared" si="0"/>
        <v>3025245.1319999998</v>
      </c>
      <c r="L7" s="1">
        <f t="shared" si="1"/>
        <v>2282202.4679999999</v>
      </c>
    </row>
    <row r="8" spans="1:12">
      <c r="A8" s="1">
        <v>2015</v>
      </c>
      <c r="B8" s="1">
        <v>16.149999999999999</v>
      </c>
      <c r="C8" s="1">
        <v>16.04</v>
      </c>
      <c r="D8" s="1">
        <v>21.2</v>
      </c>
      <c r="E8" s="1">
        <v>27.17</v>
      </c>
      <c r="G8" s="1">
        <v>2016</v>
      </c>
      <c r="H8" s="1">
        <v>3946000</v>
      </c>
      <c r="I8" s="1">
        <v>1.1131</v>
      </c>
      <c r="J8" s="1">
        <v>4392292.5999999996</v>
      </c>
      <c r="K8" s="1">
        <f t="shared" si="0"/>
        <v>2503606.7819999997</v>
      </c>
      <c r="L8" s="1">
        <f t="shared" si="1"/>
        <v>1888685.8179999997</v>
      </c>
    </row>
    <row r="9" spans="1:12">
      <c r="A9" s="1">
        <v>2016</v>
      </c>
      <c r="B9" s="1">
        <v>16.850000000000001</v>
      </c>
      <c r="C9" s="1">
        <v>16.73</v>
      </c>
      <c r="D9" s="1">
        <v>22.4</v>
      </c>
      <c r="E9" s="1">
        <v>28.41</v>
      </c>
      <c r="G9" s="1">
        <v>2017</v>
      </c>
      <c r="H9" s="1">
        <v>3853000</v>
      </c>
      <c r="I9" s="1">
        <v>1.0469999999999999</v>
      </c>
      <c r="J9" s="1">
        <v>4034091</v>
      </c>
      <c r="K9" s="1">
        <f t="shared" si="0"/>
        <v>2299431.8699999996</v>
      </c>
      <c r="L9" s="1">
        <f t="shared" si="1"/>
        <v>1734659.13</v>
      </c>
    </row>
    <row r="10" spans="1:12">
      <c r="A10" s="1">
        <v>2017</v>
      </c>
      <c r="B10" s="1">
        <v>17.73</v>
      </c>
      <c r="C10" s="1">
        <v>17.16</v>
      </c>
      <c r="D10" s="1">
        <v>22.4</v>
      </c>
      <c r="E10" s="1">
        <v>29.2</v>
      </c>
      <c r="G10" s="6">
        <v>2018</v>
      </c>
      <c r="H10" s="6">
        <v>3791000</v>
      </c>
      <c r="I10" s="2">
        <v>0.99550000000000005</v>
      </c>
      <c r="J10" s="2">
        <f>H10*I10</f>
        <v>3773940.5</v>
      </c>
      <c r="K10" s="6">
        <f t="shared" si="0"/>
        <v>2151146.085</v>
      </c>
      <c r="L10" s="6">
        <f t="shared" si="1"/>
        <v>1622794.415</v>
      </c>
    </row>
    <row r="11" spans="1:12">
      <c r="A11" s="1">
        <v>2018</v>
      </c>
      <c r="B11" s="1">
        <v>18.190000000000001</v>
      </c>
      <c r="C11" s="1">
        <v>17.61</v>
      </c>
      <c r="D11" s="1">
        <v>24.05</v>
      </c>
      <c r="E11" s="1">
        <v>30</v>
      </c>
    </row>
    <row r="13" spans="1:12">
      <c r="A13" s="10" t="s">
        <v>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>
      <c r="B14">
        <f>(B3+C3)/(2+2*0.25)*10^5</f>
        <v>1100000</v>
      </c>
      <c r="C14">
        <f>0.5*K2+B14</f>
        <v>3025548.4924999997</v>
      </c>
      <c r="D14">
        <f>(D3+E3)/(2+2*0.25)*10^5</f>
        <v>1798000</v>
      </c>
      <c r="E14">
        <f>0.5*L2+D14</f>
        <v>3250606.7575000003</v>
      </c>
    </row>
    <row r="15" spans="1:12">
      <c r="B15">
        <f>(B4+C4)/(2+2*0.25)*10^5</f>
        <v>1110400</v>
      </c>
      <c r="C15">
        <f>0.5*K3+B15</f>
        <v>2474500.3449999997</v>
      </c>
      <c r="D15">
        <f>(D4+E4)/(2+2*0.25)*10^5</f>
        <v>1823999.9999999998</v>
      </c>
      <c r="E15">
        <f>0.5*L3+D15</f>
        <v>2853058.1549999998</v>
      </c>
    </row>
    <row r="16" spans="1:12">
      <c r="B16">
        <f>(B5+C5)/(2+2*0.25)*10^5</f>
        <v>1214000</v>
      </c>
      <c r="C16">
        <f>0.5*K4+B16</f>
        <v>2359531.9639999997</v>
      </c>
      <c r="D16">
        <f>(D5+E5)/(2+2*0.25)*10^5</f>
        <v>1859599.9999999998</v>
      </c>
      <c r="E16">
        <f>0.5*L4+D16</f>
        <v>2723773.2359999996</v>
      </c>
    </row>
    <row r="17" spans="1:5">
      <c r="B17">
        <f>(B6+C6)/(2+2*0.25)*10^5</f>
        <v>1245600</v>
      </c>
      <c r="C17">
        <f>0.5*K5+B17</f>
        <v>2440741.23</v>
      </c>
      <c r="D17">
        <f>(D6+E6)/(2+2*0.25)*10^5</f>
        <v>1887200</v>
      </c>
      <c r="E17">
        <f>0.5*L5+D17</f>
        <v>2788797.77</v>
      </c>
    </row>
    <row r="18" spans="1:5">
      <c r="B18">
        <f>(B7+C7)/(2+2*0.25)*10^5</f>
        <v>1245600</v>
      </c>
      <c r="C18">
        <f>0.5*K6+B18</f>
        <v>2622566.67</v>
      </c>
      <c r="D18">
        <f>(D7+E7)/(2+2*0.25)*10^5</f>
        <v>1887200</v>
      </c>
      <c r="E18">
        <f>0.5*L6+D18</f>
        <v>2925964.33</v>
      </c>
    </row>
    <row r="19" spans="1:5">
      <c r="B19">
        <f>(B8+C8)/(2+2*0.25)*10^5</f>
        <v>1287600</v>
      </c>
      <c r="C19">
        <f>0.5*K7+B19</f>
        <v>2800222.5659999996</v>
      </c>
      <c r="D19">
        <f>(D8+E8)/(2+2*0.25)*10^5</f>
        <v>1934800.0000000002</v>
      </c>
      <c r="E19">
        <f>0.5*L7+D19</f>
        <v>3075901.2340000002</v>
      </c>
    </row>
    <row r="20" spans="1:5">
      <c r="B20">
        <f>(B9+C9)/(2+2*0.25)*10^5</f>
        <v>1343199.9999999998</v>
      </c>
      <c r="C20">
        <f>0.5*K8+B20</f>
        <v>2595003.3909999998</v>
      </c>
      <c r="D20">
        <f>(D9+E9)/(2+2*0.25)*10^5</f>
        <v>2032400.0000000002</v>
      </c>
      <c r="E20">
        <f>0.5*L8+D20</f>
        <v>2976742.909</v>
      </c>
    </row>
    <row r="21" spans="1:5">
      <c r="B21">
        <f>(B10+C10)/(2+2*0.25)*10^5</f>
        <v>1395600</v>
      </c>
      <c r="C21">
        <f>0.5*K9+B21</f>
        <v>2545315.9349999996</v>
      </c>
      <c r="D21">
        <f>(D10+E10)/(2+2*0.25)*10^5</f>
        <v>2063999.9999999998</v>
      </c>
      <c r="E21">
        <f>0.5*L9+D21</f>
        <v>2931329.5649999995</v>
      </c>
    </row>
    <row r="22" spans="1:5">
      <c r="B22">
        <f>(B11+C11)/(2+2*0.25)*10^5</f>
        <v>1431999.9999999998</v>
      </c>
      <c r="C22">
        <f>0.5*K10+B22</f>
        <v>2507573.0424999995</v>
      </c>
      <c r="D22">
        <f>(D11+E11)/(2+2*0.25)*10^5</f>
        <v>2161999.9999999995</v>
      </c>
      <c r="E22">
        <f>0.5*L10+D22</f>
        <v>2973397.2074999996</v>
      </c>
    </row>
    <row r="23" spans="1:5">
      <c r="C23">
        <f>SUM(C14:C22)</f>
        <v>23371003.635999996</v>
      </c>
      <c r="E23">
        <f>SUM(E14:E22)</f>
        <v>26499571.163999993</v>
      </c>
    </row>
    <row r="24" spans="1:5">
      <c r="A24" s="7" t="s">
        <v>12</v>
      </c>
      <c r="B24" s="3" t="s">
        <v>11</v>
      </c>
      <c r="C24">
        <f>C23/9</f>
        <v>2596778.1817777772</v>
      </c>
      <c r="D24" s="3" t="s">
        <v>10</v>
      </c>
      <c r="E24">
        <f>E23/9</f>
        <v>2944396.7959999992</v>
      </c>
    </row>
    <row r="26" spans="1:5">
      <c r="B26" t="s">
        <v>13</v>
      </c>
      <c r="C26">
        <f>10^5/((1+0.25)*(1-0.25))</f>
        <v>106666.66666666667</v>
      </c>
    </row>
    <row r="27" spans="1:5">
      <c r="B27" t="s">
        <v>14</v>
      </c>
      <c r="C27">
        <f>C26*0.25</f>
        <v>26666.666666666668</v>
      </c>
    </row>
  </sheetData>
  <mergeCells count="1"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C48B044AC76459470B080143497E6" ma:contentTypeVersion="2" ma:contentTypeDescription="Create a new document." ma:contentTypeScope="" ma:versionID="590292732dd8872d16bcd46783559566">
  <xsd:schema xmlns:xsd="http://www.w3.org/2001/XMLSchema" xmlns:xs="http://www.w3.org/2001/XMLSchema" xmlns:p="http://schemas.microsoft.com/office/2006/metadata/properties" xmlns:ns2="96fc2c40-91da-4db2-83ab-7ac704ec5cff" targetNamespace="http://schemas.microsoft.com/office/2006/metadata/properties" ma:root="true" ma:fieldsID="f0a50db93e85b47ee879ee546a7aca21" ns2:_="">
    <xsd:import namespace="96fc2c40-91da-4db2-83ab-7ac704ec5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c2c40-91da-4db2-83ab-7ac704ec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67C278-F26A-4D10-8468-66255AD429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AF7800-C853-45B2-BC17-ED15FDEC8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7A4366-FB8A-4394-9B91-6752EFCB6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fc2c40-91da-4db2-83ab-7ac704ec5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2021-02-20T15:17:53Z</dcterms:created>
  <dcterms:modified xsi:type="dcterms:W3CDTF">2021-04-01T10:59:56Z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0x01010032DC48B044AC76459470B080143497E6</vt:lpwstr>
  </property>
</Properties>
</file>