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T\Desktop\Skillovila\"/>
    </mc:Choice>
  </mc:AlternateContent>
  <xr:revisionPtr revIDLastSave="0" documentId="13_ncr:1_{479356F9-6A3E-4153-9313-FFCF9C21D855}" xr6:coauthVersionLast="47" xr6:coauthVersionMax="47" xr10:uidLastSave="{00000000-0000-0000-0000-000000000000}"/>
  <bookViews>
    <workbookView xWindow="-108" yWindow="-108" windowWidth="23256" windowHeight="12576" activeTab="2" xr2:uid="{C5888A1A-4610-411A-AFD3-5469C496D722}"/>
  </bookViews>
  <sheets>
    <sheet name="Basics" sheetId="8" r:id="rId1"/>
    <sheet name="Per Order Revenue distribution" sheetId="4" r:id="rId2"/>
    <sheet name="Fixed and Variable expense" sheetId="2" r:id="rId3"/>
    <sheet name="Calculations" sheetId="9" r:id="rId4"/>
    <sheet name="Summary" sheetId="12" r:id="rId5"/>
    <sheet name="Sheet1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2" i="2" l="1"/>
  <c r="L69" i="9"/>
  <c r="L64" i="9"/>
  <c r="L65" i="9" s="1"/>
  <c r="C9" i="13"/>
  <c r="C8" i="13"/>
  <c r="H22" i="12"/>
  <c r="F3" i="9"/>
  <c r="H14" i="12"/>
  <c r="H33" i="12" s="1"/>
  <c r="H12" i="12"/>
  <c r="J10" i="9" l="1"/>
  <c r="F4" i="9"/>
  <c r="F5" i="9"/>
  <c r="F6" i="9"/>
  <c r="F7" i="9"/>
  <c r="F8" i="9"/>
  <c r="F9" i="9"/>
  <c r="F10" i="9"/>
  <c r="F11" i="9"/>
  <c r="F12" i="9"/>
  <c r="F13" i="9"/>
  <c r="F14" i="9"/>
  <c r="F15" i="9"/>
  <c r="F2" i="9"/>
  <c r="Q21" i="9"/>
  <c r="Q22" i="9"/>
  <c r="Q23" i="9"/>
  <c r="Q24" i="9"/>
  <c r="Q25" i="9"/>
  <c r="Q26" i="9"/>
  <c r="Q27" i="9"/>
  <c r="Q20" i="9"/>
  <c r="J21" i="9"/>
  <c r="J22" i="9"/>
  <c r="J23" i="9"/>
  <c r="J24" i="9"/>
  <c r="J25" i="9"/>
  <c r="J26" i="9"/>
  <c r="J27" i="9"/>
  <c r="J20" i="9"/>
  <c r="C107" i="2"/>
  <c r="C127" i="2"/>
  <c r="C125" i="2" a="1"/>
  <c r="C125" i="2" s="1"/>
  <c r="C129" i="2" s="1"/>
  <c r="C130" i="2" s="1"/>
  <c r="C131" i="2" s="1"/>
  <c r="C123" i="2"/>
  <c r="C124" i="2" s="1"/>
  <c r="C118" i="2"/>
  <c r="C117" i="2"/>
  <c r="C119" i="2" s="1"/>
  <c r="C115" i="2"/>
  <c r="C116" i="2" s="1"/>
  <c r="C113" i="2"/>
  <c r="C111" i="2"/>
  <c r="D91" i="2"/>
  <c r="C74" i="2"/>
  <c r="C71" i="2"/>
  <c r="C104" i="2"/>
  <c r="C100" i="2"/>
  <c r="D102" i="2" s="1"/>
  <c r="C126" i="2" l="1"/>
  <c r="J11" i="9"/>
  <c r="J12" i="9" s="1"/>
  <c r="J13" i="9" s="1"/>
  <c r="J14" i="9" s="1"/>
  <c r="J15" i="9" s="1"/>
  <c r="H10" i="9"/>
  <c r="I10" i="9" l="1"/>
  <c r="H11" i="9"/>
  <c r="H12" i="9" s="1"/>
  <c r="H13" i="9" s="1"/>
  <c r="H14" i="9" s="1"/>
  <c r="H15" i="9" s="1"/>
  <c r="M28" i="9"/>
  <c r="G10" i="9" s="1"/>
  <c r="L27" i="9"/>
  <c r="I27" i="9"/>
  <c r="L26" i="9"/>
  <c r="I26" i="9"/>
  <c r="K10" i="9"/>
  <c r="L25" i="9"/>
  <c r="I25" i="9"/>
  <c r="I11" i="9"/>
  <c r="L24" i="9"/>
  <c r="I24" i="9"/>
  <c r="L23" i="9"/>
  <c r="I23" i="9"/>
  <c r="L22" i="9"/>
  <c r="I22" i="9"/>
  <c r="L21" i="9"/>
  <c r="I21" i="9"/>
  <c r="L20" i="9"/>
  <c r="I20" i="9"/>
  <c r="E15" i="9"/>
  <c r="C15" i="9"/>
  <c r="E14" i="9"/>
  <c r="C14" i="9"/>
  <c r="E13" i="9"/>
  <c r="C13" i="9"/>
  <c r="E12" i="9"/>
  <c r="C12" i="9"/>
  <c r="E11" i="9"/>
  <c r="C11" i="9"/>
  <c r="H34" i="9"/>
  <c r="I34" i="9" s="1"/>
  <c r="J34" i="9" s="1"/>
  <c r="K34" i="9" s="1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C2" i="9"/>
  <c r="C84" i="8"/>
  <c r="D14" i="2"/>
  <c r="D15" i="2" s="1"/>
  <c r="D16" i="2" s="1"/>
  <c r="D11" i="2"/>
  <c r="D53" i="2"/>
  <c r="C64" i="2"/>
  <c r="D49" i="2"/>
  <c r="D45" i="2"/>
  <c r="D46" i="2" s="1"/>
  <c r="G45" i="8"/>
  <c r="G46" i="8"/>
  <c r="G47" i="8"/>
  <c r="G48" i="8"/>
  <c r="G49" i="8"/>
  <c r="G50" i="8"/>
  <c r="G51" i="8"/>
  <c r="G44" i="8"/>
  <c r="F45" i="8"/>
  <c r="F46" i="8"/>
  <c r="F47" i="8"/>
  <c r="F48" i="8"/>
  <c r="F49" i="8"/>
  <c r="F50" i="8"/>
  <c r="F51" i="8"/>
  <c r="F44" i="8"/>
  <c r="E45" i="8"/>
  <c r="D45" i="8" s="1"/>
  <c r="E46" i="8"/>
  <c r="D46" i="8" s="1"/>
  <c r="E47" i="8"/>
  <c r="E48" i="8"/>
  <c r="E49" i="8"/>
  <c r="E50" i="8"/>
  <c r="E51" i="8"/>
  <c r="E44" i="8"/>
  <c r="D44" i="8" s="1"/>
  <c r="C79" i="8"/>
  <c r="C71" i="8"/>
  <c r="I59" i="8"/>
  <c r="I58" i="8"/>
  <c r="I57" i="8"/>
  <c r="C52" i="8"/>
  <c r="H51" i="8"/>
  <c r="H50" i="8"/>
  <c r="H49" i="8"/>
  <c r="H48" i="8"/>
  <c r="H47" i="8"/>
  <c r="H46" i="8"/>
  <c r="H45" i="8"/>
  <c r="H44" i="8"/>
  <c r="C40" i="8"/>
  <c r="C28" i="8"/>
  <c r="D23" i="2" l="1"/>
  <c r="C135" i="2"/>
  <c r="C132" i="2"/>
  <c r="D20" i="2"/>
  <c r="D19" i="2"/>
  <c r="D18" i="2"/>
  <c r="D21" i="2"/>
  <c r="L10" i="9"/>
  <c r="G11" i="9"/>
  <c r="H35" i="9" s="1"/>
  <c r="I35" i="9" s="1"/>
  <c r="J35" i="9" s="1"/>
  <c r="K35" i="9" s="1"/>
  <c r="L35" i="9" s="1"/>
  <c r="K11" i="9"/>
  <c r="I12" i="9"/>
  <c r="L34" i="9"/>
  <c r="M34" i="9" s="1"/>
  <c r="N34" i="9" s="1"/>
  <c r="F52" i="8"/>
  <c r="F41" i="8"/>
  <c r="I60" i="8"/>
  <c r="I61" i="8" s="1"/>
  <c r="G52" i="8"/>
  <c r="D48" i="8"/>
  <c r="D50" i="8" s="1"/>
  <c r="D47" i="8"/>
  <c r="D49" i="8" s="1"/>
  <c r="D51" i="8" s="1"/>
  <c r="E24" i="4"/>
  <c r="D24" i="4" s="1"/>
  <c r="D41" i="4" s="1"/>
  <c r="F27" i="4"/>
  <c r="E20" i="4"/>
  <c r="F20" i="4" s="1"/>
  <c r="G20" i="4" s="1"/>
  <c r="E13" i="4"/>
  <c r="F13" i="4" s="1"/>
  <c r="F11" i="4"/>
  <c r="E11" i="4"/>
  <c r="F7" i="4"/>
  <c r="G7" i="4" s="1"/>
  <c r="E7" i="4"/>
  <c r="D47" i="2"/>
  <c r="M35" i="9" l="1"/>
  <c r="N35" i="9" s="1"/>
  <c r="O35" i="9" s="1"/>
  <c r="P35" i="9" s="1"/>
  <c r="G12" i="9"/>
  <c r="H36" i="9" s="1"/>
  <c r="I36" i="9" s="1"/>
  <c r="J36" i="9" s="1"/>
  <c r="K36" i="9" s="1"/>
  <c r="L36" i="9" s="1"/>
  <c r="M36" i="9" s="1"/>
  <c r="N36" i="9" s="1"/>
  <c r="O36" i="9" s="1"/>
  <c r="P36" i="9" s="1"/>
  <c r="L11" i="9"/>
  <c r="O34" i="9"/>
  <c r="P34" i="9" s="1"/>
  <c r="I13" i="9"/>
  <c r="K12" i="9"/>
  <c r="M10" i="9"/>
  <c r="C85" i="8"/>
  <c r="C86" i="8" s="1"/>
  <c r="C88" i="8" s="1"/>
  <c r="D24" i="2"/>
  <c r="F28" i="4"/>
  <c r="F29" i="4" s="1"/>
  <c r="F30" i="4" s="1"/>
  <c r="E16" i="4"/>
  <c r="F16" i="4" s="1"/>
  <c r="F10" i="4"/>
  <c r="F8" i="4"/>
  <c r="E10" i="4"/>
  <c r="E8" i="4"/>
  <c r="D12" i="2"/>
  <c r="M11" i="9" l="1"/>
  <c r="I14" i="9"/>
  <c r="K13" i="9"/>
  <c r="G13" i="9"/>
  <c r="H37" i="9" s="1"/>
  <c r="I37" i="9" s="1"/>
  <c r="J37" i="9" s="1"/>
  <c r="K37" i="9" s="1"/>
  <c r="L37" i="9" s="1"/>
  <c r="M37" i="9" s="1"/>
  <c r="N37" i="9" s="1"/>
  <c r="O37" i="9" s="1"/>
  <c r="P37" i="9" s="1"/>
  <c r="L12" i="9"/>
  <c r="D25" i="2"/>
  <c r="D28" i="2" s="1"/>
  <c r="D29" i="2" s="1"/>
  <c r="F32" i="4"/>
  <c r="F34" i="4" s="1"/>
  <c r="F9" i="4"/>
  <c r="F12" i="4" s="1"/>
  <c r="F14" i="4" s="1"/>
  <c r="F15" i="4" s="1"/>
  <c r="F17" i="4" s="1"/>
  <c r="F18" i="4" s="1"/>
  <c r="E9" i="4"/>
  <c r="K14" i="9" l="1"/>
  <c r="I15" i="9"/>
  <c r="M12" i="9"/>
  <c r="L13" i="9"/>
  <c r="G14" i="9"/>
  <c r="H38" i="9" s="1"/>
  <c r="I38" i="9" s="1"/>
  <c r="J38" i="9" s="1"/>
  <c r="K38" i="9" s="1"/>
  <c r="L38" i="9" s="1"/>
  <c r="M38" i="9" s="1"/>
  <c r="N38" i="9" s="1"/>
  <c r="O38" i="9" s="1"/>
  <c r="P38" i="9" s="1"/>
  <c r="F36" i="4"/>
  <c r="K15" i="9" l="1"/>
  <c r="L14" i="9"/>
  <c r="G15" i="9"/>
  <c r="H39" i="9" s="1"/>
  <c r="I39" i="9" s="1"/>
  <c r="J39" i="9" s="1"/>
  <c r="K39" i="9" s="1"/>
  <c r="L39" i="9" s="1"/>
  <c r="M39" i="9" s="1"/>
  <c r="N39" i="9" s="1"/>
  <c r="O39" i="9" s="1"/>
  <c r="P39" i="9" s="1"/>
  <c r="P40" i="9" s="1"/>
  <c r="M13" i="9"/>
  <c r="C97" i="2" l="1"/>
  <c r="C95" i="2"/>
  <c r="C93" i="2"/>
  <c r="L15" i="9"/>
  <c r="M15" i="9" s="1"/>
  <c r="M14" i="9"/>
  <c r="C98" i="2" l="1"/>
  <c r="O10" i="9" s="1"/>
  <c r="O11" i="9" s="1"/>
  <c r="O12" i="9" s="1"/>
  <c r="O13" i="9" s="1"/>
  <c r="O14" i="9" s="1"/>
  <c r="O15" i="9" s="1"/>
  <c r="C108" i="2"/>
  <c r="C133" i="2"/>
  <c r="C134" i="2" s="1"/>
  <c r="C136" i="2" s="1"/>
  <c r="H28" i="12" l="1"/>
  <c r="H29" i="12"/>
  <c r="N10" i="9"/>
  <c r="N11" i="9" l="1"/>
  <c r="P10" i="9"/>
  <c r="R10" i="9" l="1"/>
  <c r="Q10" i="9"/>
  <c r="N12" i="9"/>
  <c r="P11" i="9"/>
  <c r="R11" i="9" l="1"/>
  <c r="Q11" i="9"/>
  <c r="N13" i="9"/>
  <c r="P12" i="9"/>
  <c r="N14" i="9" l="1"/>
  <c r="P13" i="9"/>
  <c r="Q12" i="9"/>
  <c r="R12" i="9"/>
  <c r="R13" i="9" l="1"/>
  <c r="Q13" i="9"/>
  <c r="N15" i="9"/>
  <c r="P15" i="9" s="1"/>
  <c r="P14" i="9"/>
  <c r="R15" i="9" l="1"/>
  <c r="Q15" i="9"/>
  <c r="R14" i="9"/>
  <c r="Q14" i="9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<sst xmlns="http://schemas.openxmlformats.org/spreadsheetml/2006/main" count="484" uniqueCount="341">
  <si>
    <t>Monday</t>
  </si>
  <si>
    <t>Tuesday</t>
  </si>
  <si>
    <t>Wednesday</t>
  </si>
  <si>
    <t>Thursday</t>
  </si>
  <si>
    <t>Friday</t>
  </si>
  <si>
    <t>Saturday</t>
  </si>
  <si>
    <t>Sunday</t>
  </si>
  <si>
    <t>Column1</t>
  </si>
  <si>
    <t>Complaints</t>
  </si>
  <si>
    <t>Delhi NCR</t>
  </si>
  <si>
    <t>Kolkata</t>
  </si>
  <si>
    <t>Chennai</t>
  </si>
  <si>
    <t>Pune</t>
  </si>
  <si>
    <t>Mumbai</t>
  </si>
  <si>
    <t>Area of Banglore City</t>
  </si>
  <si>
    <t>741 SqKM</t>
  </si>
  <si>
    <t>Length wise Distance</t>
  </si>
  <si>
    <t>No Of distribution points required</t>
  </si>
  <si>
    <t xml:space="preserve">Cost we are spent on single DE per month is </t>
  </si>
  <si>
    <t>27k Approx.</t>
  </si>
  <si>
    <t>Order placed on Platform</t>
  </si>
  <si>
    <t>on peak hours</t>
  </si>
  <si>
    <t xml:space="preserve">Total no of orders we are receiving per month is </t>
  </si>
  <si>
    <t>On peak hours</t>
  </si>
  <si>
    <t>Per month</t>
  </si>
  <si>
    <t>Per Day</t>
  </si>
  <si>
    <t>All over India</t>
  </si>
  <si>
    <t>Per Day in banglore</t>
  </si>
  <si>
    <t>Drone Inputs</t>
  </si>
  <si>
    <t>Per Sq feet rent in banglore Avg.</t>
  </si>
  <si>
    <t>1 Disribution point will cover the area of 1000 sqft avg.</t>
  </si>
  <si>
    <t>Initial Lease ammount per ditribution point</t>
  </si>
  <si>
    <t>One time investement for lease</t>
  </si>
  <si>
    <t>Per month rent for dist point</t>
  </si>
  <si>
    <t>With Rent yeild</t>
  </si>
  <si>
    <t>5% rent Yeild</t>
  </si>
  <si>
    <t>Fixed Expense</t>
  </si>
  <si>
    <t>Item Price</t>
  </si>
  <si>
    <t>Attributes</t>
  </si>
  <si>
    <t>% of Deduction/Addition</t>
  </si>
  <si>
    <t>Calulation On Amount</t>
  </si>
  <si>
    <t>Amount Deducted/Added</t>
  </si>
  <si>
    <t>Final Amount After Dedcution</t>
  </si>
  <si>
    <t>(-)Discount</t>
  </si>
  <si>
    <t>(-)Commission (Net / Gross)</t>
  </si>
  <si>
    <t>(-)Ads</t>
  </si>
  <si>
    <t>(-)Costing(Raw Material + Chef Cost + Missle.)</t>
  </si>
  <si>
    <t xml:space="preserve">Final Deduction </t>
  </si>
  <si>
    <t xml:space="preserve"> Gross/Net Profit (Items Price - Final Deduction)</t>
  </si>
  <si>
    <t xml:space="preserve">(+)Additon of GST From Customer </t>
  </si>
  <si>
    <t xml:space="preserve"> Net Profit (Item Price - Final Deduction + GST taken from Cust.)</t>
  </si>
  <si>
    <t>Net Profit Percentage</t>
  </si>
  <si>
    <t xml:space="preserve">   </t>
  </si>
  <si>
    <t xml:space="preserve">Addition of Amount </t>
  </si>
  <si>
    <t>Delivery Charges</t>
  </si>
  <si>
    <t>Per Km Charges in Rs</t>
  </si>
  <si>
    <t>Drop charge per order</t>
  </si>
  <si>
    <t>Base Pay per order</t>
  </si>
  <si>
    <t>Pick Up Charge per order</t>
  </si>
  <si>
    <t>Final Amount to be paid for DE per order</t>
  </si>
  <si>
    <t>Charges</t>
  </si>
  <si>
    <t>Drone Charges</t>
  </si>
  <si>
    <t>Final Amount to be paid for Drone per order</t>
  </si>
  <si>
    <t>Final Charges</t>
  </si>
  <si>
    <t>Calculation 2</t>
  </si>
  <si>
    <t>Calculation 1</t>
  </si>
  <si>
    <t>Calculation 3</t>
  </si>
  <si>
    <t>Final Amount needs to be paide by Customer per order</t>
  </si>
  <si>
    <t>DE Distance in KM</t>
  </si>
  <si>
    <t>Drone Distance in KM</t>
  </si>
  <si>
    <t>Restaurant Profit</t>
  </si>
  <si>
    <t>Revenue per order</t>
  </si>
  <si>
    <t xml:space="preserve">(-)GST Restaurant to Government(State and Central) </t>
  </si>
  <si>
    <t>(-)GST Restaurant to Taclo on Commission to Taclo(18% on D8)</t>
  </si>
  <si>
    <t>Taclo Receiving from Restaurant</t>
  </si>
  <si>
    <t>Value</t>
  </si>
  <si>
    <t>Unit</t>
  </si>
  <si>
    <t>Orders during peak time</t>
  </si>
  <si>
    <t>Avg monthly orders 2022</t>
  </si>
  <si>
    <t>Data</t>
  </si>
  <si>
    <t>Avg food prep time</t>
  </si>
  <si>
    <t>minutes</t>
  </si>
  <si>
    <t>Avg dist b/w delivery boy and rest</t>
  </si>
  <si>
    <t>km</t>
  </si>
  <si>
    <t>Bangalore area</t>
  </si>
  <si>
    <t>sq km</t>
  </si>
  <si>
    <t>Drone info</t>
  </si>
  <si>
    <t>flying range</t>
  </si>
  <si>
    <t>flying altitude</t>
  </si>
  <si>
    <t>ft</t>
  </si>
  <si>
    <t>flight time</t>
  </si>
  <si>
    <t>min</t>
  </si>
  <si>
    <t>Forecasted</t>
  </si>
  <si>
    <t>max carrying capacity</t>
  </si>
  <si>
    <t>kg</t>
  </si>
  <si>
    <t>top speed</t>
  </si>
  <si>
    <t>kmph</t>
  </si>
  <si>
    <t>cost of 1 drone</t>
  </si>
  <si>
    <t>INR</t>
  </si>
  <si>
    <t>avg speed</t>
  </si>
  <si>
    <t>avg battery life</t>
  </si>
  <si>
    <t>months</t>
  </si>
  <si>
    <t>monthly maintenance cost</t>
  </si>
  <si>
    <t>cost of 1 battery</t>
  </si>
  <si>
    <t>350-500</t>
  </si>
  <si>
    <t>City wise orders</t>
  </si>
  <si>
    <t>%</t>
  </si>
  <si>
    <t>Bangalore</t>
  </si>
  <si>
    <t>Hyderabad</t>
  </si>
  <si>
    <t>Other</t>
  </si>
  <si>
    <t>Total</t>
  </si>
  <si>
    <t>Order distribution km wise</t>
  </si>
  <si>
    <t>Avg delivery boy fee</t>
  </si>
  <si>
    <t>Weighted avg</t>
  </si>
  <si>
    <t>Order distribution day of the week</t>
  </si>
  <si>
    <t>4.5km</t>
  </si>
  <si>
    <t>restaurant commission</t>
  </si>
  <si>
    <t>avg order value</t>
  </si>
  <si>
    <t>weighted avg total delivery time of 95% of orders</t>
  </si>
  <si>
    <t>Total delivery time (including food prep)</t>
  </si>
  <si>
    <t>delivery time (without food prep time) 4 min/km</t>
  </si>
  <si>
    <t>Avg delivery charges to client</t>
  </si>
  <si>
    <t>drone flight time (minutes)</t>
  </si>
  <si>
    <t>time in minutes</t>
  </si>
  <si>
    <t>Missing items</t>
  </si>
  <si>
    <t>Quality issue</t>
  </si>
  <si>
    <t>Quantity issue</t>
  </si>
  <si>
    <t>Wrong delivery</t>
  </si>
  <si>
    <t>Packaging issue</t>
  </si>
  <si>
    <t>Late delivery</t>
  </si>
  <si>
    <t>6-8 Mil</t>
  </si>
  <si>
    <t>Per drone per month operational cost</t>
  </si>
  <si>
    <t>Per drone per month deliveries</t>
  </si>
  <si>
    <t>Avg Delivery time per min</t>
  </si>
  <si>
    <t>Per km charge approx</t>
  </si>
  <si>
    <t>If 1 Disribution point will cover the area within the diameter of 5km of Diameter</t>
  </si>
  <si>
    <t>No of Distribution points  required will be 25</t>
  </si>
  <si>
    <t>Per month rent for 25 distibution point</t>
  </si>
  <si>
    <t>25*25Km</t>
  </si>
  <si>
    <t>Cost of 1 drone</t>
  </si>
  <si>
    <t>Avg battery life</t>
  </si>
  <si>
    <t>Cost of 1 battery</t>
  </si>
  <si>
    <t>Price of Single drone</t>
  </si>
  <si>
    <t>Quantity of drones required</t>
  </si>
  <si>
    <t>Final ammount needs to be invested for buy drone</t>
  </si>
  <si>
    <t>Banglore Share</t>
  </si>
  <si>
    <t>No of Peak hours 4</t>
  </si>
  <si>
    <t>12 to 1</t>
  </si>
  <si>
    <t>1 to 2</t>
  </si>
  <si>
    <t>7 to 8</t>
  </si>
  <si>
    <t>8 to 9</t>
  </si>
  <si>
    <t>No of Distribution points</t>
  </si>
  <si>
    <t>New Unlocked orders</t>
  </si>
  <si>
    <t>Miantenace</t>
  </si>
  <si>
    <t>Operator</t>
  </si>
  <si>
    <t>Toral</t>
  </si>
  <si>
    <t>Per Employee Costing Approx.</t>
  </si>
  <si>
    <t>Column2</t>
  </si>
  <si>
    <t>Per Day unlocked orders</t>
  </si>
  <si>
    <t>Total orders(Previous and Unlocked)</t>
  </si>
  <si>
    <t>No Of Distribution points</t>
  </si>
  <si>
    <t>Orders per distribution points</t>
  </si>
  <si>
    <t>Per day</t>
  </si>
  <si>
    <t>Monthly</t>
  </si>
  <si>
    <t>Current order per month</t>
  </si>
  <si>
    <t>Unlocked orders</t>
  </si>
  <si>
    <t>Current+Unlocked</t>
  </si>
  <si>
    <t>Revenue per month</t>
  </si>
  <si>
    <t>DE Information</t>
  </si>
  <si>
    <t>Orders in percentage</t>
  </si>
  <si>
    <t>Delivery charges</t>
  </si>
  <si>
    <t>Base pay per order</t>
  </si>
  <si>
    <t>Pick up charges</t>
  </si>
  <si>
    <t>Drop charges</t>
  </si>
  <si>
    <t>Per KM charges</t>
  </si>
  <si>
    <t>Fixed salary per month</t>
  </si>
  <si>
    <t>Fee per delivery (inclusive of bonus)</t>
  </si>
  <si>
    <t>Orders delivered per executive per month</t>
  </si>
  <si>
    <t>Attrition rate per month</t>
  </si>
  <si>
    <t>Avg fee per delivery (inculding base pay)</t>
  </si>
  <si>
    <t>Flying range</t>
  </si>
  <si>
    <t>Flying altitude</t>
  </si>
  <si>
    <t>Flight time</t>
  </si>
  <si>
    <t>Given</t>
  </si>
  <si>
    <t>sq ft</t>
  </si>
  <si>
    <t>bangalore's share in India orders</t>
  </si>
  <si>
    <t>Taclo's restaurant commission</t>
  </si>
  <si>
    <t>Taclo's delivery charges for customer</t>
  </si>
  <si>
    <t>INR/km</t>
  </si>
  <si>
    <t>Avg delivery charges (weighted avg over current order distribution)</t>
  </si>
  <si>
    <t>12 pm - 2 pm &amp; 7-9 pm</t>
  </si>
  <si>
    <t>kg (assumed)</t>
  </si>
  <si>
    <t xml:space="preserve">km </t>
  </si>
  <si>
    <t>flights in one charge</t>
  </si>
  <si>
    <t>DEs required per drone delivery</t>
  </si>
  <si>
    <t>DEs required per dist point</t>
  </si>
  <si>
    <t>Total expenses per month</t>
  </si>
  <si>
    <t>Year</t>
  </si>
  <si>
    <t>Bangalore new (drone) orders (monthly)</t>
  </si>
  <si>
    <t>Bangalore new (drone) orders (daily)</t>
  </si>
  <si>
    <t>Estimated orders in 1 hour during peak hours (per distribution point)</t>
  </si>
  <si>
    <t>Estimated orders in 2 minutes during peak hours (per distribution point)</t>
  </si>
  <si>
    <t>Estimated orders in 2 minutes during peak hours (per distribution point per direction)</t>
  </si>
  <si>
    <t xml:space="preserve">deliveries in 1 charge by 1 drone </t>
  </si>
  <si>
    <t>deliveries in 1 hour by 1 drone (1 charge = 90 min)</t>
  </si>
  <si>
    <t># of drones required per distribution point</t>
  </si>
  <si>
    <t>Avg drones required</t>
  </si>
  <si>
    <t>Restaurant Commission</t>
  </si>
  <si>
    <t>Delivery Charges (per order) (weighted avg)</t>
  </si>
  <si>
    <t>Per order revenue</t>
  </si>
  <si>
    <t>Total monthly revenue (from new [drone] orders)</t>
  </si>
  <si>
    <t>Total annual revenue from new orders</t>
  </si>
  <si>
    <t>Monthly expenses (from new [drone] orders)</t>
  </si>
  <si>
    <t>Intitial Investment payoff spread over 5 years)</t>
  </si>
  <si>
    <t>Total Monthly expenses (from new [drone] orders)</t>
  </si>
  <si>
    <t>Profit</t>
  </si>
  <si>
    <t>Profit %</t>
  </si>
  <si>
    <t>total delivery time</t>
  </si>
  <si>
    <t>Order Potential</t>
  </si>
  <si>
    <t>Current order distribution (km wise)</t>
  </si>
  <si>
    <t>Delivery time</t>
  </si>
  <si>
    <t>Given in the case study</t>
  </si>
  <si>
    <t>Not Given</t>
  </si>
  <si>
    <t>Orders (monthly)</t>
  </si>
  <si>
    <t>Year on Year growth</t>
  </si>
  <si>
    <t>Bangalore  orders (monthly)</t>
  </si>
  <si>
    <t>Bangalore new Unlocked orders (monthly)</t>
  </si>
  <si>
    <t>Rent in Bangalore (per sq ft)</t>
  </si>
  <si>
    <t>Avg order value (2022)</t>
  </si>
  <si>
    <t>Avg weight of 1 food parcel</t>
  </si>
  <si>
    <t>Inflation Rate (10 year avg)</t>
  </si>
  <si>
    <t>Conversion rate of potential new orders</t>
  </si>
  <si>
    <t>Per delivery combined fee for DEs (1st + last mile)</t>
  </si>
  <si>
    <t>Average Order Value (INR)-Data from Google</t>
  </si>
  <si>
    <t>Assumptions</t>
  </si>
  <si>
    <t>INR Per Sq Feet</t>
  </si>
  <si>
    <t>Google search</t>
  </si>
  <si>
    <t>Kg</t>
  </si>
  <si>
    <t>Monthly salary of distribution point employee</t>
  </si>
  <si>
    <t>Monthly salary of command center Employee</t>
  </si>
  <si>
    <t>No of Employees required per Dist point &amp; Command Center</t>
  </si>
  <si>
    <t>Command centre</t>
  </si>
  <si>
    <t>Command Centre employee salary</t>
  </si>
  <si>
    <t>Food prepation time</t>
  </si>
  <si>
    <t>Avg Drone speed</t>
  </si>
  <si>
    <t>Travel time per km in Bangalore</t>
  </si>
  <si>
    <t>min/km- Google</t>
  </si>
  <si>
    <t>Conversion rate of potential orders</t>
  </si>
  <si>
    <t>20-30%- Current Zommato</t>
  </si>
  <si>
    <t>Peak hour orders</t>
  </si>
  <si>
    <t>Peak hours</t>
  </si>
  <si>
    <t>Total distribution points</t>
  </si>
  <si>
    <t>Carrying capacity of drone</t>
  </si>
  <si>
    <t>Drones required</t>
  </si>
  <si>
    <t>No of parcel's 1 drone can carry at a time</t>
  </si>
  <si>
    <t>If any of the distribution facing malfunctioning , buffer drone required</t>
  </si>
  <si>
    <t>Buffer Drones</t>
  </si>
  <si>
    <t>Total Drones Required</t>
  </si>
  <si>
    <t>Cost of Operational Drones</t>
  </si>
  <si>
    <t>Cost of single Drone</t>
  </si>
  <si>
    <t>Cost of total drones</t>
  </si>
  <si>
    <t>Avg. Distance for drone per flight</t>
  </si>
  <si>
    <t>Time for 1 flight</t>
  </si>
  <si>
    <t>Charging time</t>
  </si>
  <si>
    <t>min- Google search</t>
  </si>
  <si>
    <t>Flight + Charge time</t>
  </si>
  <si>
    <t>Area of Single distribution point</t>
  </si>
  <si>
    <t>Rent in Bangalore/sq ft</t>
  </si>
  <si>
    <t>INR- Per sqfeet</t>
  </si>
  <si>
    <t>Rent of Dist points</t>
  </si>
  <si>
    <t>Area of command center</t>
  </si>
  <si>
    <t>Rent of command center per month</t>
  </si>
  <si>
    <t>No of Employees per Dist point</t>
  </si>
  <si>
    <t>No of Employees per command center</t>
  </si>
  <si>
    <t>Total Monthly salary of command center Employee</t>
  </si>
  <si>
    <t>Total Monthly salary of distribution point employee</t>
  </si>
  <si>
    <t>Orders delivered per month by delivery executive</t>
  </si>
  <si>
    <t>Fixed salary of DE per month</t>
  </si>
  <si>
    <t>Per Order DE gets</t>
  </si>
  <si>
    <t>Per delivery dist travelled (weighted avg)</t>
  </si>
  <si>
    <t>Per km salary of DE</t>
  </si>
  <si>
    <t>Distance travelled by DE</t>
  </si>
  <si>
    <t>Drone distance</t>
  </si>
  <si>
    <t>Total Distance</t>
  </si>
  <si>
    <t>Waiting time at Distribution point</t>
  </si>
  <si>
    <t>Avg Distance travelled by DE in new model</t>
  </si>
  <si>
    <t>Per delivery combined charges of both DEs</t>
  </si>
  <si>
    <t>Revised combined DE charges per drone delivery</t>
  </si>
  <si>
    <t>One side dist of 1 delivery (weighted avg)</t>
  </si>
  <si>
    <t>One side DE travel time</t>
  </si>
  <si>
    <t>Deliveries by 1 DE in 1 hour</t>
  </si>
  <si>
    <t>Total DEs required</t>
  </si>
  <si>
    <t>Total fixed DE salary per month</t>
  </si>
  <si>
    <t>Total variable DE salary per month (avg)</t>
  </si>
  <si>
    <t>Total operational cost (monthly)</t>
  </si>
  <si>
    <t>Deliveries in charge</t>
  </si>
  <si>
    <t>Deliveries in 1 hour by 1 drone</t>
  </si>
  <si>
    <t>Per month-2022</t>
  </si>
  <si>
    <t>In Details</t>
  </si>
  <si>
    <t>Highlighted Summary</t>
  </si>
  <si>
    <t>Current Revenue</t>
  </si>
  <si>
    <t>Avg Delivery Fees</t>
  </si>
  <si>
    <t>Per Order</t>
  </si>
  <si>
    <t>Per order</t>
  </si>
  <si>
    <t>Current Order count</t>
  </si>
  <si>
    <t>Late deliveries</t>
  </si>
  <si>
    <t>Per Month</t>
  </si>
  <si>
    <t>After Introducing Drone System</t>
  </si>
  <si>
    <t>New Order count(Excluding current)</t>
  </si>
  <si>
    <t>Per month with YoY growth given in sheet</t>
  </si>
  <si>
    <t>Per Order Revenue</t>
  </si>
  <si>
    <t>Total Revenue generated Using drone</t>
  </si>
  <si>
    <t>No of Control Center</t>
  </si>
  <si>
    <t>No of Drones required</t>
  </si>
  <si>
    <t>Total cost required(Initial Investement)</t>
  </si>
  <si>
    <t xml:space="preserve">Total Expense </t>
  </si>
  <si>
    <t>Including DE salary(Fixed &amp; variable, Monthly salary of Staffs)</t>
  </si>
  <si>
    <t>QTY</t>
  </si>
  <si>
    <t>Orders From beyond distance of 5 Km</t>
  </si>
  <si>
    <t>Orders getting from beyond 5 km upto 10km</t>
  </si>
  <si>
    <t>Revenue growth</t>
  </si>
  <si>
    <t>But Will be in Positive with YoY growth</t>
  </si>
  <si>
    <t>Combined revenue</t>
  </si>
  <si>
    <t>Approx. 60% of total orders</t>
  </si>
  <si>
    <t>Total Revenue(Current)</t>
  </si>
  <si>
    <t>Round Figure, Buffre Drones would  be required over There</t>
  </si>
  <si>
    <t>Estimated orders in  peak hours (city wide)</t>
  </si>
  <si>
    <t>Per Flight</t>
  </si>
  <si>
    <t>Weight</t>
  </si>
  <si>
    <t>Range of drone</t>
  </si>
  <si>
    <t>Flight range</t>
  </si>
  <si>
    <t>Speed</t>
  </si>
  <si>
    <t>4 Peak hours</t>
  </si>
  <si>
    <t>Km/min</t>
  </si>
  <si>
    <t>Avg  distance of order</t>
  </si>
  <si>
    <t>Trips in one charge</t>
  </si>
  <si>
    <t>Per Distrubution point order</t>
  </si>
  <si>
    <t>Total distribution point</t>
  </si>
  <si>
    <t>Drones per dist point</t>
  </si>
  <si>
    <t>47 Drones per Dist point`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</si>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</sst>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  <numFmt numFmtId="166" formatCode="_(* #,##0.0_);_(* \(#,##0.0\);_(* &quot;-&quot;?_);_(@_)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6AA84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9" fontId="5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8" borderId="1" xfId="0" applyNumberFormat="1" applyFont="1" applyFill="1" applyBorder="1" applyAlignment="1">
      <alignment horizontal="center"/>
    </xf>
    <xf numFmtId="2" fontId="5" fillId="8" borderId="1" xfId="1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4" fillId="10" borderId="1" xfId="0" applyFont="1" applyFill="1" applyBorder="1"/>
    <xf numFmtId="0" fontId="0" fillId="11" borderId="0" xfId="0" applyFill="1"/>
    <xf numFmtId="0" fontId="0" fillId="2" borderId="4" xfId="0" applyFill="1" applyBorder="1"/>
    <xf numFmtId="0" fontId="5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0" fontId="4" fillId="12" borderId="1" xfId="0" applyNumberFormat="1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/>
    <xf numFmtId="9" fontId="0" fillId="0" borderId="4" xfId="0" applyNumberFormat="1" applyBorder="1"/>
    <xf numFmtId="14" fontId="0" fillId="0" borderId="0" xfId="0" applyNumberFormat="1"/>
    <xf numFmtId="14" fontId="0" fillId="0" borderId="4" xfId="0" applyNumberFormat="1" applyBorder="1"/>
    <xf numFmtId="9" fontId="0" fillId="0" borderId="4" xfId="1" applyFont="1" applyBorder="1"/>
    <xf numFmtId="164" fontId="0" fillId="0" borderId="4" xfId="2" applyNumberFormat="1" applyFont="1" applyBorder="1"/>
    <xf numFmtId="1" fontId="0" fillId="0" borderId="4" xfId="0" applyNumberFormat="1" applyBorder="1"/>
    <xf numFmtId="164" fontId="0" fillId="0" borderId="4" xfId="0" applyNumberFormat="1" applyBorder="1"/>
    <xf numFmtId="0" fontId="0" fillId="15" borderId="4" xfId="0" applyFill="1" applyBorder="1"/>
    <xf numFmtId="0" fontId="0" fillId="0" borderId="9" xfId="0" applyBorder="1"/>
    <xf numFmtId="164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9" borderId="0" xfId="0" applyFill="1"/>
    <xf numFmtId="0" fontId="0" fillId="0" borderId="0" xfId="0" applyBorder="1"/>
    <xf numFmtId="164" fontId="0" fillId="2" borderId="0" xfId="0" applyNumberFormat="1" applyFill="1" applyBorder="1"/>
    <xf numFmtId="43" fontId="0" fillId="0" borderId="0" xfId="2" applyFont="1"/>
    <xf numFmtId="43" fontId="0" fillId="9" borderId="0" xfId="2" applyFont="1" applyFill="1"/>
    <xf numFmtId="43" fontId="0" fillId="2" borderId="0" xfId="2" applyFont="1" applyFill="1"/>
    <xf numFmtId="43" fontId="0" fillId="0" borderId="0" xfId="0" applyNumberFormat="1"/>
    <xf numFmtId="0" fontId="0" fillId="0" borderId="10" xfId="0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164" fontId="0" fillId="0" borderId="12" xfId="2" applyNumberFormat="1" applyFont="1" applyBorder="1"/>
    <xf numFmtId="9" fontId="0" fillId="0" borderId="10" xfId="1" applyFont="1" applyBorder="1"/>
    <xf numFmtId="1" fontId="0" fillId="0" borderId="12" xfId="0" applyNumberFormat="1" applyBorder="1"/>
    <xf numFmtId="9" fontId="0" fillId="0" borderId="13" xfId="0" applyNumberFormat="1" applyBorder="1"/>
    <xf numFmtId="0" fontId="0" fillId="15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2" xfId="0" applyNumberFormat="1" applyBorder="1"/>
    <xf numFmtId="9" fontId="0" fillId="0" borderId="13" xfId="1" applyFont="1" applyBorder="1"/>
    <xf numFmtId="166" fontId="0" fillId="0" borderId="0" xfId="0" applyNumberFormat="1"/>
    <xf numFmtId="0" fontId="0" fillId="0" borderId="4" xfId="0" applyBorder="1" applyAlignment="1">
      <alignment wrapText="1"/>
    </xf>
    <xf numFmtId="43" fontId="0" fillId="0" borderId="4" xfId="0" applyNumberFormat="1" applyBorder="1"/>
    <xf numFmtId="0" fontId="0" fillId="0" borderId="4" xfId="0" applyBorder="1" applyAlignment="1">
      <alignment horizontal="center"/>
    </xf>
    <xf numFmtId="0" fontId="0" fillId="16" borderId="4" xfId="0" applyFill="1" applyBorder="1"/>
    <xf numFmtId="9" fontId="0" fillId="0" borderId="4" xfId="0" applyNumberFormat="1" applyBorder="1" applyAlignment="1">
      <alignment horizontal="center" vertical="center"/>
    </xf>
    <xf numFmtId="9" fontId="0" fillId="0" borderId="4" xfId="1" applyFont="1" applyFill="1" applyBorder="1"/>
    <xf numFmtId="0" fontId="0" fillId="17" borderId="4" xfId="0" applyFill="1" applyBorder="1"/>
    <xf numFmtId="0" fontId="0" fillId="20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9" borderId="4" xfId="0" applyFill="1" applyBorder="1"/>
    <xf numFmtId="164" fontId="0" fillId="9" borderId="4" xfId="2" applyNumberFormat="1" applyFont="1" applyFill="1" applyBorder="1"/>
    <xf numFmtId="164" fontId="0" fillId="2" borderId="4" xfId="2" applyNumberFormat="1" applyFont="1" applyFill="1" applyBorder="1"/>
    <xf numFmtId="164" fontId="0" fillId="0" borderId="4" xfId="2" applyNumberFormat="1" applyFont="1" applyFill="1" applyBorder="1"/>
    <xf numFmtId="0" fontId="0" fillId="21" borderId="4" xfId="0" applyFill="1" applyBorder="1" applyAlignment="1">
      <alignment horizontal="center"/>
    </xf>
    <xf numFmtId="14" fontId="0" fillId="21" borderId="4" xfId="0" applyNumberFormat="1" applyFill="1" applyBorder="1" applyAlignment="1">
      <alignment horizontal="center"/>
    </xf>
    <xf numFmtId="0" fontId="0" fillId="21" borderId="4" xfId="0" applyFill="1" applyBorder="1" applyAlignment="1">
      <alignment horizontal="center" wrapText="1"/>
    </xf>
    <xf numFmtId="0" fontId="0" fillId="21" borderId="0" xfId="0" applyFill="1" applyAlignment="1">
      <alignment horizontal="center"/>
    </xf>
    <xf numFmtId="0" fontId="0" fillId="21" borderId="4" xfId="0" applyFill="1" applyBorder="1"/>
    <xf numFmtId="0" fontId="0" fillId="21" borderId="4" xfId="0" applyFill="1" applyBorder="1" applyAlignment="1">
      <alignment wrapText="1"/>
    </xf>
    <xf numFmtId="0" fontId="0" fillId="22" borderId="4" xfId="0" applyFont="1" applyFill="1" applyBorder="1"/>
    <xf numFmtId="0" fontId="0" fillId="23" borderId="4" xfId="0" applyFill="1" applyBorder="1"/>
    <xf numFmtId="0" fontId="0" fillId="12" borderId="4" xfId="0" applyFill="1" applyBorder="1"/>
    <xf numFmtId="9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wrapText="1"/>
    </xf>
    <xf numFmtId="0" fontId="0" fillId="12" borderId="0" xfId="0" applyFill="1" applyBorder="1"/>
    <xf numFmtId="164" fontId="0" fillId="0" borderId="0" xfId="2" applyNumberFormat="1" applyFont="1" applyBorder="1"/>
    <xf numFmtId="164" fontId="0" fillId="0" borderId="0" xfId="0" applyNumberFormat="1" applyBorder="1"/>
    <xf numFmtId="43" fontId="0" fillId="0" borderId="0" xfId="0" applyNumberFormat="1" applyBorder="1"/>
    <xf numFmtId="164" fontId="0" fillId="12" borderId="0" xfId="2" applyNumberFormat="1" applyFont="1" applyFill="1" applyBorder="1"/>
    <xf numFmtId="164" fontId="0" fillId="12" borderId="0" xfId="0" applyNumberFormat="1" applyFill="1" applyBorder="1"/>
    <xf numFmtId="0" fontId="0" fillId="0" borderId="0" xfId="0" applyFill="1" applyBorder="1"/>
    <xf numFmtId="0" fontId="0" fillId="24" borderId="0" xfId="0" applyFill="1" applyBorder="1"/>
    <xf numFmtId="0" fontId="0" fillId="25" borderId="0" xfId="0" applyFill="1" applyBorder="1"/>
    <xf numFmtId="43" fontId="0" fillId="25" borderId="0" xfId="0" applyNumberFormat="1" applyFill="1" applyBorder="1"/>
    <xf numFmtId="164" fontId="0" fillId="25" borderId="0" xfId="2" applyNumberFormat="1" applyFont="1" applyFill="1" applyBorder="1"/>
    <xf numFmtId="164" fontId="0" fillId="25" borderId="0" xfId="0" applyNumberFormat="1" applyFill="1" applyBorder="1"/>
    <xf numFmtId="164" fontId="0" fillId="20" borderId="0" xfId="0" applyNumberFormat="1" applyFill="1" applyBorder="1"/>
    <xf numFmtId="0" fontId="0" fillId="20" borderId="0" xfId="0" applyFill="1" applyBorder="1"/>
    <xf numFmtId="164" fontId="0" fillId="15" borderId="4" xfId="0" applyNumberForma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167" fontId="0" fillId="15" borderId="4" xfId="0" applyNumberFormat="1" applyFill="1" applyBorder="1" applyAlignment="1">
      <alignment horizontal="center"/>
    </xf>
    <xf numFmtId="2" fontId="0" fillId="15" borderId="4" xfId="0" applyNumberFormat="1" applyFill="1" applyBorder="1" applyAlignment="1">
      <alignment horizontal="center"/>
    </xf>
    <xf numFmtId="164" fontId="0" fillId="15" borderId="4" xfId="0" applyNumberFormat="1" applyFill="1" applyBorder="1"/>
    <xf numFmtId="0" fontId="0" fillId="26" borderId="4" xfId="0" applyFill="1" applyBorder="1"/>
    <xf numFmtId="0" fontId="0" fillId="0" borderId="0" xfId="0" applyAlignment="1">
      <alignment horizontal="right"/>
    </xf>
    <xf numFmtId="164" fontId="0" fillId="0" borderId="0" xfId="2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NumberFormat="1" applyFont="1" applyAlignment="1">
      <alignment horizontal="right"/>
    </xf>
    <xf numFmtId="0" fontId="4" fillId="7" borderId="2" xfId="0" applyFont="1" applyFill="1" applyBorder="1" applyAlignment="1">
      <alignment horizontal="center"/>
    </xf>
    <xf numFmtId="0" fontId="6" fillId="0" borderId="3" xfId="0" applyFont="1" applyBorder="1"/>
    <xf numFmtId="0" fontId="4" fillId="7" borderId="5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6" fillId="12" borderId="3" xfId="0" applyFont="1" applyFill="1" applyBorder="1"/>
    <xf numFmtId="0" fontId="7" fillId="25" borderId="0" xfId="0" applyFont="1" applyFill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0" fillId="9" borderId="0" xfId="0" applyFill="1" applyBorder="1"/>
    <xf numFmtId="9" fontId="0" fillId="0" borderId="0" xfId="1" applyFont="1"/>
  </cellXfs>
  <cellStyles count="3">
    <cellStyle name="Comma" xfId="2" builtinId="3"/>
    <cellStyle name="Normal" xfId="0" builtinId="0"/>
    <cellStyle name="Percent" xfId="1" builtinId="5"/>
  </cellStyles>
  <dxfs count="57"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with YoY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Calculations!$C$10:$C$15</c:f>
              <c:numCache>
                <c:formatCode>0</c:formatCode>
                <c:ptCount val="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</c:numCache>
            </c:numRef>
          </c:cat>
          <c:val>
            <c:numRef>
              <c:f>Calculations!$Q$10:$Q$15</c:f>
              <c:numCache>
                <c:formatCode>0</c:formatCode>
                <c:ptCount val="6"/>
                <c:pt idx="0">
                  <c:v>-82521333.333333313</c:v>
                </c:pt>
                <c:pt idx="1">
                  <c:v>-58946706.666666657</c:v>
                </c:pt>
                <c:pt idx="2">
                  <c:v>1893735.8666666448</c:v>
                </c:pt>
                <c:pt idx="3">
                  <c:v>46630459.121333331</c:v>
                </c:pt>
                <c:pt idx="4">
                  <c:v>149151155.34734663</c:v>
                </c:pt>
                <c:pt idx="5">
                  <c:v>223422832.2066018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3-4DF9-BC9D-95477688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425240"/>
        <c:axId val="5994255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Calculations!$C$10:$C$15</c:f>
              <c:numCache>
                <c:formatCode>0</c:formatCode>
                <c:ptCount val="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</c:numCache>
            </c:numRef>
          </c:cat>
          <c:val>
            <c:numRef>
              <c:f>Calculations!$R$10:$R$15</c:f>
              <c:numCache>
                <c:formatCode>0%</c:formatCode>
                <c:ptCount val="6"/>
                <c:pt idx="0">
                  <c:v>-0.55368581141527984</c:v>
                </c:pt>
                <c:pt idx="1">
                  <c:v>-0.32614840900768027</c:v>
                </c:pt>
                <c:pt idx="2">
                  <c:v>7.5668928737862443E-3</c:v>
                </c:pt>
                <c:pt idx="3">
                  <c:v>0.1532381029758054</c:v>
                </c:pt>
                <c:pt idx="4">
                  <c:v>0.35787383720136184</c:v>
                </c:pt>
                <c:pt idx="5">
                  <c:v>0.44534294916466977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3-4DF9-BC9D-95477688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43928"/>
        <c:axId val="597244912"/>
      </c:lineChart>
      <c:catAx>
        <c:axId val="599425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25568"/>
        <c:crosses val="autoZero"/>
        <c:auto val="1"/>
        <c:lblAlgn val="ctr"/>
        <c:lblOffset val="100"/>
        <c:noMultiLvlLbl val="0"/>
      </c:catAx>
      <c:valAx>
        <c:axId val="5994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25240"/>
        <c:crosses val="autoZero"/>
        <c:crossBetween val="between"/>
      </c:valAx>
      <c:valAx>
        <c:axId val="5972449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3928"/>
        <c:crosses val="max"/>
        <c:crossBetween val="between"/>
      </c:valAx>
      <c:catAx>
        <c:axId val="597243928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59724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Beyond 5 KM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Calculations!$I$20:$I$26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</c:numCache>
            </c:numRef>
          </c:xVal>
          <c:yVal>
            <c:numRef>
              <c:f>Calculations!$M$20:$M$26</c:f>
              <c:numCache>
                <c:formatCode>0%</c:formatCode>
                <c:ptCount val="7"/>
                <c:pt idx="0">
                  <c:v>0.4</c:v>
                </c:pt>
                <c:pt idx="1">
                  <c:v>0.35</c:v>
                </c:pt>
                <c:pt idx="3">
                  <c:v>0.2</c:v>
                </c:pt>
                <c:pt idx="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0-40E3-B967-0548D049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39656"/>
        <c:axId val="585837032"/>
      </c:scatterChart>
      <c:valAx>
        <c:axId val="58583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37032"/>
        <c:crosses val="autoZero"/>
        <c:crossBetween val="midCat"/>
      </c:valAx>
      <c:valAx>
        <c:axId val="5858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3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03-4876-AECC-9FB1A6472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03-4876-AECC-9FB1A64721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003-4876-AECC-9FB1A64721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003-4876-AECC-9FB1A64721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(Summary!$G$14,Summary!$G$31)</c:f>
              <c:strCache>
                <c:ptCount val="2"/>
                <c:pt idx="0">
                  <c:v>Total Revenue(Current)</c:v>
                </c:pt>
                <c:pt idx="1">
                  <c:v>Total Revenue generated Using drone</c:v>
                </c:pt>
              </c:strCache>
            </c:strRef>
          </c:cat>
          <c:val>
            <c:numRef>
              <c:f>(Summary!$H$14,Summary!$H$31)</c:f>
              <c:numCache>
                <c:formatCode>_(* #,##0_);_(* \(#,##0\);_(* "-"??_);_(@_)</c:formatCode>
                <c:ptCount val="2"/>
                <c:pt idx="0">
                  <c:v>124200000</c:v>
                </c:pt>
                <c:pt idx="1">
                  <c:v>149040000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3-4876-AECC-9FB1A64721E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19</xdr:col>
      <xdr:colOff>11010</xdr:colOff>
      <xdr:row>27</xdr:row>
      <xdr:rowOff>122755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1568C1-EFFF-407A-9F1E-93C9526AA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0" y="365760"/>
          <a:ext cx="7326210" cy="4694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39</xdr:row>
      <xdr:rowOff>30480</xdr:rowOff>
    </xdr:from>
    <xdr:to>
      <xdr:col>7</xdr:col>
      <xdr:colOff>1112520</xdr:colOff>
      <xdr:row>54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73238-8F9C-4965-8DC7-9CD55E969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38</xdr:row>
      <xdr:rowOff>167640</xdr:rowOff>
    </xdr:from>
    <xdr:to>
      <xdr:col>9</xdr:col>
      <xdr:colOff>2354580</xdr:colOff>
      <xdr:row>53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A43AD-9DE3-4FB2-84BA-ACEAA88D5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297180</xdr:colOff>
      <xdr:row>56</xdr:row>
      <xdr:rowOff>133350</xdr:rowOff>
    </xdr:from>
    <xdr:to>
      <xdr:col>7</xdr:col>
      <xdr:colOff>1082040</xdr:colOff>
      <xdr:row>71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4EFB3-38EB-4E53-8342-C4DBC1D6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9350C2-71E5-4DA0-BFC9-CB3F3AD3D7F9}" name="Table11" displayName="Table11" ref="B1:D8" totalsRowShown="0" headerRowDxfId="56" headerRowBorderDxfId="55" tableBorderDxfId="54" totalsRowBorderDxfId="53">
  <autoFilter ref="B1:D8" xr:uid="{C89350C2-71E5-4DA0-BFC9-CB3F3AD3D7F9}"/>
  <tableColumns count="3">
    <tableColumn id="1" xr3:uid="{981BAE75-69F8-430D-AE30-512910E8752D}" name="Given" dataDxfId="52"/>
    <tableColumn id="2" xr3:uid="{2B4189CF-C9BE-428F-80D3-C7BC6B19892F}" name="Value" dataDxfId="51"/>
    <tableColumn id="3" xr3:uid="{E19A0A97-4407-4764-9BBB-EBFB3633A2DB}" name="Unit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9F22FE2-4110-4246-A732-7A4A1616F0CE}" name="Table14" displayName="Table14" ref="B10:D20" totalsRowShown="0" headerRowDxfId="49" headerRowBorderDxfId="48" tableBorderDxfId="47" totalsRowBorderDxfId="46">
  <autoFilter ref="B10:D20" xr:uid="{29F22FE2-4110-4246-A732-7A4A1616F0CE}"/>
  <tableColumns count="3">
    <tableColumn id="1" xr3:uid="{A563AF1D-A793-4872-B87D-7185146960F0}" name="Drone info" dataDxfId="45"/>
    <tableColumn id="2" xr3:uid="{F6C450CB-08B3-47EF-A5BB-9581D797BCF0}" name="Value" dataDxfId="44" dataCellStyle="Comma"/>
    <tableColumn id="3" xr3:uid="{022A1B66-692A-4396-988F-FC8CCDB86419}" name="Unit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ED8474E-21E5-4B4E-BDDB-6B3D33663A1E}" name="Table16" displayName="Table16" ref="B23:D28" totalsRowShown="0" headerRowDxfId="42" headerRowBorderDxfId="41" tableBorderDxfId="40" totalsRowBorderDxfId="39">
  <autoFilter ref="B23:D28" xr:uid="{3ED8474E-21E5-4B4E-BDDB-6B3D33663A1E}"/>
  <tableColumns count="3">
    <tableColumn id="1" xr3:uid="{FB306B20-7203-4BE3-8B72-E37D507D5BB2}" name="DE Information" dataDxfId="38"/>
    <tableColumn id="2" xr3:uid="{A1044223-7018-412D-8AC4-4ACB076C1DBE}" name="Column1" dataDxfId="37"/>
    <tableColumn id="3" xr3:uid="{0F2A71A5-0C9D-46CF-9532-2D67C3B24318}" name="Column2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8AADFC-18B3-4DC4-94F9-239159CF2659}" name="Table17" displayName="Table17" ref="B31:C40" totalsRowShown="0" headerRowDxfId="35" headerRowBorderDxfId="34" tableBorderDxfId="33" totalsRowBorderDxfId="32">
  <autoFilter ref="B31:C40" xr:uid="{C18AADFC-18B3-4DC4-94F9-239159CF2659}"/>
  <tableColumns count="2">
    <tableColumn id="1" xr3:uid="{2309C084-F41E-4FF7-B074-F6668395AB42}" name="City wise orders" dataDxfId="31"/>
    <tableColumn id="2" xr3:uid="{A59E075E-D256-49D1-B360-ACC4EC7CC4A2}" name="Orders in percentage" dataDxfId="30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B933D12-0F50-48F1-AAD2-6BECE5E74F7E}" name="Table18" displayName="Table18" ref="B43:H52" totalsRowShown="0" headerRowDxfId="29" headerRowBorderDxfId="28" tableBorderDxfId="27" totalsRowBorderDxfId="26">
  <autoFilter ref="B43:H52" xr:uid="{2B933D12-0F50-48F1-AAD2-6BECE5E74F7E}"/>
  <tableColumns count="7">
    <tableColumn id="1" xr3:uid="{F945C7DA-A9D2-475D-9611-355BDC37CC02}" name="Order distribution km wise" dataDxfId="25"/>
    <tableColumn id="2" xr3:uid="{C9F5DB8D-3608-487F-8B09-D25B23E28E42}" name="Column1" dataDxfId="24" dataCellStyle="Percent"/>
    <tableColumn id="3" xr3:uid="{2CFCFB46-B96A-4EC1-A8AE-1312FE8AA109}" name="Total delivery time (including food prep)" dataDxfId="23"/>
    <tableColumn id="4" xr3:uid="{11E9265A-B89D-4A80-8525-4F80B517784E}" name="delivery time (without food prep time) 4 min/km" dataDxfId="22"/>
    <tableColumn id="5" xr3:uid="{4145F77F-01AC-40DA-A2D0-EA9C7BBB37D9}" name="Avg delivery boy fee" dataDxfId="21"/>
    <tableColumn id="6" xr3:uid="{BAB9599D-6CE0-40A6-9005-C15B55474559}" name="Avg delivery charges to client" dataDxfId="20"/>
    <tableColumn id="7" xr3:uid="{12787C16-724F-4B33-8549-05EFAC08846F}" name="drone flight time (minutes)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9B6473F-30D3-47C2-B44F-036EDCA7DEA7}" name="Table19" displayName="Table19" ref="B54:C61" totalsRowShown="0" headerRowDxfId="18" headerRowBorderDxfId="17" tableBorderDxfId="16" totalsRowBorderDxfId="15">
  <autoFilter ref="B54:C61" xr:uid="{09B6473F-30D3-47C2-B44F-036EDCA7DEA7}"/>
  <tableColumns count="2">
    <tableColumn id="1" xr3:uid="{2D828824-740B-488D-9FAB-C708DA997E73}" name="Order distribution day of the week" dataDxfId="14"/>
    <tableColumn id="2" xr3:uid="{C6CB934C-C60A-43F7-BB75-25C7A6D5552D}" name="Column1" dataDxfId="13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73512-0D70-4EE9-B44A-24453F2BCAE9}" name="Table20" displayName="Table20" ref="B64:C71" totalsRowShown="0" headerRowDxfId="12" headerRowBorderDxfId="11" tableBorderDxfId="10" totalsRowBorderDxfId="9">
  <autoFilter ref="B64:C71" xr:uid="{BF073512-0D70-4EE9-B44A-24453F2BCAE9}"/>
  <tableColumns count="2">
    <tableColumn id="1" xr3:uid="{7963C96D-64A1-46DF-B490-0D0B8E6C8BCB}" name="Complaints" dataDxfId="8"/>
    <tableColumn id="2" xr3:uid="{AACCB185-FE4C-4F97-8048-BDC57895C9B7}" name="Column1" dataDxfId="7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BA9559B-74C9-4174-A7C2-85753F0A74E4}" name="Table21" displayName="Table21" ref="B74:C79" totalsRowShown="0" headerRowDxfId="6" headerRowBorderDxfId="5" tableBorderDxfId="4" totalsRowBorderDxfId="3">
  <autoFilter ref="B74:C79" xr:uid="{FBA9559B-74C9-4174-A7C2-85753F0A74E4}"/>
  <tableColumns count="2">
    <tableColumn id="1" xr3:uid="{EBFD1DE4-4637-4265-A661-299B7C6516D4}" name="Delivery charges" dataDxfId="2"/>
    <tableColumn id="2" xr3:uid="{58892F8C-24B1-434C-AB55-8942ECF30331}" name="Column1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DEA41F-B429-4371-A852-11D3C9B88D75}" name="Table3" displayName="Table3" ref="K58:L69" totalsRowShown="0">
  <autoFilter ref="K58:L69" xr:uid="{7BDEA41F-B429-4371-A852-11D3C9B88D75}"/>
  <tableColumns count="2">
    <tableColumn id="1" xr3:uid="{7D341A45-C70B-42C2-B921-DC4CAFEC4A32}" name="Legend"/>
    <tableColumn id="2" xr3:uid="{7A5A75C6-60D4-4C39-9D98-8DF12B5A13CB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A7BF-A49C-4EDA-9508-0E88F984B93F}">
  <dimension ref="B1:S95"/>
  <sheetViews>
    <sheetView topLeftCell="A16" workbookViewId="0">
      <selection activeCell="D44" sqref="D44"/>
    </sheetView>
  </sheetViews>
  <sheetFormatPr defaultRowHeight="14.4" x14ac:dyDescent="0.3"/>
  <cols>
    <col min="2" max="2" width="31.6640625" customWidth="1"/>
    <col min="3" max="3" width="13.6640625" bestFit="1" customWidth="1"/>
    <col min="4" max="4" width="36.6640625" customWidth="1"/>
    <col min="5" max="5" width="43.77734375" customWidth="1"/>
    <col min="6" max="6" width="20" customWidth="1"/>
    <col min="7" max="7" width="27.33203125" customWidth="1"/>
    <col min="8" max="8" width="25.44140625" customWidth="1"/>
    <col min="9" max="9" width="10.44140625" customWidth="1"/>
    <col min="10" max="10" width="18.44140625" style="42" customWidth="1"/>
    <col min="11" max="11" width="16.77734375" style="42" customWidth="1"/>
    <col min="12" max="12" width="17.21875" customWidth="1"/>
    <col min="13" max="13" width="20.109375" customWidth="1"/>
    <col min="14" max="14" width="15.44140625" bestFit="1" customWidth="1"/>
    <col min="15" max="15" width="31.21875" bestFit="1" customWidth="1"/>
    <col min="16" max="16" width="17" customWidth="1"/>
    <col min="17" max="17" width="13.6640625" bestFit="1" customWidth="1"/>
    <col min="18" max="18" width="10.88671875" customWidth="1"/>
    <col min="19" max="19" width="11" bestFit="1" customWidth="1"/>
  </cols>
  <sheetData>
    <row r="1" spans="2:6" x14ac:dyDescent="0.3">
      <c r="B1" s="64" t="s">
        <v>183</v>
      </c>
      <c r="C1" s="65" t="s">
        <v>75</v>
      </c>
      <c r="D1" s="66" t="s">
        <v>76</v>
      </c>
    </row>
    <row r="2" spans="2:6" x14ac:dyDescent="0.3">
      <c r="B2" s="49" t="s">
        <v>77</v>
      </c>
      <c r="C2" s="41">
        <v>0.7</v>
      </c>
      <c r="D2" s="63"/>
    </row>
    <row r="3" spans="2:6" x14ac:dyDescent="0.3">
      <c r="B3" s="49" t="s">
        <v>78</v>
      </c>
      <c r="C3" s="45">
        <v>7000000</v>
      </c>
      <c r="D3" s="63" t="s">
        <v>130</v>
      </c>
    </row>
    <row r="4" spans="2:6" x14ac:dyDescent="0.3">
      <c r="B4" s="49" t="s">
        <v>80</v>
      </c>
      <c r="C4" s="39">
        <v>20</v>
      </c>
      <c r="D4" s="63" t="s">
        <v>81</v>
      </c>
    </row>
    <row r="5" spans="2:6" x14ac:dyDescent="0.3">
      <c r="B5" s="49" t="s">
        <v>82</v>
      </c>
      <c r="C5" s="39">
        <v>3</v>
      </c>
      <c r="D5" s="63" t="s">
        <v>83</v>
      </c>
    </row>
    <row r="6" spans="2:6" x14ac:dyDescent="0.3">
      <c r="B6" s="49" t="s">
        <v>84</v>
      </c>
      <c r="C6" s="39">
        <v>741</v>
      </c>
      <c r="D6" s="63" t="s">
        <v>85</v>
      </c>
    </row>
    <row r="7" spans="2:6" x14ac:dyDescent="0.3">
      <c r="B7" s="49" t="s">
        <v>116</v>
      </c>
      <c r="C7" s="41">
        <v>0.22</v>
      </c>
      <c r="D7" s="63"/>
    </row>
    <row r="8" spans="2:6" x14ac:dyDescent="0.3">
      <c r="B8" s="53" t="s">
        <v>117</v>
      </c>
      <c r="C8" s="54">
        <v>400</v>
      </c>
      <c r="D8" s="55" t="s">
        <v>98</v>
      </c>
    </row>
    <row r="10" spans="2:6" x14ac:dyDescent="0.3">
      <c r="B10" s="64" t="s">
        <v>86</v>
      </c>
      <c r="C10" s="65" t="s">
        <v>75</v>
      </c>
      <c r="D10" s="66" t="s">
        <v>76</v>
      </c>
      <c r="E10" s="39"/>
      <c r="F10" s="47"/>
    </row>
    <row r="11" spans="2:6" x14ac:dyDescent="0.3">
      <c r="B11" s="49" t="s">
        <v>180</v>
      </c>
      <c r="C11" s="39">
        <v>8</v>
      </c>
      <c r="D11" s="63" t="s">
        <v>83</v>
      </c>
    </row>
    <row r="12" spans="2:6" x14ac:dyDescent="0.3">
      <c r="B12" s="49" t="s">
        <v>181</v>
      </c>
      <c r="C12" s="39">
        <v>300</v>
      </c>
      <c r="D12" s="63" t="s">
        <v>89</v>
      </c>
    </row>
    <row r="13" spans="2:6" x14ac:dyDescent="0.3">
      <c r="B13" s="49" t="s">
        <v>182</v>
      </c>
      <c r="C13" s="39">
        <v>30</v>
      </c>
      <c r="D13" s="63" t="s">
        <v>91</v>
      </c>
    </row>
    <row r="14" spans="2:6" x14ac:dyDescent="0.3">
      <c r="B14" s="49" t="s">
        <v>93</v>
      </c>
      <c r="C14" s="39">
        <v>5</v>
      </c>
      <c r="D14" s="63" t="s">
        <v>94</v>
      </c>
    </row>
    <row r="15" spans="2:6" x14ac:dyDescent="0.3">
      <c r="B15" s="49" t="s">
        <v>95</v>
      </c>
      <c r="C15" s="39">
        <v>50</v>
      </c>
      <c r="D15" s="63" t="s">
        <v>96</v>
      </c>
    </row>
    <row r="16" spans="2:6" x14ac:dyDescent="0.3">
      <c r="B16" s="49" t="s">
        <v>97</v>
      </c>
      <c r="C16" s="45">
        <v>130000</v>
      </c>
      <c r="D16" s="63" t="s">
        <v>98</v>
      </c>
    </row>
    <row r="17" spans="2:4" x14ac:dyDescent="0.3">
      <c r="B17" s="49" t="s">
        <v>99</v>
      </c>
      <c r="C17" s="39">
        <v>40</v>
      </c>
      <c r="D17" s="63" t="s">
        <v>96</v>
      </c>
    </row>
    <row r="18" spans="2:4" x14ac:dyDescent="0.3">
      <c r="B18" s="49" t="s">
        <v>100</v>
      </c>
      <c r="C18" s="39">
        <v>3</v>
      </c>
      <c r="D18" s="63" t="s">
        <v>101</v>
      </c>
    </row>
    <row r="19" spans="2:4" x14ac:dyDescent="0.3">
      <c r="B19" s="49" t="s">
        <v>102</v>
      </c>
      <c r="C19" s="45">
        <v>6500</v>
      </c>
      <c r="D19" s="63" t="s">
        <v>98</v>
      </c>
    </row>
    <row r="20" spans="2:4" x14ac:dyDescent="0.3">
      <c r="B20" s="53" t="s">
        <v>103</v>
      </c>
      <c r="C20" s="67">
        <v>13000</v>
      </c>
      <c r="D20" s="55" t="s">
        <v>98</v>
      </c>
    </row>
    <row r="23" spans="2:4" x14ac:dyDescent="0.3">
      <c r="B23" s="64" t="s">
        <v>168</v>
      </c>
      <c r="C23" s="65" t="s">
        <v>7</v>
      </c>
      <c r="D23" s="66" t="s">
        <v>157</v>
      </c>
    </row>
    <row r="24" spans="2:4" x14ac:dyDescent="0.3">
      <c r="B24" s="49" t="s">
        <v>175</v>
      </c>
      <c r="C24" s="39">
        <v>4000</v>
      </c>
      <c r="D24" s="63" t="s">
        <v>98</v>
      </c>
    </row>
    <row r="25" spans="2:4" x14ac:dyDescent="0.3">
      <c r="B25" s="49" t="s">
        <v>176</v>
      </c>
      <c r="C25" s="39">
        <v>55</v>
      </c>
      <c r="D25" s="63" t="s">
        <v>98</v>
      </c>
    </row>
    <row r="26" spans="2:4" x14ac:dyDescent="0.3">
      <c r="B26" s="49" t="s">
        <v>177</v>
      </c>
      <c r="C26" s="39">
        <v>425</v>
      </c>
      <c r="D26" s="63" t="s">
        <v>104</v>
      </c>
    </row>
    <row r="27" spans="2:4" x14ac:dyDescent="0.3">
      <c r="B27" s="49" t="s">
        <v>178</v>
      </c>
      <c r="C27" s="41">
        <v>0.1</v>
      </c>
      <c r="D27" s="63"/>
    </row>
    <row r="28" spans="2:4" x14ac:dyDescent="0.3">
      <c r="B28" s="53" t="s">
        <v>179</v>
      </c>
      <c r="C28" s="69">
        <f>C25+(C24/C26)</f>
        <v>64.411764705882348</v>
      </c>
      <c r="D28" s="55"/>
    </row>
    <row r="31" spans="2:4" x14ac:dyDescent="0.3">
      <c r="B31" s="64" t="s">
        <v>105</v>
      </c>
      <c r="C31" s="66" t="s">
        <v>169</v>
      </c>
    </row>
    <row r="32" spans="2:4" x14ac:dyDescent="0.3">
      <c r="B32" s="49" t="s">
        <v>107</v>
      </c>
      <c r="C32" s="68">
        <v>0.24</v>
      </c>
    </row>
    <row r="33" spans="2:11" x14ac:dyDescent="0.3">
      <c r="B33" s="49" t="s">
        <v>108</v>
      </c>
      <c r="C33" s="68">
        <v>0.16</v>
      </c>
    </row>
    <row r="34" spans="2:11" x14ac:dyDescent="0.3">
      <c r="B34" s="49" t="s">
        <v>9</v>
      </c>
      <c r="C34" s="68">
        <v>0.12</v>
      </c>
    </row>
    <row r="35" spans="2:11" x14ac:dyDescent="0.3">
      <c r="B35" s="49" t="s">
        <v>11</v>
      </c>
      <c r="C35" s="68">
        <v>0.11</v>
      </c>
      <c r="F35" s="96"/>
    </row>
    <row r="36" spans="2:11" x14ac:dyDescent="0.3">
      <c r="B36" s="49" t="s">
        <v>13</v>
      </c>
      <c r="C36" s="68">
        <v>0.09</v>
      </c>
    </row>
    <row r="37" spans="2:11" x14ac:dyDescent="0.3">
      <c r="B37" s="49" t="s">
        <v>10</v>
      </c>
      <c r="C37" s="68">
        <v>0.08</v>
      </c>
    </row>
    <row r="38" spans="2:11" x14ac:dyDescent="0.3">
      <c r="B38" s="49" t="s">
        <v>12</v>
      </c>
      <c r="C38" s="68">
        <v>0.08</v>
      </c>
    </row>
    <row r="39" spans="2:11" x14ac:dyDescent="0.3">
      <c r="B39" s="49" t="s">
        <v>109</v>
      </c>
      <c r="C39" s="68">
        <v>0.12</v>
      </c>
      <c r="K39" s="1"/>
    </row>
    <row r="40" spans="2:11" x14ac:dyDescent="0.3">
      <c r="B40" s="53" t="s">
        <v>110</v>
      </c>
      <c r="C40" s="70">
        <f>SUM(C32:C39)</f>
        <v>0.99999999999999989</v>
      </c>
      <c r="E40" t="s">
        <v>134</v>
      </c>
      <c r="F40">
        <v>10</v>
      </c>
    </row>
    <row r="41" spans="2:11" x14ac:dyDescent="0.3">
      <c r="E41" t="s">
        <v>118</v>
      </c>
      <c r="F41">
        <f>SUMPRODUCT(C44:C46,D44:D46)</f>
        <v>35.200000000000003</v>
      </c>
    </row>
    <row r="42" spans="2:11" x14ac:dyDescent="0.3">
      <c r="C42" t="s">
        <v>133</v>
      </c>
      <c r="D42" s="3">
        <v>4.5</v>
      </c>
    </row>
    <row r="43" spans="2:11" x14ac:dyDescent="0.3">
      <c r="B43" s="64" t="s">
        <v>111</v>
      </c>
      <c r="C43" s="65" t="s">
        <v>7</v>
      </c>
      <c r="D43" s="65" t="s">
        <v>119</v>
      </c>
      <c r="E43" s="65" t="s">
        <v>120</v>
      </c>
      <c r="F43" s="65" t="s">
        <v>112</v>
      </c>
      <c r="G43" s="65" t="s">
        <v>121</v>
      </c>
      <c r="H43" s="66" t="s">
        <v>122</v>
      </c>
      <c r="J43"/>
    </row>
    <row r="44" spans="2:11" x14ac:dyDescent="0.3">
      <c r="B44" s="71">
        <v>3</v>
      </c>
      <c r="C44" s="44">
        <v>0.4</v>
      </c>
      <c r="D44" s="39">
        <f t="shared" ref="D44:D51" si="0">$C$4+E44</f>
        <v>33.5</v>
      </c>
      <c r="E44" s="39">
        <f>B44*$D$42</f>
        <v>13.5</v>
      </c>
      <c r="F44" s="97">
        <f>IF(B44&gt;=3,($C$75+$C$76+$C$77)+(B44-$B$44)*$C$78,$C$75+$C$76+$C$77)</f>
        <v>45</v>
      </c>
      <c r="G44" s="39">
        <f>B44*$F$40</f>
        <v>30</v>
      </c>
      <c r="H44" s="63">
        <f t="shared" ref="H44:H51" si="1">(B44/$C$17)*60</f>
        <v>4.5</v>
      </c>
      <c r="J44"/>
    </row>
    <row r="45" spans="2:11" x14ac:dyDescent="0.3">
      <c r="B45" s="72">
        <v>4</v>
      </c>
      <c r="C45" s="44">
        <v>0.35</v>
      </c>
      <c r="D45" s="39">
        <f t="shared" si="0"/>
        <v>38</v>
      </c>
      <c r="E45" s="39">
        <f t="shared" ref="E45:E51" si="2">B45*$D$42</f>
        <v>18</v>
      </c>
      <c r="F45" s="98">
        <f t="shared" ref="F45:F51" si="3">IF(B45&gt;=3,($C$75+$C$76+$C$77)+(B45-$B$44)*$C$78,$C$75+$C$76+$C$77)</f>
        <v>55</v>
      </c>
      <c r="G45" s="39">
        <f t="shared" ref="G45:G51" si="4">B45*$F$40</f>
        <v>40</v>
      </c>
      <c r="H45" s="63">
        <f t="shared" si="1"/>
        <v>6</v>
      </c>
      <c r="J45"/>
    </row>
    <row r="46" spans="2:11" x14ac:dyDescent="0.3">
      <c r="B46" s="72">
        <v>5</v>
      </c>
      <c r="C46" s="44">
        <v>0.2</v>
      </c>
      <c r="D46" s="39">
        <f t="shared" si="0"/>
        <v>42.5</v>
      </c>
      <c r="E46" s="39">
        <f t="shared" si="2"/>
        <v>22.5</v>
      </c>
      <c r="F46" s="97">
        <f t="shared" si="3"/>
        <v>65</v>
      </c>
      <c r="G46" s="39">
        <f t="shared" si="4"/>
        <v>50</v>
      </c>
      <c r="H46" s="63">
        <f t="shared" si="1"/>
        <v>7.5</v>
      </c>
      <c r="J46"/>
    </row>
    <row r="47" spans="2:11" x14ac:dyDescent="0.3">
      <c r="B47" s="72">
        <v>6</v>
      </c>
      <c r="C47" s="44">
        <v>0.05</v>
      </c>
      <c r="D47" s="39">
        <f t="shared" si="0"/>
        <v>47</v>
      </c>
      <c r="E47" s="39">
        <f t="shared" si="2"/>
        <v>27</v>
      </c>
      <c r="F47" s="98">
        <f t="shared" si="3"/>
        <v>75</v>
      </c>
      <c r="G47" s="39">
        <f t="shared" si="4"/>
        <v>60</v>
      </c>
      <c r="H47" s="63">
        <f t="shared" si="1"/>
        <v>9</v>
      </c>
      <c r="J47"/>
    </row>
    <row r="48" spans="2:11" x14ac:dyDescent="0.3">
      <c r="B48" s="72">
        <v>7</v>
      </c>
      <c r="C48" s="44">
        <v>0</v>
      </c>
      <c r="D48" s="39">
        <f t="shared" si="0"/>
        <v>51.5</v>
      </c>
      <c r="E48" s="39">
        <f t="shared" si="2"/>
        <v>31.5</v>
      </c>
      <c r="F48" s="97">
        <f t="shared" si="3"/>
        <v>85</v>
      </c>
      <c r="G48" s="39">
        <f t="shared" si="4"/>
        <v>70</v>
      </c>
      <c r="H48" s="63">
        <f t="shared" si="1"/>
        <v>10.5</v>
      </c>
      <c r="J48"/>
    </row>
    <row r="49" spans="2:18" x14ac:dyDescent="0.3">
      <c r="B49" s="72">
        <v>8</v>
      </c>
      <c r="C49" s="44">
        <v>0</v>
      </c>
      <c r="D49" s="39">
        <f t="shared" si="0"/>
        <v>56</v>
      </c>
      <c r="E49" s="39">
        <f t="shared" si="2"/>
        <v>36</v>
      </c>
      <c r="F49" s="98">
        <f t="shared" si="3"/>
        <v>95</v>
      </c>
      <c r="G49" s="39">
        <f t="shared" si="4"/>
        <v>80</v>
      </c>
      <c r="H49" s="63">
        <f t="shared" si="1"/>
        <v>12</v>
      </c>
      <c r="J49"/>
    </row>
    <row r="50" spans="2:18" x14ac:dyDescent="0.3">
      <c r="B50" s="72">
        <v>9</v>
      </c>
      <c r="C50" s="44">
        <v>0</v>
      </c>
      <c r="D50" s="39">
        <f t="shared" si="0"/>
        <v>60.5</v>
      </c>
      <c r="E50" s="39">
        <f t="shared" si="2"/>
        <v>40.5</v>
      </c>
      <c r="F50" s="97">
        <f t="shared" si="3"/>
        <v>105</v>
      </c>
      <c r="G50" s="39">
        <f t="shared" si="4"/>
        <v>90</v>
      </c>
      <c r="H50" s="63">
        <f t="shared" si="1"/>
        <v>13.5</v>
      </c>
      <c r="J50"/>
    </row>
    <row r="51" spans="2:18" x14ac:dyDescent="0.3">
      <c r="B51" s="72">
        <v>10</v>
      </c>
      <c r="C51" s="44">
        <v>0</v>
      </c>
      <c r="D51" s="39">
        <f t="shared" si="0"/>
        <v>65</v>
      </c>
      <c r="E51" s="39">
        <f t="shared" si="2"/>
        <v>45</v>
      </c>
      <c r="F51" s="98">
        <f t="shared" si="3"/>
        <v>115</v>
      </c>
      <c r="G51" s="39">
        <f t="shared" si="4"/>
        <v>100</v>
      </c>
      <c r="H51" s="63">
        <f t="shared" si="1"/>
        <v>15</v>
      </c>
      <c r="J51"/>
    </row>
    <row r="52" spans="2:18" x14ac:dyDescent="0.3">
      <c r="B52" s="53" t="s">
        <v>110</v>
      </c>
      <c r="C52" s="73">
        <f>SUM(C44:C51)</f>
        <v>1</v>
      </c>
      <c r="D52" s="54"/>
      <c r="E52" s="54"/>
      <c r="F52" s="54">
        <f>(F44*C44)+(F45*C45)+(F46*C46)+(F47*C47)</f>
        <v>54</v>
      </c>
      <c r="G52" s="54">
        <f>(C44*G44)+(C45*G45)+(C46*G46)+(C47*G47)</f>
        <v>39</v>
      </c>
      <c r="H52" s="55"/>
    </row>
    <row r="53" spans="2:18" x14ac:dyDescent="0.3">
      <c r="F53" s="2" t="s">
        <v>113</v>
      </c>
      <c r="G53" s="2" t="s">
        <v>113</v>
      </c>
    </row>
    <row r="54" spans="2:18" x14ac:dyDescent="0.3">
      <c r="B54" s="64" t="s">
        <v>114</v>
      </c>
      <c r="C54" s="66" t="s">
        <v>7</v>
      </c>
    </row>
    <row r="55" spans="2:18" x14ac:dyDescent="0.3">
      <c r="B55" s="49" t="s">
        <v>0</v>
      </c>
      <c r="C55" s="68">
        <v>0.12</v>
      </c>
    </row>
    <row r="56" spans="2:18" x14ac:dyDescent="0.3">
      <c r="B56" s="49" t="s">
        <v>1</v>
      </c>
      <c r="C56" s="68">
        <v>0.12</v>
      </c>
      <c r="E56" s="42"/>
      <c r="F56" s="42"/>
      <c r="I56" t="s">
        <v>123</v>
      </c>
    </row>
    <row r="57" spans="2:18" x14ac:dyDescent="0.3">
      <c r="B57" s="49" t="s">
        <v>2</v>
      </c>
      <c r="C57" s="68">
        <v>0.13</v>
      </c>
      <c r="E57" s="42"/>
      <c r="I57">
        <f>F57*4.5</f>
        <v>0</v>
      </c>
      <c r="R57" s="51"/>
    </row>
    <row r="58" spans="2:18" x14ac:dyDescent="0.3">
      <c r="B58" s="49" t="s">
        <v>3</v>
      </c>
      <c r="C58" s="68">
        <v>0.13</v>
      </c>
      <c r="E58" s="42"/>
      <c r="I58">
        <f>F58*4.5</f>
        <v>0</v>
      </c>
    </row>
    <row r="59" spans="2:18" x14ac:dyDescent="0.3">
      <c r="B59" s="49" t="s">
        <v>4</v>
      </c>
      <c r="C59" s="68">
        <v>0.14000000000000001</v>
      </c>
      <c r="E59" s="42"/>
      <c r="I59">
        <f>(F59/$C$17)*60</f>
        <v>0</v>
      </c>
    </row>
    <row r="60" spans="2:18" x14ac:dyDescent="0.3">
      <c r="B60" s="49" t="s">
        <v>5</v>
      </c>
      <c r="C60" s="68">
        <v>0.17</v>
      </c>
      <c r="E60" s="42"/>
      <c r="I60">
        <f>SUM(I57:I59)</f>
        <v>0</v>
      </c>
    </row>
    <row r="61" spans="2:18" x14ac:dyDescent="0.3">
      <c r="B61" s="53" t="s">
        <v>6</v>
      </c>
      <c r="C61" s="74">
        <v>0.19</v>
      </c>
      <c r="H61" s="39"/>
      <c r="I61">
        <f>I60+$C$4</f>
        <v>20</v>
      </c>
    </row>
    <row r="64" spans="2:18" x14ac:dyDescent="0.3">
      <c r="B64" s="64" t="s">
        <v>8</v>
      </c>
      <c r="C64" s="66" t="s">
        <v>7</v>
      </c>
    </row>
    <row r="65" spans="2:19" x14ac:dyDescent="0.3">
      <c r="B65" s="49" t="s">
        <v>124</v>
      </c>
      <c r="C65" s="68">
        <v>0.15</v>
      </c>
    </row>
    <row r="66" spans="2:19" x14ac:dyDescent="0.3">
      <c r="B66" s="49" t="s">
        <v>125</v>
      </c>
      <c r="C66" s="68">
        <v>0.18</v>
      </c>
    </row>
    <row r="67" spans="2:19" x14ac:dyDescent="0.3">
      <c r="B67" s="49" t="s">
        <v>126</v>
      </c>
      <c r="C67" s="68">
        <v>0.1</v>
      </c>
      <c r="F67" s="51"/>
      <c r="G67" s="52"/>
    </row>
    <row r="68" spans="2:19" x14ac:dyDescent="0.3">
      <c r="B68" s="49" t="s">
        <v>127</v>
      </c>
      <c r="C68" s="68">
        <v>0.13</v>
      </c>
      <c r="F68" s="51"/>
    </row>
    <row r="69" spans="2:19" x14ac:dyDescent="0.3">
      <c r="B69" s="49" t="s">
        <v>128</v>
      </c>
      <c r="C69" s="68">
        <v>0.19</v>
      </c>
      <c r="R69" s="52"/>
      <c r="S69" s="52"/>
    </row>
    <row r="70" spans="2:19" x14ac:dyDescent="0.3">
      <c r="B70" s="49" t="s">
        <v>129</v>
      </c>
      <c r="C70" s="68">
        <v>0.25</v>
      </c>
      <c r="R70" s="51"/>
    </row>
    <row r="71" spans="2:19" x14ac:dyDescent="0.3">
      <c r="B71" s="53" t="s">
        <v>110</v>
      </c>
      <c r="C71" s="70">
        <f>SUM(C65:C70)</f>
        <v>1</v>
      </c>
      <c r="F71" s="50"/>
    </row>
    <row r="73" spans="2:19" x14ac:dyDescent="0.3">
      <c r="F73" s="50"/>
    </row>
    <row r="74" spans="2:19" x14ac:dyDescent="0.3">
      <c r="B74" s="64" t="s">
        <v>170</v>
      </c>
      <c r="C74" s="66" t="s">
        <v>7</v>
      </c>
    </row>
    <row r="75" spans="2:19" x14ac:dyDescent="0.3">
      <c r="B75" s="49" t="s">
        <v>171</v>
      </c>
      <c r="C75" s="63">
        <v>15</v>
      </c>
    </row>
    <row r="76" spans="2:19" x14ac:dyDescent="0.3">
      <c r="B76" s="49" t="s">
        <v>172</v>
      </c>
      <c r="C76" s="63">
        <v>15</v>
      </c>
    </row>
    <row r="77" spans="2:19" x14ac:dyDescent="0.3">
      <c r="B77" s="49" t="s">
        <v>173</v>
      </c>
      <c r="C77" s="63">
        <v>15</v>
      </c>
      <c r="F77" s="50"/>
    </row>
    <row r="78" spans="2:19" x14ac:dyDescent="0.3">
      <c r="B78" s="49" t="s">
        <v>174</v>
      </c>
      <c r="C78" s="63">
        <v>10</v>
      </c>
    </row>
    <row r="79" spans="2:19" x14ac:dyDescent="0.3">
      <c r="B79" s="53" t="s">
        <v>110</v>
      </c>
      <c r="C79" s="55">
        <f>SUM(C75:C78)</f>
        <v>55</v>
      </c>
      <c r="F79" s="50"/>
    </row>
    <row r="80" spans="2:19" x14ac:dyDescent="0.3">
      <c r="F80" s="51"/>
    </row>
    <row r="81" spans="2:7" x14ac:dyDescent="0.3">
      <c r="F81" s="51"/>
    </row>
    <row r="82" spans="2:7" x14ac:dyDescent="0.3">
      <c r="B82" t="s">
        <v>71</v>
      </c>
      <c r="C82">
        <v>69</v>
      </c>
      <c r="F82" s="51"/>
    </row>
    <row r="83" spans="2:7" x14ac:dyDescent="0.3">
      <c r="B83" t="s">
        <v>164</v>
      </c>
      <c r="C83">
        <v>1680000</v>
      </c>
      <c r="F83" s="51"/>
    </row>
    <row r="84" spans="2:7" x14ac:dyDescent="0.3">
      <c r="B84" t="s">
        <v>110</v>
      </c>
      <c r="C84">
        <f>C83*C82</f>
        <v>115920000</v>
      </c>
    </row>
    <row r="85" spans="2:7" x14ac:dyDescent="0.3">
      <c r="B85" t="s">
        <v>165</v>
      </c>
      <c r="C85" s="75">
        <f>Calculations!G64</f>
        <v>0</v>
      </c>
      <c r="F85" s="51"/>
      <c r="G85" s="62"/>
    </row>
    <row r="86" spans="2:7" x14ac:dyDescent="0.3">
      <c r="B86" t="s">
        <v>110</v>
      </c>
      <c r="C86" s="75">
        <f>C85*C82</f>
        <v>0</v>
      </c>
    </row>
    <row r="88" spans="2:7" x14ac:dyDescent="0.3">
      <c r="B88" t="s">
        <v>166</v>
      </c>
      <c r="C88" s="75">
        <f>C86+C84</f>
        <v>115920000</v>
      </c>
      <c r="D88" t="s">
        <v>167</v>
      </c>
    </row>
    <row r="93" spans="2:7" x14ac:dyDescent="0.3">
      <c r="F93" s="51"/>
      <c r="G93" s="62"/>
    </row>
    <row r="94" spans="2:7" x14ac:dyDescent="0.3">
      <c r="F94" s="51"/>
      <c r="G94" s="62"/>
    </row>
    <row r="95" spans="2:7" x14ac:dyDescent="0.3">
      <c r="F95" s="50"/>
    </row>
  </sheetData>
  <phoneticPr fontId="2" type="noConversion"/>
  <dataValidations disablePrompts="1" count="1">
    <dataValidation type="whole" allowBlank="1" showInputMessage="1" showErrorMessage="1" sqref="F57:F59" xr:uid="{DA4A799E-C676-4743-BCA1-1E9B33CECC89}">
      <formula1>1</formula1>
      <formula2>10</formula2>
    </dataValidation>
  </dataValidations>
  <pageMargins left="0.7" right="0.7" top="0.75" bottom="0.75" header="0.3" footer="0.3"/>
  <ignoredErrors>
    <ignoredError sqref="F41" formulaRange="1"/>
  </ignoredErrors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ED36-DB93-45F4-A658-2BBF6A160E58}">
  <dimension ref="A3:H41"/>
  <sheetViews>
    <sheetView topLeftCell="A4" workbookViewId="0">
      <selection activeCell="G39" sqref="G39"/>
    </sheetView>
  </sheetViews>
  <sheetFormatPr defaultRowHeight="14.4" x14ac:dyDescent="0.3"/>
  <cols>
    <col min="2" max="2" width="15" bestFit="1" customWidth="1"/>
    <col min="3" max="3" width="51" bestFit="1" customWidth="1"/>
    <col min="4" max="4" width="20.5546875" bestFit="1" customWidth="1"/>
    <col min="5" max="5" width="18.5546875" bestFit="1" customWidth="1"/>
    <col min="6" max="6" width="21.6640625" bestFit="1" customWidth="1"/>
    <col min="7" max="7" width="24.77734375" bestFit="1" customWidth="1"/>
  </cols>
  <sheetData>
    <row r="3" spans="1:7" x14ac:dyDescent="0.3">
      <c r="C3" s="5"/>
      <c r="E3" s="6"/>
      <c r="F3" s="6"/>
      <c r="G3" s="6"/>
    </row>
    <row r="4" spans="1:7" x14ac:dyDescent="0.3">
      <c r="C4" s="7" t="s">
        <v>37</v>
      </c>
      <c r="D4" s="8">
        <v>200</v>
      </c>
      <c r="E4" s="6"/>
      <c r="F4" s="6"/>
      <c r="G4" s="6"/>
    </row>
    <row r="5" spans="1:7" x14ac:dyDescent="0.3">
      <c r="C5" s="6"/>
      <c r="D5" s="6"/>
      <c r="E5" s="6"/>
      <c r="F5" s="6"/>
      <c r="G5" s="6"/>
    </row>
    <row r="6" spans="1:7" x14ac:dyDescent="0.3">
      <c r="B6" s="27" t="s">
        <v>65</v>
      </c>
      <c r="C6" s="7" t="s">
        <v>38</v>
      </c>
      <c r="D6" s="7" t="s">
        <v>39</v>
      </c>
      <c r="E6" s="7" t="s">
        <v>40</v>
      </c>
      <c r="F6" s="7" t="s">
        <v>41</v>
      </c>
      <c r="G6" s="7" t="s">
        <v>42</v>
      </c>
    </row>
    <row r="7" spans="1:7" x14ac:dyDescent="0.3">
      <c r="C7" s="7" t="s">
        <v>43</v>
      </c>
      <c r="D7" s="9">
        <v>0.1</v>
      </c>
      <c r="E7" s="10">
        <f>D4</f>
        <v>200</v>
      </c>
      <c r="F7" s="10">
        <f>D4*D7</f>
        <v>20</v>
      </c>
      <c r="G7" s="10">
        <f>D4-F7</f>
        <v>180</v>
      </c>
    </row>
    <row r="8" spans="1:7" x14ac:dyDescent="0.3">
      <c r="C8" s="7" t="s">
        <v>44</v>
      </c>
      <c r="D8" s="9">
        <v>0.22</v>
      </c>
      <c r="E8" s="10">
        <f>G7</f>
        <v>180</v>
      </c>
      <c r="F8" s="10">
        <f>G7*D8</f>
        <v>39.6</v>
      </c>
      <c r="G8" s="10"/>
    </row>
    <row r="9" spans="1:7" x14ac:dyDescent="0.3">
      <c r="C9" s="7" t="s">
        <v>73</v>
      </c>
      <c r="D9" s="11">
        <v>0.18</v>
      </c>
      <c r="E9" s="10">
        <f>F8</f>
        <v>39.6</v>
      </c>
      <c r="F9" s="10">
        <f>F8*D9</f>
        <v>7.1280000000000001</v>
      </c>
      <c r="G9" s="10"/>
    </row>
    <row r="10" spans="1:7" x14ac:dyDescent="0.3">
      <c r="C10" s="7" t="s">
        <v>72</v>
      </c>
      <c r="D10" s="11">
        <v>0.05</v>
      </c>
      <c r="E10" s="10">
        <f>G7</f>
        <v>180</v>
      </c>
      <c r="F10" s="10">
        <f>G7*D10</f>
        <v>9</v>
      </c>
      <c r="G10" s="10"/>
    </row>
    <row r="11" spans="1:7" x14ac:dyDescent="0.3">
      <c r="C11" s="7" t="s">
        <v>45</v>
      </c>
      <c r="D11" s="9">
        <v>7.4999999999999997E-2</v>
      </c>
      <c r="E11" s="10">
        <f>D4</f>
        <v>200</v>
      </c>
      <c r="F11" s="10">
        <f>D4*D11</f>
        <v>15</v>
      </c>
      <c r="G11" s="10"/>
    </row>
    <row r="12" spans="1:7" x14ac:dyDescent="0.3">
      <c r="C12" s="10"/>
      <c r="D12" s="10"/>
      <c r="E12" s="10"/>
      <c r="F12" s="12">
        <f>SUM(F7:F11)</f>
        <v>90.728000000000009</v>
      </c>
      <c r="G12" s="10"/>
    </row>
    <row r="13" spans="1:7" x14ac:dyDescent="0.3">
      <c r="C13" s="7" t="s">
        <v>46</v>
      </c>
      <c r="D13" s="13">
        <v>0.45</v>
      </c>
      <c r="E13" s="14">
        <f>D4</f>
        <v>200</v>
      </c>
      <c r="F13" s="14">
        <f>E13*D13</f>
        <v>90</v>
      </c>
      <c r="G13" s="10"/>
    </row>
    <row r="14" spans="1:7" x14ac:dyDescent="0.3">
      <c r="A14" s="39"/>
      <c r="B14" s="40"/>
      <c r="C14" s="128" t="s">
        <v>47</v>
      </c>
      <c r="D14" s="127"/>
      <c r="E14" s="15"/>
      <c r="F14" s="16">
        <f>F12+F13</f>
        <v>180.72800000000001</v>
      </c>
      <c r="G14" s="10"/>
    </row>
    <row r="15" spans="1:7" x14ac:dyDescent="0.3">
      <c r="A15" s="39"/>
      <c r="B15" s="40"/>
      <c r="C15" s="129" t="s">
        <v>48</v>
      </c>
      <c r="D15" s="130"/>
      <c r="E15" s="30"/>
      <c r="F15" s="31">
        <f>D4-F14</f>
        <v>19.271999999999991</v>
      </c>
      <c r="G15" s="30"/>
    </row>
    <row r="16" spans="1:7" x14ac:dyDescent="0.3">
      <c r="A16" s="39"/>
      <c r="B16" s="40" t="s">
        <v>70</v>
      </c>
      <c r="C16" s="38" t="s">
        <v>49</v>
      </c>
      <c r="D16" s="33">
        <v>0</v>
      </c>
      <c r="E16" s="30">
        <f>G7</f>
        <v>180</v>
      </c>
      <c r="F16" s="30">
        <f>E16*D16</f>
        <v>0</v>
      </c>
      <c r="G16" s="30"/>
    </row>
    <row r="17" spans="1:8" x14ac:dyDescent="0.3">
      <c r="A17" s="39"/>
      <c r="B17" s="40"/>
      <c r="C17" s="129" t="s">
        <v>50</v>
      </c>
      <c r="D17" s="130"/>
      <c r="E17" s="32"/>
      <c r="F17" s="34">
        <f>F15+F16</f>
        <v>19.271999999999991</v>
      </c>
      <c r="G17" s="32"/>
    </row>
    <row r="18" spans="1:8" x14ac:dyDescent="0.3">
      <c r="A18" s="39"/>
      <c r="B18" s="40"/>
      <c r="C18" s="129" t="s">
        <v>51</v>
      </c>
      <c r="D18" s="130"/>
      <c r="E18" s="32"/>
      <c r="F18" s="35">
        <f>F17/D4</f>
        <v>9.635999999999996E-2</v>
      </c>
      <c r="G18" s="32"/>
    </row>
    <row r="19" spans="1:8" x14ac:dyDescent="0.3">
      <c r="A19" s="39"/>
      <c r="B19" s="40"/>
      <c r="C19" s="36"/>
      <c r="D19" s="17"/>
      <c r="E19" s="36" t="s">
        <v>52</v>
      </c>
      <c r="F19" s="36"/>
      <c r="G19" s="36"/>
    </row>
    <row r="20" spans="1:8" x14ac:dyDescent="0.3">
      <c r="A20" s="39"/>
      <c r="B20" s="40"/>
      <c r="C20" s="38" t="s">
        <v>53</v>
      </c>
      <c r="D20" s="33">
        <v>1.2</v>
      </c>
      <c r="E20" s="32">
        <f>D4</f>
        <v>200</v>
      </c>
      <c r="F20" s="18">
        <f>E20*D20</f>
        <v>240</v>
      </c>
      <c r="G20" s="32">
        <f>SUM(F20+E20)</f>
        <v>440</v>
      </c>
    </row>
    <row r="23" spans="1:8" x14ac:dyDescent="0.3">
      <c r="D23" s="26" t="s">
        <v>63</v>
      </c>
      <c r="E23" s="26" t="s">
        <v>60</v>
      </c>
      <c r="F23" s="26" t="s">
        <v>68</v>
      </c>
      <c r="G23" s="26" t="s">
        <v>69</v>
      </c>
    </row>
    <row r="24" spans="1:8" x14ac:dyDescent="0.3">
      <c r="C24" s="37" t="s">
        <v>54</v>
      </c>
      <c r="D24" s="24">
        <f>E24</f>
        <v>155</v>
      </c>
      <c r="E24" s="25">
        <f>(F24*D27)+(D31*G24)+SUM(D28:D30)</f>
        <v>155</v>
      </c>
      <c r="F24" s="25">
        <v>5</v>
      </c>
      <c r="G24" s="25">
        <v>10</v>
      </c>
    </row>
    <row r="25" spans="1:8" x14ac:dyDescent="0.3">
      <c r="C25" s="6"/>
      <c r="D25" s="6"/>
      <c r="E25" s="6"/>
      <c r="F25" s="6"/>
      <c r="G25" s="6"/>
    </row>
    <row r="26" spans="1:8" x14ac:dyDescent="0.3">
      <c r="B26" s="27" t="s">
        <v>64</v>
      </c>
      <c r="C26" s="7" t="s">
        <v>38</v>
      </c>
      <c r="D26" s="7" t="s">
        <v>39</v>
      </c>
      <c r="E26" s="7" t="s">
        <v>40</v>
      </c>
      <c r="F26" s="7" t="s">
        <v>41</v>
      </c>
      <c r="G26" s="6"/>
    </row>
    <row r="27" spans="1:8" x14ac:dyDescent="0.3">
      <c r="C27" s="7" t="s">
        <v>55</v>
      </c>
      <c r="D27" s="21">
        <v>5</v>
      </c>
      <c r="E27" s="10"/>
      <c r="F27" s="21">
        <f>SUM(D27:D30)-D27</f>
        <v>30</v>
      </c>
      <c r="G27" s="6"/>
    </row>
    <row r="28" spans="1:8" x14ac:dyDescent="0.3">
      <c r="C28" s="7" t="s">
        <v>58</v>
      </c>
      <c r="D28" s="22">
        <v>10</v>
      </c>
      <c r="E28" s="10"/>
      <c r="F28" s="20">
        <f>F27-D28</f>
        <v>20</v>
      </c>
      <c r="G28" s="6">
        <v>45</v>
      </c>
      <c r="H28" t="s">
        <v>115</v>
      </c>
    </row>
    <row r="29" spans="1:8" x14ac:dyDescent="0.3">
      <c r="C29" s="7" t="s">
        <v>56</v>
      </c>
      <c r="D29" s="19">
        <v>10</v>
      </c>
      <c r="E29" s="10"/>
      <c r="F29" s="20">
        <f>F28-D29</f>
        <v>10</v>
      </c>
      <c r="G29" s="6">
        <v>4000</v>
      </c>
    </row>
    <row r="30" spans="1:8" x14ac:dyDescent="0.3">
      <c r="C30" s="7" t="s">
        <v>57</v>
      </c>
      <c r="D30" s="19">
        <v>10</v>
      </c>
      <c r="E30" s="10"/>
      <c r="F30" s="20">
        <f>F29-D30</f>
        <v>0</v>
      </c>
      <c r="G30" s="6"/>
    </row>
    <row r="31" spans="1:8" x14ac:dyDescent="0.3">
      <c r="C31" s="7" t="s">
        <v>61</v>
      </c>
      <c r="D31" s="21">
        <v>10</v>
      </c>
      <c r="E31" s="10"/>
      <c r="F31" s="10"/>
      <c r="G31" s="6"/>
    </row>
    <row r="32" spans="1:8" x14ac:dyDescent="0.3">
      <c r="C32" s="126" t="s">
        <v>59</v>
      </c>
      <c r="D32" s="127"/>
      <c r="E32" s="15"/>
      <c r="F32" s="23">
        <f>SUM(F27:F30)</f>
        <v>60</v>
      </c>
      <c r="G32" s="6"/>
    </row>
    <row r="33" spans="2:7" x14ac:dyDescent="0.3">
      <c r="C33" s="7"/>
      <c r="D33" s="7"/>
      <c r="E33" s="7"/>
      <c r="F33" s="7"/>
      <c r="G33" s="6"/>
    </row>
    <row r="34" spans="2:7" x14ac:dyDescent="0.3">
      <c r="C34" s="126" t="s">
        <v>62</v>
      </c>
      <c r="D34" s="127"/>
      <c r="E34" s="15"/>
      <c r="F34" s="23">
        <f>D24-F32</f>
        <v>95</v>
      </c>
      <c r="G34" s="6"/>
    </row>
    <row r="35" spans="2:7" x14ac:dyDescent="0.3">
      <c r="G35" s="6"/>
    </row>
    <row r="36" spans="2:7" x14ac:dyDescent="0.3">
      <c r="C36" s="126" t="s">
        <v>74</v>
      </c>
      <c r="D36" s="127"/>
      <c r="E36" s="23"/>
      <c r="F36" s="23">
        <f>F8+F9+F11</f>
        <v>61.728000000000002</v>
      </c>
      <c r="G36" s="6"/>
    </row>
    <row r="37" spans="2:7" x14ac:dyDescent="0.3">
      <c r="G37" s="6"/>
    </row>
    <row r="38" spans="2:7" x14ac:dyDescent="0.3">
      <c r="G38" s="6"/>
    </row>
    <row r="39" spans="2:7" x14ac:dyDescent="0.3">
      <c r="G39" s="6"/>
    </row>
    <row r="40" spans="2:7" x14ac:dyDescent="0.3">
      <c r="G40" s="6"/>
    </row>
    <row r="41" spans="2:7" x14ac:dyDescent="0.3">
      <c r="B41" s="27" t="s">
        <v>66</v>
      </c>
      <c r="C41" s="28" t="s">
        <v>67</v>
      </c>
      <c r="D41" s="29">
        <f>D24+D4</f>
        <v>355</v>
      </c>
    </row>
  </sheetData>
  <mergeCells count="7">
    <mergeCell ref="C34:D34"/>
    <mergeCell ref="C36:D36"/>
    <mergeCell ref="C32:D32"/>
    <mergeCell ref="C14:D14"/>
    <mergeCell ref="C15:D15"/>
    <mergeCell ref="C17:D17"/>
    <mergeCell ref="C18:D18"/>
  </mergeCells>
  <pageMargins left="0.7" right="0.7" top="0.75" bottom="0.75" header="0.3" footer="0.3"/>
  <ignoredErrors>
    <ignoredError sqref="F2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1DC8-B3DA-4B79-B0AD-D39377406841}">
  <dimension ref="B3:F136"/>
  <sheetViews>
    <sheetView tabSelected="1" topLeftCell="A33" workbookViewId="0">
      <selection activeCell="C93" sqref="C93"/>
    </sheetView>
  </sheetViews>
  <sheetFormatPr defaultRowHeight="14.4" x14ac:dyDescent="0.3"/>
  <cols>
    <col min="2" max="2" width="32.109375" bestFit="1" customWidth="1"/>
    <col min="3" max="3" width="41.109375" bestFit="1" customWidth="1"/>
    <col min="4" max="4" width="57.6640625" bestFit="1" customWidth="1"/>
    <col min="5" max="5" width="20.88671875" bestFit="1" customWidth="1"/>
    <col min="6" max="6" width="11.5546875" bestFit="1" customWidth="1"/>
  </cols>
  <sheetData>
    <row r="3" spans="2:6" x14ac:dyDescent="0.3">
      <c r="B3">
        <v>1</v>
      </c>
      <c r="C3" t="s">
        <v>14</v>
      </c>
      <c r="D3" t="s">
        <v>15</v>
      </c>
    </row>
    <row r="4" spans="2:6" x14ac:dyDescent="0.3">
      <c r="B4">
        <v>2</v>
      </c>
      <c r="C4" t="s">
        <v>16</v>
      </c>
      <c r="D4" t="s">
        <v>138</v>
      </c>
    </row>
    <row r="5" spans="2:6" x14ac:dyDescent="0.3">
      <c r="B5">
        <v>4</v>
      </c>
      <c r="C5" t="s">
        <v>17</v>
      </c>
      <c r="D5" t="s">
        <v>135</v>
      </c>
      <c r="E5">
        <v>25</v>
      </c>
    </row>
    <row r="6" spans="2:6" x14ac:dyDescent="0.3">
      <c r="D6" t="s">
        <v>136</v>
      </c>
    </row>
    <row r="7" spans="2:6" x14ac:dyDescent="0.3">
      <c r="B7">
        <v>5</v>
      </c>
      <c r="C7" t="s">
        <v>18</v>
      </c>
      <c r="D7" t="s">
        <v>19</v>
      </c>
    </row>
    <row r="9" spans="2:6" x14ac:dyDescent="0.3">
      <c r="B9">
        <v>6</v>
      </c>
      <c r="C9" t="s">
        <v>20</v>
      </c>
      <c r="D9" s="1">
        <v>0.7</v>
      </c>
      <c r="E9" t="s">
        <v>21</v>
      </c>
    </row>
    <row r="10" spans="2:6" x14ac:dyDescent="0.3">
      <c r="B10">
        <v>7</v>
      </c>
      <c r="C10" t="s">
        <v>22</v>
      </c>
      <c r="D10" s="59">
        <v>7500000</v>
      </c>
    </row>
    <row r="11" spans="2:6" x14ac:dyDescent="0.3">
      <c r="B11">
        <v>8</v>
      </c>
      <c r="C11" t="s">
        <v>23</v>
      </c>
      <c r="D11" s="59">
        <f>D10*D9</f>
        <v>5250000</v>
      </c>
      <c r="E11" t="s">
        <v>24</v>
      </c>
      <c r="F11" t="s">
        <v>26</v>
      </c>
    </row>
    <row r="12" spans="2:6" x14ac:dyDescent="0.3">
      <c r="D12" s="59">
        <f>D11/30</f>
        <v>175000</v>
      </c>
      <c r="E12" t="s">
        <v>25</v>
      </c>
      <c r="F12" t="s">
        <v>26</v>
      </c>
    </row>
    <row r="13" spans="2:6" x14ac:dyDescent="0.3">
      <c r="B13">
        <v>9</v>
      </c>
      <c r="C13" t="s">
        <v>145</v>
      </c>
      <c r="D13" s="1">
        <v>0.24</v>
      </c>
    </row>
    <row r="14" spans="2:6" x14ac:dyDescent="0.3">
      <c r="D14" s="59">
        <f>D10*D13</f>
        <v>1800000</v>
      </c>
      <c r="E14" t="s">
        <v>24</v>
      </c>
    </row>
    <row r="15" spans="2:6" x14ac:dyDescent="0.3">
      <c r="D15" s="59">
        <f>D14/30</f>
        <v>60000</v>
      </c>
      <c r="E15" t="s">
        <v>27</v>
      </c>
    </row>
    <row r="16" spans="2:6" x14ac:dyDescent="0.3">
      <c r="C16" t="s">
        <v>23</v>
      </c>
      <c r="D16" s="62">
        <f>D15*D9</f>
        <v>42000</v>
      </c>
      <c r="E16" t="s">
        <v>25</v>
      </c>
    </row>
    <row r="17" spans="3:6" x14ac:dyDescent="0.3">
      <c r="C17" t="s">
        <v>146</v>
      </c>
    </row>
    <row r="18" spans="3:6" x14ac:dyDescent="0.3">
      <c r="C18" t="s">
        <v>147</v>
      </c>
      <c r="D18" s="62">
        <f>$D$16/4</f>
        <v>10500</v>
      </c>
      <c r="E18" s="62"/>
      <c r="F18" s="62"/>
    </row>
    <row r="19" spans="3:6" x14ac:dyDescent="0.3">
      <c r="C19" t="s">
        <v>148</v>
      </c>
      <c r="D19" s="62">
        <f t="shared" ref="D19:D21" si="0">$D$16/4</f>
        <v>10500</v>
      </c>
    </row>
    <row r="20" spans="3:6" x14ac:dyDescent="0.3">
      <c r="C20" t="s">
        <v>149</v>
      </c>
      <c r="D20" s="62">
        <f t="shared" si="0"/>
        <v>10500</v>
      </c>
    </row>
    <row r="21" spans="3:6" x14ac:dyDescent="0.3">
      <c r="C21" t="s">
        <v>150</v>
      </c>
      <c r="D21" s="62">
        <f t="shared" si="0"/>
        <v>10500</v>
      </c>
    </row>
    <row r="22" spans="3:6" x14ac:dyDescent="0.3">
      <c r="C22" t="s">
        <v>151</v>
      </c>
      <c r="D22">
        <v>25</v>
      </c>
    </row>
    <row r="23" spans="3:6" x14ac:dyDescent="0.3">
      <c r="C23" s="56" t="s">
        <v>152</v>
      </c>
      <c r="D23" s="62">
        <f>Calculations!H34</f>
        <v>1080000</v>
      </c>
      <c r="E23" t="s">
        <v>297</v>
      </c>
    </row>
    <row r="24" spans="3:6" x14ac:dyDescent="0.3">
      <c r="C24" t="s">
        <v>158</v>
      </c>
      <c r="D24" s="62">
        <f>D23/30</f>
        <v>36000</v>
      </c>
      <c r="E24" t="s">
        <v>25</v>
      </c>
    </row>
    <row r="25" spans="3:6" x14ac:dyDescent="0.3">
      <c r="C25" t="s">
        <v>159</v>
      </c>
      <c r="D25" s="62">
        <f>D24+D16</f>
        <v>78000</v>
      </c>
      <c r="E25" t="s">
        <v>25</v>
      </c>
    </row>
    <row r="27" spans="3:6" x14ac:dyDescent="0.3">
      <c r="C27" t="s">
        <v>160</v>
      </c>
      <c r="D27">
        <v>25</v>
      </c>
    </row>
    <row r="28" spans="3:6" x14ac:dyDescent="0.3">
      <c r="C28" t="s">
        <v>161</v>
      </c>
      <c r="D28" s="62">
        <f>D25/D27</f>
        <v>3120</v>
      </c>
      <c r="E28" t="s">
        <v>162</v>
      </c>
    </row>
    <row r="29" spans="3:6" x14ac:dyDescent="0.3">
      <c r="D29" s="62">
        <f>D28*30</f>
        <v>93600</v>
      </c>
      <c r="E29" t="s">
        <v>163</v>
      </c>
    </row>
    <row r="33" spans="2:5" x14ac:dyDescent="0.3">
      <c r="D33" s="62"/>
    </row>
    <row r="43" spans="2:5" ht="21" x14ac:dyDescent="0.4">
      <c r="D43" s="4" t="s">
        <v>36</v>
      </c>
    </row>
    <row r="44" spans="2:5" x14ac:dyDescent="0.3">
      <c r="C44" t="s">
        <v>29</v>
      </c>
      <c r="D44">
        <v>65</v>
      </c>
    </row>
    <row r="45" spans="2:5" x14ac:dyDescent="0.3">
      <c r="B45">
        <v>1000</v>
      </c>
      <c r="C45" t="s">
        <v>30</v>
      </c>
      <c r="D45" s="59">
        <f>D44*B45</f>
        <v>65000</v>
      </c>
      <c r="E45" t="s">
        <v>33</v>
      </c>
    </row>
    <row r="46" spans="2:5" x14ac:dyDescent="0.3">
      <c r="C46">
        <v>25</v>
      </c>
      <c r="D46" s="60">
        <f>C46*D45</f>
        <v>1625000</v>
      </c>
      <c r="E46" t="s">
        <v>137</v>
      </c>
    </row>
    <row r="47" spans="2:5" x14ac:dyDescent="0.3">
      <c r="C47" t="s">
        <v>35</v>
      </c>
      <c r="D47" s="59">
        <f>(D46*5%)+D46</f>
        <v>1706250</v>
      </c>
      <c r="E47" t="s">
        <v>34</v>
      </c>
    </row>
    <row r="48" spans="2:5" x14ac:dyDescent="0.3">
      <c r="C48" t="s">
        <v>31</v>
      </c>
      <c r="D48" s="59">
        <v>100000</v>
      </c>
    </row>
    <row r="49" spans="2:5" x14ac:dyDescent="0.3">
      <c r="C49">
        <v>25</v>
      </c>
      <c r="D49" s="60">
        <f>C49*D48</f>
        <v>2500000</v>
      </c>
      <c r="E49" t="s">
        <v>32</v>
      </c>
    </row>
    <row r="51" spans="2:5" x14ac:dyDescent="0.3">
      <c r="C51" t="s">
        <v>142</v>
      </c>
      <c r="D51" s="59">
        <v>130000</v>
      </c>
    </row>
    <row r="52" spans="2:5" x14ac:dyDescent="0.3">
      <c r="C52" t="s">
        <v>143</v>
      </c>
      <c r="D52">
        <v>25</v>
      </c>
    </row>
    <row r="53" spans="2:5" x14ac:dyDescent="0.3">
      <c r="C53" t="s">
        <v>144</v>
      </c>
      <c r="D53" s="61">
        <f>D52*D51</f>
        <v>3250000</v>
      </c>
    </row>
    <row r="56" spans="2:5" x14ac:dyDescent="0.3">
      <c r="B56" t="s">
        <v>28</v>
      </c>
    </row>
    <row r="57" spans="2:5" x14ac:dyDescent="0.3">
      <c r="B57" t="s">
        <v>139</v>
      </c>
      <c r="C57" s="59">
        <v>130000</v>
      </c>
      <c r="D57" t="s">
        <v>98</v>
      </c>
    </row>
    <row r="58" spans="2:5" x14ac:dyDescent="0.3">
      <c r="B58" t="s">
        <v>140</v>
      </c>
      <c r="C58">
        <v>3</v>
      </c>
      <c r="D58" t="s">
        <v>101</v>
      </c>
    </row>
    <row r="59" spans="2:5" x14ac:dyDescent="0.3">
      <c r="B59" t="s">
        <v>102</v>
      </c>
      <c r="C59" s="59">
        <v>6500</v>
      </c>
      <c r="D59" t="s">
        <v>98</v>
      </c>
    </row>
    <row r="60" spans="2:5" x14ac:dyDescent="0.3">
      <c r="B60" t="s">
        <v>141</v>
      </c>
      <c r="C60" s="59">
        <v>13000</v>
      </c>
      <c r="D60" t="s">
        <v>98</v>
      </c>
    </row>
    <row r="64" spans="2:5" x14ac:dyDescent="0.3">
      <c r="B64" s="57" t="s">
        <v>131</v>
      </c>
      <c r="C64" s="58">
        <f>C59+(C60/C58)</f>
        <v>10833.333333333332</v>
      </c>
    </row>
    <row r="65" spans="2:4" x14ac:dyDescent="0.3">
      <c r="B65" t="s">
        <v>132</v>
      </c>
    </row>
    <row r="67" spans="2:4" x14ac:dyDescent="0.3">
      <c r="B67" t="s">
        <v>240</v>
      </c>
    </row>
    <row r="68" spans="2:4" x14ac:dyDescent="0.3">
      <c r="B68" t="s">
        <v>153</v>
      </c>
      <c r="C68">
        <v>2</v>
      </c>
    </row>
    <row r="69" spans="2:4" x14ac:dyDescent="0.3">
      <c r="B69" t="s">
        <v>154</v>
      </c>
      <c r="C69">
        <v>2</v>
      </c>
    </row>
    <row r="70" spans="2:4" x14ac:dyDescent="0.3">
      <c r="B70" t="s">
        <v>241</v>
      </c>
      <c r="C70">
        <v>10</v>
      </c>
    </row>
    <row r="71" spans="2:4" x14ac:dyDescent="0.3">
      <c r="B71" t="s">
        <v>155</v>
      </c>
      <c r="C71">
        <f>C68*25+C69*25+C70*1</f>
        <v>110</v>
      </c>
    </row>
    <row r="72" spans="2:4" x14ac:dyDescent="0.3">
      <c r="B72" t="s">
        <v>156</v>
      </c>
      <c r="C72">
        <v>30000</v>
      </c>
      <c r="D72" t="s">
        <v>24</v>
      </c>
    </row>
    <row r="73" spans="2:4" x14ac:dyDescent="0.3">
      <c r="B73" t="s">
        <v>242</v>
      </c>
      <c r="C73">
        <v>50000</v>
      </c>
    </row>
    <row r="74" spans="2:4" x14ac:dyDescent="0.3">
      <c r="B74" t="s">
        <v>110</v>
      </c>
      <c r="C74" s="3">
        <f>(C70*C73)+(C69*25)+(C68*25)</f>
        <v>500100</v>
      </c>
    </row>
    <row r="76" spans="2:4" ht="18" x14ac:dyDescent="0.35">
      <c r="B76" s="131" t="s">
        <v>298</v>
      </c>
      <c r="C76" s="131"/>
    </row>
    <row r="78" spans="2:4" x14ac:dyDescent="0.3">
      <c r="B78" s="57" t="s">
        <v>243</v>
      </c>
      <c r="C78" s="57">
        <v>20</v>
      </c>
      <c r="D78" s="57" t="s">
        <v>91</v>
      </c>
    </row>
    <row r="79" spans="2:4" x14ac:dyDescent="0.3">
      <c r="B79" s="57" t="s">
        <v>244</v>
      </c>
      <c r="C79" s="57">
        <v>40</v>
      </c>
      <c r="D79" s="57" t="s">
        <v>96</v>
      </c>
    </row>
    <row r="80" spans="2:4" x14ac:dyDescent="0.3">
      <c r="B80" t="s">
        <v>245</v>
      </c>
      <c r="C80">
        <v>4.5</v>
      </c>
      <c r="D80" s="57" t="s">
        <v>246</v>
      </c>
    </row>
    <row r="81" spans="2:4" x14ac:dyDescent="0.3">
      <c r="B81" t="s">
        <v>247</v>
      </c>
      <c r="C81" s="1">
        <v>0.6</v>
      </c>
      <c r="D81" s="57"/>
    </row>
    <row r="82" spans="2:4" x14ac:dyDescent="0.3">
      <c r="B82" t="s">
        <v>185</v>
      </c>
      <c r="C82" s="1">
        <v>0.24</v>
      </c>
      <c r="D82" s="57"/>
    </row>
    <row r="83" spans="2:4" x14ac:dyDescent="0.3">
      <c r="B83" t="s">
        <v>186</v>
      </c>
      <c r="C83" s="1">
        <v>0.23</v>
      </c>
      <c r="D83" s="57" t="s">
        <v>248</v>
      </c>
    </row>
    <row r="84" spans="2:4" x14ac:dyDescent="0.3">
      <c r="B84" t="s">
        <v>187</v>
      </c>
      <c r="C84">
        <v>10</v>
      </c>
      <c r="D84" s="57" t="s">
        <v>188</v>
      </c>
    </row>
    <row r="85" spans="2:4" x14ac:dyDescent="0.3">
      <c r="B85" t="s">
        <v>189</v>
      </c>
      <c r="C85">
        <v>46</v>
      </c>
      <c r="D85" s="57" t="s">
        <v>98</v>
      </c>
    </row>
    <row r="86" spans="2:4" x14ac:dyDescent="0.3">
      <c r="B86" s="57" t="s">
        <v>249</v>
      </c>
      <c r="C86" s="99">
        <v>0.7</v>
      </c>
      <c r="D86" s="57"/>
    </row>
    <row r="87" spans="2:4" x14ac:dyDescent="0.3">
      <c r="B87" s="57" t="s">
        <v>250</v>
      </c>
      <c r="C87" s="57">
        <v>4</v>
      </c>
      <c r="D87" s="101" t="s">
        <v>190</v>
      </c>
    </row>
    <row r="88" spans="2:4" x14ac:dyDescent="0.3">
      <c r="B88" s="57" t="s">
        <v>251</v>
      </c>
      <c r="C88" s="57">
        <v>25</v>
      </c>
      <c r="D88" s="57"/>
    </row>
    <row r="89" spans="2:4" x14ac:dyDescent="0.3">
      <c r="B89" s="101" t="s">
        <v>229</v>
      </c>
      <c r="C89" s="102">
        <v>0.9</v>
      </c>
      <c r="D89" s="57" t="s">
        <v>191</v>
      </c>
    </row>
    <row r="90" spans="2:4" x14ac:dyDescent="0.3">
      <c r="B90" s="57" t="s">
        <v>252</v>
      </c>
      <c r="C90" s="57">
        <v>5</v>
      </c>
      <c r="D90" s="57" t="s">
        <v>94</v>
      </c>
    </row>
    <row r="91" spans="2:4" x14ac:dyDescent="0.3">
      <c r="B91" s="57" t="s">
        <v>254</v>
      </c>
      <c r="C91" s="57">
        <v>5</v>
      </c>
      <c r="D91" s="57">
        <f>C90/C89</f>
        <v>5.5555555555555554</v>
      </c>
    </row>
    <row r="92" spans="2:4" x14ac:dyDescent="0.3">
      <c r="B92" s="57" t="s">
        <v>253</v>
      </c>
      <c r="C92" s="57">
        <f>Calculations!P40*Calculations!L69</f>
        <v>3504</v>
      </c>
      <c r="D92" s="57"/>
    </row>
    <row r="93" spans="2:4" x14ac:dyDescent="0.3">
      <c r="B93" s="57" t="s">
        <v>256</v>
      </c>
      <c r="C93" s="57">
        <f>C92*0.5</f>
        <v>1752</v>
      </c>
      <c r="D93" s="57" t="s">
        <v>255</v>
      </c>
    </row>
    <row r="94" spans="2:4" x14ac:dyDescent="0.3">
      <c r="B94" s="57"/>
      <c r="C94" s="108">
        <v>940</v>
      </c>
      <c r="D94" s="108" t="s">
        <v>325</v>
      </c>
    </row>
    <row r="95" spans="2:4" x14ac:dyDescent="0.3">
      <c r="B95" s="57" t="s">
        <v>257</v>
      </c>
      <c r="C95" s="57">
        <f>C92+C94</f>
        <v>4444</v>
      </c>
      <c r="D95" s="57"/>
    </row>
    <row r="96" spans="2:4" x14ac:dyDescent="0.3">
      <c r="B96" s="57" t="s">
        <v>259</v>
      </c>
      <c r="C96" s="103">
        <v>130000</v>
      </c>
      <c r="D96" s="57" t="s">
        <v>98</v>
      </c>
    </row>
    <row r="97" spans="2:5" x14ac:dyDescent="0.3">
      <c r="B97" s="57" t="s">
        <v>258</v>
      </c>
      <c r="C97" s="104">
        <f>C96*C92</f>
        <v>455520000</v>
      </c>
      <c r="D97" s="57" t="s">
        <v>98</v>
      </c>
    </row>
    <row r="98" spans="2:5" x14ac:dyDescent="0.3">
      <c r="B98" s="109" t="s">
        <v>260</v>
      </c>
      <c r="C98" s="104">
        <f>C96*C95</f>
        <v>577720000</v>
      </c>
      <c r="D98" s="57" t="s">
        <v>98</v>
      </c>
    </row>
    <row r="99" spans="2:5" x14ac:dyDescent="0.3">
      <c r="B99" s="57" t="s">
        <v>261</v>
      </c>
      <c r="C99" s="57">
        <v>6</v>
      </c>
      <c r="D99" s="57" t="s">
        <v>192</v>
      </c>
    </row>
    <row r="100" spans="2:5" x14ac:dyDescent="0.3">
      <c r="B100" s="57" t="s">
        <v>262</v>
      </c>
      <c r="C100" s="57">
        <f>(C99/C79)*60</f>
        <v>9</v>
      </c>
      <c r="D100" s="57" t="s">
        <v>91</v>
      </c>
      <c r="E100" t="s">
        <v>327</v>
      </c>
    </row>
    <row r="101" spans="2:5" x14ac:dyDescent="0.3">
      <c r="B101" s="57" t="s">
        <v>182</v>
      </c>
      <c r="C101" s="57">
        <v>30</v>
      </c>
      <c r="D101" s="57" t="s">
        <v>91</v>
      </c>
    </row>
    <row r="102" spans="2:5" x14ac:dyDescent="0.3">
      <c r="B102" s="57" t="s">
        <v>193</v>
      </c>
      <c r="C102" s="57">
        <v>3</v>
      </c>
      <c r="D102" s="57">
        <f>C101/C100</f>
        <v>3.3333333333333335</v>
      </c>
    </row>
    <row r="103" spans="2:5" x14ac:dyDescent="0.3">
      <c r="B103" s="57" t="s">
        <v>263</v>
      </c>
      <c r="C103" s="57">
        <v>60</v>
      </c>
      <c r="D103" s="57" t="s">
        <v>264</v>
      </c>
    </row>
    <row r="104" spans="2:5" x14ac:dyDescent="0.3">
      <c r="B104" s="57" t="s">
        <v>265</v>
      </c>
      <c r="C104" s="57">
        <f>C101+C103</f>
        <v>90</v>
      </c>
      <c r="D104" s="57" t="s">
        <v>91</v>
      </c>
    </row>
    <row r="105" spans="2:5" x14ac:dyDescent="0.3">
      <c r="B105" s="110" t="s">
        <v>295</v>
      </c>
      <c r="C105" s="111">
        <v>3.92</v>
      </c>
      <c r="D105" s="57"/>
    </row>
    <row r="106" spans="2:5" x14ac:dyDescent="0.3">
      <c r="B106" s="110" t="s">
        <v>296</v>
      </c>
      <c r="C106" s="111">
        <v>2.61</v>
      </c>
      <c r="D106" s="57"/>
    </row>
    <row r="107" spans="2:5" x14ac:dyDescent="0.3">
      <c r="B107" s="110" t="s">
        <v>131</v>
      </c>
      <c r="C107" s="112">
        <f>Calculations!H52+(Calculations!H53/3)</f>
        <v>10833.333333333332</v>
      </c>
      <c r="D107" s="57" t="s">
        <v>98</v>
      </c>
    </row>
    <row r="108" spans="2:5" x14ac:dyDescent="0.3">
      <c r="B108" s="110" t="s">
        <v>294</v>
      </c>
      <c r="C108" s="113">
        <f>C107*C95</f>
        <v>48143333.333333328</v>
      </c>
      <c r="D108" s="57" t="s">
        <v>98</v>
      </c>
    </row>
    <row r="109" spans="2:5" x14ac:dyDescent="0.3">
      <c r="B109" s="57" t="s">
        <v>266</v>
      </c>
      <c r="C109" s="57">
        <v>1000</v>
      </c>
      <c r="D109" s="57" t="s">
        <v>184</v>
      </c>
    </row>
    <row r="110" spans="2:5" x14ac:dyDescent="0.3">
      <c r="B110" s="57" t="s">
        <v>267</v>
      </c>
      <c r="C110" s="102">
        <v>65</v>
      </c>
      <c r="D110" s="57" t="s">
        <v>268</v>
      </c>
    </row>
    <row r="111" spans="2:5" x14ac:dyDescent="0.3">
      <c r="B111" s="57" t="s">
        <v>269</v>
      </c>
      <c r="C111" s="103">
        <f>C109*C88*C110</f>
        <v>1625000</v>
      </c>
      <c r="D111" s="57" t="s">
        <v>98</v>
      </c>
    </row>
    <row r="112" spans="2:5" x14ac:dyDescent="0.3">
      <c r="B112" s="57" t="s">
        <v>270</v>
      </c>
      <c r="C112" s="103">
        <v>5000</v>
      </c>
      <c r="D112" s="57" t="s">
        <v>184</v>
      </c>
    </row>
    <row r="113" spans="2:4" x14ac:dyDescent="0.3">
      <c r="B113" s="57" t="s">
        <v>271</v>
      </c>
      <c r="C113" s="103">
        <f>C112*C110</f>
        <v>325000</v>
      </c>
      <c r="D113" s="57"/>
    </row>
    <row r="114" spans="2:4" x14ac:dyDescent="0.3">
      <c r="B114" s="57" t="s">
        <v>272</v>
      </c>
      <c r="C114" s="57">
        <v>4</v>
      </c>
      <c r="D114" s="57"/>
    </row>
    <row r="115" spans="2:4" x14ac:dyDescent="0.3">
      <c r="B115" s="57" t="s">
        <v>238</v>
      </c>
      <c r="C115" s="106">
        <f>Calculations!L51</f>
        <v>30000</v>
      </c>
      <c r="D115" s="57" t="s">
        <v>98</v>
      </c>
    </row>
    <row r="116" spans="2:4" x14ac:dyDescent="0.3">
      <c r="B116" s="108" t="s">
        <v>275</v>
      </c>
      <c r="C116" s="104">
        <f>C88*C114*C115</f>
        <v>3000000</v>
      </c>
      <c r="D116" s="57"/>
    </row>
    <row r="117" spans="2:4" x14ac:dyDescent="0.3">
      <c r="B117" s="57" t="s">
        <v>273</v>
      </c>
      <c r="C117" s="104">
        <f>C70</f>
        <v>10</v>
      </c>
      <c r="D117" s="57"/>
    </row>
    <row r="118" spans="2:4" x14ac:dyDescent="0.3">
      <c r="B118" s="57" t="s">
        <v>239</v>
      </c>
      <c r="C118" s="107">
        <f>Calculations!L52</f>
        <v>50000</v>
      </c>
      <c r="D118" s="57"/>
    </row>
    <row r="119" spans="2:4" x14ac:dyDescent="0.3">
      <c r="B119" s="108" t="s">
        <v>274</v>
      </c>
      <c r="C119" s="103">
        <f>C117*C118</f>
        <v>500000</v>
      </c>
      <c r="D119" s="57"/>
    </row>
    <row r="120" spans="2:4" x14ac:dyDescent="0.3">
      <c r="B120" s="57" t="s">
        <v>276</v>
      </c>
      <c r="C120" s="57">
        <v>425</v>
      </c>
      <c r="D120" s="57"/>
    </row>
    <row r="121" spans="2:4" x14ac:dyDescent="0.3">
      <c r="B121" s="57" t="s">
        <v>277</v>
      </c>
      <c r="C121" s="104">
        <v>4000</v>
      </c>
      <c r="D121" s="57" t="s">
        <v>98</v>
      </c>
    </row>
    <row r="122" spans="2:4" x14ac:dyDescent="0.3">
      <c r="B122" s="57" t="s">
        <v>278</v>
      </c>
      <c r="C122" s="104">
        <v>55</v>
      </c>
      <c r="D122" s="57" t="s">
        <v>98</v>
      </c>
    </row>
    <row r="123" spans="2:4" x14ac:dyDescent="0.3">
      <c r="B123" s="57" t="s">
        <v>279</v>
      </c>
      <c r="C123" s="57">
        <f>(Calculations!O20*Calculations!P20)+(Calculations!O21*Calculations!P21)+(Calculations!O22*Calculations!P22)+(Calculations!O23*Calculations!P23)</f>
        <v>3.9000000000000004</v>
      </c>
      <c r="D123" s="57" t="s">
        <v>83</v>
      </c>
    </row>
    <row r="124" spans="2:4" x14ac:dyDescent="0.3">
      <c r="B124" s="57" t="s">
        <v>280</v>
      </c>
      <c r="C124" s="105">
        <f>C122/C123</f>
        <v>14.1025641025641</v>
      </c>
      <c r="D124" s="57" t="s">
        <v>98</v>
      </c>
    </row>
    <row r="125" spans="2:4" x14ac:dyDescent="0.3">
      <c r="B125" s="57" t="s">
        <v>285</v>
      </c>
      <c r="C125" s="57" cm="1">
        <f t="array" ref="C125">(Calculations!G20*Calculations!M20)+(AVERAGE(Calculations!G21:G22*Calculations!M21)+(AVERAGE(Calculations!G23:G24*Calculations!M23)+(AVERAGE(Calculations!G25:G26*Calculations!M25))))</f>
        <v>1.6</v>
      </c>
      <c r="D125" s="57" t="s">
        <v>83</v>
      </c>
    </row>
    <row r="126" spans="2:4" x14ac:dyDescent="0.3">
      <c r="B126" s="57" t="s">
        <v>286</v>
      </c>
      <c r="C126" s="105">
        <f>C124*C125</f>
        <v>22.564102564102562</v>
      </c>
      <c r="D126" s="57" t="s">
        <v>98</v>
      </c>
    </row>
    <row r="127" spans="2:4" x14ac:dyDescent="0.3">
      <c r="B127" s="57" t="s">
        <v>287</v>
      </c>
      <c r="C127" s="102">
        <f>Calculations!L53</f>
        <v>55</v>
      </c>
      <c r="D127" s="57" t="s">
        <v>98</v>
      </c>
    </row>
    <row r="128" spans="2:4" x14ac:dyDescent="0.3">
      <c r="B128" s="57" t="s">
        <v>194</v>
      </c>
      <c r="C128" s="57">
        <v>2</v>
      </c>
      <c r="D128" s="57"/>
    </row>
    <row r="129" spans="2:4" x14ac:dyDescent="0.3">
      <c r="B129" s="57" t="s">
        <v>288</v>
      </c>
      <c r="C129" s="57">
        <f>C125/2</f>
        <v>0.8</v>
      </c>
      <c r="D129" s="57" t="s">
        <v>83</v>
      </c>
    </row>
    <row r="130" spans="2:4" x14ac:dyDescent="0.3">
      <c r="B130" s="57" t="s">
        <v>289</v>
      </c>
      <c r="C130" s="57">
        <f>$C$129*$C$80</f>
        <v>3.6</v>
      </c>
      <c r="D130" s="57" t="s">
        <v>91</v>
      </c>
    </row>
    <row r="131" spans="2:4" x14ac:dyDescent="0.3">
      <c r="B131" s="57" t="s">
        <v>290</v>
      </c>
      <c r="C131" s="100">
        <f>60/(C130*2)</f>
        <v>8.3333333333333339</v>
      </c>
      <c r="D131" s="57"/>
    </row>
    <row r="132" spans="2:4" x14ac:dyDescent="0.3">
      <c r="B132" s="57" t="s">
        <v>195</v>
      </c>
      <c r="C132" s="100">
        <f>Calculations!K34/C131</f>
        <v>30.24</v>
      </c>
      <c r="D132" s="57"/>
    </row>
    <row r="133" spans="2:4" x14ac:dyDescent="0.3">
      <c r="B133" s="57" t="s">
        <v>291</v>
      </c>
      <c r="C133" s="100">
        <f>C88*C132</f>
        <v>756</v>
      </c>
      <c r="D133" s="57"/>
    </row>
    <row r="134" spans="2:4" x14ac:dyDescent="0.3">
      <c r="B134" s="57" t="s">
        <v>292</v>
      </c>
      <c r="C134" s="104">
        <f>C121*C133</f>
        <v>3024000</v>
      </c>
      <c r="D134" s="57"/>
    </row>
    <row r="135" spans="2:4" x14ac:dyDescent="0.3">
      <c r="B135" s="57" t="s">
        <v>293</v>
      </c>
      <c r="C135" s="104">
        <f>C122*Calculations!H34</f>
        <v>59400000</v>
      </c>
      <c r="D135" s="57"/>
    </row>
    <row r="136" spans="2:4" x14ac:dyDescent="0.3">
      <c r="B136" s="115" t="s">
        <v>196</v>
      </c>
      <c r="C136" s="114">
        <f>C108+C111+C113+C116+C119+C134+C135</f>
        <v>116017333.33333333</v>
      </c>
      <c r="D136" s="57"/>
    </row>
  </sheetData>
  <mergeCells count="1">
    <mergeCell ref="B76:C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02E5-A646-4CD6-AA55-B1EF97B3D27C}">
  <dimension ref="A1:R69"/>
  <sheetViews>
    <sheetView topLeftCell="F46" workbookViewId="0">
      <selection activeCell="M78" sqref="M78"/>
    </sheetView>
  </sheetViews>
  <sheetFormatPr defaultRowHeight="14.4" x14ac:dyDescent="0.3"/>
  <cols>
    <col min="1" max="1" width="15.33203125" customWidth="1"/>
    <col min="2" max="2" width="9.5546875" bestFit="1" customWidth="1"/>
    <col min="3" max="3" width="55.77734375" bestFit="1" customWidth="1"/>
    <col min="4" max="4" width="13.6640625" bestFit="1" customWidth="1"/>
    <col min="5" max="5" width="12.77734375" customWidth="1"/>
    <col min="6" max="6" width="15.88671875" bestFit="1" customWidth="1"/>
    <col min="7" max="7" width="13.6640625" customWidth="1"/>
    <col min="8" max="8" width="12.6640625" customWidth="1"/>
    <col min="9" max="9" width="12.109375" bestFit="1" customWidth="1"/>
    <col min="10" max="10" width="14" customWidth="1"/>
    <col min="11" max="11" width="41.88671875" bestFit="1" customWidth="1"/>
    <col min="12" max="12" width="15.109375" customWidth="1"/>
    <col min="13" max="14" width="13.5546875" customWidth="1"/>
    <col min="15" max="15" width="14.109375" customWidth="1"/>
    <col min="16" max="16" width="12" bestFit="1" customWidth="1"/>
    <col min="17" max="17" width="11.21875" bestFit="1" customWidth="1"/>
  </cols>
  <sheetData>
    <row r="1" spans="1:18" s="93" customFormat="1" ht="57" customHeight="1" x14ac:dyDescent="0.3">
      <c r="A1" s="90" t="s">
        <v>79</v>
      </c>
      <c r="B1" s="91"/>
      <c r="C1" s="91" t="s">
        <v>197</v>
      </c>
      <c r="D1" s="92" t="s">
        <v>223</v>
      </c>
      <c r="E1" s="90" t="s">
        <v>224</v>
      </c>
      <c r="F1" s="92" t="s">
        <v>225</v>
      </c>
      <c r="G1" s="92" t="s">
        <v>226</v>
      </c>
      <c r="H1" s="92" t="s">
        <v>233</v>
      </c>
      <c r="I1" s="92" t="s">
        <v>207</v>
      </c>
      <c r="J1" s="92" t="s">
        <v>208</v>
      </c>
      <c r="K1" s="92" t="s">
        <v>209</v>
      </c>
      <c r="L1" s="92" t="s">
        <v>210</v>
      </c>
      <c r="M1" s="92" t="s">
        <v>211</v>
      </c>
      <c r="N1" s="92" t="s">
        <v>212</v>
      </c>
      <c r="O1" s="92" t="s">
        <v>213</v>
      </c>
      <c r="P1" s="92" t="s">
        <v>214</v>
      </c>
      <c r="Q1" s="92" t="s">
        <v>215</v>
      </c>
      <c r="R1" s="92" t="s">
        <v>216</v>
      </c>
    </row>
    <row r="2" spans="1:18" x14ac:dyDescent="0.3">
      <c r="A2" s="39" t="s">
        <v>221</v>
      </c>
      <c r="B2" s="43">
        <v>41974</v>
      </c>
      <c r="C2" s="46">
        <f>YEAR(B2)</f>
        <v>2014</v>
      </c>
      <c r="D2" s="45">
        <v>130000</v>
      </c>
      <c r="E2" s="44"/>
      <c r="F2" s="47">
        <f>D2*'Fixed and Variable expense'!$C$82</f>
        <v>31200</v>
      </c>
      <c r="G2" s="116"/>
      <c r="H2" s="117"/>
      <c r="I2" s="119"/>
      <c r="J2" s="117"/>
      <c r="K2" s="119"/>
      <c r="L2" s="120"/>
      <c r="M2" s="120"/>
      <c r="N2" s="48"/>
      <c r="O2" s="48"/>
      <c r="P2" s="48"/>
      <c r="Q2" s="48"/>
      <c r="R2" s="48"/>
    </row>
    <row r="3" spans="1:18" x14ac:dyDescent="0.3">
      <c r="A3" s="39" t="s">
        <v>221</v>
      </c>
      <c r="B3" s="43">
        <v>42339</v>
      </c>
      <c r="C3" s="46">
        <f t="shared" ref="C3:C15" si="0">YEAR(B3)</f>
        <v>2015</v>
      </c>
      <c r="D3" s="45">
        <v>400000</v>
      </c>
      <c r="E3" s="44">
        <f>(D3-D2)/D2</f>
        <v>2.0769230769230771</v>
      </c>
      <c r="F3" s="47">
        <f>D3*'Fixed and Variable expense'!$C$82</f>
        <v>96000</v>
      </c>
      <c r="G3" s="116"/>
      <c r="H3" s="118"/>
      <c r="I3" s="119"/>
      <c r="J3" s="117"/>
      <c r="K3" s="119"/>
      <c r="L3" s="120"/>
      <c r="M3" s="120"/>
      <c r="N3" s="48"/>
      <c r="O3" s="48"/>
      <c r="P3" s="48"/>
      <c r="Q3" s="48"/>
      <c r="R3" s="48"/>
    </row>
    <row r="4" spans="1:18" x14ac:dyDescent="0.3">
      <c r="A4" s="39" t="s">
        <v>221</v>
      </c>
      <c r="B4" s="43">
        <v>42705</v>
      </c>
      <c r="C4" s="46">
        <f t="shared" si="0"/>
        <v>2016</v>
      </c>
      <c r="D4" s="45">
        <v>1000000</v>
      </c>
      <c r="E4" s="44">
        <f t="shared" ref="E4:E15" si="1">(D4-D3)/D3</f>
        <v>1.5</v>
      </c>
      <c r="F4" s="47">
        <f>D4*'Fixed and Variable expense'!$C$82</f>
        <v>240000</v>
      </c>
      <c r="G4" s="116"/>
      <c r="H4" s="118"/>
      <c r="I4" s="119"/>
      <c r="J4" s="117"/>
      <c r="K4" s="119"/>
      <c r="L4" s="120"/>
      <c r="M4" s="120"/>
      <c r="N4" s="48"/>
      <c r="O4" s="48"/>
      <c r="P4" s="48"/>
      <c r="Q4" s="48"/>
      <c r="R4" s="48"/>
    </row>
    <row r="5" spans="1:18" x14ac:dyDescent="0.3">
      <c r="A5" s="39" t="s">
        <v>221</v>
      </c>
      <c r="B5" s="43">
        <v>43070</v>
      </c>
      <c r="C5" s="46">
        <f t="shared" si="0"/>
        <v>2017</v>
      </c>
      <c r="D5" s="45">
        <v>1750000</v>
      </c>
      <c r="E5" s="44">
        <f t="shared" si="1"/>
        <v>0.75</v>
      </c>
      <c r="F5" s="47">
        <f>D5*'Fixed and Variable expense'!$C$82</f>
        <v>420000</v>
      </c>
      <c r="G5" s="116"/>
      <c r="H5" s="118"/>
      <c r="I5" s="119"/>
      <c r="J5" s="117"/>
      <c r="K5" s="119"/>
      <c r="L5" s="120"/>
      <c r="M5" s="120"/>
      <c r="N5" s="48"/>
      <c r="O5" s="48"/>
      <c r="P5" s="48"/>
      <c r="Q5" s="48"/>
      <c r="R5" s="48"/>
    </row>
    <row r="6" spans="1:18" x14ac:dyDescent="0.3">
      <c r="A6" s="39" t="s">
        <v>221</v>
      </c>
      <c r="B6" s="43">
        <v>43435</v>
      </c>
      <c r="C6" s="46">
        <f t="shared" si="0"/>
        <v>2018</v>
      </c>
      <c r="D6" s="45">
        <v>2000000</v>
      </c>
      <c r="E6" s="44">
        <f t="shared" si="1"/>
        <v>0.14285714285714285</v>
      </c>
      <c r="F6" s="47">
        <f>D6*'Fixed and Variable expense'!$C$82</f>
        <v>480000</v>
      </c>
      <c r="G6" s="116"/>
      <c r="H6" s="118"/>
      <c r="I6" s="119"/>
      <c r="J6" s="117"/>
      <c r="K6" s="119"/>
      <c r="L6" s="120"/>
      <c r="M6" s="120"/>
      <c r="N6" s="48"/>
      <c r="O6" s="48"/>
      <c r="P6" s="48"/>
      <c r="Q6" s="48"/>
      <c r="R6" s="48"/>
    </row>
    <row r="7" spans="1:18" x14ac:dyDescent="0.3">
      <c r="A7" s="39" t="s">
        <v>221</v>
      </c>
      <c r="B7" s="43">
        <v>43800</v>
      </c>
      <c r="C7" s="46">
        <f t="shared" si="0"/>
        <v>2019</v>
      </c>
      <c r="D7" s="45">
        <v>2500000</v>
      </c>
      <c r="E7" s="44">
        <f t="shared" si="1"/>
        <v>0.25</v>
      </c>
      <c r="F7" s="47">
        <f>D7*'Fixed and Variable expense'!$C$82</f>
        <v>600000</v>
      </c>
      <c r="G7" s="116"/>
      <c r="H7" s="118"/>
      <c r="I7" s="119"/>
      <c r="J7" s="117"/>
      <c r="K7" s="119"/>
      <c r="L7" s="120"/>
      <c r="M7" s="120"/>
      <c r="N7" s="48"/>
      <c r="O7" s="48"/>
      <c r="P7" s="48"/>
      <c r="Q7" s="48"/>
      <c r="R7" s="48"/>
    </row>
    <row r="8" spans="1:18" x14ac:dyDescent="0.3">
      <c r="A8" s="39" t="s">
        <v>221</v>
      </c>
      <c r="B8" s="43">
        <v>44166</v>
      </c>
      <c r="C8" s="46">
        <f t="shared" si="0"/>
        <v>2020</v>
      </c>
      <c r="D8" s="45">
        <v>4500000</v>
      </c>
      <c r="E8" s="44">
        <f t="shared" si="1"/>
        <v>0.8</v>
      </c>
      <c r="F8" s="47">
        <f>D8*'Fixed and Variable expense'!$C$82</f>
        <v>1080000</v>
      </c>
      <c r="G8" s="116"/>
      <c r="H8" s="118"/>
      <c r="I8" s="119"/>
      <c r="J8" s="117"/>
      <c r="K8" s="119"/>
      <c r="L8" s="120"/>
      <c r="M8" s="120"/>
      <c r="N8" s="48"/>
      <c r="O8" s="48"/>
      <c r="P8" s="48"/>
      <c r="Q8" s="48"/>
      <c r="R8" s="48"/>
    </row>
    <row r="9" spans="1:18" x14ac:dyDescent="0.3">
      <c r="A9" s="29" t="s">
        <v>222</v>
      </c>
      <c r="B9" s="43">
        <v>44531</v>
      </c>
      <c r="C9" s="46">
        <f t="shared" si="0"/>
        <v>2021</v>
      </c>
      <c r="D9" s="88">
        <v>6000000</v>
      </c>
      <c r="E9" s="44">
        <f t="shared" si="1"/>
        <v>0.33333333333333331</v>
      </c>
      <c r="F9" s="47">
        <f>D9*'Fixed and Variable expense'!$C$82</f>
        <v>1440000</v>
      </c>
      <c r="G9" s="116"/>
      <c r="H9" s="118"/>
      <c r="I9" s="119"/>
      <c r="J9" s="117"/>
      <c r="K9" s="119"/>
      <c r="L9" s="120"/>
      <c r="M9" s="120"/>
      <c r="N9" s="48"/>
      <c r="O9" s="48"/>
      <c r="P9" s="48"/>
      <c r="Q9" s="48"/>
      <c r="R9" s="48"/>
    </row>
    <row r="10" spans="1:18" x14ac:dyDescent="0.3">
      <c r="A10" s="39" t="s">
        <v>221</v>
      </c>
      <c r="B10" s="43">
        <v>44896</v>
      </c>
      <c r="C10" s="46">
        <f t="shared" si="0"/>
        <v>2022</v>
      </c>
      <c r="D10" s="45">
        <v>7500000</v>
      </c>
      <c r="E10" s="44">
        <f t="shared" si="1"/>
        <v>0.25</v>
      </c>
      <c r="F10" s="47">
        <f>D10*'Fixed and Variable expense'!$C$82</f>
        <v>1800000</v>
      </c>
      <c r="G10" s="47">
        <f>F10*M28*'Fixed and Variable expense'!C81</f>
        <v>1080000</v>
      </c>
      <c r="H10" s="39">
        <f>L45</f>
        <v>400</v>
      </c>
      <c r="I10" s="46">
        <f>H10*'Fixed and Variable expense'!$C$83</f>
        <v>92</v>
      </c>
      <c r="J10" s="46">
        <f>'Fixed and Variable expense'!C85</f>
        <v>46</v>
      </c>
      <c r="K10" s="46">
        <f>I10+J10</f>
        <v>138</v>
      </c>
      <c r="L10" s="47">
        <f>G10*K10</f>
        <v>149040000</v>
      </c>
      <c r="M10" s="47">
        <f>L10*12</f>
        <v>1788480000</v>
      </c>
      <c r="N10" s="47">
        <f>'Fixed and Variable expense'!C136</f>
        <v>116017333.33333333</v>
      </c>
      <c r="O10" s="45">
        <f>'Fixed and Variable expense'!$C$98/5</f>
        <v>115544000</v>
      </c>
      <c r="P10" s="47">
        <f>N10+O10</f>
        <v>231561333.33333331</v>
      </c>
      <c r="Q10" s="46">
        <f>L10-P10</f>
        <v>-82521333.333333313</v>
      </c>
      <c r="R10" s="44">
        <f>(L10-P10)/L10</f>
        <v>-0.55368581141527984</v>
      </c>
    </row>
    <row r="11" spans="1:18" x14ac:dyDescent="0.3">
      <c r="A11" s="86" t="s">
        <v>92</v>
      </c>
      <c r="B11" s="43">
        <v>45261</v>
      </c>
      <c r="C11" s="46">
        <f t="shared" si="0"/>
        <v>2023</v>
      </c>
      <c r="D11" s="87">
        <v>8500000</v>
      </c>
      <c r="E11" s="44">
        <f t="shared" si="1"/>
        <v>0.13333333333333333</v>
      </c>
      <c r="F11" s="47">
        <f>D11*'Fixed and Variable expense'!$C$82</f>
        <v>2040000</v>
      </c>
      <c r="G11" s="47">
        <f>G10+(G10*E11)</f>
        <v>1224000</v>
      </c>
      <c r="H11" s="46">
        <f>H10+(H10*$L$49)</f>
        <v>428</v>
      </c>
      <c r="I11" s="46">
        <f>H11*'Fixed and Variable expense'!$C$83</f>
        <v>98.44</v>
      </c>
      <c r="J11" s="46">
        <f>J10+(J10*$L$49)</f>
        <v>49.22</v>
      </c>
      <c r="K11" s="46">
        <f t="shared" ref="K11:K15" si="2">I11+J11</f>
        <v>147.66</v>
      </c>
      <c r="L11" s="47">
        <f t="shared" ref="L11:L15" si="3">G11*K11</f>
        <v>180735840</v>
      </c>
      <c r="M11" s="47">
        <f t="shared" ref="M11:M15" si="4">L11*12</f>
        <v>2168830080</v>
      </c>
      <c r="N11" s="47">
        <f>N10+(N10*$L$49)</f>
        <v>124138546.66666666</v>
      </c>
      <c r="O11" s="45">
        <f>O10+(O10*$D$25)</f>
        <v>115544000</v>
      </c>
      <c r="P11" s="47">
        <f t="shared" ref="P11:P15" si="5">N11+O11</f>
        <v>239682546.66666666</v>
      </c>
      <c r="Q11" s="46">
        <f t="shared" ref="Q11:Q15" si="6">L11-P11</f>
        <v>-58946706.666666657</v>
      </c>
      <c r="R11" s="44">
        <f t="shared" ref="R11:R15" si="7">(L11-P11)/L11</f>
        <v>-0.32614840900768027</v>
      </c>
    </row>
    <row r="12" spans="1:18" x14ac:dyDescent="0.3">
      <c r="A12" s="86" t="s">
        <v>92</v>
      </c>
      <c r="B12" s="43">
        <v>45627</v>
      </c>
      <c r="C12" s="46">
        <f t="shared" si="0"/>
        <v>2024</v>
      </c>
      <c r="D12" s="87">
        <v>11000000</v>
      </c>
      <c r="E12" s="44">
        <f t="shared" si="1"/>
        <v>0.29411764705882354</v>
      </c>
      <c r="F12" s="47">
        <f>D12*'Fixed and Variable expense'!$C$82</f>
        <v>2640000</v>
      </c>
      <c r="G12" s="47">
        <f t="shared" ref="G12:G15" si="8">G11+(G11*E12)</f>
        <v>1584000</v>
      </c>
      <c r="H12" s="46">
        <f t="shared" ref="H12:H15" si="9">H11+(H11*$L$49)</f>
        <v>457.96</v>
      </c>
      <c r="I12" s="46">
        <f>H12*'Fixed and Variable expense'!$C$83</f>
        <v>105.3308</v>
      </c>
      <c r="J12" s="46">
        <f t="shared" ref="J12:J15" si="10">J11+(J11*$L$49)</f>
        <v>52.665399999999998</v>
      </c>
      <c r="K12" s="46">
        <f t="shared" si="2"/>
        <v>157.99619999999999</v>
      </c>
      <c r="L12" s="47">
        <f t="shared" si="3"/>
        <v>250265980.79999998</v>
      </c>
      <c r="M12" s="47">
        <f t="shared" si="4"/>
        <v>3003191769.5999999</v>
      </c>
      <c r="N12" s="47">
        <f t="shared" ref="N12:N15" si="11">N11+(N11*$L$49)</f>
        <v>132828244.93333332</v>
      </c>
      <c r="O12" s="45">
        <f>O11+(O11*$D$25)</f>
        <v>115544000</v>
      </c>
      <c r="P12" s="47">
        <f t="shared" si="5"/>
        <v>248372244.93333334</v>
      </c>
      <c r="Q12" s="46">
        <f t="shared" si="6"/>
        <v>1893735.8666666448</v>
      </c>
      <c r="R12" s="44">
        <f t="shared" si="7"/>
        <v>7.5668928737862443E-3</v>
      </c>
    </row>
    <row r="13" spans="1:18" x14ac:dyDescent="0.3">
      <c r="A13" s="86" t="s">
        <v>92</v>
      </c>
      <c r="B13" s="43">
        <v>45992</v>
      </c>
      <c r="C13" s="46">
        <f t="shared" si="0"/>
        <v>2025</v>
      </c>
      <c r="D13" s="87">
        <v>12500000</v>
      </c>
      <c r="E13" s="44">
        <f t="shared" si="1"/>
        <v>0.13636363636363635</v>
      </c>
      <c r="F13" s="47">
        <f>D13*'Fixed and Variable expense'!$C$82</f>
        <v>3000000</v>
      </c>
      <c r="G13" s="47">
        <f t="shared" si="8"/>
        <v>1800000</v>
      </c>
      <c r="H13" s="46">
        <f t="shared" si="9"/>
        <v>490.0172</v>
      </c>
      <c r="I13" s="46">
        <f>H13*'Fixed and Variable expense'!$C$83</f>
        <v>112.70395600000001</v>
      </c>
      <c r="J13" s="46">
        <f t="shared" si="10"/>
        <v>56.351977999999995</v>
      </c>
      <c r="K13" s="46">
        <f t="shared" si="2"/>
        <v>169.05593400000001</v>
      </c>
      <c r="L13" s="47">
        <f t="shared" si="3"/>
        <v>304300681.19999999</v>
      </c>
      <c r="M13" s="47">
        <f t="shared" si="4"/>
        <v>3651608174.3999996</v>
      </c>
      <c r="N13" s="47">
        <f t="shared" si="11"/>
        <v>142126222.07866666</v>
      </c>
      <c r="O13" s="45">
        <f>O12+(O12*$D$25)</f>
        <v>115544000</v>
      </c>
      <c r="P13" s="47">
        <f t="shared" si="5"/>
        <v>257670222.07866666</v>
      </c>
      <c r="Q13" s="46">
        <f t="shared" si="6"/>
        <v>46630459.121333331</v>
      </c>
      <c r="R13" s="44">
        <f t="shared" si="7"/>
        <v>0.1532381029758054</v>
      </c>
    </row>
    <row r="14" spans="1:18" x14ac:dyDescent="0.3">
      <c r="A14" s="86" t="s">
        <v>92</v>
      </c>
      <c r="B14" s="43">
        <v>46357</v>
      </c>
      <c r="C14" s="46">
        <f t="shared" si="0"/>
        <v>2026</v>
      </c>
      <c r="D14" s="87">
        <v>16000000</v>
      </c>
      <c r="E14" s="44">
        <f t="shared" si="1"/>
        <v>0.28000000000000003</v>
      </c>
      <c r="F14" s="47">
        <f>D14*'Fixed and Variable expense'!$C$82</f>
        <v>3840000</v>
      </c>
      <c r="G14" s="47">
        <f t="shared" si="8"/>
        <v>2304000</v>
      </c>
      <c r="H14" s="46">
        <f t="shared" si="9"/>
        <v>524.31840399999999</v>
      </c>
      <c r="I14" s="46">
        <f>H14*'Fixed and Variable expense'!$C$83</f>
        <v>120.59323292000001</v>
      </c>
      <c r="J14" s="46">
        <f t="shared" si="10"/>
        <v>60.296616459999996</v>
      </c>
      <c r="K14" s="46">
        <f t="shared" si="2"/>
        <v>180.88984937999999</v>
      </c>
      <c r="L14" s="47">
        <f t="shared" si="3"/>
        <v>416770212.97151995</v>
      </c>
      <c r="M14" s="47">
        <f t="shared" si="4"/>
        <v>5001242555.6582394</v>
      </c>
      <c r="N14" s="47">
        <f t="shared" si="11"/>
        <v>152075057.62417331</v>
      </c>
      <c r="O14" s="45">
        <f>O13+(O13*$D$25)</f>
        <v>115544000</v>
      </c>
      <c r="P14" s="47">
        <f t="shared" si="5"/>
        <v>267619057.62417331</v>
      </c>
      <c r="Q14" s="46">
        <f t="shared" si="6"/>
        <v>149151155.34734663</v>
      </c>
      <c r="R14" s="44">
        <f t="shared" si="7"/>
        <v>0.35787383720136184</v>
      </c>
    </row>
    <row r="15" spans="1:18" x14ac:dyDescent="0.3">
      <c r="A15" s="86" t="s">
        <v>92</v>
      </c>
      <c r="B15" s="43">
        <v>46722</v>
      </c>
      <c r="C15" s="46">
        <f t="shared" si="0"/>
        <v>2027</v>
      </c>
      <c r="D15" s="87">
        <v>18000000</v>
      </c>
      <c r="E15" s="44">
        <f t="shared" si="1"/>
        <v>0.125</v>
      </c>
      <c r="F15" s="47">
        <f>D15*'Fixed and Variable expense'!$C$82</f>
        <v>4320000</v>
      </c>
      <c r="G15" s="47">
        <f t="shared" si="8"/>
        <v>2592000</v>
      </c>
      <c r="H15" s="46">
        <f t="shared" si="9"/>
        <v>561.02069228000005</v>
      </c>
      <c r="I15" s="46">
        <f>H15*'Fixed and Variable expense'!$C$83</f>
        <v>129.03475922440001</v>
      </c>
      <c r="J15" s="46">
        <f t="shared" si="10"/>
        <v>64.517379612199989</v>
      </c>
      <c r="K15" s="46">
        <f t="shared" si="2"/>
        <v>193.55213883659999</v>
      </c>
      <c r="L15" s="47">
        <f t="shared" si="3"/>
        <v>501687143.8644672</v>
      </c>
      <c r="M15" s="47">
        <f t="shared" si="4"/>
        <v>6020245726.3736067</v>
      </c>
      <c r="N15" s="47">
        <f t="shared" si="11"/>
        <v>162720311.65786543</v>
      </c>
      <c r="O15" s="45">
        <f>O14+(O14*$D$25)</f>
        <v>115544000</v>
      </c>
      <c r="P15" s="47">
        <f t="shared" si="5"/>
        <v>278264311.65786541</v>
      </c>
      <c r="Q15" s="46">
        <f t="shared" si="6"/>
        <v>223422832.2066018</v>
      </c>
      <c r="R15" s="44">
        <f t="shared" si="7"/>
        <v>0.44534294916466977</v>
      </c>
    </row>
    <row r="19" spans="4:17" ht="43.2" x14ac:dyDescent="0.3">
      <c r="G19" s="95" t="s">
        <v>281</v>
      </c>
      <c r="H19" s="95" t="s">
        <v>282</v>
      </c>
      <c r="I19" s="95" t="s">
        <v>283</v>
      </c>
      <c r="J19" s="95" t="s">
        <v>220</v>
      </c>
      <c r="K19" s="95" t="s">
        <v>284</v>
      </c>
      <c r="L19" s="95" t="s">
        <v>217</v>
      </c>
      <c r="M19" s="95" t="s">
        <v>218</v>
      </c>
      <c r="O19" s="95" t="s">
        <v>219</v>
      </c>
      <c r="P19" s="94" t="s">
        <v>106</v>
      </c>
      <c r="Q19" s="95" t="s">
        <v>220</v>
      </c>
    </row>
    <row r="20" spans="4:17" x14ac:dyDescent="0.3">
      <c r="G20" s="39">
        <v>1</v>
      </c>
      <c r="H20" s="39">
        <v>5</v>
      </c>
      <c r="I20" s="39">
        <f t="shared" ref="I20:I27" si="12">G20+H20</f>
        <v>6</v>
      </c>
      <c r="J20" s="39">
        <f>(G20*'Fixed and Variable expense'!$C$80)+((H20/'Fixed and Variable expense'!$C$79)*60)+'Fixed and Variable expense'!$C$78</f>
        <v>32</v>
      </c>
      <c r="K20" s="39">
        <v>2</v>
      </c>
      <c r="L20" s="79">
        <f>J20+K20</f>
        <v>34</v>
      </c>
      <c r="M20" s="80">
        <v>0.4</v>
      </c>
      <c r="O20" s="78">
        <v>3</v>
      </c>
      <c r="P20" s="81">
        <v>0.4</v>
      </c>
      <c r="Q20" s="79">
        <f>(O20*'Fixed and Variable expense'!$C$80)+'Fixed and Variable expense'!$C$78</f>
        <v>33.5</v>
      </c>
    </row>
    <row r="21" spans="4:17" x14ac:dyDescent="0.3">
      <c r="D21" s="135"/>
      <c r="G21" s="39">
        <v>1</v>
      </c>
      <c r="H21" s="39">
        <v>7</v>
      </c>
      <c r="I21" s="39">
        <f t="shared" si="12"/>
        <v>8</v>
      </c>
      <c r="J21" s="39">
        <f>(G21*'Fixed and Variable expense'!$C$80)+((H21/'Fixed and Variable expense'!$C$79)*60)+'Fixed and Variable expense'!$C$78</f>
        <v>35</v>
      </c>
      <c r="K21" s="39">
        <v>2</v>
      </c>
      <c r="L21" s="82">
        <f t="shared" ref="L21:L27" si="13">J21+K21</f>
        <v>37</v>
      </c>
      <c r="M21" s="132">
        <v>0.35</v>
      </c>
      <c r="O21" s="78">
        <v>4</v>
      </c>
      <c r="P21" s="81">
        <v>0.35</v>
      </c>
      <c r="Q21" s="83">
        <f>(O21*'Fixed and Variable expense'!$C$80)+'Fixed and Variable expense'!$C$78</f>
        <v>38</v>
      </c>
    </row>
    <row r="22" spans="4:17" x14ac:dyDescent="0.3">
      <c r="D22" s="135"/>
      <c r="G22" s="39">
        <v>2</v>
      </c>
      <c r="H22" s="39">
        <v>5</v>
      </c>
      <c r="I22" s="39">
        <f t="shared" si="12"/>
        <v>7</v>
      </c>
      <c r="J22" s="39">
        <f>(G22*'Fixed and Variable expense'!$C$80)+((H22/'Fixed and Variable expense'!$C$79)*60)+'Fixed and Variable expense'!$C$78</f>
        <v>36.5</v>
      </c>
      <c r="K22" s="39">
        <v>2</v>
      </c>
      <c r="L22" s="82">
        <f t="shared" si="13"/>
        <v>38.5</v>
      </c>
      <c r="M22" s="132"/>
      <c r="O22" s="78">
        <v>5</v>
      </c>
      <c r="P22" s="81">
        <v>0.2</v>
      </c>
      <c r="Q22" s="83">
        <f>(O22*'Fixed and Variable expense'!$C$80)+'Fixed and Variable expense'!$C$78</f>
        <v>42.5</v>
      </c>
    </row>
    <row r="23" spans="4:17" x14ac:dyDescent="0.3">
      <c r="D23" s="135"/>
      <c r="G23" s="39">
        <v>2</v>
      </c>
      <c r="H23" s="39">
        <v>7</v>
      </c>
      <c r="I23" s="39">
        <f t="shared" si="12"/>
        <v>9</v>
      </c>
      <c r="J23" s="39">
        <f>(G23*'Fixed and Variable expense'!$C$80)+((H23/'Fixed and Variable expense'!$C$79)*60)+'Fixed and Variable expense'!$C$78</f>
        <v>39.5</v>
      </c>
      <c r="K23" s="39">
        <v>2</v>
      </c>
      <c r="L23" s="83">
        <f t="shared" si="13"/>
        <v>41.5</v>
      </c>
      <c r="M23" s="132">
        <v>0.2</v>
      </c>
      <c r="O23" s="78">
        <v>6</v>
      </c>
      <c r="P23" s="81">
        <v>0.05</v>
      </c>
      <c r="Q23" s="83">
        <f>(O23*'Fixed and Variable expense'!$C$80)+'Fixed and Variable expense'!$C$78</f>
        <v>47</v>
      </c>
    </row>
    <row r="24" spans="4:17" x14ac:dyDescent="0.3">
      <c r="D24" s="135"/>
      <c r="G24" s="39">
        <v>3</v>
      </c>
      <c r="H24" s="39">
        <v>5</v>
      </c>
      <c r="I24" s="39">
        <f t="shared" si="12"/>
        <v>8</v>
      </c>
      <c r="J24" s="39">
        <f>(G24*'Fixed and Variable expense'!$C$80)+((H24/'Fixed and Variable expense'!$C$79)*60)+'Fixed and Variable expense'!$C$78</f>
        <v>41</v>
      </c>
      <c r="K24" s="39">
        <v>2</v>
      </c>
      <c r="L24" s="83">
        <f t="shared" si="13"/>
        <v>43</v>
      </c>
      <c r="M24" s="132"/>
      <c r="O24" s="78">
        <v>7</v>
      </c>
      <c r="P24" s="81">
        <v>0</v>
      </c>
      <c r="Q24" s="121">
        <f>(O24*'Fixed and Variable expense'!$C$80)+'Fixed and Variable expense'!$C$78</f>
        <v>51.5</v>
      </c>
    </row>
    <row r="25" spans="4:17" x14ac:dyDescent="0.3">
      <c r="D25" s="135"/>
      <c r="G25" s="39">
        <v>3</v>
      </c>
      <c r="H25" s="39">
        <v>7</v>
      </c>
      <c r="I25" s="39">
        <f t="shared" si="12"/>
        <v>10</v>
      </c>
      <c r="J25" s="39">
        <f>(G25*'Fixed and Variable expense'!$C$80)+((H25/'Fixed and Variable expense'!$C$79)*60)+'Fixed and Variable expense'!$C$78</f>
        <v>44</v>
      </c>
      <c r="K25" s="39">
        <v>2</v>
      </c>
      <c r="L25" s="84">
        <f t="shared" si="13"/>
        <v>46</v>
      </c>
      <c r="M25" s="132">
        <v>0.05</v>
      </c>
      <c r="O25" s="78">
        <v>8</v>
      </c>
      <c r="P25" s="81">
        <v>0</v>
      </c>
      <c r="Q25" s="121">
        <f>(O25*'Fixed and Variable expense'!$C$80)+'Fixed and Variable expense'!$C$78</f>
        <v>56</v>
      </c>
    </row>
    <row r="26" spans="4:17" x14ac:dyDescent="0.3">
      <c r="D26" s="135"/>
      <c r="G26" s="39">
        <v>4</v>
      </c>
      <c r="H26" s="39">
        <v>5</v>
      </c>
      <c r="I26" s="39">
        <f t="shared" si="12"/>
        <v>9</v>
      </c>
      <c r="J26" s="39">
        <f>(G26*'Fixed and Variable expense'!$C$80)+((H26/'Fixed and Variable expense'!$C$79)*60)+'Fixed and Variable expense'!$C$78</f>
        <v>45.5</v>
      </c>
      <c r="K26" s="39">
        <v>2</v>
      </c>
      <c r="L26" s="84">
        <f t="shared" si="13"/>
        <v>47.5</v>
      </c>
      <c r="M26" s="132"/>
      <c r="O26" s="78">
        <v>9</v>
      </c>
      <c r="P26" s="81">
        <v>0</v>
      </c>
      <c r="Q26" s="121">
        <f>(O26*'Fixed and Variable expense'!$C$80)+'Fixed and Variable expense'!$C$78</f>
        <v>60.5</v>
      </c>
    </row>
    <row r="27" spans="4:17" x14ac:dyDescent="0.3">
      <c r="D27" s="135"/>
      <c r="G27" s="39">
        <v>4</v>
      </c>
      <c r="H27" s="39">
        <v>7</v>
      </c>
      <c r="I27" s="39">
        <f t="shared" si="12"/>
        <v>11</v>
      </c>
      <c r="J27" s="39">
        <f>(G27*'Fixed and Variable expense'!$C$80)+((H27/'Fixed and Variable expense'!$C$79)*60)+'Fixed and Variable expense'!$C$78</f>
        <v>48.5</v>
      </c>
      <c r="K27" s="39">
        <v>2</v>
      </c>
      <c r="L27" s="85">
        <f t="shared" si="13"/>
        <v>50.5</v>
      </c>
      <c r="M27" s="80">
        <v>0</v>
      </c>
      <c r="O27" s="78">
        <v>10</v>
      </c>
      <c r="P27" s="81">
        <v>0</v>
      </c>
      <c r="Q27" s="121">
        <f>(O27*'Fixed and Variable expense'!$C$80)+'Fixed and Variable expense'!$C$78</f>
        <v>65</v>
      </c>
    </row>
    <row r="28" spans="4:17" x14ac:dyDescent="0.3">
      <c r="D28" s="135"/>
      <c r="G28" s="39"/>
      <c r="H28" s="39"/>
      <c r="I28" s="39"/>
      <c r="J28" s="39"/>
      <c r="K28" s="39"/>
      <c r="L28" s="39" t="s">
        <v>110</v>
      </c>
      <c r="M28" s="80">
        <f>SUM(M20:M27)</f>
        <v>1</v>
      </c>
    </row>
    <row r="29" spans="4:17" ht="30" customHeight="1" x14ac:dyDescent="0.3">
      <c r="D29" s="135"/>
    </row>
    <row r="30" spans="4:17" x14ac:dyDescent="0.3">
      <c r="D30" s="135"/>
    </row>
    <row r="31" spans="4:17" x14ac:dyDescent="0.3">
      <c r="D31" s="135"/>
    </row>
    <row r="32" spans="4:17" x14ac:dyDescent="0.3">
      <c r="D32" s="135"/>
    </row>
    <row r="33" spans="7:16" ht="90" customHeight="1" x14ac:dyDescent="0.3">
      <c r="G33" s="95" t="s">
        <v>197</v>
      </c>
      <c r="H33" s="95" t="s">
        <v>198</v>
      </c>
      <c r="I33" s="95" t="s">
        <v>199</v>
      </c>
      <c r="J33" s="95" t="s">
        <v>326</v>
      </c>
      <c r="K33" s="95" t="s">
        <v>200</v>
      </c>
      <c r="L33" s="95" t="s">
        <v>201</v>
      </c>
      <c r="M33" s="95" t="s">
        <v>202</v>
      </c>
      <c r="N33" s="95" t="s">
        <v>203</v>
      </c>
      <c r="O33" s="95" t="s">
        <v>204</v>
      </c>
      <c r="P33" s="95" t="s">
        <v>205</v>
      </c>
    </row>
    <row r="34" spans="7:16" x14ac:dyDescent="0.3">
      <c r="G34" s="39">
        <v>2022</v>
      </c>
      <c r="H34" s="47">
        <f>G10</f>
        <v>1080000</v>
      </c>
      <c r="I34" s="47">
        <f>H34/30</f>
        <v>36000</v>
      </c>
      <c r="J34" s="47">
        <f>(I34*'Fixed and Variable expense'!$C$86)/'Fixed and Variable expense'!$C$87</f>
        <v>6300</v>
      </c>
      <c r="K34" s="47">
        <f>J34/'Fixed and Variable expense'!$C$88</f>
        <v>252</v>
      </c>
      <c r="L34" s="77">
        <f>(K34/60)*2</f>
        <v>8.4</v>
      </c>
      <c r="M34" s="77">
        <f>L34/'Fixed and Variable expense'!$C$91</f>
        <v>1.6800000000000002</v>
      </c>
      <c r="N34" s="77">
        <f>M34*'Fixed and Variable expense'!$C$102</f>
        <v>5.0400000000000009</v>
      </c>
      <c r="O34" s="77">
        <f>(N34*60)/90</f>
        <v>3.3600000000000003</v>
      </c>
      <c r="P34" s="39">
        <f>K34/O34</f>
        <v>74.999999999999986</v>
      </c>
    </row>
    <row r="35" spans="7:16" x14ac:dyDescent="0.3">
      <c r="G35" s="39">
        <v>2023</v>
      </c>
      <c r="H35" s="47">
        <f t="shared" ref="H35:H39" si="14">G11</f>
        <v>1224000</v>
      </c>
      <c r="I35" s="47">
        <f t="shared" ref="I35:I39" si="15">H35/30</f>
        <v>40800</v>
      </c>
      <c r="J35" s="47">
        <f>(I35*'Fixed and Variable expense'!$C$86)/'Fixed and Variable expense'!$C$87</f>
        <v>7140</v>
      </c>
      <c r="K35" s="47">
        <f>J35/'Fixed and Variable expense'!$C$88</f>
        <v>285.60000000000002</v>
      </c>
      <c r="L35" s="77">
        <f t="shared" ref="L35:L39" si="16">(K35/60)*2</f>
        <v>9.5200000000000014</v>
      </c>
      <c r="M35" s="77">
        <f>L35/'Fixed and Variable expense'!$C$91</f>
        <v>1.9040000000000004</v>
      </c>
      <c r="N35" s="77">
        <f>M35*'Fixed and Variable expense'!$C$102</f>
        <v>5.7120000000000015</v>
      </c>
      <c r="O35" s="77">
        <f t="shared" ref="O35:O39" si="17">(N35*60)/90</f>
        <v>3.8080000000000007</v>
      </c>
      <c r="P35" s="39">
        <f t="shared" ref="P35:P39" si="18">K35/O35</f>
        <v>74.999999999999986</v>
      </c>
    </row>
    <row r="36" spans="7:16" x14ac:dyDescent="0.3">
      <c r="G36" s="39">
        <v>2024</v>
      </c>
      <c r="H36" s="47">
        <f t="shared" si="14"/>
        <v>1584000</v>
      </c>
      <c r="I36" s="47">
        <f t="shared" si="15"/>
        <v>52800</v>
      </c>
      <c r="J36" s="47">
        <f>(I36*'Fixed and Variable expense'!$C$86)/'Fixed and Variable expense'!$C$87</f>
        <v>9240</v>
      </c>
      <c r="K36" s="47">
        <f>J36/'Fixed and Variable expense'!$C$88</f>
        <v>369.6</v>
      </c>
      <c r="L36" s="77">
        <f t="shared" si="16"/>
        <v>12.32</v>
      </c>
      <c r="M36" s="77">
        <f>L36/'Fixed and Variable expense'!$C$91</f>
        <v>2.464</v>
      </c>
      <c r="N36" s="77">
        <f>M36*'Fixed and Variable expense'!$C$102</f>
        <v>7.3919999999999995</v>
      </c>
      <c r="O36" s="77">
        <f t="shared" si="17"/>
        <v>4.9279999999999999</v>
      </c>
      <c r="P36" s="39">
        <f t="shared" si="18"/>
        <v>75</v>
      </c>
    </row>
    <row r="37" spans="7:16" x14ac:dyDescent="0.3">
      <c r="G37" s="39">
        <v>2025</v>
      </c>
      <c r="H37" s="47">
        <f t="shared" si="14"/>
        <v>1800000</v>
      </c>
      <c r="I37" s="47">
        <f t="shared" si="15"/>
        <v>60000</v>
      </c>
      <c r="J37" s="47">
        <f>(I37*'Fixed and Variable expense'!$C$86)/'Fixed and Variable expense'!$C$87</f>
        <v>10500</v>
      </c>
      <c r="K37" s="47">
        <f>J37/'Fixed and Variable expense'!$C$88</f>
        <v>420</v>
      </c>
      <c r="L37" s="77">
        <f t="shared" si="16"/>
        <v>14</v>
      </c>
      <c r="M37" s="77">
        <f>L37/'Fixed and Variable expense'!$C$91</f>
        <v>2.8</v>
      </c>
      <c r="N37" s="77">
        <f>M37*'Fixed and Variable expense'!$C$102</f>
        <v>8.3999999999999986</v>
      </c>
      <c r="O37" s="77">
        <f t="shared" si="17"/>
        <v>5.5999999999999988</v>
      </c>
      <c r="P37" s="39">
        <f t="shared" si="18"/>
        <v>75.000000000000014</v>
      </c>
    </row>
    <row r="38" spans="7:16" x14ac:dyDescent="0.3">
      <c r="G38" s="39">
        <v>2026</v>
      </c>
      <c r="H38" s="47">
        <f t="shared" si="14"/>
        <v>2304000</v>
      </c>
      <c r="I38" s="47">
        <f t="shared" si="15"/>
        <v>76800</v>
      </c>
      <c r="J38" s="47">
        <f>(I38*'Fixed and Variable expense'!$C$86)/'Fixed and Variable expense'!$C$87</f>
        <v>13440</v>
      </c>
      <c r="K38" s="47">
        <f>J38/'Fixed and Variable expense'!$C$88</f>
        <v>537.6</v>
      </c>
      <c r="L38" s="77">
        <f t="shared" si="16"/>
        <v>17.920000000000002</v>
      </c>
      <c r="M38" s="77">
        <f>L38/'Fixed and Variable expense'!$C$91</f>
        <v>3.5840000000000005</v>
      </c>
      <c r="N38" s="77">
        <f>M38*'Fixed and Variable expense'!$C$102</f>
        <v>10.752000000000002</v>
      </c>
      <c r="O38" s="77">
        <f t="shared" si="17"/>
        <v>7.168000000000001</v>
      </c>
      <c r="P38" s="39">
        <f t="shared" si="18"/>
        <v>74.999999999999986</v>
      </c>
    </row>
    <row r="39" spans="7:16" x14ac:dyDescent="0.3">
      <c r="G39" s="39">
        <v>2027</v>
      </c>
      <c r="H39" s="47">
        <f t="shared" si="14"/>
        <v>2592000</v>
      </c>
      <c r="I39" s="47">
        <f t="shared" si="15"/>
        <v>86400</v>
      </c>
      <c r="J39" s="47">
        <f>(I39*'Fixed and Variable expense'!$C$86)/'Fixed and Variable expense'!$C$87</f>
        <v>15119.999999999998</v>
      </c>
      <c r="K39" s="47">
        <f>J39/'Fixed and Variable expense'!$C$88</f>
        <v>604.79999999999995</v>
      </c>
      <c r="L39" s="77">
        <f t="shared" si="16"/>
        <v>20.16</v>
      </c>
      <c r="M39" s="77">
        <f>L39/'Fixed and Variable expense'!$C$91</f>
        <v>4.032</v>
      </c>
      <c r="N39" s="77">
        <f>M39*'Fixed and Variable expense'!$C$102</f>
        <v>12.096</v>
      </c>
      <c r="O39" s="77">
        <f t="shared" si="17"/>
        <v>8.0640000000000001</v>
      </c>
      <c r="P39" s="39">
        <f t="shared" si="18"/>
        <v>75</v>
      </c>
    </row>
    <row r="40" spans="7:16" x14ac:dyDescent="0.3">
      <c r="G40" s="39"/>
      <c r="H40" s="39"/>
      <c r="I40" s="39"/>
      <c r="J40" s="39"/>
      <c r="K40" s="39"/>
      <c r="L40" s="39"/>
      <c r="M40" s="39" t="s">
        <v>328</v>
      </c>
      <c r="N40" s="39"/>
      <c r="O40" s="39" t="s">
        <v>206</v>
      </c>
      <c r="P40" s="39">
        <f>AVERAGE(P34:P39)</f>
        <v>75</v>
      </c>
    </row>
    <row r="43" spans="7:16" x14ac:dyDescent="0.3">
      <c r="G43" s="94" t="s">
        <v>86</v>
      </c>
      <c r="H43" s="94" t="s">
        <v>75</v>
      </c>
      <c r="I43" s="94" t="s">
        <v>76</v>
      </c>
      <c r="K43" s="94" t="s">
        <v>234</v>
      </c>
      <c r="L43" s="94" t="s">
        <v>75</v>
      </c>
      <c r="M43" s="94" t="s">
        <v>76</v>
      </c>
    </row>
    <row r="44" spans="7:16" x14ac:dyDescent="0.3">
      <c r="G44" s="39" t="s">
        <v>87</v>
      </c>
      <c r="H44" s="39">
        <v>8</v>
      </c>
      <c r="I44" s="39" t="s">
        <v>83</v>
      </c>
      <c r="K44" s="39" t="s">
        <v>227</v>
      </c>
      <c r="L44" s="39">
        <v>65</v>
      </c>
      <c r="M44" s="39" t="s">
        <v>235</v>
      </c>
    </row>
    <row r="45" spans="7:16" x14ac:dyDescent="0.3">
      <c r="G45" s="39" t="s">
        <v>88</v>
      </c>
      <c r="H45" s="39">
        <v>300</v>
      </c>
      <c r="I45" s="39" t="s">
        <v>89</v>
      </c>
      <c r="K45" s="39" t="s">
        <v>228</v>
      </c>
      <c r="L45" s="39">
        <v>400</v>
      </c>
      <c r="M45" s="39" t="s">
        <v>98</v>
      </c>
    </row>
    <row r="46" spans="7:16" x14ac:dyDescent="0.3">
      <c r="G46" s="39" t="s">
        <v>90</v>
      </c>
      <c r="H46" s="39">
        <v>30</v>
      </c>
      <c r="I46" s="39" t="s">
        <v>91</v>
      </c>
      <c r="K46" s="39" t="s">
        <v>186</v>
      </c>
      <c r="L46" s="41">
        <v>0.23</v>
      </c>
      <c r="M46" s="39" t="s">
        <v>236</v>
      </c>
    </row>
    <row r="47" spans="7:16" x14ac:dyDescent="0.3">
      <c r="G47" s="39" t="s">
        <v>93</v>
      </c>
      <c r="H47" s="39">
        <v>5</v>
      </c>
      <c r="I47" s="39" t="s">
        <v>94</v>
      </c>
      <c r="K47" s="39" t="s">
        <v>187</v>
      </c>
      <c r="L47" s="39">
        <v>10</v>
      </c>
      <c r="M47" s="39" t="s">
        <v>188</v>
      </c>
    </row>
    <row r="48" spans="7:16" x14ac:dyDescent="0.3">
      <c r="G48" s="39" t="s">
        <v>95</v>
      </c>
      <c r="H48" s="39">
        <v>50</v>
      </c>
      <c r="I48" s="39" t="s">
        <v>96</v>
      </c>
      <c r="K48" s="76" t="s">
        <v>229</v>
      </c>
      <c r="L48" s="39">
        <v>0.9</v>
      </c>
      <c r="M48" s="39" t="s">
        <v>237</v>
      </c>
    </row>
    <row r="49" spans="7:13" x14ac:dyDescent="0.3">
      <c r="G49" s="39" t="s">
        <v>97</v>
      </c>
      <c r="H49" s="45">
        <v>130000</v>
      </c>
      <c r="I49" s="39" t="s">
        <v>98</v>
      </c>
      <c r="K49" s="39" t="s">
        <v>230</v>
      </c>
      <c r="L49" s="41">
        <v>7.0000000000000007E-2</v>
      </c>
      <c r="M49" s="39"/>
    </row>
    <row r="50" spans="7:13" x14ac:dyDescent="0.3">
      <c r="G50" s="39" t="s">
        <v>99</v>
      </c>
      <c r="H50" s="39">
        <v>40</v>
      </c>
      <c r="I50" s="39" t="s">
        <v>96</v>
      </c>
      <c r="K50" s="39" t="s">
        <v>231</v>
      </c>
      <c r="L50" s="41">
        <v>0.6</v>
      </c>
      <c r="M50" s="39"/>
    </row>
    <row r="51" spans="7:13" x14ac:dyDescent="0.3">
      <c r="G51" s="39" t="s">
        <v>100</v>
      </c>
      <c r="H51" s="39">
        <v>3</v>
      </c>
      <c r="I51" s="39" t="s">
        <v>101</v>
      </c>
      <c r="K51" s="39" t="s">
        <v>238</v>
      </c>
      <c r="L51" s="89">
        <v>30000</v>
      </c>
      <c r="M51" s="39" t="s">
        <v>98</v>
      </c>
    </row>
    <row r="52" spans="7:13" x14ac:dyDescent="0.3">
      <c r="G52" s="39" t="s">
        <v>102</v>
      </c>
      <c r="H52" s="45">
        <v>6500</v>
      </c>
      <c r="I52" s="39" t="s">
        <v>98</v>
      </c>
      <c r="K52" s="39" t="s">
        <v>239</v>
      </c>
      <c r="L52" s="45">
        <v>50000</v>
      </c>
      <c r="M52" s="39" t="s">
        <v>98</v>
      </c>
    </row>
    <row r="53" spans="7:13" x14ac:dyDescent="0.3">
      <c r="G53" s="39" t="s">
        <v>103</v>
      </c>
      <c r="H53" s="45">
        <v>13000</v>
      </c>
      <c r="I53" s="39" t="s">
        <v>98</v>
      </c>
      <c r="K53" s="39" t="s">
        <v>232</v>
      </c>
      <c r="L53" s="39">
        <v>55</v>
      </c>
      <c r="M53" s="39" t="s">
        <v>98</v>
      </c>
    </row>
    <row r="58" spans="7:13" x14ac:dyDescent="0.3">
      <c r="K58" t="s">
        <v>340</v>
      </c>
      <c r="L58" t="s">
        <v>79</v>
      </c>
    </row>
    <row r="59" spans="7:13" x14ac:dyDescent="0.3">
      <c r="K59" t="s">
        <v>329</v>
      </c>
      <c r="L59">
        <v>8</v>
      </c>
      <c r="M59" t="s">
        <v>83</v>
      </c>
    </row>
    <row r="60" spans="7:13" x14ac:dyDescent="0.3">
      <c r="K60" t="s">
        <v>330</v>
      </c>
      <c r="L60">
        <v>30</v>
      </c>
      <c r="M60" t="s">
        <v>91</v>
      </c>
    </row>
    <row r="61" spans="7:13" x14ac:dyDescent="0.3">
      <c r="K61" t="s">
        <v>331</v>
      </c>
      <c r="L61">
        <v>40</v>
      </c>
      <c r="M61" t="s">
        <v>96</v>
      </c>
    </row>
    <row r="62" spans="7:13" x14ac:dyDescent="0.3">
      <c r="L62">
        <v>0.66</v>
      </c>
      <c r="M62" t="s">
        <v>333</v>
      </c>
    </row>
    <row r="63" spans="7:13" x14ac:dyDescent="0.3">
      <c r="K63" t="s">
        <v>334</v>
      </c>
      <c r="L63">
        <v>9</v>
      </c>
    </row>
    <row r="64" spans="7:13" x14ac:dyDescent="0.3">
      <c r="L64">
        <f>L63/L62</f>
        <v>13.636363636363635</v>
      </c>
    </row>
    <row r="65" spans="11:13" x14ac:dyDescent="0.3">
      <c r="K65" t="s">
        <v>335</v>
      </c>
      <c r="L65">
        <f>L60/L64</f>
        <v>2.2000000000000002</v>
      </c>
    </row>
    <row r="66" spans="11:13" x14ac:dyDescent="0.3">
      <c r="K66" t="s">
        <v>336</v>
      </c>
      <c r="L66">
        <v>292</v>
      </c>
    </row>
    <row r="67" spans="11:13" x14ac:dyDescent="0.3">
      <c r="K67" t="s">
        <v>332</v>
      </c>
      <c r="L67">
        <v>4</v>
      </c>
    </row>
    <row r="68" spans="11:13" x14ac:dyDescent="0.3">
      <c r="K68" t="s">
        <v>337</v>
      </c>
      <c r="L68">
        <v>25</v>
      </c>
    </row>
    <row r="69" spans="11:13" x14ac:dyDescent="0.3">
      <c r="K69" t="s">
        <v>338</v>
      </c>
      <c r="L69">
        <f>(L66*L67)/L68</f>
        <v>46.72</v>
      </c>
      <c r="M69" t="s">
        <v>339</v>
      </c>
    </row>
  </sheetData>
  <mergeCells count="3">
    <mergeCell ref="M21:M22"/>
    <mergeCell ref="M23:M24"/>
    <mergeCell ref="M25:M26"/>
  </mergeCells>
  <conditionalFormatting sqref="M34:M39">
    <cfRule type="cellIs" dxfId="0" priority="1" operator="lessThan">
      <formula>5.5</formula>
    </cfRule>
  </conditionalFormatting>
  <pageMargins left="0.7" right="0.7" top="0.75" bottom="0.75" header="0.3" footer="0.3"/>
  <ignoredErrors>
    <ignoredError sqref="I11:I15" formula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4304-D5C8-49E9-AB1B-10E4CE121784}">
  <dimension ref="F4:J33"/>
  <sheetViews>
    <sheetView topLeftCell="D1" workbookViewId="0">
      <selection activeCell="H33" sqref="H33"/>
    </sheetView>
  </sheetViews>
  <sheetFormatPr defaultRowHeight="14.4" x14ac:dyDescent="0.3"/>
  <cols>
    <col min="7" max="8" width="37.44140625" bestFit="1" customWidth="1"/>
    <col min="9" max="9" width="32.88671875" customWidth="1"/>
    <col min="10" max="10" width="35.33203125" bestFit="1" customWidth="1"/>
  </cols>
  <sheetData>
    <row r="4" spans="6:10" ht="25.8" x14ac:dyDescent="0.5">
      <c r="H4" s="133" t="s">
        <v>299</v>
      </c>
      <c r="I4" s="133"/>
    </row>
    <row r="7" spans="6:10" x14ac:dyDescent="0.3">
      <c r="F7">
        <v>1</v>
      </c>
      <c r="G7" t="s">
        <v>300</v>
      </c>
      <c r="H7">
        <v>69</v>
      </c>
      <c r="I7" t="s">
        <v>98</v>
      </c>
      <c r="J7" t="s">
        <v>303</v>
      </c>
    </row>
    <row r="8" spans="6:10" x14ac:dyDescent="0.3">
      <c r="F8">
        <v>2</v>
      </c>
      <c r="G8" t="s">
        <v>301</v>
      </c>
      <c r="H8">
        <v>46</v>
      </c>
      <c r="I8" t="s">
        <v>98</v>
      </c>
      <c r="J8" t="s">
        <v>303</v>
      </c>
    </row>
    <row r="9" spans="6:10" x14ac:dyDescent="0.3">
      <c r="F9">
        <v>3</v>
      </c>
      <c r="G9" t="s">
        <v>304</v>
      </c>
      <c r="H9" s="50">
        <v>1800000</v>
      </c>
      <c r="J9" t="s">
        <v>24</v>
      </c>
    </row>
    <row r="10" spans="6:10" x14ac:dyDescent="0.3">
      <c r="F10">
        <v>4</v>
      </c>
      <c r="G10" t="s">
        <v>304</v>
      </c>
      <c r="H10" s="50">
        <v>60000</v>
      </c>
      <c r="J10" t="s">
        <v>25</v>
      </c>
    </row>
    <row r="11" spans="6:10" x14ac:dyDescent="0.3">
      <c r="F11">
        <v>5</v>
      </c>
      <c r="G11" t="s">
        <v>23</v>
      </c>
      <c r="H11" s="50">
        <v>42000</v>
      </c>
      <c r="J11" t="s">
        <v>25</v>
      </c>
    </row>
    <row r="12" spans="6:10" x14ac:dyDescent="0.3">
      <c r="F12">
        <v>6</v>
      </c>
      <c r="G12" t="s">
        <v>305</v>
      </c>
      <c r="H12" s="51">
        <f>H9*0.25</f>
        <v>450000</v>
      </c>
      <c r="I12" s="1">
        <v>0.25</v>
      </c>
      <c r="J12" t="s">
        <v>306</v>
      </c>
    </row>
    <row r="13" spans="6:10" x14ac:dyDescent="0.3">
      <c r="F13">
        <v>7</v>
      </c>
      <c r="G13" t="s">
        <v>278</v>
      </c>
      <c r="H13" s="51">
        <v>55</v>
      </c>
      <c r="I13" t="s">
        <v>98</v>
      </c>
      <c r="J13" t="s">
        <v>303</v>
      </c>
    </row>
    <row r="14" spans="6:10" x14ac:dyDescent="0.3">
      <c r="F14">
        <v>8</v>
      </c>
      <c r="G14" t="s">
        <v>324</v>
      </c>
      <c r="H14" s="51">
        <f>H9*H7</f>
        <v>124200000</v>
      </c>
      <c r="J14" t="s">
        <v>24</v>
      </c>
    </row>
    <row r="15" spans="6:10" x14ac:dyDescent="0.3">
      <c r="F15">
        <v>9</v>
      </c>
      <c r="G15" t="s">
        <v>318</v>
      </c>
      <c r="H15" s="51">
        <v>0</v>
      </c>
    </row>
    <row r="19" spans="6:10" ht="25.8" x14ac:dyDescent="0.5">
      <c r="H19" s="133" t="s">
        <v>307</v>
      </c>
      <c r="I19" s="133"/>
    </row>
    <row r="20" spans="6:10" x14ac:dyDescent="0.3">
      <c r="F20">
        <v>1</v>
      </c>
      <c r="G20" t="s">
        <v>301</v>
      </c>
      <c r="H20" s="122">
        <v>46</v>
      </c>
      <c r="I20" s="122" t="s">
        <v>98</v>
      </c>
      <c r="J20" t="s">
        <v>302</v>
      </c>
    </row>
    <row r="21" spans="6:10" x14ac:dyDescent="0.3">
      <c r="F21">
        <v>2</v>
      </c>
      <c r="G21" s="134" t="s">
        <v>308</v>
      </c>
      <c r="H21" s="123">
        <v>1080000</v>
      </c>
      <c r="I21" s="125">
        <v>0.6</v>
      </c>
      <c r="J21" t="s">
        <v>309</v>
      </c>
    </row>
    <row r="22" spans="6:10" x14ac:dyDescent="0.3">
      <c r="G22" s="134" t="s">
        <v>308</v>
      </c>
      <c r="H22" s="123">
        <f>H21/30</f>
        <v>36000</v>
      </c>
      <c r="I22" s="125"/>
      <c r="J22" t="s">
        <v>25</v>
      </c>
    </row>
    <row r="23" spans="6:10" x14ac:dyDescent="0.3">
      <c r="G23" s="134"/>
      <c r="H23" s="123"/>
      <c r="I23" s="125"/>
    </row>
    <row r="24" spans="6:10" x14ac:dyDescent="0.3">
      <c r="F24">
        <v>3</v>
      </c>
      <c r="G24" t="s">
        <v>310</v>
      </c>
      <c r="H24" s="122">
        <v>138</v>
      </c>
      <c r="I24" s="122"/>
    </row>
    <row r="25" spans="6:10" x14ac:dyDescent="0.3">
      <c r="F25">
        <v>4</v>
      </c>
      <c r="G25" t="s">
        <v>151</v>
      </c>
      <c r="H25" s="122">
        <v>25</v>
      </c>
      <c r="I25" s="122"/>
    </row>
    <row r="26" spans="6:10" x14ac:dyDescent="0.3">
      <c r="F26">
        <v>5</v>
      </c>
      <c r="G26" t="s">
        <v>312</v>
      </c>
      <c r="H26" s="122">
        <v>1</v>
      </c>
      <c r="I26" s="122"/>
    </row>
    <row r="27" spans="6:10" x14ac:dyDescent="0.3">
      <c r="F27">
        <v>6</v>
      </c>
      <c r="G27" t="s">
        <v>313</v>
      </c>
      <c r="H27" s="122">
        <v>2815</v>
      </c>
      <c r="I27" s="122" t="s">
        <v>317</v>
      </c>
    </row>
    <row r="28" spans="6:10" x14ac:dyDescent="0.3">
      <c r="F28">
        <v>7</v>
      </c>
      <c r="G28" t="s">
        <v>314</v>
      </c>
      <c r="H28" s="123">
        <f>'Fixed and Variable expense'!C97+'Fixed and Variable expense'!C98</f>
        <v>1033240000</v>
      </c>
      <c r="I28" s="122" t="s">
        <v>98</v>
      </c>
    </row>
    <row r="29" spans="6:10" x14ac:dyDescent="0.3">
      <c r="F29">
        <v>8</v>
      </c>
      <c r="G29" t="s">
        <v>315</v>
      </c>
      <c r="H29" s="123">
        <f>'Fixed and Variable expense'!C136</f>
        <v>116017333.33333333</v>
      </c>
      <c r="I29" s="122" t="s">
        <v>316</v>
      </c>
      <c r="J29" t="s">
        <v>163</v>
      </c>
    </row>
    <row r="30" spans="6:10" x14ac:dyDescent="0.3">
      <c r="F30">
        <v>9</v>
      </c>
      <c r="G30" s="56" t="s">
        <v>319</v>
      </c>
      <c r="H30" s="122" t="s">
        <v>323</v>
      </c>
      <c r="I30" s="122"/>
    </row>
    <row r="31" spans="6:10" x14ac:dyDescent="0.3">
      <c r="F31">
        <v>10</v>
      </c>
      <c r="G31" t="s">
        <v>311</v>
      </c>
      <c r="H31" s="123">
        <v>149040000</v>
      </c>
      <c r="I31" s="122" t="s">
        <v>98</v>
      </c>
      <c r="J31" t="s">
        <v>309</v>
      </c>
    </row>
    <row r="32" spans="6:10" x14ac:dyDescent="0.3">
      <c r="F32">
        <v>11</v>
      </c>
      <c r="G32" s="56" t="s">
        <v>320</v>
      </c>
      <c r="H32" s="124">
        <v>-0.15</v>
      </c>
      <c r="I32" s="122" t="s">
        <v>321</v>
      </c>
    </row>
    <row r="33" spans="6:9" x14ac:dyDescent="0.3">
      <c r="F33">
        <v>12</v>
      </c>
      <c r="G33" t="s">
        <v>322</v>
      </c>
      <c r="H33" s="51">
        <f>H31+H14</f>
        <v>273240000</v>
      </c>
      <c r="I33" s="122" t="s">
        <v>306</v>
      </c>
    </row>
  </sheetData>
  <mergeCells count="2">
    <mergeCell ref="H4:I4"/>
    <mergeCell ref="H19:I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8458-D2E4-42FF-B804-F50CD671C01C}">
  <dimension ref="B3:D9"/>
  <sheetViews>
    <sheetView workbookViewId="0">
      <selection activeCell="B3" sqref="B3:D9"/>
    </sheetView>
  </sheetViews>
  <sheetFormatPr defaultRowHeight="14.4" x14ac:dyDescent="0.3"/>
  <cols>
    <col min="2" max="2" width="18.88671875" bestFit="1" customWidth="1"/>
  </cols>
  <sheetData>
    <row r="3" spans="2:4" x14ac:dyDescent="0.3">
      <c r="B3" t="s">
        <v>329</v>
      </c>
      <c r="C3">
        <v>8</v>
      </c>
      <c r="D3" t="s">
        <v>83</v>
      </c>
    </row>
    <row r="4" spans="2:4" x14ac:dyDescent="0.3">
      <c r="B4" t="s">
        <v>330</v>
      </c>
      <c r="C4">
        <v>30</v>
      </c>
      <c r="D4" t="s">
        <v>91</v>
      </c>
    </row>
    <row r="5" spans="2:4" x14ac:dyDescent="0.3">
      <c r="B5" t="s">
        <v>331</v>
      </c>
      <c r="C5">
        <v>40</v>
      </c>
      <c r="D5" t="s">
        <v>96</v>
      </c>
    </row>
    <row r="6" spans="2:4" x14ac:dyDescent="0.3">
      <c r="C6">
        <v>0.66</v>
      </c>
      <c r="D6" t="s">
        <v>333</v>
      </c>
    </row>
    <row r="7" spans="2:4" x14ac:dyDescent="0.3">
      <c r="B7" t="s">
        <v>334</v>
      </c>
      <c r="C7">
        <v>9</v>
      </c>
    </row>
    <row r="8" spans="2:4" x14ac:dyDescent="0.3">
      <c r="C8">
        <f>C7/C6</f>
        <v>13.636363636363635</v>
      </c>
    </row>
    <row r="9" spans="2:4" x14ac:dyDescent="0.3">
      <c r="B9" t="s">
        <v>335</v>
      </c>
      <c r="C9">
        <f>C4/C8</f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Basics</vt:lpstr>
      <vt:lpstr>Per Order Revenue distribution</vt:lpstr>
      <vt:lpstr>Fixed and Variable expense</vt:lpstr>
      <vt:lpstr>Calculations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2022-11-06T10:53:39Z</dcterms:created>
  <dcterms:modified xsi:type="dcterms:W3CDTF">2022-11-13T05:10:06Z</dcterms:modified>
</cp:coreProperties>
</file>