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48A9FF66-4C8F-4203-A3C1-4E76E1E50210}" xr6:coauthVersionLast="47" xr6:coauthVersionMax="47" xr10:uidLastSave="{00000000-0000-0000-0000-000000000000}"/>
  <bookViews>
    <workbookView xWindow="-96" yWindow="-96" windowWidth="20928" windowHeight="12432" activeTab="2" xr2:uid="{94B94BC7-FBC8-4BAC-A974-CA3E4662C848}"/>
  </bookViews>
  <sheets>
    <sheet name="france" sheetId="1" r:id="rId1"/>
    <sheet name="batavian republic" sheetId="18" r:id="rId2"/>
    <sheet name="united states" sheetId="2" r:id="rId3"/>
    <sheet name="buenaventu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6" i="2" l="1"/>
  <c r="L50" i="2"/>
  <c r="L62" i="2"/>
  <c r="J87" i="2"/>
  <c r="L69" i="2"/>
  <c r="L60" i="2"/>
  <c r="L56" i="2"/>
  <c r="L55" i="2"/>
  <c r="L53" i="2"/>
  <c r="L51" i="2"/>
  <c r="L70" i="2"/>
  <c r="K43" i="2"/>
  <c r="K42" i="2"/>
  <c r="C97" i="2"/>
  <c r="C93" i="2"/>
  <c r="C94" i="2"/>
  <c r="C91" i="2"/>
  <c r="B58" i="1"/>
  <c r="C58" i="1" s="1"/>
  <c r="C59" i="1"/>
  <c r="C60" i="1"/>
  <c r="C61" i="1"/>
  <c r="C57" i="1"/>
  <c r="C62" i="1"/>
  <c r="K18" i="4"/>
  <c r="E4" i="18"/>
  <c r="E3" i="18"/>
  <c r="B5" i="18" s="1"/>
  <c r="B6" i="18" s="1"/>
  <c r="C96" i="2" l="1"/>
  <c r="C79" i="2"/>
  <c r="C92" i="2" s="1"/>
  <c r="L79" i="2"/>
  <c r="C23" i="4"/>
  <c r="K24" i="4"/>
  <c r="K23" i="4"/>
  <c r="L76" i="2"/>
  <c r="L74" i="2"/>
  <c r="L52" i="2"/>
  <c r="L77" i="2"/>
  <c r="L75" i="2"/>
  <c r="L73" i="2"/>
  <c r="L71" i="2"/>
  <c r="L68" i="2"/>
  <c r="L67" i="2"/>
  <c r="L65" i="2"/>
  <c r="L64" i="2"/>
  <c r="L63" i="2"/>
  <c r="L61" i="2"/>
  <c r="L59" i="2"/>
  <c r="L58" i="2"/>
  <c r="L57" i="2"/>
  <c r="L49" i="2"/>
  <c r="L48" i="2"/>
  <c r="L47" i="2"/>
  <c r="L46" i="2"/>
  <c r="L45" i="2"/>
  <c r="L44" i="2"/>
  <c r="L43" i="2"/>
  <c r="L42" i="2"/>
  <c r="L41" i="2"/>
  <c r="K77" i="2"/>
  <c r="K62" i="2"/>
  <c r="K60" i="2"/>
  <c r="K59" i="2"/>
  <c r="K41" i="2"/>
  <c r="K44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61" i="2"/>
  <c r="K63" i="2"/>
  <c r="K64" i="2"/>
  <c r="K65" i="2"/>
  <c r="K66" i="2"/>
  <c r="K67" i="2"/>
  <c r="K68" i="2"/>
  <c r="K69" i="2"/>
  <c r="K71" i="2"/>
  <c r="K73" i="2"/>
  <c r="K79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95" i="2" s="1"/>
  <c r="C50" i="1"/>
  <c r="B41" i="1"/>
  <c r="C41" i="1" s="1"/>
  <c r="C44" i="1"/>
  <c r="C43" i="1"/>
  <c r="C42" i="1"/>
  <c r="C45" i="1"/>
  <c r="C46" i="1"/>
  <c r="C47" i="1"/>
  <c r="C48" i="1"/>
  <c r="C49" i="1"/>
  <c r="C98" i="2" l="1"/>
  <c r="C29" i="4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3" i="1"/>
  <c r="F15" i="1"/>
  <c r="K16" i="1"/>
  <c r="K17" i="1"/>
  <c r="J17" i="1"/>
  <c r="J16" i="1"/>
  <c r="K14" i="1"/>
  <c r="J14" i="1"/>
  <c r="G28" i="1"/>
  <c r="C29" i="1" s="1"/>
  <c r="F7" i="2"/>
  <c r="B6" i="2"/>
  <c r="B33" i="1"/>
  <c r="F28" i="1"/>
  <c r="B29" i="1" s="1"/>
  <c r="C29" i="2" l="1"/>
  <c r="H9" i="4"/>
  <c r="E10" i="4" s="1"/>
  <c r="B34" i="2"/>
  <c r="B36" i="2"/>
  <c r="B37" i="2" s="1"/>
  <c r="G18" i="1"/>
  <c r="C22" i="2"/>
  <c r="B22" i="2"/>
  <c r="B32" i="2" s="1"/>
  <c r="B86" i="2" s="1"/>
  <c r="F18" i="1"/>
  <c r="G15" i="1"/>
  <c r="B19" i="1"/>
  <c r="B30" i="1" s="1"/>
  <c r="B34" i="1" s="1"/>
  <c r="B38" i="1" s="1"/>
  <c r="C32" i="2" l="1"/>
  <c r="C86" i="2" s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19" i="1"/>
  <c r="C30" i="1" s="1"/>
  <c r="C34" i="1" s="1"/>
  <c r="C38" i="1" s="1"/>
  <c r="E5" i="4" l="1"/>
  <c r="B12" i="4" s="1"/>
  <c r="B13" i="4" s="1"/>
  <c r="B31" i="4" s="1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G41" i="2" l="1"/>
  <c r="H41" i="2" s="1"/>
  <c r="H84" i="2" s="1"/>
</calcChain>
</file>

<file path=xl/sharedStrings.xml><?xml version="1.0" encoding="utf-8"?>
<sst xmlns="http://schemas.openxmlformats.org/spreadsheetml/2006/main" count="507" uniqueCount="270">
  <si>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</si>
  <si>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</si>
  <si>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</si>
  <si>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</si>
  <si>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</si>
  <si>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</si>
  <si>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</si>
  <si>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</si>
  <si>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</si>
  <si>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</si>
  <si>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</si>
  <si>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</si>
  <si>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</si>
  <si>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</si>
  <si>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</si>
  <si>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</si>
  <si>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</si>
  <si>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</si>
  <si>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</si>
  <si>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</si>
  <si>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</si>
  <si>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</si>
  <si>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</si>
  <si>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</si>
  <si>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</si>
  <si>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</si>
  <si>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</si>
  <si>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</si>
  <si>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</si>
  <si>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</si>
  <si>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</si>
  <si>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</si>
  <si>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</si>
  <si>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</si>
  <si>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</si>
  <si>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</si>
  <si>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</si>
  <si>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</si>
  <si>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</si>
  <si>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</si>
  <si>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</si>
  <si>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</si>
  <si>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</si>
  <si>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</si>
  <si>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</si>
  <si>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</si>
  <si>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</si>
  <si>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</si>
  <si>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</si>
  <si>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</si>
  <si>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</si>
  <si>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</si>
  <si>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</si>
  <si>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</si>
  <si>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</si>
  <si>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</si>
  <si>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</si>
  <si>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</si>
  <si>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</si>
  <si>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</si>
  <si>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</si>
  <si>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</si>
  <si>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</si>
  <si>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</si>
  <si>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</si>
  <si>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</si>
  <si>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</si>
  <si>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</si>
  <si>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</si>
  <si>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</si>
  <si>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</si>
  <si>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</si>
  <si>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</si>
  <si>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</si>
  <si>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</si>
  <si>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</si>
  <si>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</si>
  <si>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</si>
  <si>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</si>
  <si>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</si>
  <si>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</si>
  <si>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</si>
  <si>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</si>
  <si>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</si>
  <si>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</si>
  <si>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</si>
  <si>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</si>
  <si>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</si>
  <si>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</si>
  <si>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</si>
  <si>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</si>
  <si>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</si>
  <si>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</si>
  <si>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</si>
  <si>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</si>
  <si>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</si>
  <si>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</si>
  <si>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</si>
  <si>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</si>
  <si>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</si>
  <si>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</si>
  <si>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</si>
  <si>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</si>
  <si>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</si>
  <si>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</si>
  <si>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</si>
  <si>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</si>
  <si>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</si>
  <si>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</si>
  <si>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</si>
  <si>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</si>
  <si>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</si>
  <si>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</si>
  <si>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</si>
  <si>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</si>
  <si>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</si>
  <si>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</si>
  <si>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</si>
  <si>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</si>
  <si>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</si>
  <si>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</si>
  <si>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</si>
  <si>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</si>
  <si>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</si>
  <si>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</si>
  <si>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</si>
  <si>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</si>
  <si>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</si>
  <si>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</si>
  <si>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</si>
  <si>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</si>
  <si>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</si>
  <si>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</si>
  <si>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</si>
  <si>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</si>
  <si>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</si>
  <si>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</si>
  <si>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</si>
  <si>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</si>
  <si>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</si>
  <si>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</si>
  <si>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</si>
  <si>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New York City</t>
  </si>
  <si>
    <t>St. Louis</t>
  </si>
  <si>
    <t>Cincinnati</t>
  </si>
  <si>
    <t>Philadelphia</t>
  </si>
  <si>
    <t>Boston</t>
  </si>
  <si>
    <t>Richmond</t>
  </si>
  <si>
    <t>Memphis</t>
  </si>
  <si>
    <t>Washington[1]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</si>
  <si>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</si>
  <si>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</si>
  <si>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</si>
  <si>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</si>
  <si>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</si>
  <si>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</si>
  <si>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</si>
  <si>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</si>
  <si>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</si>
  <si>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</si>
  <si>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Persicia[3]</t>
  </si>
  <si>
    <t>Jersey City[4]</t>
  </si>
  <si>
    <t>Charleston</t>
  </si>
  <si>
    <t>Toledo</t>
  </si>
  <si>
    <t>Independence</t>
  </si>
  <si>
    <t>Baltimore</t>
  </si>
  <si>
    <t>Columbus</t>
  </si>
  <si>
    <t>Peoria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</si>
  <si>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</si>
  <si>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</si>
  <si>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</si>
  <si>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</si>
  <si>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</si>
  <si>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</si>
  <si>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</si>
  <si>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</si>
  <si>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</si>
  <si>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</si>
  <si>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</si>
  <si>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</si>
  <si>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</si>
  <si>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</si>
  <si>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</si>
  <si>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</si>
  <si>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</si>
  <si>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</si>
  <si>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</si>
  <si>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</si>
  <si>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</si>
  <si>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</si>
  <si>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</si>
  <si>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</si>
  <si>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</si>
  <si>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</si>
  <si>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</si>
  <si>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</si>
  <si>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Clinton[5]</t>
  </si>
  <si>
    <t>Concord[6]</t>
  </si>
  <si>
    <t>Lille[7]</t>
  </si>
  <si>
    <t>Millewackie</t>
  </si>
  <si>
    <t>Mobile</t>
  </si>
  <si>
    <t>Sioux City</t>
  </si>
  <si>
    <t>Nebraska</t>
  </si>
  <si>
    <t>Pensacola</t>
  </si>
  <si>
    <t>Wichata</t>
  </si>
  <si>
    <t>New York City[1]</t>
  </si>
  <si>
    <t>Washington[2]</t>
  </si>
  <si>
    <t>15,038,000[3]</t>
  </si>
  <si>
    <t>Persitia[4]</t>
  </si>
  <si>
    <t>Clinton[8]</t>
  </si>
  <si>
    <t>Concord[9]</t>
  </si>
  <si>
    <t>Miami[10]</t>
  </si>
  <si>
    <t>Vermillionville[11]</t>
  </si>
  <si>
    <t>Dorrville[12]</t>
  </si>
  <si>
    <t>Lille[13]</t>
  </si>
  <si>
    <t>Chattanooga</t>
  </si>
  <si>
    <t>Coatesbourg[14]</t>
  </si>
  <si>
    <t>Topequa</t>
  </si>
  <si>
    <t>Newark</t>
  </si>
  <si>
    <t>Segovia[15]</t>
  </si>
  <si>
    <t>Savannah</t>
  </si>
  <si>
    <t>Jersey City[5]</t>
  </si>
  <si>
    <t>23,785,000[6]</t>
  </si>
  <si>
    <t>Norfolk[7]</t>
  </si>
  <si>
    <t>Covington</t>
  </si>
  <si>
    <t>10,415,000[16]</t>
  </si>
  <si>
    <t>Alleghania</t>
  </si>
  <si>
    <t>Concord[10]</t>
  </si>
  <si>
    <t>Miami[11]</t>
  </si>
  <si>
    <t>Vermillionville[12]</t>
  </si>
  <si>
    <t>Rochester</t>
  </si>
  <si>
    <t>Dorrville[15]</t>
  </si>
  <si>
    <t>Lexington</t>
  </si>
  <si>
    <t>St. Anthony[17]</t>
  </si>
  <si>
    <t>Juniper</t>
  </si>
  <si>
    <t>5,942,000[18]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</si>
  <si>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</si>
  <si>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</si>
  <si>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</si>
  <si>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</si>
  <si>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</si>
  <si>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</si>
  <si>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</si>
  <si>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</si>
  <si>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</si>
  <si>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</si>
  <si>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</si>
  <si>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</si>
  <si>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</si>
  <si>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</si>
  <si>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</si>
  <si>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</si>
  <si>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</si>
  <si>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</si>
  <si>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</si>
  <si>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</si>
  <si>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</si>
  <si>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</si>
  <si>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</si>
  <si>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</si>
  <si>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Seventh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</si>
  <si>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</si>
  <si>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</si>
  <si>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</si>
  <si>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</si>
  <si>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</si>
  <si>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</si>
  <si>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Orleans, Arkansaw, Cimarron, Nibrasca, Kances, Pembina, Tahosa, Minasoa, Washingtonia, Cheyenne</t>
  </si>
  <si>
    <t>Lynchburg</t>
  </si>
  <si>
    <t>Fayetteville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</si>
</sst>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43" fontId="0" fillId="3" borderId="0" xfId="0" applyNumberFormat="1" applyFill="1"/>
    <xf numFmtId="164" fontId="0" fillId="3" borderId="0" xfId="0" applyNumberFormat="1" applyFill="1"/>
    <xf numFmtId="164" fontId="0" fillId="3" borderId="0" xfId="1" applyNumberFormat="1" applyFont="1" applyFill="1"/>
    <xf numFmtId="164" fontId="0" fillId="0" borderId="0" xfId="1" applyNumberFormat="1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2"/>
  <sheetViews>
    <sheetView topLeftCell="A28" workbookViewId="0">
      <selection activeCell="B57" sqref="B57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28" t="s">
        <v>19</v>
      </c>
      <c r="B1" s="28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75</v>
      </c>
      <c r="B6" s="1">
        <v>2148</v>
      </c>
      <c r="C6" s="1">
        <v>2210</v>
      </c>
    </row>
    <row r="7" spans="1:11" x14ac:dyDescent="0.55000000000000004">
      <c r="E7" t="s">
        <v>5</v>
      </c>
      <c r="F7" s="1">
        <v>2570</v>
      </c>
      <c r="G7" s="1">
        <v>2570</v>
      </c>
    </row>
    <row r="8" spans="1:11" x14ac:dyDescent="0.55000000000000004">
      <c r="F8" s="1"/>
      <c r="G8" s="1"/>
      <c r="I8" t="s">
        <v>39</v>
      </c>
      <c r="J8">
        <v>626.79999999999995</v>
      </c>
      <c r="K8">
        <v>626.79999999999995</v>
      </c>
    </row>
    <row r="9" spans="1:11" x14ac:dyDescent="0.55000000000000004">
      <c r="F9" s="1"/>
      <c r="G9" s="1"/>
      <c r="I9" t="s">
        <v>40</v>
      </c>
      <c r="J9">
        <v>642.37</v>
      </c>
      <c r="K9">
        <v>642.37</v>
      </c>
    </row>
    <row r="10" spans="1:11" x14ac:dyDescent="0.55000000000000004">
      <c r="F10" s="1"/>
      <c r="G10" s="1"/>
      <c r="I10" t="s">
        <v>41</v>
      </c>
      <c r="J10">
        <v>989.05</v>
      </c>
      <c r="K10">
        <v>989.05</v>
      </c>
    </row>
    <row r="11" spans="1:11" x14ac:dyDescent="0.55000000000000004">
      <c r="F11" s="1"/>
      <c r="G11" s="1"/>
      <c r="I11" t="s">
        <v>42</v>
      </c>
      <c r="J11">
        <v>782.18</v>
      </c>
      <c r="K11">
        <v>782.18</v>
      </c>
    </row>
    <row r="12" spans="1:11" x14ac:dyDescent="0.55000000000000004">
      <c r="F12" s="1"/>
      <c r="G12" s="1"/>
      <c r="I12" t="s">
        <v>43</v>
      </c>
      <c r="J12">
        <v>24.12</v>
      </c>
      <c r="K12">
        <v>24.12</v>
      </c>
    </row>
    <row r="13" spans="1:11" x14ac:dyDescent="0.55000000000000004">
      <c r="F13" s="1"/>
      <c r="G13" s="1"/>
      <c r="I13" t="s">
        <v>44</v>
      </c>
      <c r="J13">
        <v>26.34</v>
      </c>
      <c r="K13">
        <v>26.34</v>
      </c>
    </row>
    <row r="14" spans="1:11" x14ac:dyDescent="0.55000000000000004">
      <c r="F14" s="1"/>
      <c r="G14" s="1"/>
      <c r="I14" s="3" t="s">
        <v>45</v>
      </c>
      <c r="J14" s="3">
        <f>(1/4)*105.25</f>
        <v>26.3125</v>
      </c>
      <c r="K14" s="3">
        <f>(1/4)*105.25</f>
        <v>26.3125</v>
      </c>
    </row>
    <row r="15" spans="1:11" x14ac:dyDescent="0.55000000000000004">
      <c r="E15" t="s">
        <v>6</v>
      </c>
      <c r="F15" s="8">
        <f>19854.21-SUM(J8:J14)</f>
        <v>16737.037499999999</v>
      </c>
      <c r="G15" s="8">
        <f>19854.21-SUM(K8:K14)</f>
        <v>16737.037499999999</v>
      </c>
    </row>
    <row r="16" spans="1:11" x14ac:dyDescent="0.55000000000000004">
      <c r="F16" s="8"/>
      <c r="G16" s="8"/>
      <c r="I16" t="s">
        <v>46</v>
      </c>
      <c r="J16">
        <f>0.5*5289.81</f>
        <v>2644.9050000000002</v>
      </c>
      <c r="K16">
        <f>0.5*5289.81</f>
        <v>2644.9050000000002</v>
      </c>
    </row>
    <row r="17" spans="1:11" x14ac:dyDescent="0.55000000000000004">
      <c r="F17" s="8"/>
      <c r="G17" s="8"/>
      <c r="I17" t="s">
        <v>47</v>
      </c>
      <c r="J17">
        <f>0.6*7364.71</f>
        <v>4418.826</v>
      </c>
      <c r="K17">
        <f>0.6*7364.71</f>
        <v>4418.826</v>
      </c>
    </row>
    <row r="18" spans="1:11" x14ac:dyDescent="0.55000000000000004">
      <c r="E18" s="3" t="s">
        <v>8</v>
      </c>
      <c r="F18" s="3">
        <f>SUM(J16:J17)</f>
        <v>7063.7309999999998</v>
      </c>
      <c r="G18" s="3">
        <f>SUM(K16:K17)</f>
        <v>7063.7309999999998</v>
      </c>
    </row>
    <row r="19" spans="1:11" x14ac:dyDescent="0.55000000000000004">
      <c r="A19" t="s">
        <v>3</v>
      </c>
      <c r="B19" s="1">
        <f>SUM(F7:F18)</f>
        <v>26370.768499999998</v>
      </c>
      <c r="C19" s="1">
        <f>SUM(G7:G18)</f>
        <v>26370.768499999998</v>
      </c>
    </row>
    <row r="20" spans="1:11" x14ac:dyDescent="0.55000000000000004">
      <c r="E20" t="s">
        <v>9</v>
      </c>
      <c r="F20">
        <v>282.49</v>
      </c>
      <c r="G20">
        <v>282.49</v>
      </c>
    </row>
    <row r="21" spans="1:11" x14ac:dyDescent="0.55000000000000004">
      <c r="E21" t="s">
        <v>10</v>
      </c>
      <c r="F21" s="2">
        <v>3211.94</v>
      </c>
      <c r="G21" s="2">
        <v>3211.94</v>
      </c>
    </row>
    <row r="22" spans="1:11" x14ac:dyDescent="0.55000000000000004">
      <c r="E22" t="s">
        <v>11</v>
      </c>
      <c r="F22" s="2">
        <v>5224.49</v>
      </c>
      <c r="G22" s="2">
        <v>5224.49</v>
      </c>
    </row>
    <row r="23" spans="1:11" x14ac:dyDescent="0.55000000000000004">
      <c r="E23" t="s">
        <v>12</v>
      </c>
      <c r="F23" s="2">
        <v>1671.42</v>
      </c>
      <c r="G23" s="2">
        <v>1671.42</v>
      </c>
    </row>
    <row r="24" spans="1:11" x14ac:dyDescent="0.55000000000000004">
      <c r="E24" t="s">
        <v>13</v>
      </c>
      <c r="F24" s="2">
        <v>802.24</v>
      </c>
      <c r="G24" s="2">
        <v>802.24</v>
      </c>
    </row>
    <row r="25" spans="1:11" x14ac:dyDescent="0.55000000000000004">
      <c r="E25" t="s">
        <v>14</v>
      </c>
      <c r="F25" s="2">
        <v>838.51</v>
      </c>
      <c r="G25" s="2">
        <v>838.51</v>
      </c>
    </row>
    <row r="26" spans="1:11" x14ac:dyDescent="0.55000000000000004">
      <c r="E26" t="s">
        <v>15</v>
      </c>
      <c r="F26" s="2">
        <v>541</v>
      </c>
      <c r="G26" s="2">
        <v>541</v>
      </c>
    </row>
    <row r="27" spans="1:11" x14ac:dyDescent="0.55000000000000004">
      <c r="E27" t="s">
        <v>16</v>
      </c>
      <c r="F27" s="2">
        <v>89.55</v>
      </c>
      <c r="G27" s="2">
        <v>89.55</v>
      </c>
    </row>
    <row r="28" spans="1:11" x14ac:dyDescent="0.55000000000000004">
      <c r="E28" s="3" t="s">
        <v>17</v>
      </c>
      <c r="F28" s="3">
        <f>16.34+5.29+8.56+7.5+1.69+2.65</f>
        <v>42.029999999999994</v>
      </c>
      <c r="G28" s="3">
        <f>16.34+5.29+8.56+7.5+1.69+2.65</f>
        <v>42.029999999999994</v>
      </c>
    </row>
    <row r="29" spans="1:11" x14ac:dyDescent="0.55000000000000004">
      <c r="A29" s="3" t="s">
        <v>7</v>
      </c>
      <c r="B29" s="3">
        <f>SUM(F20:F28)</f>
        <v>12703.67</v>
      </c>
      <c r="C29" s="3">
        <f>SUM(G20:G28)</f>
        <v>12703.67</v>
      </c>
    </row>
    <row r="30" spans="1:11" ht="14.7" thickBot="1" x14ac:dyDescent="0.6">
      <c r="A30" s="4" t="s">
        <v>18</v>
      </c>
      <c r="B30" s="5">
        <f>SUM(B2:B29)</f>
        <v>625041.83850000007</v>
      </c>
      <c r="C30" s="5">
        <f>SUM(C2:C29)</f>
        <v>627130.63850000012</v>
      </c>
    </row>
    <row r="31" spans="1:11" ht="14.7" thickTop="1" x14ac:dyDescent="0.55000000000000004">
      <c r="E31" t="s">
        <v>20</v>
      </c>
      <c r="F31">
        <v>242</v>
      </c>
      <c r="G31">
        <v>242</v>
      </c>
    </row>
    <row r="32" spans="1:11" x14ac:dyDescent="0.55000000000000004">
      <c r="E32" s="3" t="s">
        <v>76</v>
      </c>
      <c r="F32" s="3">
        <v>500</v>
      </c>
      <c r="G32" s="3">
        <v>500</v>
      </c>
    </row>
    <row r="33" spans="1:7" x14ac:dyDescent="0.55000000000000004">
      <c r="A33" s="3" t="s">
        <v>21</v>
      </c>
      <c r="B33" s="3">
        <f>SUM(F31:F32)</f>
        <v>742</v>
      </c>
      <c r="C33" s="3">
        <f>SUM(G31:G32)</f>
        <v>742</v>
      </c>
    </row>
    <row r="34" spans="1:7" ht="14.7" thickBot="1" x14ac:dyDescent="0.6">
      <c r="A34" s="4" t="s">
        <v>22</v>
      </c>
      <c r="B34" s="5">
        <f>SUM(B30:B33)</f>
        <v>625783.83850000007</v>
      </c>
      <c r="C34" s="5">
        <f>SUM(C30:C33)</f>
        <v>627872.63850000012</v>
      </c>
    </row>
    <row r="35" spans="1:7" ht="14.7" thickTop="1" x14ac:dyDescent="0.55000000000000004"/>
    <row r="36" spans="1:7" x14ac:dyDescent="0.55000000000000004">
      <c r="A36" t="s">
        <v>63</v>
      </c>
      <c r="B36" s="11">
        <v>131324241</v>
      </c>
    </row>
    <row r="38" spans="1:7" x14ac:dyDescent="0.55000000000000004">
      <c r="A38" t="s">
        <v>64</v>
      </c>
      <c r="B38" s="12">
        <f>$B$36/B34</f>
        <v>209.85559696585227</v>
      </c>
      <c r="C38" s="12">
        <f>$B$36/C34</f>
        <v>209.15745160314066</v>
      </c>
    </row>
    <row r="40" spans="1:7" x14ac:dyDescent="0.55000000000000004">
      <c r="A40" t="s">
        <v>72</v>
      </c>
      <c r="B40" t="s">
        <v>73</v>
      </c>
      <c r="C40" t="s">
        <v>63</v>
      </c>
    </row>
    <row r="41" spans="1:7" x14ac:dyDescent="0.55000000000000004">
      <c r="A41" t="s">
        <v>248</v>
      </c>
      <c r="B41" s="14">
        <f>1-SUM(B42:B49)</f>
        <v>0.36399999999999999</v>
      </c>
      <c r="C41" s="15">
        <f>B$36*B41</f>
        <v>47802023.723999999</v>
      </c>
    </row>
    <row r="42" spans="1:7" x14ac:dyDescent="0.55000000000000004">
      <c r="A42" t="s">
        <v>74</v>
      </c>
      <c r="B42" s="13">
        <v>0.159</v>
      </c>
      <c r="C42" s="15">
        <f>B$36*B42</f>
        <v>20880554.319000002</v>
      </c>
    </row>
    <row r="43" spans="1:7" x14ac:dyDescent="0.55000000000000004">
      <c r="A43" t="s">
        <v>70</v>
      </c>
      <c r="B43" s="13">
        <v>0.106</v>
      </c>
      <c r="C43" s="15">
        <f>B$36*B43</f>
        <v>13920369.546</v>
      </c>
    </row>
    <row r="44" spans="1:7" x14ac:dyDescent="0.55000000000000004">
      <c r="A44" t="s">
        <v>71</v>
      </c>
      <c r="B44" s="13">
        <v>8.7999999999999995E-2</v>
      </c>
      <c r="C44" s="15">
        <f>B$36*B44</f>
        <v>11556533.207999999</v>
      </c>
    </row>
    <row r="45" spans="1:7" x14ac:dyDescent="0.55000000000000004">
      <c r="A45" t="s">
        <v>69</v>
      </c>
      <c r="B45" s="13">
        <v>5.1999999999999998E-2</v>
      </c>
      <c r="C45" s="15">
        <f t="shared" ref="C45:C49" si="0">B$36*B45</f>
        <v>6828860.5319999997</v>
      </c>
    </row>
    <row r="46" spans="1:7" x14ac:dyDescent="0.55000000000000004">
      <c r="A46" t="s">
        <v>68</v>
      </c>
      <c r="B46" s="13">
        <v>3.1E-2</v>
      </c>
      <c r="C46" s="15">
        <f t="shared" si="0"/>
        <v>4071051.4709999999</v>
      </c>
    </row>
    <row r="47" spans="1:7" x14ac:dyDescent="0.55000000000000004">
      <c r="A47" t="s">
        <v>67</v>
      </c>
      <c r="B47" s="13">
        <v>0.13100000000000001</v>
      </c>
      <c r="C47" s="15">
        <f t="shared" si="0"/>
        <v>17203475.571000002</v>
      </c>
      <c r="G47" s="13"/>
    </row>
    <row r="48" spans="1:7" x14ac:dyDescent="0.55000000000000004">
      <c r="A48" t="s">
        <v>66</v>
      </c>
      <c r="B48" s="13">
        <v>4.8000000000000001E-2</v>
      </c>
      <c r="C48" s="15">
        <f t="shared" si="0"/>
        <v>6303563.568</v>
      </c>
    </row>
    <row r="49" spans="1:3" x14ac:dyDescent="0.55000000000000004">
      <c r="A49" t="s">
        <v>65</v>
      </c>
      <c r="B49" s="13">
        <v>2.1000000000000001E-2</v>
      </c>
      <c r="C49" s="15">
        <f t="shared" si="0"/>
        <v>2757809.0610000002</v>
      </c>
    </row>
    <row r="50" spans="1:3" x14ac:dyDescent="0.55000000000000004">
      <c r="A50" t="s">
        <v>22</v>
      </c>
      <c r="B50" s="16">
        <v>1</v>
      </c>
      <c r="C50" s="15">
        <f>B$36*B50</f>
        <v>131324241</v>
      </c>
    </row>
    <row r="55" spans="1:3" x14ac:dyDescent="0.55000000000000004">
      <c r="A55" s="28" t="s">
        <v>70</v>
      </c>
      <c r="B55" s="28"/>
      <c r="C55" s="28"/>
    </row>
    <row r="56" spans="1:3" x14ac:dyDescent="0.55000000000000004">
      <c r="A56" t="s">
        <v>72</v>
      </c>
      <c r="B56" t="s">
        <v>73</v>
      </c>
      <c r="C56" t="s">
        <v>63</v>
      </c>
    </row>
    <row r="57" spans="1:3" x14ac:dyDescent="0.55000000000000004">
      <c r="A57" t="s">
        <v>249</v>
      </c>
      <c r="B57" s="13">
        <v>0.43099999999999999</v>
      </c>
      <c r="C57" s="15">
        <f>B57*$C$62</f>
        <v>5999679.2743260004</v>
      </c>
    </row>
    <row r="58" spans="1:3" x14ac:dyDescent="0.55000000000000004">
      <c r="A58" t="s">
        <v>250</v>
      </c>
      <c r="B58" s="13">
        <f>1-(B57+SUM(B59:B61))</f>
        <v>0.373</v>
      </c>
      <c r="C58" s="15">
        <f t="shared" ref="C58:C61" si="1">B58*$C$62</f>
        <v>5192297.8406579997</v>
      </c>
    </row>
    <row r="59" spans="1:3" x14ac:dyDescent="0.55000000000000004">
      <c r="A59" t="s">
        <v>251</v>
      </c>
      <c r="B59" s="13">
        <v>7.5999999999999998E-2</v>
      </c>
      <c r="C59" s="15">
        <f t="shared" si="1"/>
        <v>1057948.085496</v>
      </c>
    </row>
    <row r="60" spans="1:3" x14ac:dyDescent="0.55000000000000004">
      <c r="A60" t="s">
        <v>252</v>
      </c>
      <c r="B60" s="13">
        <v>5.8999999999999997E-2</v>
      </c>
      <c r="C60" s="15">
        <f t="shared" si="1"/>
        <v>821301.80321399996</v>
      </c>
    </row>
    <row r="61" spans="1:3" x14ac:dyDescent="0.55000000000000004">
      <c r="A61" t="s">
        <v>65</v>
      </c>
      <c r="B61" s="13">
        <v>6.0999999999999999E-2</v>
      </c>
      <c r="C61" s="15">
        <f t="shared" si="1"/>
        <v>849142.54230600002</v>
      </c>
    </row>
    <row r="62" spans="1:3" x14ac:dyDescent="0.55000000000000004">
      <c r="A62" t="s">
        <v>22</v>
      </c>
      <c r="B62" s="16">
        <v>1</v>
      </c>
      <c r="C62" s="15">
        <f>C43</f>
        <v>13920369.546</v>
      </c>
    </row>
  </sheetData>
  <mergeCells count="2">
    <mergeCell ref="A1:B1"/>
    <mergeCell ref="A55:C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246</v>
      </c>
      <c r="B1" s="1">
        <v>41865</v>
      </c>
    </row>
    <row r="2" spans="1:5" x14ac:dyDescent="0.55000000000000004">
      <c r="A2" t="s">
        <v>247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france!C6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L255"/>
  <sheetViews>
    <sheetView tabSelected="1" topLeftCell="A67" workbookViewId="0">
      <selection activeCell="L67" sqref="L67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9.62890625" bestFit="1" customWidth="1"/>
    <col min="10" max="10" width="10.578125" bestFit="1" customWidth="1"/>
    <col min="11" max="11" width="12.15625" customWidth="1"/>
    <col min="12" max="12" width="10.83984375" bestFit="1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2" ht="14.7" thickTop="1" x14ac:dyDescent="0.55000000000000004"/>
    <row r="34" spans="1:12" x14ac:dyDescent="0.55000000000000004">
      <c r="A34" t="s">
        <v>123</v>
      </c>
      <c r="B34" s="12">
        <f>C84^(1/3)</f>
        <v>682.85635297076431</v>
      </c>
    </row>
    <row r="35" spans="1:12" x14ac:dyDescent="0.55000000000000004">
      <c r="A35" t="s">
        <v>118</v>
      </c>
      <c r="B35">
        <v>691</v>
      </c>
    </row>
    <row r="36" spans="1:12" x14ac:dyDescent="0.55000000000000004">
      <c r="A36" t="s">
        <v>119</v>
      </c>
      <c r="B36" s="15">
        <f>C84/B35</f>
        <v>460797.3950795948</v>
      </c>
    </row>
    <row r="37" spans="1:12" x14ac:dyDescent="0.55000000000000004">
      <c r="A37" t="s">
        <v>117</v>
      </c>
      <c r="B37" s="15">
        <f>B36+C37</f>
        <v>462797.3950795948</v>
      </c>
      <c r="C37">
        <v>2000</v>
      </c>
    </row>
    <row r="39" spans="1:12" x14ac:dyDescent="0.55000000000000004">
      <c r="A39" t="s">
        <v>124</v>
      </c>
      <c r="E39" t="s">
        <v>116</v>
      </c>
      <c r="K39" t="s">
        <v>170</v>
      </c>
    </row>
    <row r="40" spans="1:12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2" x14ac:dyDescent="0.55000000000000004">
      <c r="A41" s="22">
        <v>1</v>
      </c>
      <c r="B41" s="22" t="s">
        <v>77</v>
      </c>
      <c r="C41" s="23">
        <v>1519000</v>
      </c>
      <c r="D41" s="23"/>
      <c r="E41" s="24">
        <f t="shared" ref="E41:E82" si="0">C41/$B$37</f>
        <v>3.2822138070564395</v>
      </c>
      <c r="F41" s="25">
        <f t="shared" ref="F41:F83" si="1">FLOOR(E41,1)</f>
        <v>3</v>
      </c>
      <c r="G41" s="22">
        <f>SQRT(F41*(F41+1))</f>
        <v>3.4641016151377544</v>
      </c>
      <c r="H41" s="22">
        <f t="shared" ref="H41:H83" si="2">IF(E41&gt;G41,CEILING(E41,1),FLOOR(E41,1))</f>
        <v>3</v>
      </c>
      <c r="I41" s="22"/>
      <c r="J41" s="22"/>
      <c r="K41" s="23">
        <f>K125*0.075</f>
        <v>527850</v>
      </c>
      <c r="L41" s="23">
        <f>E208*0.075</f>
        <v>527850</v>
      </c>
    </row>
    <row r="42" spans="1:12" x14ac:dyDescent="0.55000000000000004">
      <c r="A42">
        <v>2</v>
      </c>
      <c r="B42" t="s">
        <v>78</v>
      </c>
      <c r="C42" s="1">
        <v>15634000</v>
      </c>
      <c r="D42" s="1"/>
      <c r="E42" s="12">
        <f t="shared" si="0"/>
        <v>33.781521171507819</v>
      </c>
      <c r="F42" s="15">
        <f t="shared" si="1"/>
        <v>33</v>
      </c>
      <c r="G42">
        <f t="shared" ref="G42:G83" si="3">SQRT(F42*(F42+1))</f>
        <v>33.496268448888451</v>
      </c>
      <c r="H42">
        <f t="shared" si="2"/>
        <v>34</v>
      </c>
      <c r="K42" s="11">
        <f>K125*0.75+K138*0.8</f>
        <v>8036100</v>
      </c>
      <c r="L42" s="11">
        <f>E208*0.75+E222*0.8</f>
        <v>8036100</v>
      </c>
    </row>
    <row r="43" spans="1:12" x14ac:dyDescent="0.55000000000000004">
      <c r="A43" s="22">
        <v>3</v>
      </c>
      <c r="B43" s="22" t="s">
        <v>79</v>
      </c>
      <c r="C43" s="23">
        <v>10637000</v>
      </c>
      <c r="D43" s="23"/>
      <c r="E43" s="24">
        <f t="shared" si="0"/>
        <v>22.984139740394568</v>
      </c>
      <c r="F43" s="25">
        <f t="shared" si="1"/>
        <v>22</v>
      </c>
      <c r="G43" s="22">
        <f t="shared" si="3"/>
        <v>22.494443758403985</v>
      </c>
      <c r="H43" s="22">
        <f t="shared" si="2"/>
        <v>23</v>
      </c>
      <c r="I43" s="22"/>
      <c r="J43" s="22"/>
      <c r="K43" s="26">
        <f>K122*0.15+K125*0.175</f>
        <v>4799400</v>
      </c>
      <c r="L43" s="26">
        <f>E205*0.15+E208*0.175</f>
        <v>4799400</v>
      </c>
    </row>
    <row r="44" spans="1:12" x14ac:dyDescent="0.55000000000000004">
      <c r="A44">
        <v>4</v>
      </c>
      <c r="B44" t="s">
        <v>80</v>
      </c>
      <c r="C44" s="1">
        <v>11511000</v>
      </c>
      <c r="D44" s="1"/>
      <c r="E44" s="12">
        <f t="shared" si="0"/>
        <v>24.872655123783197</v>
      </c>
      <c r="F44" s="15">
        <f t="shared" si="1"/>
        <v>24</v>
      </c>
      <c r="G44">
        <f t="shared" si="3"/>
        <v>24.494897427831781</v>
      </c>
      <c r="H44">
        <f t="shared" si="2"/>
        <v>25</v>
      </c>
      <c r="K44" s="1">
        <f>K139+K145*(1/3)</f>
        <v>5764333.333333333</v>
      </c>
      <c r="L44" s="1">
        <f>E224+E234*(1/3)+E251*0.7+E243*0.3</f>
        <v>6331333.333333333</v>
      </c>
    </row>
    <row r="45" spans="1:12" x14ac:dyDescent="0.55000000000000004">
      <c r="A45" s="22">
        <v>5</v>
      </c>
      <c r="B45" s="22" t="s">
        <v>81</v>
      </c>
      <c r="C45" s="23">
        <v>3646000</v>
      </c>
      <c r="D45" s="23"/>
      <c r="E45" s="24">
        <f t="shared" si="0"/>
        <v>7.8781774460354042</v>
      </c>
      <c r="F45" s="25">
        <f t="shared" si="1"/>
        <v>7</v>
      </c>
      <c r="G45" s="22">
        <f t="shared" si="3"/>
        <v>7.4833147735478827</v>
      </c>
      <c r="H45" s="22">
        <f t="shared" si="2"/>
        <v>8</v>
      </c>
      <c r="I45" s="22"/>
      <c r="J45" s="22"/>
      <c r="K45" s="26">
        <f>K122*0.1</f>
        <v>2378500</v>
      </c>
      <c r="L45" s="26">
        <f>E205*0.1</f>
        <v>2378500</v>
      </c>
    </row>
    <row r="46" spans="1:12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18.761989787143559</v>
      </c>
      <c r="F46" s="15">
        <f t="shared" si="1"/>
        <v>18</v>
      </c>
      <c r="G46">
        <f t="shared" si="3"/>
        <v>18.493242008906929</v>
      </c>
      <c r="H46">
        <f t="shared" si="2"/>
        <v>19</v>
      </c>
      <c r="K46" s="11">
        <f>K126*0.8</f>
        <v>5176800</v>
      </c>
      <c r="L46" s="11">
        <f>E209*0.8</f>
        <v>5176800</v>
      </c>
    </row>
    <row r="47" spans="1:12" x14ac:dyDescent="0.55000000000000004">
      <c r="A47" s="22">
        <v>7</v>
      </c>
      <c r="B47" s="22" t="s">
        <v>83</v>
      </c>
      <c r="C47" s="23">
        <v>4777000</v>
      </c>
      <c r="D47" s="23"/>
      <c r="E47" s="24">
        <f t="shared" si="0"/>
        <v>10.322011426141286</v>
      </c>
      <c r="F47" s="25">
        <f t="shared" si="1"/>
        <v>10</v>
      </c>
      <c r="G47" s="22">
        <f t="shared" si="3"/>
        <v>10.488088481701515</v>
      </c>
      <c r="H47" s="22">
        <f t="shared" si="2"/>
        <v>10</v>
      </c>
      <c r="I47" s="22"/>
      <c r="J47" s="22"/>
      <c r="K47" s="26">
        <f>K129*(2.5/9)+K148</f>
        <v>3775055.5555555555</v>
      </c>
      <c r="L47" s="26">
        <f>E212*(2.5/9)+E239</f>
        <v>3775055.5555555555</v>
      </c>
    </row>
    <row r="48" spans="1:12" x14ac:dyDescent="0.55000000000000004">
      <c r="A48">
        <v>8</v>
      </c>
      <c r="B48" t="s">
        <v>84</v>
      </c>
      <c r="C48" s="1">
        <v>9118000</v>
      </c>
      <c r="D48" s="1"/>
      <c r="E48" s="12">
        <f t="shared" si="0"/>
        <v>19.701925933338128</v>
      </c>
      <c r="F48" s="15">
        <f t="shared" si="1"/>
        <v>19</v>
      </c>
      <c r="G48">
        <f t="shared" si="3"/>
        <v>19.493588689617926</v>
      </c>
      <c r="H48">
        <f t="shared" si="2"/>
        <v>20</v>
      </c>
      <c r="K48" s="1">
        <f>K141</f>
        <v>6491000</v>
      </c>
      <c r="L48" s="1">
        <f>E223+E251*0.3</f>
        <v>6606300</v>
      </c>
    </row>
    <row r="49" spans="1:12" x14ac:dyDescent="0.55000000000000004">
      <c r="A49" s="22">
        <v>9</v>
      </c>
      <c r="B49" s="22" t="s">
        <v>85</v>
      </c>
      <c r="C49" s="23">
        <v>1744000</v>
      </c>
      <c r="D49" s="23"/>
      <c r="E49" s="24">
        <f t="shared" si="0"/>
        <v>3.7683876757777686</v>
      </c>
      <c r="F49" s="25">
        <f t="shared" si="1"/>
        <v>3</v>
      </c>
      <c r="G49" s="22">
        <f t="shared" si="3"/>
        <v>3.4641016151377544</v>
      </c>
      <c r="H49" s="22">
        <f t="shared" si="2"/>
        <v>4</v>
      </c>
      <c r="I49" s="22"/>
      <c r="J49" s="22"/>
      <c r="K49" s="26">
        <f>K126*0.075</f>
        <v>485325</v>
      </c>
      <c r="L49" s="26">
        <f>E209*0.075</f>
        <v>485325</v>
      </c>
    </row>
    <row r="50" spans="1:12" x14ac:dyDescent="0.55000000000000004">
      <c r="A50">
        <v>10</v>
      </c>
      <c r="B50" t="s">
        <v>86</v>
      </c>
      <c r="C50" s="1">
        <v>19141000</v>
      </c>
      <c r="D50" s="1"/>
      <c r="E50" s="12">
        <f t="shared" si="0"/>
        <v>41.359351205310936</v>
      </c>
      <c r="F50" s="15">
        <f t="shared" si="1"/>
        <v>41</v>
      </c>
      <c r="G50">
        <f t="shared" si="3"/>
        <v>41.496987842492857</v>
      </c>
      <c r="H50">
        <f t="shared" si="2"/>
        <v>41</v>
      </c>
      <c r="K50" s="11">
        <f>K127+K129*(2.5/9)</f>
        <v>10099055.555555556</v>
      </c>
      <c r="L50" s="11">
        <f>E210+E212*(3/9)+E227*0.8+E229</f>
        <v>16876666.666666664</v>
      </c>
    </row>
    <row r="51" spans="1:12" x14ac:dyDescent="0.55000000000000004">
      <c r="A51" s="22">
        <v>11</v>
      </c>
      <c r="B51" s="22" t="s">
        <v>87</v>
      </c>
      <c r="C51" s="23">
        <v>39239000</v>
      </c>
      <c r="D51" s="23"/>
      <c r="E51" s="24">
        <f t="shared" si="0"/>
        <v>84.786561932249924</v>
      </c>
      <c r="F51" s="25">
        <f t="shared" si="1"/>
        <v>84</v>
      </c>
      <c r="G51" s="22">
        <f t="shared" si="3"/>
        <v>84.498520697110436</v>
      </c>
      <c r="H51" s="22">
        <f t="shared" si="2"/>
        <v>85</v>
      </c>
      <c r="I51" s="22"/>
      <c r="J51" s="22"/>
      <c r="K51" s="26">
        <f>K122*0.75+K132</f>
        <v>22651750</v>
      </c>
      <c r="L51" s="26">
        <f>E205*0.75+E215+E248</f>
        <v>24289750</v>
      </c>
    </row>
    <row r="52" spans="1:12" x14ac:dyDescent="0.55000000000000004">
      <c r="A52">
        <v>12</v>
      </c>
      <c r="B52" t="s">
        <v>88</v>
      </c>
      <c r="C52" s="1">
        <v>12511000</v>
      </c>
      <c r="D52" s="1"/>
      <c r="E52" s="12">
        <f t="shared" si="0"/>
        <v>27.033427873655771</v>
      </c>
      <c r="F52" s="15">
        <f t="shared" si="1"/>
        <v>27</v>
      </c>
      <c r="G52">
        <f t="shared" si="3"/>
        <v>27.495454169735041</v>
      </c>
      <c r="H52">
        <f t="shared" si="2"/>
        <v>27</v>
      </c>
      <c r="K52" s="1">
        <f>K152</f>
        <v>2461000</v>
      </c>
      <c r="L52" s="1">
        <f>E233+E227*0.2+E242</f>
        <v>6583000</v>
      </c>
    </row>
    <row r="53" spans="1:12" x14ac:dyDescent="0.55000000000000004">
      <c r="A53" s="22">
        <v>13</v>
      </c>
      <c r="B53" s="22" t="s">
        <v>89</v>
      </c>
      <c r="C53" s="23">
        <v>1098000</v>
      </c>
      <c r="D53" s="23"/>
      <c r="E53" s="24">
        <f t="shared" si="0"/>
        <v>2.3725284793600858</v>
      </c>
      <c r="F53" s="25">
        <f t="shared" si="1"/>
        <v>2</v>
      </c>
      <c r="G53" s="22">
        <f t="shared" si="3"/>
        <v>2.4494897427831779</v>
      </c>
      <c r="H53" s="22">
        <f t="shared" si="2"/>
        <v>2</v>
      </c>
      <c r="I53" s="22"/>
      <c r="J53" s="22"/>
      <c r="K53" s="26">
        <f>K126*0.125</f>
        <v>808875</v>
      </c>
      <c r="L53" s="26">
        <f>E209*0.125</f>
        <v>808875</v>
      </c>
    </row>
    <row r="54" spans="1:12" x14ac:dyDescent="0.55000000000000004">
      <c r="A54">
        <v>14</v>
      </c>
      <c r="B54" t="s">
        <v>90</v>
      </c>
      <c r="C54" s="1">
        <v>847000</v>
      </c>
      <c r="D54" s="1"/>
      <c r="E54" s="12">
        <f t="shared" si="0"/>
        <v>1.83017451914207</v>
      </c>
      <c r="F54" s="15">
        <f t="shared" si="1"/>
        <v>1</v>
      </c>
      <c r="G54">
        <f t="shared" si="3"/>
        <v>1.4142135623730951</v>
      </c>
      <c r="H54">
        <f t="shared" si="2"/>
        <v>2</v>
      </c>
    </row>
    <row r="55" spans="1:12" x14ac:dyDescent="0.55000000000000004">
      <c r="A55" s="22">
        <v>15</v>
      </c>
      <c r="B55" s="22" t="s">
        <v>91</v>
      </c>
      <c r="C55" s="23">
        <v>9421000</v>
      </c>
      <c r="D55" s="23"/>
      <c r="E55" s="24">
        <f t="shared" si="0"/>
        <v>20.356640076549517</v>
      </c>
      <c r="F55" s="25">
        <f t="shared" si="1"/>
        <v>20</v>
      </c>
      <c r="G55" s="22">
        <f t="shared" si="3"/>
        <v>20.493901531919196</v>
      </c>
      <c r="H55" s="22">
        <f t="shared" si="2"/>
        <v>20</v>
      </c>
      <c r="I55" s="22"/>
      <c r="J55" s="22"/>
      <c r="K55" s="26">
        <f>K124*0.1+K135*0.8</f>
        <v>4234300</v>
      </c>
      <c r="L55" s="26">
        <f>E207*0.1+E218*0.8+E253</f>
        <v>5227300</v>
      </c>
    </row>
    <row r="56" spans="1:12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22.644898418664575</v>
      </c>
      <c r="F56" s="15">
        <f t="shared" si="1"/>
        <v>22</v>
      </c>
      <c r="G56">
        <f t="shared" si="3"/>
        <v>22.494443758403985</v>
      </c>
      <c r="H56">
        <f t="shared" si="2"/>
        <v>23</v>
      </c>
      <c r="K56" s="11">
        <f>K128*0.8</f>
        <v>5558400</v>
      </c>
      <c r="L56" s="11">
        <f>E211*0.8</f>
        <v>5558400</v>
      </c>
    </row>
    <row r="57" spans="1:12" x14ac:dyDescent="0.55000000000000004">
      <c r="A57" s="22">
        <v>17</v>
      </c>
      <c r="B57" s="22" t="s">
        <v>93</v>
      </c>
      <c r="C57" s="23">
        <v>23456000</v>
      </c>
      <c r="D57" s="23"/>
      <c r="E57" s="24">
        <f t="shared" si="0"/>
        <v>50.683085621011088</v>
      </c>
      <c r="F57" s="25">
        <f t="shared" si="1"/>
        <v>50</v>
      </c>
      <c r="G57" s="22">
        <f t="shared" si="3"/>
        <v>50.497524691810391</v>
      </c>
      <c r="H57" s="22">
        <f t="shared" si="2"/>
        <v>51</v>
      </c>
      <c r="I57" s="22"/>
      <c r="J57" s="22"/>
      <c r="K57" s="26">
        <f>K124*0.8+K134+K138*0.2+K150+K144*0.3</f>
        <v>15797500</v>
      </c>
      <c r="L57" s="26">
        <f>E207*0.8+E217+E222*0.2+E241+E231*0.3</f>
        <v>15592000</v>
      </c>
    </row>
    <row r="58" spans="1:12" x14ac:dyDescent="0.55000000000000004">
      <c r="A58">
        <v>18</v>
      </c>
      <c r="B58" t="s">
        <v>94</v>
      </c>
      <c r="C58" s="1">
        <v>9102000</v>
      </c>
      <c r="D58" s="1"/>
      <c r="E58" s="12">
        <f t="shared" si="0"/>
        <v>19.667353569340165</v>
      </c>
      <c r="F58" s="15">
        <f t="shared" si="1"/>
        <v>19</v>
      </c>
      <c r="G58">
        <f t="shared" si="3"/>
        <v>19.493588689617926</v>
      </c>
      <c r="H58">
        <f t="shared" si="2"/>
        <v>20</v>
      </c>
      <c r="K58" s="1">
        <f>K153+K143+(K124*0.1)+K142*0.6</f>
        <v>6915700</v>
      </c>
      <c r="L58" s="1">
        <f>E245+E230+(E207*0.1)+E228*0.6</f>
        <v>6915700</v>
      </c>
    </row>
    <row r="59" spans="1:12" x14ac:dyDescent="0.55000000000000004">
      <c r="A59" s="22">
        <v>19</v>
      </c>
      <c r="B59" s="22" t="s">
        <v>95</v>
      </c>
      <c r="C59" s="23">
        <v>5302000</v>
      </c>
      <c r="D59" s="23"/>
      <c r="E59" s="24">
        <f t="shared" si="0"/>
        <v>11.456417119824387</v>
      </c>
      <c r="F59" s="25">
        <f t="shared" si="1"/>
        <v>11</v>
      </c>
      <c r="G59" s="22">
        <f t="shared" si="3"/>
        <v>11.489125293076057</v>
      </c>
      <c r="H59" s="22">
        <f t="shared" si="2"/>
        <v>11</v>
      </c>
      <c r="I59" s="22"/>
      <c r="J59" s="22"/>
      <c r="K59" s="26">
        <f>K128*0.1+K146*0.9</f>
        <v>2430900</v>
      </c>
      <c r="L59" s="26">
        <f>E211*0.1+E235*0.9</f>
        <v>2790900</v>
      </c>
    </row>
    <row r="60" spans="1:12" x14ac:dyDescent="0.55000000000000004">
      <c r="A60">
        <v>20</v>
      </c>
      <c r="B60" t="s">
        <v>96</v>
      </c>
      <c r="C60" s="1">
        <v>6903000</v>
      </c>
      <c r="D60" s="1"/>
      <c r="E60" s="12">
        <f t="shared" si="0"/>
        <v>14.915814292370376</v>
      </c>
      <c r="F60" s="15">
        <f t="shared" si="1"/>
        <v>14</v>
      </c>
      <c r="G60">
        <f t="shared" si="3"/>
        <v>14.491376746189438</v>
      </c>
      <c r="H60">
        <f t="shared" si="2"/>
        <v>15</v>
      </c>
      <c r="K60" s="11">
        <f>K123*(1/3)+K151+K142*0.1+K149*0.7</f>
        <v>8023766.666666666</v>
      </c>
      <c r="L60" s="11">
        <f>E206*(1/3)+E228*0.1+E240*0.3</f>
        <v>5776966.666666666</v>
      </c>
    </row>
    <row r="61" spans="1:12" x14ac:dyDescent="0.55000000000000004">
      <c r="A61" s="22">
        <v>21</v>
      </c>
      <c r="B61" s="22" t="s">
        <v>97</v>
      </c>
      <c r="C61" s="23">
        <v>1501000</v>
      </c>
      <c r="D61" s="23"/>
      <c r="E61" s="24">
        <f t="shared" si="0"/>
        <v>3.2433198975587332</v>
      </c>
      <c r="F61" s="25">
        <f t="shared" si="1"/>
        <v>3</v>
      </c>
      <c r="G61" s="22">
        <f t="shared" si="3"/>
        <v>3.4641016151377544</v>
      </c>
      <c r="H61" s="22">
        <f t="shared" si="2"/>
        <v>3</v>
      </c>
      <c r="I61" s="22"/>
      <c r="J61" s="22"/>
      <c r="K61" s="26">
        <f>K146*0.1</f>
        <v>192900</v>
      </c>
      <c r="L61" s="26">
        <f>E225*0.2+E236*0.1</f>
        <v>532300</v>
      </c>
    </row>
    <row r="62" spans="1:12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25.093053944270199</v>
      </c>
      <c r="F62" s="15">
        <f t="shared" si="1"/>
        <v>25</v>
      </c>
      <c r="G62">
        <f t="shared" si="3"/>
        <v>25.495097567963924</v>
      </c>
      <c r="H62">
        <f t="shared" si="2"/>
        <v>25</v>
      </c>
      <c r="K62" s="11">
        <f>K130*0.6</f>
        <v>4045800</v>
      </c>
      <c r="L62" s="11">
        <f>E213*0.6+E232+E244*0.9</f>
        <v>9099400</v>
      </c>
    </row>
    <row r="63" spans="1:12" x14ac:dyDescent="0.55000000000000004">
      <c r="A63" s="22">
        <v>23</v>
      </c>
      <c r="B63" s="22" t="s">
        <v>99</v>
      </c>
      <c r="C63" s="23">
        <v>8881000</v>
      </c>
      <c r="D63" s="23"/>
      <c r="E63" s="24">
        <f t="shared" si="0"/>
        <v>19.189822791618326</v>
      </c>
      <c r="F63" s="25">
        <f t="shared" si="1"/>
        <v>19</v>
      </c>
      <c r="G63" s="22">
        <f t="shared" si="3"/>
        <v>19.493588689617926</v>
      </c>
      <c r="H63" s="22">
        <f t="shared" si="2"/>
        <v>19</v>
      </c>
      <c r="I63" s="22"/>
      <c r="J63" s="22"/>
      <c r="K63" s="26">
        <f>K144*0.7</f>
        <v>2972900</v>
      </c>
      <c r="L63" s="26">
        <f>E231*0.7</f>
        <v>2493400</v>
      </c>
    </row>
    <row r="64" spans="1:12" x14ac:dyDescent="0.55000000000000004">
      <c r="A64">
        <v>24</v>
      </c>
      <c r="B64" t="s">
        <v>100</v>
      </c>
      <c r="C64" s="1">
        <v>22203000</v>
      </c>
      <c r="D64" s="1"/>
      <c r="E64" s="12">
        <f t="shared" si="0"/>
        <v>47.975637365420752</v>
      </c>
      <c r="F64" s="15">
        <f t="shared" si="1"/>
        <v>47</v>
      </c>
      <c r="G64">
        <f t="shared" si="3"/>
        <v>47.497368348151667</v>
      </c>
      <c r="H64">
        <f t="shared" si="2"/>
        <v>48</v>
      </c>
      <c r="K64" s="27">
        <f>K123*(2/3)+K147*(2/3)</f>
        <v>13566666.666666664</v>
      </c>
      <c r="L64" s="27">
        <f>E206*(2/3)+E238*(2/3)</f>
        <v>13566666.666666664</v>
      </c>
    </row>
    <row r="65" spans="1:12" x14ac:dyDescent="0.55000000000000004">
      <c r="A65" s="22">
        <v>25</v>
      </c>
      <c r="B65" s="22" t="s">
        <v>101</v>
      </c>
      <c r="C65" s="23">
        <v>7294000</v>
      </c>
      <c r="D65" s="23"/>
      <c r="E65" s="24">
        <f t="shared" si="0"/>
        <v>15.760676437570552</v>
      </c>
      <c r="F65" s="25">
        <f t="shared" si="1"/>
        <v>15</v>
      </c>
      <c r="G65" s="22">
        <f t="shared" si="3"/>
        <v>15.491933384829668</v>
      </c>
      <c r="H65" s="22">
        <f t="shared" si="2"/>
        <v>16</v>
      </c>
      <c r="I65" s="22"/>
      <c r="J65" s="22"/>
      <c r="K65" s="23">
        <f>K149+K137*0.3+K142</f>
        <v>4613600</v>
      </c>
      <c r="L65" s="23">
        <f>E221+E240*0.7</f>
        <v>3499400</v>
      </c>
    </row>
    <row r="66" spans="1:12" x14ac:dyDescent="0.55000000000000004">
      <c r="A66">
        <v>26</v>
      </c>
      <c r="B66" t="s">
        <v>102</v>
      </c>
      <c r="C66" s="1">
        <v>3526000</v>
      </c>
      <c r="D66" s="1"/>
      <c r="E66" s="12">
        <f t="shared" si="0"/>
        <v>7.6188847160506947</v>
      </c>
      <c r="F66" s="15">
        <f t="shared" si="1"/>
        <v>7</v>
      </c>
      <c r="G66">
        <f t="shared" si="3"/>
        <v>7.4833147735478827</v>
      </c>
      <c r="H66">
        <f t="shared" si="2"/>
        <v>8</v>
      </c>
      <c r="K66" s="11">
        <f>K128*0.1</f>
        <v>694800</v>
      </c>
      <c r="L66" s="11">
        <f>E211*0.1+E244*0.1</f>
        <v>876200</v>
      </c>
    </row>
    <row r="67" spans="1:12" x14ac:dyDescent="0.55000000000000004">
      <c r="A67" s="22">
        <v>27</v>
      </c>
      <c r="B67" s="22" t="s">
        <v>103</v>
      </c>
      <c r="C67" s="23">
        <v>8562000</v>
      </c>
      <c r="D67" s="23"/>
      <c r="E67" s="24">
        <f t="shared" si="0"/>
        <v>18.500536284408977</v>
      </c>
      <c r="F67" s="25">
        <f t="shared" si="1"/>
        <v>18</v>
      </c>
      <c r="G67" s="22">
        <f t="shared" si="3"/>
        <v>18.493242008906929</v>
      </c>
      <c r="H67" s="22">
        <f t="shared" si="2"/>
        <v>19</v>
      </c>
      <c r="I67" s="22"/>
      <c r="J67" s="22"/>
      <c r="K67" s="26">
        <f>K130*0.4</f>
        <v>2697200</v>
      </c>
      <c r="L67" s="26">
        <f>E213*0.4+E225*0.8+E236*0.9</f>
        <v>5651900</v>
      </c>
    </row>
    <row r="68" spans="1:12" x14ac:dyDescent="0.55000000000000004">
      <c r="A68">
        <v>28</v>
      </c>
      <c r="B68" t="s">
        <v>234</v>
      </c>
      <c r="C68" s="1">
        <v>3443000</v>
      </c>
      <c r="D68" s="1"/>
      <c r="E68" s="12">
        <f t="shared" si="0"/>
        <v>7.4395405778112718</v>
      </c>
      <c r="F68" s="15">
        <f t="shared" si="1"/>
        <v>7</v>
      </c>
      <c r="G68">
        <f t="shared" si="3"/>
        <v>7.4833147735478827</v>
      </c>
      <c r="H68">
        <f t="shared" si="2"/>
        <v>7</v>
      </c>
      <c r="K68" s="11">
        <f>K131*(1/3)</f>
        <v>1980666.6666666665</v>
      </c>
      <c r="L68" s="11">
        <f>E214*(1/3)</f>
        <v>1980666.6666666665</v>
      </c>
    </row>
    <row r="69" spans="1:12" x14ac:dyDescent="0.55000000000000004">
      <c r="A69" s="22">
        <v>29</v>
      </c>
      <c r="B69" s="22" t="s">
        <v>104</v>
      </c>
      <c r="C69" s="23">
        <v>5337000</v>
      </c>
      <c r="D69" s="23"/>
      <c r="E69" s="24">
        <f t="shared" si="0"/>
        <v>11.532044166069927</v>
      </c>
      <c r="F69" s="25">
        <f t="shared" si="1"/>
        <v>11</v>
      </c>
      <c r="G69" s="22">
        <f t="shared" si="3"/>
        <v>11.489125293076057</v>
      </c>
      <c r="H69" s="22">
        <f t="shared" si="2"/>
        <v>12</v>
      </c>
      <c r="I69" s="22"/>
      <c r="J69" s="22"/>
      <c r="K69" s="26">
        <f>K131*(2/3)</f>
        <v>3961333.333333333</v>
      </c>
      <c r="L69" s="26">
        <f>E214*(2/3)</f>
        <v>3961333.333333333</v>
      </c>
    </row>
    <row r="70" spans="1:12" x14ac:dyDescent="0.55000000000000004">
      <c r="A70">
        <v>30</v>
      </c>
      <c r="B70" t="s">
        <v>266</v>
      </c>
      <c r="C70" s="1">
        <v>2234000</v>
      </c>
      <c r="D70" s="1"/>
      <c r="E70" s="12">
        <f t="shared" si="0"/>
        <v>4.8271663232153301</v>
      </c>
      <c r="F70" s="15">
        <f t="shared" si="1"/>
        <v>4</v>
      </c>
      <c r="G70">
        <f t="shared" si="3"/>
        <v>4.4721359549995796</v>
      </c>
      <c r="H70">
        <f t="shared" si="2"/>
        <v>5</v>
      </c>
      <c r="L70" s="1">
        <f>E247</f>
        <v>1248000</v>
      </c>
    </row>
    <row r="71" spans="1:12" x14ac:dyDescent="0.55000000000000004">
      <c r="A71" s="22">
        <v>31</v>
      </c>
      <c r="B71" s="22" t="s">
        <v>195</v>
      </c>
      <c r="C71" s="23">
        <v>8321000</v>
      </c>
      <c r="D71" s="23"/>
      <c r="E71" s="24">
        <f t="shared" si="0"/>
        <v>17.979790051689687</v>
      </c>
      <c r="F71" s="25">
        <f t="shared" si="1"/>
        <v>17</v>
      </c>
      <c r="G71" s="22">
        <f t="shared" si="3"/>
        <v>17.4928556845359</v>
      </c>
      <c r="H71" s="22">
        <f t="shared" si="2"/>
        <v>18</v>
      </c>
      <c r="I71" s="22"/>
      <c r="J71" s="22"/>
      <c r="K71" s="26">
        <f>K147*(1/3)</f>
        <v>1770666.6666666665</v>
      </c>
      <c r="L71" s="26">
        <f>E238*(1/3)+E237+E246</f>
        <v>5658666.666666666</v>
      </c>
    </row>
    <row r="72" spans="1:12" x14ac:dyDescent="0.55000000000000004">
      <c r="A72">
        <v>32</v>
      </c>
      <c r="B72" t="s">
        <v>105</v>
      </c>
      <c r="C72" s="1">
        <v>872000</v>
      </c>
      <c r="D72" s="1"/>
      <c r="E72" s="12">
        <f t="shared" si="0"/>
        <v>1.8841938378888843</v>
      </c>
      <c r="F72" s="15">
        <f t="shared" si="1"/>
        <v>1</v>
      </c>
      <c r="G72">
        <f t="shared" si="3"/>
        <v>1.4142135623730951</v>
      </c>
      <c r="H72">
        <f t="shared" si="2"/>
        <v>2</v>
      </c>
    </row>
    <row r="73" spans="1:12" x14ac:dyDescent="0.55000000000000004">
      <c r="A73" s="22">
        <v>33</v>
      </c>
      <c r="B73" s="22" t="s">
        <v>106</v>
      </c>
      <c r="C73" s="23">
        <v>4912000</v>
      </c>
      <c r="D73" s="23"/>
      <c r="E73" s="24">
        <f t="shared" si="0"/>
        <v>10.613715747374082</v>
      </c>
      <c r="F73" s="25">
        <f t="shared" si="1"/>
        <v>10</v>
      </c>
      <c r="G73" s="22">
        <f t="shared" si="3"/>
        <v>10.488088481701515</v>
      </c>
      <c r="H73" s="22">
        <f t="shared" si="2"/>
        <v>11</v>
      </c>
      <c r="I73" s="22"/>
      <c r="J73" s="22"/>
      <c r="K73" s="23">
        <f>K133</f>
        <v>4428000</v>
      </c>
      <c r="L73" s="23">
        <f>E216</f>
        <v>4428000</v>
      </c>
    </row>
    <row r="74" spans="1:12" x14ac:dyDescent="0.55000000000000004">
      <c r="A74">
        <v>34</v>
      </c>
      <c r="B74" t="s">
        <v>226</v>
      </c>
      <c r="C74" s="1">
        <v>1683000</v>
      </c>
      <c r="D74" s="1"/>
      <c r="E74" s="12">
        <f t="shared" si="0"/>
        <v>3.6365805380355418</v>
      </c>
      <c r="F74" s="15">
        <f t="shared" si="1"/>
        <v>3</v>
      </c>
      <c r="G74">
        <f t="shared" si="3"/>
        <v>3.4641016151377544</v>
      </c>
      <c r="H74">
        <f t="shared" si="2"/>
        <v>4</v>
      </c>
      <c r="L74" s="1">
        <f>E255</f>
        <v>670000</v>
      </c>
    </row>
    <row r="75" spans="1:12" x14ac:dyDescent="0.55000000000000004">
      <c r="A75" s="22">
        <v>35</v>
      </c>
      <c r="B75" s="22" t="s">
        <v>107</v>
      </c>
      <c r="C75" s="23">
        <v>3426000</v>
      </c>
      <c r="D75" s="23"/>
      <c r="E75" s="24">
        <f t="shared" si="0"/>
        <v>7.4028074410634375</v>
      </c>
      <c r="F75" s="25">
        <f t="shared" si="1"/>
        <v>7</v>
      </c>
      <c r="G75" s="22">
        <f t="shared" si="3"/>
        <v>7.4833147735478827</v>
      </c>
      <c r="H75" s="22">
        <f t="shared" si="2"/>
        <v>7</v>
      </c>
      <c r="I75" s="22"/>
      <c r="J75" s="22"/>
      <c r="K75" s="22"/>
      <c r="L75" s="26">
        <f>E243*0.6</f>
        <v>732600</v>
      </c>
    </row>
    <row r="76" spans="1:12" x14ac:dyDescent="0.55000000000000004">
      <c r="A76">
        <v>36</v>
      </c>
      <c r="B76" t="s">
        <v>114</v>
      </c>
      <c r="C76" s="1">
        <v>7804000</v>
      </c>
      <c r="D76" s="1"/>
      <c r="E76" s="12">
        <f t="shared" si="0"/>
        <v>16.862670540005567</v>
      </c>
      <c r="F76" s="15">
        <f t="shared" si="1"/>
        <v>16</v>
      </c>
      <c r="G76">
        <f t="shared" si="3"/>
        <v>16.492422502470642</v>
      </c>
      <c r="H76">
        <f t="shared" si="2"/>
        <v>17</v>
      </c>
      <c r="L76" s="1">
        <f>E219+E250</f>
        <v>6788000</v>
      </c>
    </row>
    <row r="77" spans="1:12" x14ac:dyDescent="0.55000000000000004">
      <c r="A77" s="22">
        <v>37</v>
      </c>
      <c r="B77" s="22" t="s">
        <v>115</v>
      </c>
      <c r="C77" s="23">
        <v>2701000</v>
      </c>
      <c r="D77" s="23"/>
      <c r="E77" s="24">
        <f t="shared" si="0"/>
        <v>5.8362471974058217</v>
      </c>
      <c r="F77" s="25">
        <f t="shared" si="1"/>
        <v>5</v>
      </c>
      <c r="G77" s="22">
        <f t="shared" si="3"/>
        <v>5.4772255750516612</v>
      </c>
      <c r="H77" s="22">
        <f t="shared" si="2"/>
        <v>6</v>
      </c>
      <c r="I77" s="22"/>
      <c r="J77" s="22"/>
      <c r="K77" s="23">
        <f>K145*(2/3)</f>
        <v>1648666.6666666665</v>
      </c>
      <c r="L77" s="23">
        <f>E234*(2/3)</f>
        <v>1648666.6666666665</v>
      </c>
    </row>
    <row r="78" spans="1:12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2.3077052968639089</v>
      </c>
      <c r="F78" s="15">
        <f t="shared" si="1"/>
        <v>2</v>
      </c>
      <c r="G78">
        <f t="shared" si="3"/>
        <v>2.4494897427831779</v>
      </c>
      <c r="H78">
        <f t="shared" si="2"/>
        <v>2</v>
      </c>
    </row>
    <row r="79" spans="1:12" x14ac:dyDescent="0.55000000000000004">
      <c r="A79" s="22">
        <v>39</v>
      </c>
      <c r="B79" s="22" t="s">
        <v>109</v>
      </c>
      <c r="C79" s="23">
        <f>3532000</f>
        <v>3532000</v>
      </c>
      <c r="D79" s="23"/>
      <c r="E79" s="24">
        <f t="shared" si="0"/>
        <v>7.6318493525499305</v>
      </c>
      <c r="F79" s="25">
        <f t="shared" si="1"/>
        <v>7</v>
      </c>
      <c r="G79" s="22">
        <f t="shared" si="3"/>
        <v>7.4833147735478827</v>
      </c>
      <c r="H79" s="22">
        <f t="shared" si="2"/>
        <v>8</v>
      </c>
      <c r="I79" s="22"/>
      <c r="J79" s="22"/>
      <c r="K79" s="26">
        <f>K129*(4/9)</f>
        <v>4036888.8888888885</v>
      </c>
      <c r="L79" s="26">
        <f>E212*(7/18)</f>
        <v>3532277.777777778</v>
      </c>
    </row>
    <row r="80" spans="1:12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2.2277567051186233</v>
      </c>
      <c r="F80" s="15">
        <f t="shared" si="1"/>
        <v>2</v>
      </c>
      <c r="G80">
        <f t="shared" si="3"/>
        <v>2.4494897427831779</v>
      </c>
      <c r="H80">
        <f t="shared" si="2"/>
        <v>2</v>
      </c>
    </row>
    <row r="81" spans="1:11" x14ac:dyDescent="0.55000000000000004">
      <c r="A81" s="22">
        <v>41</v>
      </c>
      <c r="B81" s="22" t="s">
        <v>112</v>
      </c>
      <c r="C81" s="23">
        <v>3121000</v>
      </c>
      <c r="D81" s="23"/>
      <c r="E81" s="24">
        <f>C81/$B$37</f>
        <v>6.7437717523523029</v>
      </c>
      <c r="F81" s="25">
        <f>FLOOR(E81,1)</f>
        <v>6</v>
      </c>
      <c r="G81" s="22">
        <f>SQRT(F81*(F81+1))</f>
        <v>6.4807406984078604</v>
      </c>
      <c r="H81" s="22">
        <f>IF(E81&gt;G81,CEILING(E81,1),FLOOR(E81,1))</f>
        <v>7</v>
      </c>
      <c r="I81" s="22"/>
      <c r="J81" s="22"/>
      <c r="K81" s="22"/>
    </row>
    <row r="82" spans="1:11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0.83189750870094092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1" x14ac:dyDescent="0.55000000000000004">
      <c r="A83" s="22">
        <v>43</v>
      </c>
      <c r="B83" s="22" t="s">
        <v>113</v>
      </c>
      <c r="C83" s="23">
        <v>192000</v>
      </c>
      <c r="D83" s="23"/>
      <c r="E83" s="24">
        <f>C83/$B$37</f>
        <v>0.41486836797553417</v>
      </c>
      <c r="F83" s="25">
        <f t="shared" si="1"/>
        <v>0</v>
      </c>
      <c r="G83" s="22">
        <f t="shared" si="3"/>
        <v>0</v>
      </c>
      <c r="H83" s="22">
        <f t="shared" si="2"/>
        <v>1</v>
      </c>
      <c r="I83" s="22"/>
      <c r="J83" s="22"/>
      <c r="K83" s="22"/>
    </row>
    <row r="84" spans="1:11" ht="14.7" thickBot="1" x14ac:dyDescent="0.6">
      <c r="A84" s="4"/>
      <c r="B84" s="4" t="s">
        <v>22</v>
      </c>
      <c r="C84" s="7">
        <f>SUM(C41:C83)</f>
        <v>318411000</v>
      </c>
      <c r="D84" s="7"/>
      <c r="E84" s="7">
        <f>SUM(E41:E83)</f>
        <v>688.01381205967607</v>
      </c>
      <c r="F84" s="7"/>
      <c r="G84" s="7"/>
      <c r="H84" s="7">
        <f>SUM(H41:H83)</f>
        <v>691</v>
      </c>
    </row>
    <row r="85" spans="1:11" ht="14.7" thickTop="1" x14ac:dyDescent="0.55000000000000004"/>
    <row r="86" spans="1:11" x14ac:dyDescent="0.55000000000000004">
      <c r="A86" t="s">
        <v>64</v>
      </c>
      <c r="B86" s="12">
        <f>$C$84/B32</f>
        <v>74.177455388977435</v>
      </c>
      <c r="C86" s="12">
        <f>$C$84/C32</f>
        <v>68.962005605557664</v>
      </c>
      <c r="I86" s="1"/>
    </row>
    <row r="87" spans="1:11" x14ac:dyDescent="0.55000000000000004">
      <c r="J87" s="1">
        <f>C80+C82+C83</f>
        <v>1608000</v>
      </c>
    </row>
    <row r="90" spans="1:11" x14ac:dyDescent="0.55000000000000004">
      <c r="A90" t="s">
        <v>253</v>
      </c>
      <c r="B90" t="s">
        <v>124</v>
      </c>
      <c r="C90" t="s">
        <v>63</v>
      </c>
    </row>
    <row r="91" spans="1:11" x14ac:dyDescent="0.55000000000000004">
      <c r="A91" t="s">
        <v>254</v>
      </c>
      <c r="B91" t="s">
        <v>261</v>
      </c>
      <c r="C91" s="1">
        <f>C46+C49+C53+C54+C72+C45+C51</f>
        <v>56129000</v>
      </c>
    </row>
    <row r="92" spans="1:11" x14ac:dyDescent="0.55000000000000004">
      <c r="A92" t="s">
        <v>255</v>
      </c>
      <c r="B92" t="s">
        <v>262</v>
      </c>
      <c r="C92" s="1">
        <f>C42+C43+C41+C47+C79+C50</f>
        <v>55240000</v>
      </c>
    </row>
    <row r="93" spans="1:11" x14ac:dyDescent="0.55000000000000004">
      <c r="A93" t="s">
        <v>256</v>
      </c>
      <c r="B93" t="s">
        <v>264</v>
      </c>
      <c r="C93" s="1">
        <f>C57+C58+C63+C74+C65+C69</f>
        <v>55753000</v>
      </c>
      <c r="J93" s="1"/>
    </row>
    <row r="94" spans="1:11" x14ac:dyDescent="0.55000000000000004">
      <c r="A94" t="s">
        <v>257</v>
      </c>
      <c r="B94" t="s">
        <v>263</v>
      </c>
      <c r="C94" s="1">
        <f>C52+C48+C75+C44+C77+C67+C61+C59</f>
        <v>54632000</v>
      </c>
    </row>
    <row r="95" spans="1:11" x14ac:dyDescent="0.55000000000000004">
      <c r="A95" t="s">
        <v>258</v>
      </c>
      <c r="B95" t="s">
        <v>265</v>
      </c>
      <c r="C95" s="1">
        <f>C56+C55+C60+C64+C68</f>
        <v>52450000</v>
      </c>
      <c r="J95" s="15"/>
    </row>
    <row r="96" spans="1:11" x14ac:dyDescent="0.55000000000000004">
      <c r="A96" t="s">
        <v>259</v>
      </c>
      <c r="B96" t="s">
        <v>267</v>
      </c>
      <c r="C96" s="1">
        <f>C66+C62+C76+C71+C70+C81+C78+C83+C82+C80</f>
        <v>39295000</v>
      </c>
    </row>
    <row r="97" spans="1:3" x14ac:dyDescent="0.55000000000000004">
      <c r="A97" s="3" t="s">
        <v>260</v>
      </c>
      <c r="B97" s="3" t="s">
        <v>38</v>
      </c>
      <c r="C97" s="6">
        <f>C73</f>
        <v>4912000</v>
      </c>
    </row>
    <row r="98" spans="1:3" x14ac:dyDescent="0.55000000000000004">
      <c r="C98" s="1">
        <f>SUM(C91:C97)</f>
        <v>318411000</v>
      </c>
    </row>
    <row r="101" spans="1:3" x14ac:dyDescent="0.55000000000000004">
      <c r="C101" s="1"/>
    </row>
    <row r="121" spans="7:11" x14ac:dyDescent="0.55000000000000004">
      <c r="G121" t="s">
        <v>138</v>
      </c>
      <c r="H121" t="s">
        <v>139</v>
      </c>
      <c r="I121" t="s">
        <v>126</v>
      </c>
      <c r="J121" t="s">
        <v>140</v>
      </c>
      <c r="K121" t="s">
        <v>141</v>
      </c>
    </row>
    <row r="122" spans="7:11" x14ac:dyDescent="0.55000000000000004">
      <c r="G122" s="20">
        <v>1</v>
      </c>
      <c r="H122" s="20" t="s">
        <v>142</v>
      </c>
      <c r="I122" s="20" t="s">
        <v>87</v>
      </c>
      <c r="J122" s="21">
        <v>10090000</v>
      </c>
      <c r="K122" s="21">
        <v>23785000</v>
      </c>
    </row>
    <row r="123" spans="7:11" x14ac:dyDescent="0.55000000000000004">
      <c r="G123" s="20">
        <v>2</v>
      </c>
      <c r="H123" s="20" t="s">
        <v>143</v>
      </c>
      <c r="I123" s="20" t="s">
        <v>100</v>
      </c>
      <c r="J123" s="21">
        <v>5221000</v>
      </c>
      <c r="K123" s="21">
        <v>15038000</v>
      </c>
    </row>
    <row r="124" spans="7:11" x14ac:dyDescent="0.55000000000000004">
      <c r="G124" s="20">
        <v>3</v>
      </c>
      <c r="H124" s="20" t="s">
        <v>144</v>
      </c>
      <c r="I124" s="20" t="s">
        <v>93</v>
      </c>
      <c r="J124" s="21">
        <v>4047000</v>
      </c>
      <c r="K124" s="21">
        <v>10415000</v>
      </c>
    </row>
    <row r="125" spans="7:11" x14ac:dyDescent="0.55000000000000004">
      <c r="G125" s="20">
        <v>4</v>
      </c>
      <c r="H125" s="20" t="s">
        <v>145</v>
      </c>
      <c r="I125" s="20" t="s">
        <v>78</v>
      </c>
      <c r="J125" s="21">
        <v>2513000</v>
      </c>
      <c r="K125" s="21">
        <v>7038000</v>
      </c>
    </row>
    <row r="126" spans="7:11" x14ac:dyDescent="0.55000000000000004">
      <c r="G126" s="20">
        <v>5</v>
      </c>
      <c r="H126" s="20" t="s">
        <v>146</v>
      </c>
      <c r="I126" s="20" t="s">
        <v>82</v>
      </c>
      <c r="J126" s="21">
        <v>2210000</v>
      </c>
      <c r="K126" s="21">
        <v>6471000</v>
      </c>
    </row>
    <row r="127" spans="7:11" x14ac:dyDescent="0.55000000000000004">
      <c r="G127" s="20">
        <v>6</v>
      </c>
      <c r="H127" s="20" t="s">
        <v>147</v>
      </c>
      <c r="I127" s="20" t="s">
        <v>86</v>
      </c>
      <c r="J127" s="21">
        <v>2031000</v>
      </c>
      <c r="K127" s="21">
        <v>7576000</v>
      </c>
    </row>
    <row r="128" spans="7:11" x14ac:dyDescent="0.55000000000000004">
      <c r="G128" s="20">
        <v>7</v>
      </c>
      <c r="H128" s="20" t="s">
        <v>148</v>
      </c>
      <c r="I128" s="20" t="s">
        <v>92</v>
      </c>
      <c r="J128" s="21">
        <v>1719000</v>
      </c>
      <c r="K128" s="21">
        <v>6948000</v>
      </c>
    </row>
    <row r="129" spans="7:11" x14ac:dyDescent="0.55000000000000004">
      <c r="G129" s="20">
        <v>8</v>
      </c>
      <c r="H129" s="20" t="s">
        <v>149</v>
      </c>
      <c r="I129" s="20" t="s">
        <v>150</v>
      </c>
      <c r="J129" s="21">
        <v>1643000</v>
      </c>
      <c r="K129" s="21">
        <v>9083000</v>
      </c>
    </row>
    <row r="130" spans="7:11" x14ac:dyDescent="0.55000000000000004">
      <c r="G130" s="20">
        <v>9</v>
      </c>
      <c r="H130" s="20" t="s">
        <v>151</v>
      </c>
      <c r="I130" s="20" t="s">
        <v>98</v>
      </c>
      <c r="J130" s="21">
        <v>1480000</v>
      </c>
      <c r="K130" s="21">
        <v>6743000</v>
      </c>
    </row>
    <row r="131" spans="7:11" x14ac:dyDescent="0.55000000000000004">
      <c r="G131" s="20">
        <v>10</v>
      </c>
      <c r="H131" s="20" t="s">
        <v>152</v>
      </c>
      <c r="I131" s="20" t="s">
        <v>104</v>
      </c>
      <c r="J131" s="21">
        <v>1422000</v>
      </c>
      <c r="K131" s="21">
        <v>5942000</v>
      </c>
    </row>
    <row r="132" spans="7:11" x14ac:dyDescent="0.55000000000000004">
      <c r="G132" s="20">
        <v>11</v>
      </c>
      <c r="H132" s="20" t="s">
        <v>153</v>
      </c>
      <c r="I132" s="20" t="s">
        <v>87</v>
      </c>
      <c r="J132" s="21">
        <v>1383000</v>
      </c>
      <c r="K132" s="21">
        <v>4813000</v>
      </c>
    </row>
    <row r="133" spans="7:11" x14ac:dyDescent="0.55000000000000004">
      <c r="G133" s="20">
        <v>12</v>
      </c>
      <c r="H133" s="20" t="s">
        <v>154</v>
      </c>
      <c r="I133" s="20" t="s">
        <v>38</v>
      </c>
      <c r="J133" s="21">
        <v>1369000</v>
      </c>
      <c r="K133" s="21">
        <v>4428000</v>
      </c>
    </row>
    <row r="134" spans="7:11" x14ac:dyDescent="0.55000000000000004">
      <c r="G134" s="20">
        <v>13</v>
      </c>
      <c r="H134" s="20" t="s">
        <v>155</v>
      </c>
      <c r="I134" s="20" t="s">
        <v>93</v>
      </c>
      <c r="J134" s="21">
        <v>1248000</v>
      </c>
      <c r="K134" s="21">
        <v>3327000</v>
      </c>
    </row>
    <row r="135" spans="7:11" x14ac:dyDescent="0.55000000000000004">
      <c r="G135" s="20">
        <v>14</v>
      </c>
      <c r="H135" s="20" t="s">
        <v>156</v>
      </c>
      <c r="I135" s="20" t="s">
        <v>91</v>
      </c>
      <c r="J135" s="21">
        <v>1222000</v>
      </c>
      <c r="K135" s="21">
        <v>3991000</v>
      </c>
    </row>
    <row r="136" spans="7:11" x14ac:dyDescent="0.55000000000000004">
      <c r="G136" s="20">
        <v>15</v>
      </c>
      <c r="H136" s="20" t="s">
        <v>157</v>
      </c>
      <c r="I136" s="20" t="s">
        <v>96</v>
      </c>
      <c r="J136" s="21">
        <v>1210000</v>
      </c>
      <c r="K136" s="21">
        <v>15038000</v>
      </c>
    </row>
    <row r="137" spans="7:11" x14ac:dyDescent="0.55000000000000004">
      <c r="G137" s="20">
        <v>16</v>
      </c>
      <c r="H137" s="20" t="s">
        <v>158</v>
      </c>
      <c r="I137" s="20" t="s">
        <v>101</v>
      </c>
      <c r="J137" s="21">
        <v>1180000</v>
      </c>
      <c r="K137" s="21">
        <v>1782000</v>
      </c>
    </row>
    <row r="138" spans="7:11" x14ac:dyDescent="0.55000000000000004">
      <c r="G138" s="20">
        <v>17</v>
      </c>
      <c r="H138" s="20" t="s">
        <v>159</v>
      </c>
      <c r="I138" s="20" t="s">
        <v>78</v>
      </c>
      <c r="J138" s="21">
        <v>1159000</v>
      </c>
      <c r="K138" s="21">
        <v>3447000</v>
      </c>
    </row>
    <row r="139" spans="7:11" x14ac:dyDescent="0.55000000000000004">
      <c r="G139" s="20">
        <v>18</v>
      </c>
      <c r="H139" s="20" t="s">
        <v>160</v>
      </c>
      <c r="I139" s="20" t="s">
        <v>80</v>
      </c>
      <c r="J139" s="21">
        <v>1091000</v>
      </c>
      <c r="K139" s="21">
        <v>4940000</v>
      </c>
    </row>
    <row r="140" spans="7:11" x14ac:dyDescent="0.55000000000000004">
      <c r="G140" s="20">
        <v>19</v>
      </c>
      <c r="H140" s="20" t="s">
        <v>161</v>
      </c>
      <c r="I140" s="20" t="s">
        <v>79</v>
      </c>
      <c r="J140" s="21">
        <v>1001000</v>
      </c>
      <c r="K140" s="21">
        <v>23785000</v>
      </c>
    </row>
    <row r="141" spans="7:11" x14ac:dyDescent="0.55000000000000004">
      <c r="G141" s="20">
        <v>20</v>
      </c>
      <c r="H141" s="20" t="s">
        <v>162</v>
      </c>
      <c r="I141" s="20" t="s">
        <v>84</v>
      </c>
      <c r="J141" s="21">
        <v>1021000</v>
      </c>
      <c r="K141" s="21">
        <v>6491000</v>
      </c>
    </row>
    <row r="142" spans="7:11" x14ac:dyDescent="0.55000000000000004">
      <c r="G142" s="20">
        <v>21</v>
      </c>
      <c r="H142" s="20" t="s">
        <v>196</v>
      </c>
      <c r="I142" s="20" t="s">
        <v>94</v>
      </c>
      <c r="J142" s="21">
        <v>983000</v>
      </c>
      <c r="K142" s="21">
        <v>2297000</v>
      </c>
    </row>
    <row r="143" spans="7:11" x14ac:dyDescent="0.55000000000000004">
      <c r="G143" s="20">
        <v>22</v>
      </c>
      <c r="H143" s="20" t="s">
        <v>197</v>
      </c>
      <c r="I143" s="20" t="s">
        <v>94</v>
      </c>
      <c r="J143" s="21">
        <v>951000</v>
      </c>
      <c r="K143" s="21">
        <v>2929000</v>
      </c>
    </row>
    <row r="144" spans="7:11" x14ac:dyDescent="0.55000000000000004">
      <c r="G144" s="20">
        <v>23</v>
      </c>
      <c r="H144" s="20" t="s">
        <v>163</v>
      </c>
      <c r="I144" s="20" t="s">
        <v>99</v>
      </c>
      <c r="J144" s="21">
        <v>925000</v>
      </c>
      <c r="K144" s="21">
        <v>4247000</v>
      </c>
    </row>
    <row r="145" spans="7:11" x14ac:dyDescent="0.55000000000000004">
      <c r="G145" s="20">
        <v>24</v>
      </c>
      <c r="H145" s="20" t="s">
        <v>194</v>
      </c>
      <c r="I145" s="20" t="s">
        <v>115</v>
      </c>
      <c r="J145" s="21">
        <v>877000</v>
      </c>
      <c r="K145" s="21">
        <v>2473000</v>
      </c>
    </row>
    <row r="146" spans="7:11" x14ac:dyDescent="0.55000000000000004">
      <c r="G146" s="20">
        <v>25</v>
      </c>
      <c r="H146" s="20" t="s">
        <v>198</v>
      </c>
      <c r="I146" s="20" t="s">
        <v>95</v>
      </c>
      <c r="J146" s="21">
        <v>851000</v>
      </c>
      <c r="K146" s="21">
        <v>1929000</v>
      </c>
    </row>
    <row r="147" spans="7:11" x14ac:dyDescent="0.55000000000000004">
      <c r="G147" s="20">
        <v>26</v>
      </c>
      <c r="H147" s="20" t="s">
        <v>164</v>
      </c>
      <c r="I147" s="20" t="s">
        <v>100</v>
      </c>
      <c r="J147" s="21">
        <v>788000</v>
      </c>
      <c r="K147" s="21">
        <v>5312000</v>
      </c>
    </row>
    <row r="148" spans="7:11" x14ac:dyDescent="0.55000000000000004">
      <c r="G148" s="20">
        <v>27</v>
      </c>
      <c r="H148" s="20" t="s">
        <v>165</v>
      </c>
      <c r="I148" s="20" t="s">
        <v>83</v>
      </c>
      <c r="J148" s="21">
        <v>765000</v>
      </c>
      <c r="K148" s="21">
        <v>1252000</v>
      </c>
    </row>
    <row r="149" spans="7:11" x14ac:dyDescent="0.55000000000000004">
      <c r="G149" s="20">
        <v>28</v>
      </c>
      <c r="H149" s="20" t="s">
        <v>158</v>
      </c>
      <c r="I149" s="20" t="s">
        <v>101</v>
      </c>
      <c r="J149" s="21">
        <v>741000</v>
      </c>
      <c r="K149" s="21">
        <v>1782000</v>
      </c>
    </row>
    <row r="150" spans="7:11" x14ac:dyDescent="0.55000000000000004">
      <c r="G150" s="20">
        <v>29</v>
      </c>
      <c r="H150" s="20" t="s">
        <v>166</v>
      </c>
      <c r="I150" s="20" t="s">
        <v>93</v>
      </c>
      <c r="J150" s="21">
        <v>729000</v>
      </c>
      <c r="K150" s="21">
        <v>2175000</v>
      </c>
    </row>
    <row r="151" spans="7:11" x14ac:dyDescent="0.55000000000000004">
      <c r="G151" s="20">
        <v>30</v>
      </c>
      <c r="H151" s="20" t="s">
        <v>167</v>
      </c>
      <c r="I151" s="20" t="s">
        <v>96</v>
      </c>
      <c r="J151" s="21">
        <v>715000</v>
      </c>
      <c r="K151" s="21">
        <v>1534000</v>
      </c>
    </row>
    <row r="152" spans="7:11" x14ac:dyDescent="0.55000000000000004">
      <c r="G152" s="20">
        <v>31</v>
      </c>
      <c r="H152" s="20" t="s">
        <v>168</v>
      </c>
      <c r="I152" s="20" t="s">
        <v>88</v>
      </c>
      <c r="J152" s="21">
        <v>701000</v>
      </c>
      <c r="K152" s="21">
        <v>2461000</v>
      </c>
    </row>
    <row r="153" spans="7:11" x14ac:dyDescent="0.55000000000000004">
      <c r="G153" s="20">
        <v>32</v>
      </c>
      <c r="H153" s="20" t="s">
        <v>169</v>
      </c>
      <c r="I153" s="20" t="s">
        <v>94</v>
      </c>
      <c r="J153" s="21">
        <v>656000</v>
      </c>
      <c r="K153" s="21">
        <v>1567000</v>
      </c>
    </row>
    <row r="157" spans="7:11" x14ac:dyDescent="0.55000000000000004">
      <c r="G157" t="s">
        <v>138</v>
      </c>
      <c r="H157" t="s">
        <v>139</v>
      </c>
      <c r="I157" t="s">
        <v>126</v>
      </c>
      <c r="J157" t="s">
        <v>140</v>
      </c>
      <c r="K157" t="s">
        <v>141</v>
      </c>
    </row>
    <row r="158" spans="7:11" x14ac:dyDescent="0.55000000000000004">
      <c r="G158">
        <v>1</v>
      </c>
      <c r="H158" t="s">
        <v>205</v>
      </c>
      <c r="I158" t="s">
        <v>87</v>
      </c>
      <c r="J158" s="1">
        <v>10090000</v>
      </c>
      <c r="K158" s="1">
        <v>23785000</v>
      </c>
    </row>
    <row r="159" spans="7:11" x14ac:dyDescent="0.55000000000000004">
      <c r="G159">
        <v>2</v>
      </c>
      <c r="H159" t="s">
        <v>143</v>
      </c>
      <c r="I159" t="s">
        <v>100</v>
      </c>
      <c r="J159" s="1">
        <v>5221000</v>
      </c>
      <c r="K159" s="1">
        <v>15038000</v>
      </c>
    </row>
    <row r="160" spans="7:11" x14ac:dyDescent="0.55000000000000004">
      <c r="G160">
        <v>3</v>
      </c>
      <c r="H160" t="s">
        <v>144</v>
      </c>
      <c r="I160" t="s">
        <v>93</v>
      </c>
      <c r="J160" s="1">
        <v>4047000</v>
      </c>
      <c r="K160" s="1">
        <v>10415000</v>
      </c>
    </row>
    <row r="161" spans="7:11" x14ac:dyDescent="0.55000000000000004">
      <c r="G161">
        <v>4</v>
      </c>
      <c r="H161" t="s">
        <v>145</v>
      </c>
      <c r="I161" t="s">
        <v>78</v>
      </c>
      <c r="J161" s="1">
        <v>2513000</v>
      </c>
      <c r="K161" s="1">
        <v>7038000</v>
      </c>
    </row>
    <row r="162" spans="7:11" x14ac:dyDescent="0.55000000000000004">
      <c r="G162">
        <v>5</v>
      </c>
      <c r="H162" t="s">
        <v>146</v>
      </c>
      <c r="I162" t="s">
        <v>82</v>
      </c>
      <c r="J162" s="1">
        <v>2210000</v>
      </c>
      <c r="K162" s="1">
        <v>6471000</v>
      </c>
    </row>
    <row r="163" spans="7:11" x14ac:dyDescent="0.55000000000000004">
      <c r="G163">
        <v>6</v>
      </c>
      <c r="H163" t="s">
        <v>147</v>
      </c>
      <c r="I163" t="s">
        <v>86</v>
      </c>
      <c r="J163" s="1">
        <v>2031000</v>
      </c>
      <c r="K163" s="1">
        <v>7576000</v>
      </c>
    </row>
    <row r="164" spans="7:11" x14ac:dyDescent="0.55000000000000004">
      <c r="G164">
        <v>7</v>
      </c>
      <c r="H164" t="s">
        <v>148</v>
      </c>
      <c r="I164" t="s">
        <v>92</v>
      </c>
      <c r="J164" s="1">
        <v>1719000</v>
      </c>
      <c r="K164" s="1">
        <v>6948000</v>
      </c>
    </row>
    <row r="165" spans="7:11" x14ac:dyDescent="0.55000000000000004">
      <c r="G165">
        <v>8</v>
      </c>
      <c r="H165" t="s">
        <v>206</v>
      </c>
      <c r="I165" t="s">
        <v>150</v>
      </c>
      <c r="J165" s="1">
        <v>1643000</v>
      </c>
      <c r="K165" s="1">
        <v>9083000</v>
      </c>
    </row>
    <row r="166" spans="7:11" x14ac:dyDescent="0.55000000000000004">
      <c r="G166">
        <v>9</v>
      </c>
      <c r="H166" t="s">
        <v>151</v>
      </c>
      <c r="I166" t="s">
        <v>98</v>
      </c>
      <c r="J166" s="1">
        <v>1480000</v>
      </c>
      <c r="K166" s="1">
        <v>6743000</v>
      </c>
    </row>
    <row r="167" spans="7:11" x14ac:dyDescent="0.55000000000000004">
      <c r="G167">
        <v>10</v>
      </c>
      <c r="H167" t="s">
        <v>152</v>
      </c>
      <c r="I167" t="s">
        <v>104</v>
      </c>
      <c r="J167" s="1">
        <v>1422000</v>
      </c>
      <c r="K167" s="1">
        <v>5942000</v>
      </c>
    </row>
    <row r="168" spans="7:11" x14ac:dyDescent="0.55000000000000004">
      <c r="G168">
        <v>11</v>
      </c>
      <c r="H168" t="s">
        <v>153</v>
      </c>
      <c r="I168" t="s">
        <v>87</v>
      </c>
      <c r="J168" s="1">
        <v>1383000</v>
      </c>
      <c r="K168" s="1">
        <v>4813000</v>
      </c>
    </row>
    <row r="169" spans="7:11" x14ac:dyDescent="0.55000000000000004">
      <c r="G169">
        <v>12</v>
      </c>
      <c r="H169" t="s">
        <v>154</v>
      </c>
      <c r="I169" t="s">
        <v>38</v>
      </c>
      <c r="J169" s="1">
        <v>1369000</v>
      </c>
      <c r="K169" s="1">
        <v>4428000</v>
      </c>
    </row>
    <row r="170" spans="7:11" x14ac:dyDescent="0.55000000000000004">
      <c r="G170">
        <v>13</v>
      </c>
      <c r="H170" t="s">
        <v>155</v>
      </c>
      <c r="I170" t="s">
        <v>93</v>
      </c>
      <c r="J170" s="1">
        <v>1248000</v>
      </c>
      <c r="K170" s="1">
        <v>3327000</v>
      </c>
    </row>
    <row r="171" spans="7:11" x14ac:dyDescent="0.55000000000000004">
      <c r="G171">
        <v>14</v>
      </c>
      <c r="H171" t="s">
        <v>156</v>
      </c>
      <c r="I171" t="s">
        <v>91</v>
      </c>
      <c r="J171" s="1">
        <v>1222000</v>
      </c>
      <c r="K171" s="1">
        <v>3991000</v>
      </c>
    </row>
    <row r="172" spans="7:11" x14ac:dyDescent="0.55000000000000004">
      <c r="G172">
        <v>15</v>
      </c>
      <c r="H172" t="s">
        <v>157</v>
      </c>
      <c r="I172" t="s">
        <v>96</v>
      </c>
      <c r="J172" s="1">
        <v>1210000</v>
      </c>
      <c r="K172" t="s">
        <v>207</v>
      </c>
    </row>
    <row r="173" spans="7:11" x14ac:dyDescent="0.55000000000000004">
      <c r="G173">
        <v>16</v>
      </c>
      <c r="H173" t="s">
        <v>199</v>
      </c>
      <c r="I173" t="s">
        <v>101</v>
      </c>
      <c r="J173" s="1">
        <v>1180000</v>
      </c>
      <c r="K173" s="1">
        <v>2252000</v>
      </c>
    </row>
    <row r="174" spans="7:11" x14ac:dyDescent="0.55000000000000004">
      <c r="G174">
        <v>17</v>
      </c>
      <c r="H174" t="s">
        <v>159</v>
      </c>
      <c r="I174" t="s">
        <v>78</v>
      </c>
      <c r="J174" s="1">
        <v>1159000</v>
      </c>
      <c r="K174" s="1">
        <v>3447000</v>
      </c>
    </row>
    <row r="175" spans="7:11" x14ac:dyDescent="0.55000000000000004">
      <c r="G175">
        <v>18</v>
      </c>
      <c r="H175" t="s">
        <v>162</v>
      </c>
      <c r="I175" t="s">
        <v>84</v>
      </c>
      <c r="J175" s="1">
        <v>1091000</v>
      </c>
      <c r="K175" s="1">
        <v>6491000</v>
      </c>
    </row>
    <row r="176" spans="7:11" x14ac:dyDescent="0.55000000000000004">
      <c r="G176">
        <v>19</v>
      </c>
      <c r="H176" t="s">
        <v>208</v>
      </c>
      <c r="I176" t="s">
        <v>80</v>
      </c>
      <c r="J176" s="1">
        <v>1069000</v>
      </c>
      <c r="K176" s="1">
        <v>5105000</v>
      </c>
    </row>
    <row r="177" spans="7:11" x14ac:dyDescent="0.55000000000000004">
      <c r="G177">
        <v>20</v>
      </c>
      <c r="H177" t="s">
        <v>200</v>
      </c>
      <c r="I177" t="s">
        <v>103</v>
      </c>
      <c r="J177" s="1">
        <v>1044000</v>
      </c>
      <c r="K177" s="1">
        <v>1836000</v>
      </c>
    </row>
    <row r="178" spans="7:11" x14ac:dyDescent="0.55000000000000004">
      <c r="G178">
        <v>21</v>
      </c>
      <c r="H178" t="s">
        <v>221</v>
      </c>
      <c r="I178" t="s">
        <v>79</v>
      </c>
      <c r="J178" s="1">
        <v>1021000</v>
      </c>
      <c r="K178" t="s">
        <v>222</v>
      </c>
    </row>
    <row r="179" spans="7:11" x14ac:dyDescent="0.55000000000000004">
      <c r="G179">
        <v>22</v>
      </c>
      <c r="H179" t="s">
        <v>223</v>
      </c>
      <c r="I179" t="s">
        <v>86</v>
      </c>
      <c r="J179" s="1">
        <v>1001000</v>
      </c>
      <c r="K179" s="1">
        <v>4940000</v>
      </c>
    </row>
    <row r="180" spans="7:11" x14ac:dyDescent="0.55000000000000004">
      <c r="G180">
        <v>23</v>
      </c>
      <c r="H180" t="s">
        <v>209</v>
      </c>
      <c r="I180" t="s">
        <v>94</v>
      </c>
      <c r="J180" s="1">
        <v>983000</v>
      </c>
      <c r="K180" s="1">
        <v>2297000</v>
      </c>
    </row>
    <row r="181" spans="7:11" x14ac:dyDescent="0.55000000000000004">
      <c r="G181">
        <v>24</v>
      </c>
      <c r="H181" t="s">
        <v>210</v>
      </c>
      <c r="I181" t="s">
        <v>94</v>
      </c>
      <c r="J181" s="1">
        <v>951000</v>
      </c>
      <c r="K181" s="1">
        <v>2929000</v>
      </c>
    </row>
    <row r="182" spans="7:11" x14ac:dyDescent="0.55000000000000004">
      <c r="G182">
        <v>25</v>
      </c>
      <c r="H182" t="s">
        <v>211</v>
      </c>
      <c r="I182" t="s">
        <v>99</v>
      </c>
      <c r="J182" s="1">
        <v>925000</v>
      </c>
      <c r="K182" s="1">
        <v>4247000</v>
      </c>
    </row>
    <row r="183" spans="7:11" x14ac:dyDescent="0.55000000000000004">
      <c r="G183">
        <v>26</v>
      </c>
      <c r="H183" t="s">
        <v>212</v>
      </c>
      <c r="I183" t="s">
        <v>98</v>
      </c>
      <c r="J183" s="1">
        <v>903000</v>
      </c>
      <c r="K183" s="1">
        <v>3562000</v>
      </c>
    </row>
    <row r="184" spans="7:11" x14ac:dyDescent="0.55000000000000004">
      <c r="G184">
        <v>27</v>
      </c>
      <c r="H184" t="s">
        <v>213</v>
      </c>
      <c r="I184" t="s">
        <v>114</v>
      </c>
      <c r="J184" s="1">
        <v>891000</v>
      </c>
      <c r="K184" s="1">
        <v>3421000</v>
      </c>
    </row>
    <row r="185" spans="7:11" x14ac:dyDescent="0.55000000000000004">
      <c r="G185">
        <v>28</v>
      </c>
      <c r="H185" t="s">
        <v>194</v>
      </c>
      <c r="I185" t="s">
        <v>115</v>
      </c>
      <c r="J185" s="1">
        <v>877000</v>
      </c>
      <c r="K185" s="1">
        <v>2473000</v>
      </c>
    </row>
    <row r="186" spans="7:11" x14ac:dyDescent="0.55000000000000004">
      <c r="G186">
        <v>29</v>
      </c>
      <c r="H186" t="s">
        <v>214</v>
      </c>
      <c r="I186" t="s">
        <v>95</v>
      </c>
      <c r="J186" s="1">
        <v>851000</v>
      </c>
      <c r="K186" s="1">
        <v>2329000</v>
      </c>
    </row>
    <row r="187" spans="7:11" x14ac:dyDescent="0.55000000000000004">
      <c r="G187">
        <v>30</v>
      </c>
      <c r="H187" t="s">
        <v>203</v>
      </c>
      <c r="I187" t="s">
        <v>103</v>
      </c>
      <c r="J187" s="1">
        <v>824000</v>
      </c>
      <c r="K187" s="1">
        <v>1651000</v>
      </c>
    </row>
    <row r="188" spans="7:11" x14ac:dyDescent="0.55000000000000004">
      <c r="G188">
        <v>31</v>
      </c>
      <c r="H188" t="s">
        <v>204</v>
      </c>
      <c r="I188" t="s">
        <v>195</v>
      </c>
      <c r="J188" s="1">
        <v>802000</v>
      </c>
      <c r="K188" s="1">
        <v>2547000</v>
      </c>
    </row>
    <row r="189" spans="7:11" x14ac:dyDescent="0.55000000000000004">
      <c r="G189">
        <v>32</v>
      </c>
      <c r="H189" t="s">
        <v>164</v>
      </c>
      <c r="I189" t="s">
        <v>100</v>
      </c>
      <c r="J189" s="1">
        <v>788000</v>
      </c>
      <c r="K189" s="1">
        <v>5312000</v>
      </c>
    </row>
    <row r="190" spans="7:11" x14ac:dyDescent="0.55000000000000004">
      <c r="G190">
        <v>33</v>
      </c>
      <c r="H190" t="s">
        <v>165</v>
      </c>
      <c r="I190" t="s">
        <v>83</v>
      </c>
      <c r="J190" s="1">
        <v>765000</v>
      </c>
      <c r="K190" s="1">
        <v>1252000</v>
      </c>
    </row>
    <row r="191" spans="7:11" x14ac:dyDescent="0.55000000000000004">
      <c r="G191">
        <v>34</v>
      </c>
      <c r="H191" t="s">
        <v>158</v>
      </c>
      <c r="I191" t="s">
        <v>101</v>
      </c>
      <c r="J191" s="1">
        <v>741000</v>
      </c>
      <c r="K191" s="1">
        <v>1782000</v>
      </c>
    </row>
    <row r="192" spans="7:11" x14ac:dyDescent="0.55000000000000004">
      <c r="G192">
        <v>35</v>
      </c>
      <c r="H192" t="s">
        <v>166</v>
      </c>
      <c r="I192" t="s">
        <v>93</v>
      </c>
      <c r="J192" s="1">
        <v>729000</v>
      </c>
      <c r="K192" s="1">
        <v>2175000</v>
      </c>
    </row>
    <row r="193" spans="1:11" x14ac:dyDescent="0.55000000000000004">
      <c r="G193">
        <v>36</v>
      </c>
      <c r="H193" t="s">
        <v>168</v>
      </c>
      <c r="I193" t="s">
        <v>88</v>
      </c>
      <c r="J193" s="1">
        <v>701000</v>
      </c>
      <c r="K193" s="1">
        <v>2461000</v>
      </c>
    </row>
    <row r="194" spans="1:11" x14ac:dyDescent="0.55000000000000004">
      <c r="G194">
        <v>37</v>
      </c>
      <c r="H194" t="s">
        <v>215</v>
      </c>
      <c r="I194" t="s">
        <v>107</v>
      </c>
      <c r="J194" s="1">
        <v>682000</v>
      </c>
      <c r="K194" s="1">
        <v>1221000</v>
      </c>
    </row>
    <row r="195" spans="1:11" x14ac:dyDescent="0.55000000000000004">
      <c r="G195">
        <v>38</v>
      </c>
      <c r="H195" t="s">
        <v>216</v>
      </c>
      <c r="I195" t="s">
        <v>98</v>
      </c>
      <c r="J195" s="1">
        <v>668000</v>
      </c>
      <c r="K195" s="1">
        <v>1614000</v>
      </c>
    </row>
    <row r="196" spans="1:11" x14ac:dyDescent="0.55000000000000004">
      <c r="G196">
        <v>39</v>
      </c>
      <c r="H196" t="s">
        <v>169</v>
      </c>
      <c r="I196" t="s">
        <v>94</v>
      </c>
      <c r="J196" s="1">
        <v>656000</v>
      </c>
      <c r="K196" s="1">
        <v>1567000</v>
      </c>
    </row>
    <row r="197" spans="1:11" x14ac:dyDescent="0.55000000000000004">
      <c r="G197">
        <v>40</v>
      </c>
      <c r="H197" t="s">
        <v>217</v>
      </c>
      <c r="I197" t="s">
        <v>195</v>
      </c>
      <c r="J197" s="1">
        <v>634000</v>
      </c>
      <c r="K197" s="1">
        <v>1341000</v>
      </c>
    </row>
    <row r="198" spans="1:11" x14ac:dyDescent="0.55000000000000004">
      <c r="G198">
        <v>41</v>
      </c>
      <c r="H198" t="s">
        <v>201</v>
      </c>
      <c r="I198" t="s">
        <v>202</v>
      </c>
      <c r="J198" s="1">
        <v>613000</v>
      </c>
      <c r="K198" s="1">
        <v>1248000</v>
      </c>
    </row>
    <row r="199" spans="1:11" x14ac:dyDescent="0.55000000000000004">
      <c r="G199">
        <v>42</v>
      </c>
      <c r="H199" t="s">
        <v>218</v>
      </c>
      <c r="I199" t="s">
        <v>79</v>
      </c>
      <c r="J199" s="1">
        <v>584000</v>
      </c>
      <c r="K199" t="s">
        <v>222</v>
      </c>
    </row>
    <row r="200" spans="1:11" x14ac:dyDescent="0.55000000000000004">
      <c r="G200">
        <v>43</v>
      </c>
      <c r="H200" t="s">
        <v>219</v>
      </c>
      <c r="I200" t="s">
        <v>114</v>
      </c>
      <c r="J200" s="1">
        <v>565000</v>
      </c>
      <c r="K200" s="1">
        <v>1641000</v>
      </c>
    </row>
    <row r="201" spans="1:11" x14ac:dyDescent="0.55000000000000004">
      <c r="G201">
        <v>44</v>
      </c>
      <c r="H201" t="s">
        <v>220</v>
      </c>
      <c r="I201" t="s">
        <v>80</v>
      </c>
      <c r="J201" s="1">
        <v>524000</v>
      </c>
      <c r="K201" s="1">
        <v>1051000</v>
      </c>
    </row>
    <row r="202" spans="1:11" x14ac:dyDescent="0.55000000000000004">
      <c r="G202">
        <v>45</v>
      </c>
      <c r="H202" t="s">
        <v>224</v>
      </c>
      <c r="I202" t="s">
        <v>91</v>
      </c>
      <c r="J202" s="1">
        <v>501000</v>
      </c>
      <c r="K202" t="s">
        <v>225</v>
      </c>
    </row>
    <row r="204" spans="1:11" x14ac:dyDescent="0.55000000000000004">
      <c r="A204" t="s">
        <v>138</v>
      </c>
      <c r="B204" t="s">
        <v>139</v>
      </c>
      <c r="C204" t="s">
        <v>126</v>
      </c>
      <c r="D204" t="s">
        <v>140</v>
      </c>
      <c r="E204" t="s">
        <v>141</v>
      </c>
    </row>
    <row r="205" spans="1:11" x14ac:dyDescent="0.55000000000000004">
      <c r="A205">
        <v>1</v>
      </c>
      <c r="B205" t="s">
        <v>205</v>
      </c>
      <c r="C205" t="s">
        <v>87</v>
      </c>
      <c r="D205" s="1">
        <v>10090000</v>
      </c>
      <c r="E205" s="1">
        <v>23785000</v>
      </c>
    </row>
    <row r="206" spans="1:11" x14ac:dyDescent="0.55000000000000004">
      <c r="A206">
        <v>2</v>
      </c>
      <c r="B206" t="s">
        <v>143</v>
      </c>
      <c r="C206" t="s">
        <v>100</v>
      </c>
      <c r="D206" s="1">
        <v>5221000</v>
      </c>
      <c r="E206" s="1">
        <v>15038000</v>
      </c>
    </row>
    <row r="207" spans="1:11" x14ac:dyDescent="0.55000000000000004">
      <c r="A207">
        <v>3</v>
      </c>
      <c r="B207" t="s">
        <v>144</v>
      </c>
      <c r="C207" t="s">
        <v>93</v>
      </c>
      <c r="D207" s="1">
        <v>4047000</v>
      </c>
      <c r="E207" s="1">
        <v>10415000</v>
      </c>
    </row>
    <row r="208" spans="1:11" x14ac:dyDescent="0.55000000000000004">
      <c r="A208">
        <v>4</v>
      </c>
      <c r="B208" t="s">
        <v>145</v>
      </c>
      <c r="C208" t="s">
        <v>78</v>
      </c>
      <c r="D208" s="1">
        <v>2513000</v>
      </c>
      <c r="E208" s="1">
        <v>7038000</v>
      </c>
    </row>
    <row r="209" spans="1:5" x14ac:dyDescent="0.55000000000000004">
      <c r="A209">
        <v>5</v>
      </c>
      <c r="B209" t="s">
        <v>146</v>
      </c>
      <c r="C209" t="s">
        <v>82</v>
      </c>
      <c r="D209" s="1">
        <v>2210000</v>
      </c>
      <c r="E209" s="1">
        <v>6471000</v>
      </c>
    </row>
    <row r="210" spans="1:5" x14ac:dyDescent="0.55000000000000004">
      <c r="A210">
        <v>6</v>
      </c>
      <c r="B210" t="s">
        <v>147</v>
      </c>
      <c r="C210" t="s">
        <v>86</v>
      </c>
      <c r="D210" s="1">
        <v>2031000</v>
      </c>
      <c r="E210" s="1">
        <v>7576000</v>
      </c>
    </row>
    <row r="211" spans="1:5" x14ac:dyDescent="0.55000000000000004">
      <c r="A211">
        <v>7</v>
      </c>
      <c r="B211" t="s">
        <v>148</v>
      </c>
      <c r="C211" t="s">
        <v>92</v>
      </c>
      <c r="D211" s="1">
        <v>1719000</v>
      </c>
      <c r="E211" s="1">
        <v>6948000</v>
      </c>
    </row>
    <row r="212" spans="1:5" x14ac:dyDescent="0.55000000000000004">
      <c r="A212">
        <v>8</v>
      </c>
      <c r="B212" t="s">
        <v>206</v>
      </c>
      <c r="C212" t="s">
        <v>150</v>
      </c>
      <c r="D212" s="1">
        <v>1643000</v>
      </c>
      <c r="E212" s="1">
        <v>9083000</v>
      </c>
    </row>
    <row r="213" spans="1:5" x14ac:dyDescent="0.55000000000000004">
      <c r="A213">
        <v>9</v>
      </c>
      <c r="B213" t="s">
        <v>151</v>
      </c>
      <c r="C213" t="s">
        <v>98</v>
      </c>
      <c r="D213" s="1">
        <v>1480000</v>
      </c>
      <c r="E213" s="1">
        <v>6743000</v>
      </c>
    </row>
    <row r="214" spans="1:5" x14ac:dyDescent="0.55000000000000004">
      <c r="A214">
        <v>10</v>
      </c>
      <c r="B214" t="s">
        <v>152</v>
      </c>
      <c r="C214" t="s">
        <v>104</v>
      </c>
      <c r="D214" s="1">
        <v>1422000</v>
      </c>
      <c r="E214" s="1">
        <v>5942000</v>
      </c>
    </row>
    <row r="215" spans="1:5" x14ac:dyDescent="0.55000000000000004">
      <c r="A215">
        <v>11</v>
      </c>
      <c r="B215" t="s">
        <v>153</v>
      </c>
      <c r="C215" t="s">
        <v>87</v>
      </c>
      <c r="D215" s="1">
        <v>1383000</v>
      </c>
      <c r="E215" s="1">
        <v>4813000</v>
      </c>
    </row>
    <row r="216" spans="1:5" x14ac:dyDescent="0.55000000000000004">
      <c r="A216">
        <v>12</v>
      </c>
      <c r="B216" t="s">
        <v>154</v>
      </c>
      <c r="C216" t="s">
        <v>38</v>
      </c>
      <c r="D216" s="1">
        <v>1369000</v>
      </c>
      <c r="E216" s="1">
        <v>4428000</v>
      </c>
    </row>
    <row r="217" spans="1:5" x14ac:dyDescent="0.55000000000000004">
      <c r="A217">
        <v>13</v>
      </c>
      <c r="B217" t="s">
        <v>155</v>
      </c>
      <c r="C217" t="s">
        <v>93</v>
      </c>
      <c r="D217" s="1">
        <v>1248000</v>
      </c>
      <c r="E217" s="1">
        <v>3327000</v>
      </c>
    </row>
    <row r="218" spans="1:5" x14ac:dyDescent="0.55000000000000004">
      <c r="A218">
        <v>14</v>
      </c>
      <c r="B218" t="s">
        <v>156</v>
      </c>
      <c r="C218" t="s">
        <v>91</v>
      </c>
      <c r="D218" s="1">
        <v>1222000</v>
      </c>
      <c r="E218" s="1">
        <v>3991000</v>
      </c>
    </row>
    <row r="219" spans="1:5" x14ac:dyDescent="0.55000000000000004">
      <c r="A219">
        <v>15</v>
      </c>
      <c r="B219" t="s">
        <v>237</v>
      </c>
      <c r="C219" t="s">
        <v>114</v>
      </c>
      <c r="D219" s="1">
        <v>1206000</v>
      </c>
      <c r="E219" s="1">
        <v>5147000</v>
      </c>
    </row>
    <row r="220" spans="1:5" x14ac:dyDescent="0.55000000000000004">
      <c r="A220">
        <v>16</v>
      </c>
      <c r="B220" t="s">
        <v>157</v>
      </c>
      <c r="C220" t="s">
        <v>96</v>
      </c>
      <c r="D220" s="1">
        <v>1180000</v>
      </c>
      <c r="E220" t="s">
        <v>238</v>
      </c>
    </row>
    <row r="221" spans="1:5" x14ac:dyDescent="0.55000000000000004">
      <c r="A221">
        <v>17</v>
      </c>
      <c r="B221" t="s">
        <v>199</v>
      </c>
      <c r="C221" t="s">
        <v>101</v>
      </c>
      <c r="D221" s="1">
        <v>1160000</v>
      </c>
      <c r="E221" s="1">
        <v>2252000</v>
      </c>
    </row>
    <row r="222" spans="1:5" x14ac:dyDescent="0.55000000000000004">
      <c r="A222">
        <v>18</v>
      </c>
      <c r="B222" t="s">
        <v>159</v>
      </c>
      <c r="C222" t="s">
        <v>78</v>
      </c>
      <c r="D222" s="1">
        <v>1129000</v>
      </c>
      <c r="E222" s="1">
        <v>3447000</v>
      </c>
    </row>
    <row r="223" spans="1:5" x14ac:dyDescent="0.55000000000000004">
      <c r="A223">
        <v>19</v>
      </c>
      <c r="B223" t="s">
        <v>162</v>
      </c>
      <c r="C223" t="s">
        <v>84</v>
      </c>
      <c r="D223" s="1">
        <v>1091000</v>
      </c>
      <c r="E223" s="1">
        <v>6291000</v>
      </c>
    </row>
    <row r="224" spans="1:5" x14ac:dyDescent="0.55000000000000004">
      <c r="A224">
        <v>20</v>
      </c>
      <c r="B224" t="s">
        <v>239</v>
      </c>
      <c r="C224" t="s">
        <v>80</v>
      </c>
      <c r="D224" s="1">
        <v>1069000</v>
      </c>
      <c r="E224" s="1">
        <v>4405000</v>
      </c>
    </row>
    <row r="225" spans="1:5" x14ac:dyDescent="0.55000000000000004">
      <c r="A225">
        <v>21</v>
      </c>
      <c r="B225" t="s">
        <v>200</v>
      </c>
      <c r="C225" t="s">
        <v>103</v>
      </c>
      <c r="D225" s="1">
        <v>1044000</v>
      </c>
      <c r="E225" s="1">
        <v>1836000</v>
      </c>
    </row>
    <row r="226" spans="1:5" x14ac:dyDescent="0.55000000000000004">
      <c r="A226">
        <v>22</v>
      </c>
      <c r="B226" t="s">
        <v>240</v>
      </c>
      <c r="C226" t="s">
        <v>79</v>
      </c>
      <c r="D226" s="1">
        <v>1021000</v>
      </c>
      <c r="E226" t="s">
        <v>241</v>
      </c>
    </row>
    <row r="227" spans="1:5" x14ac:dyDescent="0.55000000000000004">
      <c r="A227">
        <v>23</v>
      </c>
      <c r="B227" t="s">
        <v>242</v>
      </c>
      <c r="C227" t="s">
        <v>86</v>
      </c>
      <c r="D227" s="1">
        <v>1001000</v>
      </c>
      <c r="E227" s="1">
        <v>4940000</v>
      </c>
    </row>
    <row r="228" spans="1:5" x14ac:dyDescent="0.55000000000000004">
      <c r="A228">
        <v>24</v>
      </c>
      <c r="B228" t="s">
        <v>243</v>
      </c>
      <c r="C228" t="s">
        <v>94</v>
      </c>
      <c r="D228" s="1">
        <v>983000</v>
      </c>
      <c r="E228" s="1">
        <v>2297000</v>
      </c>
    </row>
    <row r="229" spans="1:5" x14ac:dyDescent="0.55000000000000004">
      <c r="A229">
        <v>25</v>
      </c>
      <c r="B229" t="s">
        <v>268</v>
      </c>
      <c r="C229" t="s">
        <v>86</v>
      </c>
      <c r="D229" s="1">
        <v>969000</v>
      </c>
      <c r="E229" s="1">
        <v>2321000</v>
      </c>
    </row>
    <row r="230" spans="1:5" x14ac:dyDescent="0.55000000000000004">
      <c r="A230">
        <v>26</v>
      </c>
      <c r="B230" t="s">
        <v>227</v>
      </c>
      <c r="C230" t="s">
        <v>94</v>
      </c>
      <c r="D230" s="1">
        <v>925000</v>
      </c>
      <c r="E230" s="1">
        <v>2929000</v>
      </c>
    </row>
    <row r="231" spans="1:5" x14ac:dyDescent="0.55000000000000004">
      <c r="A231">
        <v>27</v>
      </c>
      <c r="B231" t="s">
        <v>228</v>
      </c>
      <c r="C231" t="s">
        <v>99</v>
      </c>
      <c r="D231" s="1">
        <v>903000</v>
      </c>
      <c r="E231" s="1">
        <v>3562000</v>
      </c>
    </row>
    <row r="232" spans="1:5" x14ac:dyDescent="0.55000000000000004">
      <c r="A232">
        <v>28</v>
      </c>
      <c r="B232" t="s">
        <v>229</v>
      </c>
      <c r="C232" t="s">
        <v>98</v>
      </c>
      <c r="D232" s="1">
        <v>891000</v>
      </c>
      <c r="E232" s="1">
        <v>3421000</v>
      </c>
    </row>
    <row r="233" spans="1:5" x14ac:dyDescent="0.55000000000000004">
      <c r="A233">
        <v>29</v>
      </c>
      <c r="B233" t="s">
        <v>168</v>
      </c>
      <c r="C233" t="s">
        <v>88</v>
      </c>
      <c r="D233" s="1">
        <v>883000</v>
      </c>
      <c r="E233" s="1">
        <v>3161000</v>
      </c>
    </row>
    <row r="234" spans="1:5" x14ac:dyDescent="0.55000000000000004">
      <c r="A234">
        <v>30</v>
      </c>
      <c r="B234" t="s">
        <v>194</v>
      </c>
      <c r="C234" t="s">
        <v>115</v>
      </c>
      <c r="D234" s="1">
        <v>877000</v>
      </c>
      <c r="E234" s="1">
        <v>2473000</v>
      </c>
    </row>
    <row r="235" spans="1:5" x14ac:dyDescent="0.55000000000000004">
      <c r="A235">
        <v>31</v>
      </c>
      <c r="B235" t="s">
        <v>214</v>
      </c>
      <c r="C235" t="s">
        <v>95</v>
      </c>
      <c r="D235" s="1">
        <v>851000</v>
      </c>
      <c r="E235" s="1">
        <v>2329000</v>
      </c>
    </row>
    <row r="236" spans="1:5" x14ac:dyDescent="0.55000000000000004">
      <c r="A236">
        <v>32</v>
      </c>
      <c r="B236" t="s">
        <v>203</v>
      </c>
      <c r="C236" t="s">
        <v>103</v>
      </c>
      <c r="D236" s="1">
        <v>824000</v>
      </c>
      <c r="E236" s="1">
        <v>1651000</v>
      </c>
    </row>
    <row r="237" spans="1:5" x14ac:dyDescent="0.55000000000000004">
      <c r="A237">
        <v>33</v>
      </c>
      <c r="B237" t="s">
        <v>204</v>
      </c>
      <c r="C237" t="s">
        <v>195</v>
      </c>
      <c r="D237" s="1">
        <v>802000</v>
      </c>
      <c r="E237" s="1">
        <v>2547000</v>
      </c>
    </row>
    <row r="238" spans="1:5" x14ac:dyDescent="0.55000000000000004">
      <c r="A238">
        <v>34</v>
      </c>
      <c r="B238" t="s">
        <v>164</v>
      </c>
      <c r="C238" t="s">
        <v>100</v>
      </c>
      <c r="D238" s="1">
        <v>788000</v>
      </c>
      <c r="E238" s="1">
        <v>5312000</v>
      </c>
    </row>
    <row r="239" spans="1:5" x14ac:dyDescent="0.55000000000000004">
      <c r="A239">
        <v>35</v>
      </c>
      <c r="B239" t="s">
        <v>165</v>
      </c>
      <c r="C239" t="s">
        <v>83</v>
      </c>
      <c r="D239" s="1">
        <v>765000</v>
      </c>
      <c r="E239" s="1">
        <v>1252000</v>
      </c>
    </row>
    <row r="240" spans="1:5" x14ac:dyDescent="0.55000000000000004">
      <c r="A240">
        <v>36</v>
      </c>
      <c r="B240" t="s">
        <v>158</v>
      </c>
      <c r="C240" t="s">
        <v>101</v>
      </c>
      <c r="D240" s="1">
        <v>741000</v>
      </c>
      <c r="E240" s="1">
        <v>1782000</v>
      </c>
    </row>
    <row r="241" spans="1:5" x14ac:dyDescent="0.55000000000000004">
      <c r="A241">
        <v>37</v>
      </c>
      <c r="B241" t="s">
        <v>166</v>
      </c>
      <c r="C241" t="s">
        <v>93</v>
      </c>
      <c r="D241" s="1">
        <v>729000</v>
      </c>
      <c r="E241" s="1">
        <v>2175000</v>
      </c>
    </row>
    <row r="242" spans="1:5" x14ac:dyDescent="0.55000000000000004">
      <c r="A242">
        <v>38</v>
      </c>
      <c r="B242" t="s">
        <v>269</v>
      </c>
      <c r="C242" t="s">
        <v>88</v>
      </c>
      <c r="D242" s="1">
        <v>707000</v>
      </c>
      <c r="E242" s="1">
        <v>2434000</v>
      </c>
    </row>
    <row r="243" spans="1:5" x14ac:dyDescent="0.55000000000000004">
      <c r="A243">
        <v>39</v>
      </c>
      <c r="B243" t="s">
        <v>215</v>
      </c>
      <c r="C243" t="s">
        <v>107</v>
      </c>
      <c r="D243" s="1">
        <v>682000</v>
      </c>
      <c r="E243" s="1">
        <v>1221000</v>
      </c>
    </row>
    <row r="244" spans="1:5" x14ac:dyDescent="0.55000000000000004">
      <c r="A244">
        <v>40</v>
      </c>
      <c r="B244" t="s">
        <v>216</v>
      </c>
      <c r="C244" t="s">
        <v>98</v>
      </c>
      <c r="D244" s="1">
        <v>668000</v>
      </c>
      <c r="E244" s="1">
        <v>1814000</v>
      </c>
    </row>
    <row r="245" spans="1:5" x14ac:dyDescent="0.55000000000000004">
      <c r="A245">
        <v>41</v>
      </c>
      <c r="B245" t="s">
        <v>169</v>
      </c>
      <c r="C245" t="s">
        <v>94</v>
      </c>
      <c r="D245" s="1">
        <v>656000</v>
      </c>
      <c r="E245" s="1">
        <v>1567000</v>
      </c>
    </row>
    <row r="246" spans="1:5" x14ac:dyDescent="0.55000000000000004">
      <c r="A246">
        <v>42</v>
      </c>
      <c r="B246" t="s">
        <v>217</v>
      </c>
      <c r="C246" t="s">
        <v>195</v>
      </c>
      <c r="D246" s="1">
        <v>634000</v>
      </c>
      <c r="E246" s="1">
        <v>1341000</v>
      </c>
    </row>
    <row r="247" spans="1:5" x14ac:dyDescent="0.55000000000000004">
      <c r="A247">
        <v>43</v>
      </c>
      <c r="B247" t="s">
        <v>201</v>
      </c>
      <c r="C247" t="s">
        <v>202</v>
      </c>
      <c r="D247" s="1">
        <v>613000</v>
      </c>
      <c r="E247" s="1">
        <v>1248000</v>
      </c>
    </row>
    <row r="248" spans="1:5" x14ac:dyDescent="0.55000000000000004">
      <c r="A248">
        <v>44</v>
      </c>
      <c r="B248" t="s">
        <v>230</v>
      </c>
      <c r="C248" t="s">
        <v>87</v>
      </c>
      <c r="D248" s="1">
        <v>606000</v>
      </c>
      <c r="E248" s="1">
        <v>1638000</v>
      </c>
    </row>
    <row r="249" spans="1:5" x14ac:dyDescent="0.55000000000000004">
      <c r="A249">
        <v>45</v>
      </c>
      <c r="B249" t="s">
        <v>218</v>
      </c>
      <c r="C249" t="s">
        <v>79</v>
      </c>
      <c r="D249" s="1">
        <v>584000</v>
      </c>
      <c r="E249" t="s">
        <v>222</v>
      </c>
    </row>
    <row r="250" spans="1:5" x14ac:dyDescent="0.55000000000000004">
      <c r="A250">
        <v>46</v>
      </c>
      <c r="B250" t="s">
        <v>231</v>
      </c>
      <c r="C250" t="s">
        <v>114</v>
      </c>
      <c r="D250" s="1">
        <v>565000</v>
      </c>
      <c r="E250" s="1">
        <v>1641000</v>
      </c>
    </row>
    <row r="251" spans="1:5" x14ac:dyDescent="0.55000000000000004">
      <c r="A251">
        <v>47</v>
      </c>
      <c r="B251" t="s">
        <v>220</v>
      </c>
      <c r="C251" t="s">
        <v>80</v>
      </c>
      <c r="D251" s="1">
        <v>524000</v>
      </c>
      <c r="E251" s="1">
        <v>1051000</v>
      </c>
    </row>
    <row r="252" spans="1:5" x14ac:dyDescent="0.55000000000000004">
      <c r="A252">
        <v>48</v>
      </c>
      <c r="B252" t="s">
        <v>224</v>
      </c>
      <c r="C252" t="s">
        <v>91</v>
      </c>
      <c r="D252" s="1">
        <v>501000</v>
      </c>
      <c r="E252" t="s">
        <v>225</v>
      </c>
    </row>
    <row r="253" spans="1:5" x14ac:dyDescent="0.55000000000000004">
      <c r="A253">
        <v>49</v>
      </c>
      <c r="B253" t="s">
        <v>232</v>
      </c>
      <c r="C253" t="s">
        <v>91</v>
      </c>
      <c r="D253" s="1">
        <v>479000</v>
      </c>
      <c r="E253" s="1">
        <v>993000</v>
      </c>
    </row>
    <row r="254" spans="1:5" x14ac:dyDescent="0.55000000000000004">
      <c r="A254">
        <v>50</v>
      </c>
      <c r="B254" t="s">
        <v>233</v>
      </c>
      <c r="C254" t="s">
        <v>234</v>
      </c>
      <c r="D254" s="1">
        <v>460000</v>
      </c>
      <c r="E254" t="s">
        <v>235</v>
      </c>
    </row>
    <row r="255" spans="1:5" x14ac:dyDescent="0.55000000000000004">
      <c r="A255">
        <v>51</v>
      </c>
      <c r="B255" t="s">
        <v>236</v>
      </c>
      <c r="C255" t="s">
        <v>226</v>
      </c>
      <c r="D255" s="1">
        <v>429000</v>
      </c>
      <c r="E255" s="1">
        <v>670000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topLeftCell="A10" workbookViewId="0">
      <selection activeCell="N20" sqref="N20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171</v>
      </c>
      <c r="C15" t="s">
        <v>63</v>
      </c>
      <c r="K15" t="s">
        <v>170</v>
      </c>
    </row>
    <row r="16" spans="1:11" x14ac:dyDescent="0.55000000000000004">
      <c r="A16">
        <v>1</v>
      </c>
      <c r="B16" t="s">
        <v>174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182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176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180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191</v>
      </c>
      <c r="C20" s="1">
        <v>1521000</v>
      </c>
      <c r="K20" s="1"/>
    </row>
    <row r="21" spans="1:11" x14ac:dyDescent="0.55000000000000004">
      <c r="A21">
        <v>6</v>
      </c>
      <c r="B21" t="s">
        <v>244</v>
      </c>
      <c r="C21" s="1">
        <v>221000</v>
      </c>
      <c r="K21" s="1"/>
    </row>
    <row r="22" spans="1:11" x14ac:dyDescent="0.55000000000000004">
      <c r="A22">
        <v>7</v>
      </c>
      <c r="B22" t="s">
        <v>245</v>
      </c>
      <c r="C22" s="1">
        <v>628000</v>
      </c>
      <c r="K22" s="1"/>
    </row>
    <row r="23" spans="1:11" x14ac:dyDescent="0.55000000000000004">
      <c r="A23">
        <v>8</v>
      </c>
      <c r="B23" t="s">
        <v>184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178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189</v>
      </c>
      <c r="C25" s="1">
        <v>2341000</v>
      </c>
    </row>
    <row r="26" spans="1:11" x14ac:dyDescent="0.55000000000000004">
      <c r="A26">
        <v>11</v>
      </c>
      <c r="B26" t="s">
        <v>190</v>
      </c>
      <c r="C26" s="1">
        <v>1567000</v>
      </c>
    </row>
    <row r="27" spans="1:11" x14ac:dyDescent="0.55000000000000004">
      <c r="A27">
        <v>12</v>
      </c>
      <c r="B27" t="s">
        <v>192</v>
      </c>
      <c r="C27" s="1">
        <v>234000</v>
      </c>
    </row>
    <row r="28" spans="1:11" x14ac:dyDescent="0.55000000000000004">
      <c r="A28">
        <v>13</v>
      </c>
      <c r="B28" t="s">
        <v>193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171</v>
      </c>
      <c r="D33" t="s">
        <v>63</v>
      </c>
      <c r="E33" t="s">
        <v>172</v>
      </c>
    </row>
    <row r="34" spans="1:5" x14ac:dyDescent="0.55000000000000004">
      <c r="A34">
        <v>1</v>
      </c>
      <c r="B34" t="s">
        <v>173</v>
      </c>
      <c r="C34" t="s">
        <v>174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175</v>
      </c>
      <c r="C35" t="s">
        <v>176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177</v>
      </c>
      <c r="C36" t="s">
        <v>178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179</v>
      </c>
      <c r="C37" t="s">
        <v>180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181</v>
      </c>
      <c r="C38" t="s">
        <v>182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183</v>
      </c>
      <c r="C39" t="s">
        <v>184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185</v>
      </c>
      <c r="C40" t="s">
        <v>184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186</v>
      </c>
      <c r="C41" t="s">
        <v>184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187</v>
      </c>
      <c r="C42" t="s">
        <v>178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188</v>
      </c>
      <c r="C43" t="s">
        <v>184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france</vt:lpstr>
      <vt:lpstr>batavian republic</vt:lpstr>
      <vt:lpstr>united states</vt:lpstr>
      <vt:lpstr>buenaventura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2024-06-29T20:50:01Z</dcterms:modified>
</cp:coreProperties>
</file>